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30.xml" ContentType="application/vnd.ms-excel.controlproperties+xml"/>
  <Override PartName="/xl/ctrlProps/ctrlProp3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d.docs.live.net/7e3ccedc61cd9d44/Desktop/Gravitas Research/RA Calcs/"/>
    </mc:Choice>
  </mc:AlternateContent>
  <xr:revisionPtr revIDLastSave="16265" documentId="8_{6B8FC46B-995A-4D40-90E9-2973250ED258}" xr6:coauthVersionLast="47" xr6:coauthVersionMax="47" xr10:uidLastSave="{30FCA828-7F64-44F9-965C-46C3CFB38E54}"/>
  <bookViews>
    <workbookView minimized="1" xWindow="8688" yWindow="624" windowWidth="14352" windowHeight="12336" activeTab="2" xr2:uid="{00000000-000D-0000-FFFF-FFFF00000000}"/>
  </bookViews>
  <sheets>
    <sheet name="Macros" sheetId="2" r:id="rId1"/>
    <sheet name="Financial Planning Tool" sheetId="1" state="veryHidden" r:id="rId2"/>
    <sheet name="Generic investment scenario" sheetId="5" r:id="rId3"/>
    <sheet name="Retirement savings scenario" sheetId="6" r:id="rId4"/>
    <sheet name="Logo upload" sheetId="4" state="veryHidden" r:id="rId5"/>
    <sheet name="PrintTemplate" sheetId="3" state="veryHidden" r:id="rId6"/>
    <sheet name="Print" sheetId="10" r:id="rId7"/>
  </sheets>
  <functionGroups builtInGroupCount="19"/>
  <definedNames>
    <definedName name="AdjPeriodEnding">'Financial Planning Tool'!$D$103</definedName>
    <definedName name="AdjPeriodEnding_save">'Financial Planning Tool'!$AG$37</definedName>
    <definedName name="AdjVar">'Financial Planning Tool'!$D$106</definedName>
    <definedName name="AdjVar_save">'Financial Planning Tool'!$AG$40</definedName>
    <definedName name="AdjVarRef">'Financial Planning Tool'!$AG$13</definedName>
    <definedName name="AdjVarType">'Financial Planning Tool'!$D$107</definedName>
    <definedName name="AdjVarType_save">'Financial Planning Tool'!$AG$41</definedName>
    <definedName name="Age">'Financial Planning Tool'!$D$26</definedName>
    <definedName name="Age_year">'Financial Planning Tool'!$AJ$20</definedName>
    <definedName name="amount_wording1">'Financial Planning Tool'!$EC$17</definedName>
    <definedName name="amount_wording2">'Financial Planning Tool'!$EC$18</definedName>
    <definedName name="Annuity_cap">'Financial Planning Tool'!$FL$16</definedName>
    <definedName name="Annuity_min">'Financial Planning Tool'!$FL$17</definedName>
    <definedName name="ap">'Financial Planning Tool'!$A$84</definedName>
    <definedName name="ap_a_n_1">'Financial Planning Tool'!$D$87</definedName>
    <definedName name="ap_a_r_1">'Financial Planning Tool'!$E$87</definedName>
    <definedName name="ap_amount">IF(ap&gt;0,OFFSET('Financial Planning Tool'!$DT$11,0,0,ap,1),0)</definedName>
    <definedName name="ap_drawdown">IF(ap&gt;0,OFFSET('Financial Planning Tool'!$DU$11,0,0,ap,1),0)</definedName>
    <definedName name="ap_end_date">IF(ap&gt;0,OFFSET('Financial Planning Tool'!$EA$11,0,0,ap,1),0)</definedName>
    <definedName name="ap_escalation">IF(ap&gt;0,OFFSET('Financial Planning Tool'!$DW$11,0,0,ap,1),0)</definedName>
    <definedName name="ap_frequency">IF(ap&gt;0,OFFSET('Financial Planning Tool'!$DX$11,0,0,ap,1),1)</definedName>
    <definedName name="ap_months_since_start">IF(ap&gt;0,OFFSET('Financial Planning Tool'!$DZ$11,0,0,ap,1),0)</definedName>
    <definedName name="ap_start_date">IF(ap&gt;0,OFFSET('Financial Planning Tool'!$DV$11,0,0,ap,1),0)</definedName>
    <definedName name="Cap_reached_current">'Financial Planning Tool'!$AI$54:$AI$153</definedName>
    <definedName name="Cap_reached_saved">'Financial Planning Tool'!$AJ$54:$AJ$153</definedName>
    <definedName name="CapReached">'Financial Planning Tool'!$AG$15</definedName>
    <definedName name="Compare_table_first_entry" localSheetId="6">Print!#REF!</definedName>
    <definedName name="Compare_table_first_entry">PrintTemplate!$B$356</definedName>
    <definedName name="CompareGraphData">'Financial Planning Tool'!$V$55</definedName>
    <definedName name="Count_of_compare_lines">'Financial Planning Tool'!$AI$25</definedName>
    <definedName name="Date_of_birth">'Financial Planning Tool'!$C$20</definedName>
    <definedName name="date_start">'Financial Planning Tool'!$AO$8</definedName>
    <definedName name="DesiredAmount_save">'Financial Planning Tool'!$AG$39</definedName>
    <definedName name="DesiredAmountNom">'Financial Planning Tool'!$D$105</definedName>
    <definedName name="DesiredAmountReal">'Financial Planning Tool'!$E$105</definedName>
    <definedName name="Drawdown_tick">'Financial Planning Tool'!$AG$26</definedName>
    <definedName name="Earliest_annuity_payment">'Financial Planning Tool'!$FL$14</definedName>
    <definedName name="EntryPosition">'Financial Planning Tool'!$AG$14</definedName>
    <definedName name="Fees">'Financial Planning Tool'!$D$33:$E$35</definedName>
    <definedName name="First_entry_output_table" localSheetId="6">Print!$B$108</definedName>
    <definedName name="First_entry_output_table">PrintTemplate!$B$252</definedName>
    <definedName name="First_investment_details_entry">'Financial Planning Tool'!$EY$11</definedName>
    <definedName name="First_investment_entry" localSheetId="6">Print!$B$36</definedName>
    <definedName name="First_investment_entry">PrintTemplate!$B$36</definedName>
    <definedName name="First_net_contribution">'Financial Planning Tool'!$BA$8</definedName>
    <definedName name="First_net_investment">'Financial Planning Tool'!$AV$8</definedName>
    <definedName name="FirstGraphDataPoint">'Financial Planning Tool'!$J$55</definedName>
    <definedName name="Flow_in_list">'Financial Planning Tool'!$AG$9</definedName>
    <definedName name="freq_options">'Financial Planning Tool'!$EC$10:$EE$14</definedName>
    <definedName name="freq_options_list">'Financial Planning Tool'!$EC$10:$EC$14</definedName>
    <definedName name="GoalOptimisation">'Financial Planning Tool'!$A$101</definedName>
    <definedName name="graph_age">OFFSET('Financial Planning Tool'!$I$55,0,0,'Financial Planning Tool'!$C$25,1)</definedName>
    <definedName name="graph_compare_contributions_r">OFFSET('Financial Planning Tool'!$W$55,0,-Real_nominal_offset,time_horizon,1)</definedName>
    <definedName name="graph_compare_income_r">OFFSET('Financial Planning Tool'!$AA$55,0,-Real_nominal_offset,time_horizon,1)</definedName>
    <definedName name="graph_compare_mv_r">OFFSET('Financial Planning Tool'!$AC$55,0,-Real_nominal_offset,time_horizon,1)</definedName>
    <definedName name="graph_compare_withdrawals_r">OFFSET('Financial Planning Tool'!$Y$55,0,-Real_nominal_offset,time_horizon,1)</definedName>
    <definedName name="graph_contributions_compare_tick">'Financial Planning Tool'!$AG$23</definedName>
    <definedName name="graph_contributions_r">OFFSET('Financial Planning Tool'!$K$55,0,-Real_nominal_offset,time_horizon,1)</definedName>
    <definedName name="graph_contributions_r_tick">'Financial Planning Tool'!$AG$22</definedName>
    <definedName name="graph_date">OFFSET('Financial Planning Tool'!$H$55,0,0,time_horizon,1)</definedName>
    <definedName name="Graph_first_row" localSheetId="6">Print!$B$72</definedName>
    <definedName name="Graph_first_row">PrintTemplate!$B$216</definedName>
    <definedName name="graph_income_compare_tick">'Financial Planning Tool'!$AI$23</definedName>
    <definedName name="graph_income_payments_r">OFFSET('Financial Planning Tool'!$O$55,0,-Real_nominal_offset,time_horizon,1)</definedName>
    <definedName name="graph_income_r_tick">'Financial Planning Tool'!$AI$22</definedName>
    <definedName name="graph_mv_compare_tick">'Financial Planning Tool'!$AJ$23</definedName>
    <definedName name="graph_mv_r">OFFSET('Financial Planning Tool'!$Q$55,0,-Real_nominal_offset,time_horizon,1)</definedName>
    <definedName name="graph_mv_r_tick">'Financial Planning Tool'!$AJ$22</definedName>
    <definedName name="Graph_top_corner" localSheetId="6">Print!$B$76</definedName>
    <definedName name="Graph_top_corner">PrintTemplate!$B$220</definedName>
    <definedName name="graph_withdrawals_compare_tick">'Financial Planning Tool'!$AH$23</definedName>
    <definedName name="graph_withdrawals_r">OFFSET('Financial Planning Tool'!$M$55,0,-Real_nominal_offset,time_horizon,1)</definedName>
    <definedName name="graph_withdrawals_r_tick">'Financial Planning Tool'!$AH$22</definedName>
    <definedName name="graph_x_values">IF(Age_year,graph_age,graph_date)</definedName>
    <definedName name="inflation">'Financial Planning Tool'!$D$30</definedName>
    <definedName name="initial_admin">'Financial Planning Tool'!$D$33</definedName>
    <definedName name="initial_adviser">'Financial Planning Tool'!$D$34</definedName>
    <definedName name="initial_other">'Financial Planning Tool'!$D$35</definedName>
    <definedName name="Input_message_tick">'Financial Planning Tool'!$AG$31</definedName>
    <definedName name="Investment_details">OFFSET('Financial Planning Tool'!$EY$11,0,0,MAX(ap+w+lsc+rcs,1),7)</definedName>
    <definedName name="line_tracker">'Financial Planning Tool'!$AI$24</definedName>
    <definedName name="lsc">'Financial Planning Tool'!$A$45</definedName>
    <definedName name="lsc_a_n_1">'Financial Planning Tool'!$D$47</definedName>
    <definedName name="lsc_a_n_2">'Financial Planning Tool'!$D$50</definedName>
    <definedName name="lsc_a_n_3">'Financial Planning Tool'!$D$53</definedName>
    <definedName name="lsc_a_r_1">'Financial Planning Tool'!$E$47</definedName>
    <definedName name="lsc_a_r_2">'Financial Planning Tool'!$E$50</definedName>
    <definedName name="lsc_a_r_3">'Financial Planning Tool'!$E$53</definedName>
    <definedName name="lsc_amount">IF(lsc&gt;0,OFFSET('Financial Planning Tool'!$CM$11,0,0,lsc,1),0)</definedName>
    <definedName name="lsc_months_since_start">IF(lsc&gt;0,OFFSET('Financial Planning Tool'!$CP$11,0,0,lsc,1),0)</definedName>
    <definedName name="lsc_start_date">IF(lsc&gt;0,OFFSET('Financial Planning Tool'!$CN$11,0,0,lsc,1),0)</definedName>
    <definedName name="Market_value_start">'Financial Planning Tool'!$AQ$8:$AQ$1219</definedName>
    <definedName name="Max_ap_reached">OFFSET('Financial Planning Tool'!$BK$8,0,0,time_horizon*12,1)</definedName>
    <definedName name="Min_ap_reached">OFFSET('Financial Planning Tool'!$BI$8,0,0,time_horizon*12,1)</definedName>
    <definedName name="MinReached">'Financial Planning Tool'!$AG$16</definedName>
    <definedName name="Month_start_dates">'Financial Planning Tool'!$AO$8:$AO$1219</definedName>
    <definedName name="Name_of_flows">OFFSET('Financial Planning Tool'!$EY$10,0,0,lsc+rcs+w+ap+1,1)</definedName>
    <definedName name="no_save">Macros!$A$1</definedName>
    <definedName name="NomRetn">'Financial Planning Tool'!$D$29</definedName>
    <definedName name="ongoing_admin">'Financial Planning Tool'!$E$33</definedName>
    <definedName name="ongoing_adviser">'Financial Planning Tool'!$E$34</definedName>
    <definedName name="ongoing_other">'Financial Planning Tool'!$E$35</definedName>
    <definedName name="Optimisation_original_value_nom">'Financial Planning Tool'!$AG$33</definedName>
    <definedName name="Optimisation_original_value_real">'Financial Planning Tool'!$AH$33</definedName>
    <definedName name="Optimisation_run">'Financial Planning Tool'!$AG$34</definedName>
    <definedName name="Optimisation_run_check">'Financial Planning Tool'!$AG$35</definedName>
    <definedName name="OptimisedValNom">'Financial Planning Tool'!$D$104</definedName>
    <definedName name="OptimisedValNom_save">'Financial Planning Tool'!$AG$38</definedName>
    <definedName name="OptimisedValReal">'Financial Planning Tool'!$E$104</definedName>
    <definedName name="OptimisedValReal_save">'Financial Planning Tool'!$AH$38</definedName>
    <definedName name="_xlnm.Print_Titles" localSheetId="6">Print!$106:$107</definedName>
    <definedName name="_xlnm.Print_Titles" localSheetId="5">PrintTemplate!$250:$251</definedName>
    <definedName name="RateEntry">'Financial Planning Tool'!$FL$10</definedName>
    <definedName name="rcs">'Financial Planning Tool'!$A$58</definedName>
    <definedName name="rcs_a_n_1">'Financial Planning Tool'!$D$61</definedName>
    <definedName name="rcs_a_n_2">'Financial Planning Tool'!$D$67</definedName>
    <definedName name="rcs_a_n_3">'Financial Planning Tool'!$D$73</definedName>
    <definedName name="rcs_a_r_1">'Financial Planning Tool'!$E$61</definedName>
    <definedName name="rcs_a_r_2">'Financial Planning Tool'!$E$67</definedName>
    <definedName name="rcs_a_r_3">'Financial Planning Tool'!$E$73</definedName>
    <definedName name="rcs_amount">IF(rcs&gt;0,OFFSET('Financial Planning Tool'!$CV$11,0,0,rcs,1),0)</definedName>
    <definedName name="rcs_end_date">IF(rcs&gt;0,OFFSET('Financial Planning Tool'!$CX$11,0,0,rcs,1),0)</definedName>
    <definedName name="rcs_escalation">IF(rcs&gt;0,OFFSET('Financial Planning Tool'!$CY$11,0,0,rcs,1),0)</definedName>
    <definedName name="rcs_frequency">IF(rcs&gt;0,OFFSET('Financial Planning Tool'!$CZ$11,0,0,rcs,1),1)</definedName>
    <definedName name="rcs_months_since_start">IF(rcs&gt;0,OFFSET('Financial Planning Tool'!$DB$11,0,0,rcs,1),0)</definedName>
    <definedName name="rcs_start_date">IF(rcs&gt;0,OFFSET('Financial Planning Tool'!$CW$11,0,0,rcs,1),0)</definedName>
    <definedName name="real_nominal">'Financial Planning Tool'!$AI$12</definedName>
    <definedName name="Real_nominal_offset">'Financial Planning Tool'!$AI$13</definedName>
    <definedName name="recurring_freq_options_list">'Financial Planning Tool'!$EC$11:$EC$14</definedName>
    <definedName name="Saved_scenario_table_top_row">'Financial Planning Tool'!$T$17</definedName>
    <definedName name="Scroll_bar_demo">'Financial Planning Tool'!$C$29</definedName>
    <definedName name="Signature_first_row" localSheetId="6">Print!$B$44</definedName>
    <definedName name="Signature_first_row">PrintTemplate!$B$188</definedName>
    <definedName name="Start_date_input">'Financial Planning Tool'!$D$24</definedName>
    <definedName name="Table_second_row" localSheetId="6">Print!$J$107</definedName>
    <definedName name="Table_second_row">PrintTemplate!$J$251</definedName>
    <definedName name="Table_top_row" localSheetId="6">Print!$J$106</definedName>
    <definedName name="Table_top_row">PrintTemplate!$J$250</definedName>
    <definedName name="time_end">'Financial Planning Tool'!$AG$17</definedName>
    <definedName name="time_horizon">'Financial Planning Tool'!$C$25</definedName>
    <definedName name="Time_horizon_input">'Financial Planning Tool'!$D$25</definedName>
    <definedName name="Top_of_compare_table" localSheetId="6">Print!#REF!</definedName>
    <definedName name="Top_of_compare_table">PrintTemplate!$B$353</definedName>
    <definedName name="Total_saved_investment_details">'Financial Planning Tool'!$AE$16</definedName>
    <definedName name="Var_to_optimise_save">'Financial Planning Tool'!$AG$36</definedName>
    <definedName name="VarFrequency">'Financial Planning Tool'!$AG$10</definedName>
    <definedName name="Variable_to_optimise">OFFSET('Financial Planning Tool'!$EC$23,0,0,1+IF(ap&gt;=1,1,0),1)</definedName>
    <definedName name="VarToAdjVal">'Financial Planning Tool'!$D$108</definedName>
    <definedName name="VarToAdjVal_save">'Financial Planning Tool'!$AG$42</definedName>
    <definedName name="VarToAdjValR">'Financial Planning Tool'!$E$108</definedName>
    <definedName name="VarToAdjValR_save">'Financial Planning Tool'!$AH$42</definedName>
    <definedName name="VarToOptimise">'Financial Planning Tool'!$D$102</definedName>
    <definedName name="VarTypes">IF(VarFrequency="Once-off",'Financial Planning Tool'!$FK$10:$FK$10,'Financial Planning Tool'!$FK$10:$FK$11)</definedName>
    <definedName name="w">'Financial Planning Tool'!$A$80</definedName>
    <definedName name="w_amount">IF(w&gt;0,OFFSET('Financial Planning Tool'!$DH$11,0,0,w,1),0)</definedName>
    <definedName name="w_end_date">IF(w&gt;0,OFFSET('Financial Planning Tool'!$DJ$11,0,0,w,1),0)</definedName>
    <definedName name="w_escalation">IF(w&gt;0,OFFSET('Financial Planning Tool'!$DK$11,0,0,w,1),0)</definedName>
    <definedName name="w_frequency">IF(w&gt;0,OFFSET('Financial Planning Tool'!$DL$11,0,0,w,1),1)</definedName>
    <definedName name="w_months_since_start">IF(w&gt;0,OFFSET('Financial Planning Tool'!$DN$11,0,0,w,1),0)</definedName>
    <definedName name="w_start_date">IF(w&gt;0,OFFSET('Financial Planning Tool'!$DI$11,0,0,w,1),0)</definedName>
    <definedName name="Withdrawal_allowed">OFFSET('Financial Planning Tool'!$BC$8,0,0,time_horizon*12,1)</definedName>
    <definedName name="Withdrawal_requested">OFFSET('Financial Planning Tool'!$BB$8,0,0,time_horizon*12,1)</definedName>
    <definedName name="Years_selected_ap_tick">'Financial Planning Tool'!$AG$30</definedName>
    <definedName name="Years_selected_lsc_tick">'Financial Planning Tool'!$AG$27</definedName>
    <definedName name="Years_selected_rcs_tick">'Financial Planning Tool'!$AG$28</definedName>
    <definedName name="Years_selected_tick">'Financial Planning Tool'!$AG$27</definedName>
    <definedName name="Years_selected_w_tick">'Financial Planning Tool'!$AG$29</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4" i="10" l="1"/>
  <c r="BF28" i="10"/>
  <c r="AW28" i="10"/>
  <c r="BF27" i="10"/>
  <c r="AW27" i="10"/>
  <c r="BF26" i="10"/>
  <c r="AW26" i="10"/>
  <c r="AW23" i="10"/>
  <c r="AW22" i="10"/>
  <c r="AW18" i="10"/>
  <c r="AW13" i="10"/>
  <c r="AW19" i="10" s="1"/>
  <c r="AW12" i="10"/>
  <c r="B73" i="1"/>
  <c r="B76" i="1"/>
  <c r="B67" i="1"/>
  <c r="B70" i="1"/>
  <c r="B61" i="1"/>
  <c r="B64" i="1"/>
  <c r="D24" i="1"/>
  <c r="AW17" i="10" s="1"/>
  <c r="B87" i="1"/>
  <c r="B89" i="1"/>
  <c r="DR12" i="1" l="1"/>
  <c r="EM161" i="1" s="1"/>
  <c r="DT12" i="1"/>
  <c r="EO161" i="1" s="1"/>
  <c r="DU12" i="1"/>
  <c r="ET161" i="1" s="1"/>
  <c r="DV12" i="1"/>
  <c r="DW12" i="1"/>
  <c r="ER161" i="1" s="1"/>
  <c r="DY12" i="1"/>
  <c r="ES161" i="1" s="1"/>
  <c r="DR13" i="1"/>
  <c r="EM162" i="1" s="1"/>
  <c r="DT13" i="1"/>
  <c r="EO162" i="1" s="1"/>
  <c r="DU13" i="1"/>
  <c r="ET162" i="1" s="1"/>
  <c r="DV13" i="1"/>
  <c r="DW13" i="1"/>
  <c r="ER162" i="1" s="1"/>
  <c r="DY13" i="1"/>
  <c r="ES162" i="1" s="1"/>
  <c r="DR14" i="1"/>
  <c r="EM163" i="1" s="1"/>
  <c r="DS14" i="1"/>
  <c r="DT14" i="1"/>
  <c r="EO163" i="1" s="1"/>
  <c r="EQ163" i="1" s="1"/>
  <c r="DU14" i="1"/>
  <c r="ET163" i="1" s="1"/>
  <c r="DV14" i="1"/>
  <c r="DW14" i="1"/>
  <c r="ER163" i="1" s="1"/>
  <c r="DY14" i="1"/>
  <c r="ES163" i="1" s="1"/>
  <c r="DR15" i="1"/>
  <c r="EM164" i="1" s="1"/>
  <c r="DS15" i="1"/>
  <c r="DT15" i="1"/>
  <c r="EO164" i="1" s="1"/>
  <c r="EQ164" i="1" s="1"/>
  <c r="DU15" i="1"/>
  <c r="ET164" i="1" s="1"/>
  <c r="DV15" i="1"/>
  <c r="DW15" i="1"/>
  <c r="ER164" i="1" s="1"/>
  <c r="DY15" i="1"/>
  <c r="ES164" i="1" s="1"/>
  <c r="DR16" i="1"/>
  <c r="EM165" i="1" s="1"/>
  <c r="DS16" i="1"/>
  <c r="DT16" i="1"/>
  <c r="EO165" i="1" s="1"/>
  <c r="EQ165" i="1" s="1"/>
  <c r="DU16" i="1"/>
  <c r="ET165" i="1" s="1"/>
  <c r="DV16" i="1"/>
  <c r="DW16" i="1"/>
  <c r="ER165" i="1" s="1"/>
  <c r="DY16" i="1"/>
  <c r="ES165" i="1" s="1"/>
  <c r="DR17" i="1"/>
  <c r="EM166" i="1" s="1"/>
  <c r="DS17" i="1"/>
  <c r="DT17" i="1"/>
  <c r="EO166" i="1" s="1"/>
  <c r="EQ166" i="1" s="1"/>
  <c r="DU17" i="1"/>
  <c r="ET166" i="1" s="1"/>
  <c r="DV17" i="1"/>
  <c r="DW17" i="1"/>
  <c r="ER166" i="1" s="1"/>
  <c r="DY17" i="1"/>
  <c r="ES166" i="1" s="1"/>
  <c r="DR18" i="1"/>
  <c r="EM167" i="1" s="1"/>
  <c r="DS18" i="1"/>
  <c r="DT18" i="1"/>
  <c r="EO167" i="1" s="1"/>
  <c r="EQ167" i="1" s="1"/>
  <c r="DU18" i="1"/>
  <c r="ET167" i="1" s="1"/>
  <c r="DV18" i="1"/>
  <c r="DW18" i="1"/>
  <c r="ER167" i="1" s="1"/>
  <c r="DY18" i="1"/>
  <c r="ES167" i="1" s="1"/>
  <c r="DR19" i="1"/>
  <c r="EM168" i="1" s="1"/>
  <c r="DS19" i="1"/>
  <c r="DT19" i="1"/>
  <c r="EO168" i="1" s="1"/>
  <c r="EQ168" i="1" s="1"/>
  <c r="DU19" i="1"/>
  <c r="ET168" i="1" s="1"/>
  <c r="DV19" i="1"/>
  <c r="DW19" i="1"/>
  <c r="ER168" i="1" s="1"/>
  <c r="DY19" i="1"/>
  <c r="ES168" i="1" s="1"/>
  <c r="DR20" i="1"/>
  <c r="EM169" i="1" s="1"/>
  <c r="DS20" i="1"/>
  <c r="DT20" i="1"/>
  <c r="EO169" i="1" s="1"/>
  <c r="EQ169" i="1" s="1"/>
  <c r="DU20" i="1"/>
  <c r="ET169" i="1" s="1"/>
  <c r="DV20" i="1"/>
  <c r="DW20" i="1"/>
  <c r="ER169" i="1" s="1"/>
  <c r="DY20" i="1"/>
  <c r="ES169" i="1" s="1"/>
  <c r="DR21" i="1"/>
  <c r="EM170" i="1" s="1"/>
  <c r="DS21" i="1"/>
  <c r="DT21" i="1"/>
  <c r="EO170" i="1" s="1"/>
  <c r="EQ170" i="1" s="1"/>
  <c r="DU21" i="1"/>
  <c r="ET170" i="1" s="1"/>
  <c r="DV21" i="1"/>
  <c r="DW21" i="1"/>
  <c r="ER170" i="1" s="1"/>
  <c r="DY21" i="1"/>
  <c r="ES170" i="1" s="1"/>
  <c r="DR22" i="1"/>
  <c r="EM171" i="1" s="1"/>
  <c r="DS22" i="1"/>
  <c r="DT22" i="1"/>
  <c r="EO171" i="1" s="1"/>
  <c r="EQ171" i="1" s="1"/>
  <c r="DU22" i="1"/>
  <c r="ET171" i="1" s="1"/>
  <c r="DV22" i="1"/>
  <c r="DW22" i="1"/>
  <c r="ER171" i="1" s="1"/>
  <c r="DY22" i="1"/>
  <c r="ES171" i="1" s="1"/>
  <c r="DR23" i="1"/>
  <c r="EM172" i="1" s="1"/>
  <c r="DS23" i="1"/>
  <c r="DT23" i="1"/>
  <c r="EO172" i="1" s="1"/>
  <c r="EQ172" i="1" s="1"/>
  <c r="DU23" i="1"/>
  <c r="ET172" i="1" s="1"/>
  <c r="DV23" i="1"/>
  <c r="DW23" i="1"/>
  <c r="ER172" i="1" s="1"/>
  <c r="DY23" i="1"/>
  <c r="ES172" i="1" s="1"/>
  <c r="DR24" i="1"/>
  <c r="EM173" i="1" s="1"/>
  <c r="DS24" i="1"/>
  <c r="DT24" i="1"/>
  <c r="EO173" i="1" s="1"/>
  <c r="EQ173" i="1" s="1"/>
  <c r="DU24" i="1"/>
  <c r="ET173" i="1" s="1"/>
  <c r="DV24" i="1"/>
  <c r="DW24" i="1"/>
  <c r="ER173" i="1" s="1"/>
  <c r="DY24" i="1"/>
  <c r="ES173" i="1" s="1"/>
  <c r="DR25" i="1"/>
  <c r="EM174" i="1" s="1"/>
  <c r="DS25" i="1"/>
  <c r="DT25" i="1"/>
  <c r="EO174" i="1" s="1"/>
  <c r="EQ174" i="1" s="1"/>
  <c r="DU25" i="1"/>
  <c r="ET174" i="1" s="1"/>
  <c r="DV25" i="1"/>
  <c r="DW25" i="1"/>
  <c r="ER174" i="1" s="1"/>
  <c r="DY25" i="1"/>
  <c r="ES174" i="1" s="1"/>
  <c r="DR26" i="1"/>
  <c r="EM175" i="1" s="1"/>
  <c r="DS26" i="1"/>
  <c r="DT26" i="1"/>
  <c r="EO175" i="1" s="1"/>
  <c r="EQ175" i="1" s="1"/>
  <c r="DU26" i="1"/>
  <c r="ET175" i="1" s="1"/>
  <c r="DV26" i="1"/>
  <c r="DW26" i="1"/>
  <c r="ER175" i="1" s="1"/>
  <c r="DY26" i="1"/>
  <c r="ES175" i="1" s="1"/>
  <c r="DR27" i="1"/>
  <c r="EM176" i="1" s="1"/>
  <c r="DS27" i="1"/>
  <c r="DT27" i="1"/>
  <c r="EO176" i="1" s="1"/>
  <c r="EQ176" i="1" s="1"/>
  <c r="DU27" i="1"/>
  <c r="ET176" i="1" s="1"/>
  <c r="DV27" i="1"/>
  <c r="DW27" i="1"/>
  <c r="ER176" i="1" s="1"/>
  <c r="DY27" i="1"/>
  <c r="ES176" i="1" s="1"/>
  <c r="DR28" i="1"/>
  <c r="EM177" i="1" s="1"/>
  <c r="DS28" i="1"/>
  <c r="DT28" i="1"/>
  <c r="EO177" i="1" s="1"/>
  <c r="EQ177" i="1" s="1"/>
  <c r="DU28" i="1"/>
  <c r="ET177" i="1" s="1"/>
  <c r="DV28" i="1"/>
  <c r="DW28" i="1"/>
  <c r="ER177" i="1" s="1"/>
  <c r="DY28" i="1"/>
  <c r="ES177" i="1" s="1"/>
  <c r="DR29" i="1"/>
  <c r="EM178" i="1" s="1"/>
  <c r="DS29" i="1"/>
  <c r="DT29" i="1"/>
  <c r="EO178" i="1" s="1"/>
  <c r="EQ178" i="1" s="1"/>
  <c r="DU29" i="1"/>
  <c r="ET178" i="1" s="1"/>
  <c r="DV29" i="1"/>
  <c r="DW29" i="1"/>
  <c r="ER178" i="1" s="1"/>
  <c r="DY29" i="1"/>
  <c r="ES178" i="1" s="1"/>
  <c r="DR30" i="1"/>
  <c r="EM179" i="1" s="1"/>
  <c r="DS30" i="1"/>
  <c r="DT30" i="1"/>
  <c r="EO179" i="1" s="1"/>
  <c r="EQ179" i="1" s="1"/>
  <c r="DU30" i="1"/>
  <c r="ET179" i="1" s="1"/>
  <c r="DV30" i="1"/>
  <c r="DW30" i="1"/>
  <c r="ER179" i="1" s="1"/>
  <c r="DY30" i="1"/>
  <c r="ES179" i="1" s="1"/>
  <c r="DR31" i="1"/>
  <c r="EM180" i="1" s="1"/>
  <c r="DS31" i="1"/>
  <c r="DT31" i="1"/>
  <c r="EO180" i="1" s="1"/>
  <c r="EQ180" i="1" s="1"/>
  <c r="DU31" i="1"/>
  <c r="ET180" i="1" s="1"/>
  <c r="DV31" i="1"/>
  <c r="DW31" i="1"/>
  <c r="ER180" i="1" s="1"/>
  <c r="DY31" i="1"/>
  <c r="ES180" i="1" s="1"/>
  <c r="DR32" i="1"/>
  <c r="EM181" i="1" s="1"/>
  <c r="DS32" i="1"/>
  <c r="DT32" i="1"/>
  <c r="EO181" i="1" s="1"/>
  <c r="EQ181" i="1" s="1"/>
  <c r="DU32" i="1"/>
  <c r="ET181" i="1" s="1"/>
  <c r="DV32" i="1"/>
  <c r="DW32" i="1"/>
  <c r="ER181" i="1" s="1"/>
  <c r="DY32" i="1"/>
  <c r="ES181" i="1" s="1"/>
  <c r="DR33" i="1"/>
  <c r="EM182" i="1" s="1"/>
  <c r="DS33" i="1"/>
  <c r="DT33" i="1"/>
  <c r="EO182" i="1" s="1"/>
  <c r="EQ182" i="1" s="1"/>
  <c r="DU33" i="1"/>
  <c r="ET182" i="1" s="1"/>
  <c r="DV33" i="1"/>
  <c r="DW33" i="1"/>
  <c r="ER182" i="1" s="1"/>
  <c r="DY33" i="1"/>
  <c r="ES182" i="1" s="1"/>
  <c r="DR34" i="1"/>
  <c r="EM183" i="1" s="1"/>
  <c r="DS34" i="1"/>
  <c r="DT34" i="1"/>
  <c r="EO183" i="1" s="1"/>
  <c r="EQ183" i="1" s="1"/>
  <c r="DU34" i="1"/>
  <c r="ET183" i="1" s="1"/>
  <c r="DV34" i="1"/>
  <c r="DW34" i="1"/>
  <c r="ER183" i="1" s="1"/>
  <c r="DY34" i="1"/>
  <c r="ES183" i="1" s="1"/>
  <c r="DR35" i="1"/>
  <c r="EM184" i="1" s="1"/>
  <c r="DS35" i="1"/>
  <c r="DT35" i="1"/>
  <c r="EO184" i="1" s="1"/>
  <c r="EQ184" i="1" s="1"/>
  <c r="DU35" i="1"/>
  <c r="ET184" i="1" s="1"/>
  <c r="DV35" i="1"/>
  <c r="DW35" i="1"/>
  <c r="ER184" i="1" s="1"/>
  <c r="DY35" i="1"/>
  <c r="ES184" i="1" s="1"/>
  <c r="DR36" i="1"/>
  <c r="EM185" i="1" s="1"/>
  <c r="DS36" i="1"/>
  <c r="DT36" i="1"/>
  <c r="EO185" i="1" s="1"/>
  <c r="EQ185" i="1" s="1"/>
  <c r="DU36" i="1"/>
  <c r="ET185" i="1" s="1"/>
  <c r="DV36" i="1"/>
  <c r="DW36" i="1"/>
  <c r="ER185" i="1" s="1"/>
  <c r="DY36" i="1"/>
  <c r="ES185" i="1" s="1"/>
  <c r="DR37" i="1"/>
  <c r="EM186" i="1" s="1"/>
  <c r="DS37" i="1"/>
  <c r="DT37" i="1"/>
  <c r="EO186" i="1" s="1"/>
  <c r="EQ186" i="1" s="1"/>
  <c r="DU37" i="1"/>
  <c r="ET186" i="1" s="1"/>
  <c r="DV37" i="1"/>
  <c r="DW37" i="1"/>
  <c r="ER186" i="1" s="1"/>
  <c r="DY37" i="1"/>
  <c r="ES186" i="1" s="1"/>
  <c r="DR38" i="1"/>
  <c r="EM187" i="1" s="1"/>
  <c r="DS38" i="1"/>
  <c r="DT38" i="1"/>
  <c r="EO187" i="1" s="1"/>
  <c r="EQ187" i="1" s="1"/>
  <c r="DU38" i="1"/>
  <c r="ET187" i="1" s="1"/>
  <c r="DV38" i="1"/>
  <c r="DW38" i="1"/>
  <c r="ER187" i="1" s="1"/>
  <c r="DY38" i="1"/>
  <c r="ES187" i="1" s="1"/>
  <c r="DR39" i="1"/>
  <c r="EM188" i="1" s="1"/>
  <c r="DS39" i="1"/>
  <c r="DT39" i="1"/>
  <c r="EO188" i="1" s="1"/>
  <c r="EQ188" i="1" s="1"/>
  <c r="DU39" i="1"/>
  <c r="ET188" i="1" s="1"/>
  <c r="DV39" i="1"/>
  <c r="DW39" i="1"/>
  <c r="ER188" i="1" s="1"/>
  <c r="DY39" i="1"/>
  <c r="ES188" i="1" s="1"/>
  <c r="DR40" i="1"/>
  <c r="EM189" i="1" s="1"/>
  <c r="DS40" i="1"/>
  <c r="DT40" i="1"/>
  <c r="EO189" i="1" s="1"/>
  <c r="EQ189" i="1" s="1"/>
  <c r="DU40" i="1"/>
  <c r="ET189" i="1" s="1"/>
  <c r="DV40" i="1"/>
  <c r="DW40" i="1"/>
  <c r="ER189" i="1" s="1"/>
  <c r="DY40" i="1"/>
  <c r="ES189" i="1" s="1"/>
  <c r="DR41" i="1"/>
  <c r="EM190" i="1" s="1"/>
  <c r="DS41" i="1"/>
  <c r="DT41" i="1"/>
  <c r="EO190" i="1" s="1"/>
  <c r="EQ190" i="1" s="1"/>
  <c r="DU41" i="1"/>
  <c r="ET190" i="1" s="1"/>
  <c r="DV41" i="1"/>
  <c r="DW41" i="1"/>
  <c r="ER190" i="1" s="1"/>
  <c r="DY41" i="1"/>
  <c r="ES190" i="1" s="1"/>
  <c r="DR42" i="1"/>
  <c r="EM191" i="1" s="1"/>
  <c r="DS42" i="1"/>
  <c r="DT42" i="1"/>
  <c r="EO191" i="1" s="1"/>
  <c r="EQ191" i="1" s="1"/>
  <c r="DU42" i="1"/>
  <c r="ET191" i="1" s="1"/>
  <c r="DV42" i="1"/>
  <c r="DW42" i="1"/>
  <c r="ER191" i="1" s="1"/>
  <c r="DY42" i="1"/>
  <c r="ES191" i="1" s="1"/>
  <c r="DR43" i="1"/>
  <c r="EM192" i="1" s="1"/>
  <c r="DS43" i="1"/>
  <c r="DT43" i="1"/>
  <c r="EO192" i="1" s="1"/>
  <c r="EQ192" i="1" s="1"/>
  <c r="DU43" i="1"/>
  <c r="ET192" i="1" s="1"/>
  <c r="DV43" i="1"/>
  <c r="DW43" i="1"/>
  <c r="ER192" i="1" s="1"/>
  <c r="DY43" i="1"/>
  <c r="ES192" i="1" s="1"/>
  <c r="DR44" i="1"/>
  <c r="EM193" i="1" s="1"/>
  <c r="DS44" i="1"/>
  <c r="DT44" i="1"/>
  <c r="EO193" i="1" s="1"/>
  <c r="EQ193" i="1" s="1"/>
  <c r="DU44" i="1"/>
  <c r="ET193" i="1" s="1"/>
  <c r="DV44" i="1"/>
  <c r="DW44" i="1"/>
  <c r="ER193" i="1" s="1"/>
  <c r="DY44" i="1"/>
  <c r="ES193" i="1" s="1"/>
  <c r="DR45" i="1"/>
  <c r="EM194" i="1" s="1"/>
  <c r="DS45" i="1"/>
  <c r="DT45" i="1"/>
  <c r="EO194" i="1" s="1"/>
  <c r="EQ194" i="1" s="1"/>
  <c r="DU45" i="1"/>
  <c r="ET194" i="1" s="1"/>
  <c r="DV45" i="1"/>
  <c r="DW45" i="1"/>
  <c r="ER194" i="1" s="1"/>
  <c r="DY45" i="1"/>
  <c r="ES194" i="1" s="1"/>
  <c r="DR46" i="1"/>
  <c r="EM195" i="1" s="1"/>
  <c r="DS46" i="1"/>
  <c r="DT46" i="1"/>
  <c r="EO195" i="1" s="1"/>
  <c r="EQ195" i="1" s="1"/>
  <c r="DU46" i="1"/>
  <c r="ET195" i="1" s="1"/>
  <c r="DV46" i="1"/>
  <c r="DW46" i="1"/>
  <c r="ER195" i="1" s="1"/>
  <c r="DY46" i="1"/>
  <c r="ES195" i="1" s="1"/>
  <c r="DR47" i="1"/>
  <c r="EM196" i="1" s="1"/>
  <c r="DS47" i="1"/>
  <c r="DT47" i="1"/>
  <c r="EO196" i="1" s="1"/>
  <c r="EQ196" i="1" s="1"/>
  <c r="DU47" i="1"/>
  <c r="ET196" i="1" s="1"/>
  <c r="DV47" i="1"/>
  <c r="DW47" i="1"/>
  <c r="ER196" i="1" s="1"/>
  <c r="DY47" i="1"/>
  <c r="ES196" i="1" s="1"/>
  <c r="DR48" i="1"/>
  <c r="EM197" i="1" s="1"/>
  <c r="DS48" i="1"/>
  <c r="DT48" i="1"/>
  <c r="EO197" i="1" s="1"/>
  <c r="EQ197" i="1" s="1"/>
  <c r="DU48" i="1"/>
  <c r="ET197" i="1" s="1"/>
  <c r="DV48" i="1"/>
  <c r="DW48" i="1"/>
  <c r="ER197" i="1" s="1"/>
  <c r="DY48" i="1"/>
  <c r="ES197" i="1" s="1"/>
  <c r="DR49" i="1"/>
  <c r="EM198" i="1" s="1"/>
  <c r="DS49" i="1"/>
  <c r="DT49" i="1"/>
  <c r="EO198" i="1" s="1"/>
  <c r="EQ198" i="1" s="1"/>
  <c r="DU49" i="1"/>
  <c r="ET198" i="1" s="1"/>
  <c r="DV49" i="1"/>
  <c r="DW49" i="1"/>
  <c r="ER198" i="1" s="1"/>
  <c r="DY49" i="1"/>
  <c r="ES198" i="1" s="1"/>
  <c r="DR50" i="1"/>
  <c r="EM199" i="1" s="1"/>
  <c r="DS50" i="1"/>
  <c r="DT50" i="1"/>
  <c r="EO199" i="1" s="1"/>
  <c r="EQ199" i="1" s="1"/>
  <c r="DU50" i="1"/>
  <c r="ET199" i="1" s="1"/>
  <c r="DV50" i="1"/>
  <c r="DW50" i="1"/>
  <c r="ER199" i="1" s="1"/>
  <c r="DY50" i="1"/>
  <c r="ES199" i="1" s="1"/>
  <c r="DR51" i="1"/>
  <c r="EM200" i="1" s="1"/>
  <c r="DS51" i="1"/>
  <c r="DT51" i="1"/>
  <c r="EO200" i="1" s="1"/>
  <c r="EQ200" i="1" s="1"/>
  <c r="DU51" i="1"/>
  <c r="ET200" i="1" s="1"/>
  <c r="DV51" i="1"/>
  <c r="DW51" i="1"/>
  <c r="ER200" i="1" s="1"/>
  <c r="DY51" i="1"/>
  <c r="ES200" i="1" s="1"/>
  <c r="DR52" i="1"/>
  <c r="EM201" i="1" s="1"/>
  <c r="DS52" i="1"/>
  <c r="DT52" i="1"/>
  <c r="EO201" i="1" s="1"/>
  <c r="EQ201" i="1" s="1"/>
  <c r="DU52" i="1"/>
  <c r="ET201" i="1" s="1"/>
  <c r="DV52" i="1"/>
  <c r="DW52" i="1"/>
  <c r="ER201" i="1" s="1"/>
  <c r="DY52" i="1"/>
  <c r="ES201" i="1" s="1"/>
  <c r="DR53" i="1"/>
  <c r="EM202" i="1" s="1"/>
  <c r="DS53" i="1"/>
  <c r="DT53" i="1"/>
  <c r="EO202" i="1" s="1"/>
  <c r="EQ202" i="1" s="1"/>
  <c r="DU53" i="1"/>
  <c r="ET202" i="1" s="1"/>
  <c r="DV53" i="1"/>
  <c r="DW53" i="1"/>
  <c r="ER202" i="1" s="1"/>
  <c r="DY53" i="1"/>
  <c r="ES202" i="1" s="1"/>
  <c r="DR54" i="1"/>
  <c r="EM203" i="1" s="1"/>
  <c r="DS54" i="1"/>
  <c r="DT54" i="1"/>
  <c r="EO203" i="1" s="1"/>
  <c r="EQ203" i="1" s="1"/>
  <c r="DU54" i="1"/>
  <c r="ET203" i="1" s="1"/>
  <c r="DV54" i="1"/>
  <c r="DW54" i="1"/>
  <c r="ER203" i="1" s="1"/>
  <c r="DY54" i="1"/>
  <c r="ES203" i="1" s="1"/>
  <c r="DR55" i="1"/>
  <c r="EM204" i="1" s="1"/>
  <c r="DS55" i="1"/>
  <c r="DT55" i="1"/>
  <c r="EO204" i="1" s="1"/>
  <c r="EQ204" i="1" s="1"/>
  <c r="DU55" i="1"/>
  <c r="ET204" i="1" s="1"/>
  <c r="DV55" i="1"/>
  <c r="DW55" i="1"/>
  <c r="ER204" i="1" s="1"/>
  <c r="DY55" i="1"/>
  <c r="ES204" i="1" s="1"/>
  <c r="DR56" i="1"/>
  <c r="EM205" i="1" s="1"/>
  <c r="DS56" i="1"/>
  <c r="DT56" i="1"/>
  <c r="EO205" i="1" s="1"/>
  <c r="EQ205" i="1" s="1"/>
  <c r="DU56" i="1"/>
  <c r="ET205" i="1" s="1"/>
  <c r="DV56" i="1"/>
  <c r="DW56" i="1"/>
  <c r="ER205" i="1" s="1"/>
  <c r="DY56" i="1"/>
  <c r="ES205" i="1" s="1"/>
  <c r="DR57" i="1"/>
  <c r="EM206" i="1" s="1"/>
  <c r="DS57" i="1"/>
  <c r="DT57" i="1"/>
  <c r="EO206" i="1" s="1"/>
  <c r="EQ206" i="1" s="1"/>
  <c r="DU57" i="1"/>
  <c r="ET206" i="1" s="1"/>
  <c r="DV57" i="1"/>
  <c r="DW57" i="1"/>
  <c r="ER206" i="1" s="1"/>
  <c r="DY57" i="1"/>
  <c r="ES206" i="1" s="1"/>
  <c r="DR58" i="1"/>
  <c r="EM207" i="1" s="1"/>
  <c r="DS58" i="1"/>
  <c r="DT58" i="1"/>
  <c r="EO207" i="1" s="1"/>
  <c r="EQ207" i="1" s="1"/>
  <c r="DU58" i="1"/>
  <c r="ET207" i="1" s="1"/>
  <c r="DV58" i="1"/>
  <c r="DW58" i="1"/>
  <c r="ER207" i="1" s="1"/>
  <c r="DY58" i="1"/>
  <c r="ES207" i="1" s="1"/>
  <c r="DR59" i="1"/>
  <c r="EM208" i="1" s="1"/>
  <c r="DS59" i="1"/>
  <c r="DT59" i="1"/>
  <c r="EO208" i="1" s="1"/>
  <c r="EQ208" i="1" s="1"/>
  <c r="DU59" i="1"/>
  <c r="ET208" i="1" s="1"/>
  <c r="DV59" i="1"/>
  <c r="DW59" i="1"/>
  <c r="ER208" i="1" s="1"/>
  <c r="DY59" i="1"/>
  <c r="ES208" i="1" s="1"/>
  <c r="DR60" i="1"/>
  <c r="EM209" i="1" s="1"/>
  <c r="DS60" i="1"/>
  <c r="DT60" i="1"/>
  <c r="EO209" i="1" s="1"/>
  <c r="EQ209" i="1" s="1"/>
  <c r="DU60" i="1"/>
  <c r="ET209" i="1" s="1"/>
  <c r="DV60" i="1"/>
  <c r="DW60" i="1"/>
  <c r="ER209" i="1" s="1"/>
  <c r="DY60" i="1"/>
  <c r="ES209" i="1" s="1"/>
  <c r="EP206" i="1" l="1"/>
  <c r="EP202" i="1"/>
  <c r="EP178" i="1"/>
  <c r="EP207" i="1"/>
  <c r="EP203" i="1"/>
  <c r="EP199" i="1"/>
  <c r="EP195" i="1"/>
  <c r="EP191" i="1"/>
  <c r="EP187" i="1"/>
  <c r="EP183" i="1"/>
  <c r="EP179" i="1"/>
  <c r="EP175" i="1"/>
  <c r="EP171" i="1"/>
  <c r="EP167" i="1"/>
  <c r="EP163" i="1"/>
  <c r="EP194" i="1"/>
  <c r="EP186" i="1"/>
  <c r="EP182" i="1"/>
  <c r="EP174" i="1"/>
  <c r="EP170" i="1"/>
  <c r="EP166" i="1"/>
  <c r="EP208" i="1"/>
  <c r="EP204" i="1"/>
  <c r="EP200" i="1"/>
  <c r="EP196" i="1"/>
  <c r="EP192" i="1"/>
  <c r="EP188" i="1"/>
  <c r="EP184" i="1"/>
  <c r="EP180" i="1"/>
  <c r="EP176" i="1"/>
  <c r="EP172" i="1"/>
  <c r="EP168" i="1"/>
  <c r="EP164" i="1"/>
  <c r="EP198" i="1"/>
  <c r="EP190" i="1"/>
  <c r="EP162" i="1"/>
  <c r="EP209" i="1"/>
  <c r="EP205" i="1"/>
  <c r="EP201" i="1"/>
  <c r="EP197" i="1"/>
  <c r="EP193" i="1"/>
  <c r="EP189" i="1"/>
  <c r="EP185" i="1"/>
  <c r="EP181" i="1"/>
  <c r="EP177" i="1"/>
  <c r="EP173" i="1"/>
  <c r="EP169" i="1"/>
  <c r="EP165" i="1"/>
  <c r="EP161" i="1"/>
  <c r="DX58" i="1"/>
  <c r="EN207" i="1"/>
  <c r="DX54" i="1"/>
  <c r="EN203" i="1"/>
  <c r="DX50" i="1"/>
  <c r="EN199" i="1"/>
  <c r="DX46" i="1"/>
  <c r="EN195" i="1"/>
  <c r="DX42" i="1"/>
  <c r="EN191" i="1"/>
  <c r="DX38" i="1"/>
  <c r="EN187" i="1"/>
  <c r="DX34" i="1"/>
  <c r="EN183" i="1"/>
  <c r="DX30" i="1"/>
  <c r="EN179" i="1"/>
  <c r="DX26" i="1"/>
  <c r="EN175" i="1"/>
  <c r="DX22" i="1"/>
  <c r="EN171" i="1"/>
  <c r="DX18" i="1"/>
  <c r="EN167" i="1"/>
  <c r="DX14" i="1"/>
  <c r="EN163" i="1"/>
  <c r="DX59" i="1"/>
  <c r="EN208" i="1"/>
  <c r="DX47" i="1"/>
  <c r="EN196" i="1"/>
  <c r="DX39" i="1"/>
  <c r="EN188" i="1"/>
  <c r="DX31" i="1"/>
  <c r="EN180" i="1"/>
  <c r="DX27" i="1"/>
  <c r="EN176" i="1"/>
  <c r="DX19" i="1"/>
  <c r="EN168" i="1"/>
  <c r="DX60" i="1"/>
  <c r="EN209" i="1"/>
  <c r="DX56" i="1"/>
  <c r="EN205" i="1"/>
  <c r="DX52" i="1"/>
  <c r="EN201" i="1"/>
  <c r="DX48" i="1"/>
  <c r="EN197" i="1"/>
  <c r="DX44" i="1"/>
  <c r="EN193" i="1"/>
  <c r="DX40" i="1"/>
  <c r="EN189" i="1"/>
  <c r="DX36" i="1"/>
  <c r="EN185" i="1"/>
  <c r="DX32" i="1"/>
  <c r="EN181" i="1"/>
  <c r="DX28" i="1"/>
  <c r="EN177" i="1"/>
  <c r="DX24" i="1"/>
  <c r="EN173" i="1"/>
  <c r="DX20" i="1"/>
  <c r="EN169" i="1"/>
  <c r="DX16" i="1"/>
  <c r="EN165" i="1"/>
  <c r="DX55" i="1"/>
  <c r="EN204" i="1"/>
  <c r="DX51" i="1"/>
  <c r="EN200" i="1"/>
  <c r="DX43" i="1"/>
  <c r="EN192" i="1"/>
  <c r="DX35" i="1"/>
  <c r="EN184" i="1"/>
  <c r="DX23" i="1"/>
  <c r="EN172" i="1"/>
  <c r="DX15" i="1"/>
  <c r="EN164" i="1"/>
  <c r="DX57" i="1"/>
  <c r="EN206" i="1"/>
  <c r="DX53" i="1"/>
  <c r="EN202" i="1"/>
  <c r="DX49" i="1"/>
  <c r="EN198" i="1"/>
  <c r="DX45" i="1"/>
  <c r="EN194" i="1"/>
  <c r="DX41" i="1"/>
  <c r="EN190" i="1"/>
  <c r="DX37" i="1"/>
  <c r="EN186" i="1"/>
  <c r="DX33" i="1"/>
  <c r="EN182" i="1"/>
  <c r="DX29" i="1"/>
  <c r="EN178" i="1"/>
  <c r="DX25" i="1"/>
  <c r="EN174" i="1"/>
  <c r="DX21" i="1"/>
  <c r="EN170" i="1"/>
  <c r="DX17" i="1"/>
  <c r="EN166" i="1"/>
  <c r="AI41" i="1"/>
  <c r="AI40" i="1"/>
  <c r="AI37" i="1"/>
  <c r="AI36" i="1"/>
  <c r="B105" i="1" l="1"/>
  <c r="B104" i="1" l="1"/>
  <c r="B108" i="1" l="1"/>
  <c r="EC24" i="1"/>
  <c r="DW11" i="1" l="1"/>
  <c r="BE8" i="1" l="1"/>
  <c r="BE9" i="1"/>
  <c r="BE10" i="1"/>
  <c r="BE11" i="1"/>
  <c r="BE12" i="1"/>
  <c r="BE13" i="1"/>
  <c r="BE14" i="1"/>
  <c r="BE15" i="1"/>
  <c r="BE16" i="1"/>
  <c r="BE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69"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BE96" i="1"/>
  <c r="BE97" i="1"/>
  <c r="BE98" i="1"/>
  <c r="BE99" i="1"/>
  <c r="BE100" i="1"/>
  <c r="BE101" i="1"/>
  <c r="BE102" i="1"/>
  <c r="BE103" i="1"/>
  <c r="BE104" i="1"/>
  <c r="BE105" i="1"/>
  <c r="BE106" i="1"/>
  <c r="BE107" i="1"/>
  <c r="BE108" i="1"/>
  <c r="BE109" i="1"/>
  <c r="BE110" i="1"/>
  <c r="BE111" i="1"/>
  <c r="BE112" i="1"/>
  <c r="BE113" i="1"/>
  <c r="BE114" i="1"/>
  <c r="BE115" i="1"/>
  <c r="BE116" i="1"/>
  <c r="BE117" i="1"/>
  <c r="BE118" i="1"/>
  <c r="BE119" i="1"/>
  <c r="BE120" i="1"/>
  <c r="BE121" i="1"/>
  <c r="BE122" i="1"/>
  <c r="BE123" i="1"/>
  <c r="BE124" i="1"/>
  <c r="BE125" i="1"/>
  <c r="BE126" i="1"/>
  <c r="BE127" i="1"/>
  <c r="BE128" i="1"/>
  <c r="BE129" i="1"/>
  <c r="BE131" i="1"/>
  <c r="BE135" i="1"/>
  <c r="BE139" i="1"/>
  <c r="BE143" i="1"/>
  <c r="BE134" i="1"/>
  <c r="BE138" i="1"/>
  <c r="BE142" i="1"/>
  <c r="BE130" i="1"/>
  <c r="BE133" i="1"/>
  <c r="BE137" i="1"/>
  <c r="BE141" i="1"/>
  <c r="BE145"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40" i="1"/>
  <c r="BE202" i="1"/>
  <c r="BE206" i="1"/>
  <c r="BE210" i="1"/>
  <c r="BE214" i="1"/>
  <c r="BE218" i="1"/>
  <c r="BE222" i="1"/>
  <c r="BE226" i="1"/>
  <c r="BE230" i="1"/>
  <c r="BE234" i="1"/>
  <c r="BE238" i="1"/>
  <c r="BE242" i="1"/>
  <c r="BE246" i="1"/>
  <c r="BE250" i="1"/>
  <c r="BE254" i="1"/>
  <c r="BE258" i="1"/>
  <c r="BE262" i="1"/>
  <c r="BE266" i="1"/>
  <c r="BE270" i="1"/>
  <c r="BE271" i="1"/>
  <c r="BE272" i="1"/>
  <c r="BE273" i="1"/>
  <c r="BE274" i="1"/>
  <c r="BE275" i="1"/>
  <c r="BE276" i="1"/>
  <c r="BE277" i="1"/>
  <c r="BE278" i="1"/>
  <c r="BE279" i="1"/>
  <c r="BE280" i="1"/>
  <c r="BE281" i="1"/>
  <c r="BE282" i="1"/>
  <c r="BE283" i="1"/>
  <c r="BE284" i="1"/>
  <c r="BE285" i="1"/>
  <c r="BE286" i="1"/>
  <c r="BE287" i="1"/>
  <c r="BE288" i="1"/>
  <c r="BE289" i="1"/>
  <c r="BE290" i="1"/>
  <c r="BE291" i="1"/>
  <c r="BE292" i="1"/>
  <c r="BE293" i="1"/>
  <c r="BE294" i="1"/>
  <c r="BE295" i="1"/>
  <c r="BE296" i="1"/>
  <c r="BE297" i="1"/>
  <c r="BE298" i="1"/>
  <c r="BE299" i="1"/>
  <c r="BE300" i="1"/>
  <c r="BE301" i="1"/>
  <c r="BE302" i="1"/>
  <c r="BE303" i="1"/>
  <c r="BE304" i="1"/>
  <c r="BE305" i="1"/>
  <c r="BE306" i="1"/>
  <c r="BE307" i="1"/>
  <c r="BE308" i="1"/>
  <c r="BE309" i="1"/>
  <c r="BE310" i="1"/>
  <c r="BE311" i="1"/>
  <c r="BE312" i="1"/>
  <c r="BE313" i="1"/>
  <c r="BE314" i="1"/>
  <c r="BE315" i="1"/>
  <c r="BE316" i="1"/>
  <c r="BE317" i="1"/>
  <c r="BE318" i="1"/>
  <c r="BE136" i="1"/>
  <c r="BE197" i="1"/>
  <c r="BE199" i="1"/>
  <c r="BE201" i="1"/>
  <c r="BE205" i="1"/>
  <c r="BE209" i="1"/>
  <c r="BE213" i="1"/>
  <c r="BE217" i="1"/>
  <c r="BE221" i="1"/>
  <c r="BE225" i="1"/>
  <c r="BE229" i="1"/>
  <c r="BE233" i="1"/>
  <c r="BE237" i="1"/>
  <c r="BE241" i="1"/>
  <c r="BE245" i="1"/>
  <c r="BE249" i="1"/>
  <c r="BE253" i="1"/>
  <c r="BE257" i="1"/>
  <c r="BE261" i="1"/>
  <c r="BE265" i="1"/>
  <c r="BE269" i="1"/>
  <c r="BE132" i="1"/>
  <c r="BE204" i="1"/>
  <c r="BE208" i="1"/>
  <c r="BE212" i="1"/>
  <c r="BE216" i="1"/>
  <c r="BE220" i="1"/>
  <c r="BE224" i="1"/>
  <c r="BE228" i="1"/>
  <c r="BE232" i="1"/>
  <c r="BE236" i="1"/>
  <c r="BE240" i="1"/>
  <c r="BE244" i="1"/>
  <c r="BE248" i="1"/>
  <c r="BE252" i="1"/>
  <c r="BE256" i="1"/>
  <c r="BE260" i="1"/>
  <c r="BE264" i="1"/>
  <c r="BE268" i="1"/>
  <c r="BE198" i="1"/>
  <c r="BE215" i="1"/>
  <c r="BE231" i="1"/>
  <c r="BE247" i="1"/>
  <c r="BE263" i="1"/>
  <c r="BE321" i="1"/>
  <c r="BE325" i="1"/>
  <c r="BE329" i="1"/>
  <c r="BE333" i="1"/>
  <c r="BE337" i="1"/>
  <c r="BE341" i="1"/>
  <c r="BE345" i="1"/>
  <c r="BE349" i="1"/>
  <c r="BE353" i="1"/>
  <c r="BE357" i="1"/>
  <c r="BE361" i="1"/>
  <c r="BE365" i="1"/>
  <c r="BE200" i="1"/>
  <c r="BE211" i="1"/>
  <c r="BE227" i="1"/>
  <c r="BE243" i="1"/>
  <c r="BE259" i="1"/>
  <c r="BE320" i="1"/>
  <c r="BE324" i="1"/>
  <c r="BE328" i="1"/>
  <c r="BE332" i="1"/>
  <c r="BE336" i="1"/>
  <c r="BE340" i="1"/>
  <c r="BE344" i="1"/>
  <c r="BE348" i="1"/>
  <c r="BE352" i="1"/>
  <c r="BE356" i="1"/>
  <c r="BE360" i="1"/>
  <c r="BE364" i="1"/>
  <c r="BE144" i="1"/>
  <c r="BE207" i="1"/>
  <c r="BE223" i="1"/>
  <c r="BE239" i="1"/>
  <c r="BE255" i="1"/>
  <c r="BE319" i="1"/>
  <c r="BE323" i="1"/>
  <c r="BE327" i="1"/>
  <c r="BE331" i="1"/>
  <c r="BE335" i="1"/>
  <c r="BE339" i="1"/>
  <c r="BE343" i="1"/>
  <c r="BE347" i="1"/>
  <c r="BE351" i="1"/>
  <c r="BE355" i="1"/>
  <c r="BE359" i="1"/>
  <c r="BE363" i="1"/>
  <c r="BE196" i="1"/>
  <c r="BE219" i="1"/>
  <c r="BE322" i="1"/>
  <c r="BE338" i="1"/>
  <c r="BE354" i="1"/>
  <c r="BE369" i="1"/>
  <c r="BE373" i="1"/>
  <c r="BE377" i="1"/>
  <c r="BE381" i="1"/>
  <c r="BE385" i="1"/>
  <c r="BE389" i="1"/>
  <c r="BE393" i="1"/>
  <c r="BE395" i="1"/>
  <c r="BE397" i="1"/>
  <c r="BE399" i="1"/>
  <c r="BE401" i="1"/>
  <c r="BE403" i="1"/>
  <c r="BE405" i="1"/>
  <c r="BE409" i="1"/>
  <c r="BE413" i="1"/>
  <c r="BE417" i="1"/>
  <c r="BE421" i="1"/>
  <c r="BE425" i="1"/>
  <c r="BE429" i="1"/>
  <c r="BE433" i="1"/>
  <c r="BE437" i="1"/>
  <c r="BE441" i="1"/>
  <c r="BE445" i="1"/>
  <c r="BE449" i="1"/>
  <c r="BE453" i="1"/>
  <c r="BE457" i="1"/>
  <c r="BE461" i="1"/>
  <c r="BE465" i="1"/>
  <c r="BE203" i="1"/>
  <c r="BE267" i="1"/>
  <c r="BE334" i="1"/>
  <c r="BE350" i="1"/>
  <c r="BE366" i="1"/>
  <c r="BE370" i="1"/>
  <c r="BE374" i="1"/>
  <c r="BE378" i="1"/>
  <c r="BE382" i="1"/>
  <c r="BE386" i="1"/>
  <c r="BE390" i="1"/>
  <c r="BE408" i="1"/>
  <c r="BE412" i="1"/>
  <c r="BE416" i="1"/>
  <c r="BE420" i="1"/>
  <c r="BE424" i="1"/>
  <c r="BE428" i="1"/>
  <c r="BE432" i="1"/>
  <c r="BE436" i="1"/>
  <c r="BE440" i="1"/>
  <c r="BE444" i="1"/>
  <c r="BE448" i="1"/>
  <c r="BE452" i="1"/>
  <c r="BE456" i="1"/>
  <c r="BE460" i="1"/>
  <c r="BE464" i="1"/>
  <c r="BE251" i="1"/>
  <c r="BE330" i="1"/>
  <c r="BE346" i="1"/>
  <c r="BE362" i="1"/>
  <c r="BE367" i="1"/>
  <c r="BE371" i="1"/>
  <c r="BE375" i="1"/>
  <c r="BE379" i="1"/>
  <c r="BE383" i="1"/>
  <c r="BE387" i="1"/>
  <c r="BE391" i="1"/>
  <c r="BE394" i="1"/>
  <c r="BE396" i="1"/>
  <c r="BE398" i="1"/>
  <c r="BE400" i="1"/>
  <c r="BE402" i="1"/>
  <c r="BE404" i="1"/>
  <c r="BE407" i="1"/>
  <c r="BE411" i="1"/>
  <c r="BE415" i="1"/>
  <c r="BE419" i="1"/>
  <c r="BE423" i="1"/>
  <c r="BE427" i="1"/>
  <c r="BE431" i="1"/>
  <c r="BE435" i="1"/>
  <c r="BE439" i="1"/>
  <c r="BE443" i="1"/>
  <c r="BE447" i="1"/>
  <c r="BE451" i="1"/>
  <c r="BE455" i="1"/>
  <c r="BE459" i="1"/>
  <c r="BE463" i="1"/>
  <c r="BE342" i="1"/>
  <c r="BE380" i="1"/>
  <c r="BE414" i="1"/>
  <c r="BE430" i="1"/>
  <c r="BE446" i="1"/>
  <c r="BE462" i="1"/>
  <c r="BE467" i="1"/>
  <c r="BE471" i="1"/>
  <c r="BE475" i="1"/>
  <c r="BE479" i="1"/>
  <c r="BE483" i="1"/>
  <c r="BE487" i="1"/>
  <c r="BE491" i="1"/>
  <c r="BE495" i="1"/>
  <c r="BE499" i="1"/>
  <c r="BE503" i="1"/>
  <c r="BE507" i="1"/>
  <c r="BE511" i="1"/>
  <c r="BE515" i="1"/>
  <c r="BE519" i="1"/>
  <c r="BE523" i="1"/>
  <c r="BE527" i="1"/>
  <c r="BE531" i="1"/>
  <c r="BE535" i="1"/>
  <c r="BE583" i="1"/>
  <c r="BE587" i="1"/>
  <c r="BE591" i="1"/>
  <c r="BE595" i="1"/>
  <c r="BE599" i="1"/>
  <c r="BE603" i="1"/>
  <c r="BE607" i="1"/>
  <c r="BE611" i="1"/>
  <c r="BE615" i="1"/>
  <c r="BE619" i="1"/>
  <c r="BE623" i="1"/>
  <c r="BE627" i="1"/>
  <c r="BE631" i="1"/>
  <c r="BE635" i="1"/>
  <c r="BE639" i="1"/>
  <c r="BE643" i="1"/>
  <c r="BE647" i="1"/>
  <c r="BE651" i="1"/>
  <c r="BE655" i="1"/>
  <c r="BE659" i="1"/>
  <c r="BE663" i="1"/>
  <c r="BE667" i="1"/>
  <c r="BE671" i="1"/>
  <c r="BE675" i="1"/>
  <c r="BE679" i="1"/>
  <c r="BE683" i="1"/>
  <c r="BE687" i="1"/>
  <c r="BE691" i="1"/>
  <c r="BE695" i="1"/>
  <c r="BE699" i="1"/>
  <c r="BE703" i="1"/>
  <c r="BE707" i="1"/>
  <c r="BE711" i="1"/>
  <c r="BE715" i="1"/>
  <c r="BE719" i="1"/>
  <c r="BE723" i="1"/>
  <c r="BE727" i="1"/>
  <c r="BE326" i="1"/>
  <c r="BE368" i="1"/>
  <c r="BE384" i="1"/>
  <c r="BE410" i="1"/>
  <c r="BE426" i="1"/>
  <c r="BE442" i="1"/>
  <c r="BE458" i="1"/>
  <c r="BE468" i="1"/>
  <c r="BE472" i="1"/>
  <c r="BE476" i="1"/>
  <c r="BE480" i="1"/>
  <c r="BE484" i="1"/>
  <c r="BE488" i="1"/>
  <c r="BE492" i="1"/>
  <c r="BE496" i="1"/>
  <c r="BE500" i="1"/>
  <c r="BE504" i="1"/>
  <c r="BE508" i="1"/>
  <c r="BE512" i="1"/>
  <c r="BE516" i="1"/>
  <c r="BE520" i="1"/>
  <c r="BE524" i="1"/>
  <c r="BE528" i="1"/>
  <c r="BE532" i="1"/>
  <c r="BE536" i="1"/>
  <c r="BE539" i="1"/>
  <c r="BE541" i="1"/>
  <c r="BE543" i="1"/>
  <c r="BE545" i="1"/>
  <c r="BE547" i="1"/>
  <c r="BE549" i="1"/>
  <c r="BE551" i="1"/>
  <c r="BE553" i="1"/>
  <c r="BE555" i="1"/>
  <c r="BE557" i="1"/>
  <c r="BE559" i="1"/>
  <c r="BE561" i="1"/>
  <c r="BE563" i="1"/>
  <c r="BE565" i="1"/>
  <c r="BE567" i="1"/>
  <c r="BE569" i="1"/>
  <c r="BE571" i="1"/>
  <c r="BE573" i="1"/>
  <c r="BE575" i="1"/>
  <c r="BE577" i="1"/>
  <c r="BE579" i="1"/>
  <c r="BE582" i="1"/>
  <c r="BE586" i="1"/>
  <c r="BE590" i="1"/>
  <c r="BE594" i="1"/>
  <c r="BE598" i="1"/>
  <c r="BE602" i="1"/>
  <c r="BE606" i="1"/>
  <c r="BE610" i="1"/>
  <c r="BE614" i="1"/>
  <c r="BE618" i="1"/>
  <c r="BE622" i="1"/>
  <c r="BE626" i="1"/>
  <c r="BE630" i="1"/>
  <c r="BE634" i="1"/>
  <c r="BE638" i="1"/>
  <c r="BE642" i="1"/>
  <c r="BE646" i="1"/>
  <c r="BE650" i="1"/>
  <c r="BE654" i="1"/>
  <c r="BE658" i="1"/>
  <c r="BE662" i="1"/>
  <c r="BE666" i="1"/>
  <c r="BE670" i="1"/>
  <c r="BE674" i="1"/>
  <c r="BE678" i="1"/>
  <c r="BE682" i="1"/>
  <c r="BE686" i="1"/>
  <c r="BE690" i="1"/>
  <c r="BE694" i="1"/>
  <c r="BE698" i="1"/>
  <c r="BE702" i="1"/>
  <c r="BE706" i="1"/>
  <c r="BE710" i="1"/>
  <c r="BE714" i="1"/>
  <c r="BE718" i="1"/>
  <c r="BE722" i="1"/>
  <c r="BE726" i="1"/>
  <c r="BE235" i="1"/>
  <c r="BE372" i="1"/>
  <c r="BE388" i="1"/>
  <c r="BE406" i="1"/>
  <c r="BE422" i="1"/>
  <c r="BE438" i="1"/>
  <c r="BE454" i="1"/>
  <c r="BE469" i="1"/>
  <c r="BE473" i="1"/>
  <c r="BE477" i="1"/>
  <c r="BE481" i="1"/>
  <c r="BE485" i="1"/>
  <c r="BE489" i="1"/>
  <c r="BE493" i="1"/>
  <c r="BE497" i="1"/>
  <c r="BE501" i="1"/>
  <c r="BE505" i="1"/>
  <c r="BE509" i="1"/>
  <c r="BE513" i="1"/>
  <c r="BE517" i="1"/>
  <c r="BE521" i="1"/>
  <c r="BE525" i="1"/>
  <c r="BE529" i="1"/>
  <c r="BE533" i="1"/>
  <c r="BE537" i="1"/>
  <c r="BE581" i="1"/>
  <c r="BE585" i="1"/>
  <c r="BE589" i="1"/>
  <c r="BE593" i="1"/>
  <c r="BE597" i="1"/>
  <c r="BE601" i="1"/>
  <c r="BE605" i="1"/>
  <c r="BE609" i="1"/>
  <c r="BE613" i="1"/>
  <c r="BE617" i="1"/>
  <c r="BE621" i="1"/>
  <c r="BE625" i="1"/>
  <c r="BE629" i="1"/>
  <c r="BE633" i="1"/>
  <c r="BE637" i="1"/>
  <c r="BE641" i="1"/>
  <c r="BE645" i="1"/>
  <c r="BE649" i="1"/>
  <c r="BE653" i="1"/>
  <c r="BE657" i="1"/>
  <c r="BE661" i="1"/>
  <c r="BE665" i="1"/>
  <c r="BE669" i="1"/>
  <c r="BE673" i="1"/>
  <c r="BE677" i="1"/>
  <c r="BE681" i="1"/>
  <c r="BE685" i="1"/>
  <c r="BE689" i="1"/>
  <c r="BE693" i="1"/>
  <c r="BE697" i="1"/>
  <c r="BE701" i="1"/>
  <c r="BE705" i="1"/>
  <c r="BE709" i="1"/>
  <c r="BE713" i="1"/>
  <c r="BE717" i="1"/>
  <c r="BE721" i="1"/>
  <c r="BE725" i="1"/>
  <c r="BE376" i="1"/>
  <c r="BE434" i="1"/>
  <c r="BE474" i="1"/>
  <c r="BE490" i="1"/>
  <c r="BE506" i="1"/>
  <c r="BE522" i="1"/>
  <c r="BE538" i="1"/>
  <c r="BE546" i="1"/>
  <c r="BE554" i="1"/>
  <c r="BE562" i="1"/>
  <c r="BE570" i="1"/>
  <c r="BE578" i="1"/>
  <c r="BE584" i="1"/>
  <c r="BE600" i="1"/>
  <c r="BE616" i="1"/>
  <c r="BE632" i="1"/>
  <c r="BE648" i="1"/>
  <c r="BE664" i="1"/>
  <c r="BE680" i="1"/>
  <c r="BE696" i="1"/>
  <c r="BE712" i="1"/>
  <c r="BE728" i="1"/>
  <c r="BE730" i="1"/>
  <c r="BE392" i="1"/>
  <c r="BE418" i="1"/>
  <c r="BE478" i="1"/>
  <c r="BE494" i="1"/>
  <c r="BE510" i="1"/>
  <c r="BE526" i="1"/>
  <c r="BE540" i="1"/>
  <c r="BE548" i="1"/>
  <c r="BE556" i="1"/>
  <c r="BE564" i="1"/>
  <c r="BE572" i="1"/>
  <c r="BE580" i="1"/>
  <c r="BE596" i="1"/>
  <c r="BE612" i="1"/>
  <c r="BE628" i="1"/>
  <c r="BE644" i="1"/>
  <c r="BE660" i="1"/>
  <c r="BE676" i="1"/>
  <c r="BE692" i="1"/>
  <c r="BE708" i="1"/>
  <c r="BE724" i="1"/>
  <c r="BE729" i="1"/>
  <c r="BE466" i="1"/>
  <c r="BE482" i="1"/>
  <c r="BE498" i="1"/>
  <c r="BE514" i="1"/>
  <c r="BE530" i="1"/>
  <c r="BE542" i="1"/>
  <c r="BE550" i="1"/>
  <c r="BE558" i="1"/>
  <c r="BE566" i="1"/>
  <c r="BE574" i="1"/>
  <c r="BE592" i="1"/>
  <c r="BE608" i="1"/>
  <c r="BE624" i="1"/>
  <c r="BE640" i="1"/>
  <c r="BE656" i="1"/>
  <c r="BE672" i="1"/>
  <c r="BE688" i="1"/>
  <c r="BE704" i="1"/>
  <c r="BE720" i="1"/>
  <c r="BE358" i="1"/>
  <c r="BE470" i="1"/>
  <c r="BE534" i="1"/>
  <c r="BE568" i="1"/>
  <c r="BE636" i="1"/>
  <c r="BE700" i="1"/>
  <c r="BE732" i="1"/>
  <c r="BE736" i="1"/>
  <c r="BE740" i="1"/>
  <c r="BE744" i="1"/>
  <c r="BE748" i="1"/>
  <c r="BE752" i="1"/>
  <c r="BE756" i="1"/>
  <c r="BE760" i="1"/>
  <c r="BE764" i="1"/>
  <c r="BE768" i="1"/>
  <c r="BE772" i="1"/>
  <c r="BE776" i="1"/>
  <c r="BE780" i="1"/>
  <c r="BE784" i="1"/>
  <c r="BE788" i="1"/>
  <c r="BE792" i="1"/>
  <c r="BE796" i="1"/>
  <c r="BE800" i="1"/>
  <c r="BE804" i="1"/>
  <c r="BE808" i="1"/>
  <c r="BE812" i="1"/>
  <c r="BE816" i="1"/>
  <c r="BE820" i="1"/>
  <c r="BE824" i="1"/>
  <c r="BE828" i="1"/>
  <c r="BE832" i="1"/>
  <c r="BE836" i="1"/>
  <c r="BE840" i="1"/>
  <c r="BE844" i="1"/>
  <c r="BE848" i="1"/>
  <c r="BE852" i="1"/>
  <c r="BE856" i="1"/>
  <c r="BE860" i="1"/>
  <c r="BE864" i="1"/>
  <c r="BE868" i="1"/>
  <c r="BE872" i="1"/>
  <c r="BE876" i="1"/>
  <c r="BE880" i="1"/>
  <c r="BE884" i="1"/>
  <c r="BE888" i="1"/>
  <c r="BE892" i="1"/>
  <c r="BE896" i="1"/>
  <c r="BE900" i="1"/>
  <c r="BE904" i="1"/>
  <c r="BE908" i="1"/>
  <c r="BE912" i="1"/>
  <c r="BE916" i="1"/>
  <c r="BE920" i="1"/>
  <c r="BE924" i="1"/>
  <c r="BE926" i="1"/>
  <c r="BE928" i="1"/>
  <c r="BE930" i="1"/>
  <c r="BE932" i="1"/>
  <c r="BE934" i="1"/>
  <c r="BE936" i="1"/>
  <c r="BE938" i="1"/>
  <c r="BE940" i="1"/>
  <c r="BE942" i="1"/>
  <c r="BE944" i="1"/>
  <c r="BE946" i="1"/>
  <c r="BE948" i="1"/>
  <c r="BE950" i="1"/>
  <c r="BE952" i="1"/>
  <c r="BE954" i="1"/>
  <c r="BE956" i="1"/>
  <c r="BE958" i="1"/>
  <c r="BE960" i="1"/>
  <c r="BE962" i="1"/>
  <c r="BE964" i="1"/>
  <c r="BE966" i="1"/>
  <c r="BE968" i="1"/>
  <c r="BE970" i="1"/>
  <c r="BE972" i="1"/>
  <c r="BE974" i="1"/>
  <c r="BE976" i="1"/>
  <c r="BE978" i="1"/>
  <c r="BE980" i="1"/>
  <c r="BE982" i="1"/>
  <c r="BE984" i="1"/>
  <c r="BE986" i="1"/>
  <c r="BE988" i="1"/>
  <c r="BE990" i="1"/>
  <c r="BE992" i="1"/>
  <c r="BE994" i="1"/>
  <c r="BE996" i="1"/>
  <c r="BE998" i="1"/>
  <c r="BE1000" i="1"/>
  <c r="BE1002" i="1"/>
  <c r="BE1004" i="1"/>
  <c r="BE1006" i="1"/>
  <c r="BE1008" i="1"/>
  <c r="BE1010" i="1"/>
  <c r="BE1012" i="1"/>
  <c r="BE1014" i="1"/>
  <c r="BE1016" i="1"/>
  <c r="BE1018" i="1"/>
  <c r="BE1020" i="1"/>
  <c r="BE1022" i="1"/>
  <c r="BE1024" i="1"/>
  <c r="BE1026" i="1"/>
  <c r="BE1028" i="1"/>
  <c r="BE1032" i="1"/>
  <c r="BE1036" i="1"/>
  <c r="BE1040" i="1"/>
  <c r="BE1044" i="1"/>
  <c r="BE1048" i="1"/>
  <c r="BE1052" i="1"/>
  <c r="BE1056" i="1"/>
  <c r="BE1060" i="1"/>
  <c r="BE1064" i="1"/>
  <c r="BE1068" i="1"/>
  <c r="BE1072" i="1"/>
  <c r="BE1076" i="1"/>
  <c r="BE1080" i="1"/>
  <c r="BE1084" i="1"/>
  <c r="BE1088" i="1"/>
  <c r="BE1092" i="1"/>
  <c r="BE1096" i="1"/>
  <c r="BE1100" i="1"/>
  <c r="BE1104" i="1"/>
  <c r="BE1108" i="1"/>
  <c r="BE1112" i="1"/>
  <c r="BE1116" i="1"/>
  <c r="BE1120" i="1"/>
  <c r="BE1124" i="1"/>
  <c r="BE1128" i="1"/>
  <c r="BE1132" i="1"/>
  <c r="BE1136" i="1"/>
  <c r="BE1140" i="1"/>
  <c r="BE1144" i="1"/>
  <c r="BE1148" i="1"/>
  <c r="BE1152" i="1"/>
  <c r="BE1156" i="1"/>
  <c r="BE1160" i="1"/>
  <c r="BE1164" i="1"/>
  <c r="BE1168" i="1"/>
  <c r="BE1172" i="1"/>
  <c r="BE1176" i="1"/>
  <c r="BE1180" i="1"/>
  <c r="BE1184" i="1"/>
  <c r="BE1188" i="1"/>
  <c r="BE1192" i="1"/>
  <c r="BE1196" i="1"/>
  <c r="BE1200" i="1"/>
  <c r="BE1204" i="1"/>
  <c r="BE1208" i="1"/>
  <c r="BE1212" i="1"/>
  <c r="BE1216" i="1"/>
  <c r="BE518" i="1"/>
  <c r="BE735" i="1"/>
  <c r="BE747" i="1"/>
  <c r="BE759" i="1"/>
  <c r="BE771" i="1"/>
  <c r="BE787" i="1"/>
  <c r="BE803" i="1"/>
  <c r="BE815" i="1"/>
  <c r="BE827" i="1"/>
  <c r="BE839" i="1"/>
  <c r="BE851" i="1"/>
  <c r="BE863" i="1"/>
  <c r="BE875" i="1"/>
  <c r="BE887" i="1"/>
  <c r="BE899" i="1"/>
  <c r="BE911" i="1"/>
  <c r="BE923" i="1"/>
  <c r="BE1029" i="1"/>
  <c r="BE1041" i="1"/>
  <c r="BE1045" i="1"/>
  <c r="BE1049" i="1"/>
  <c r="BE1069" i="1"/>
  <c r="BE1085" i="1"/>
  <c r="BE1089" i="1"/>
  <c r="BE1101" i="1"/>
  <c r="BE1105" i="1"/>
  <c r="BE1109" i="1"/>
  <c r="BE1121" i="1"/>
  <c r="BE1141" i="1"/>
  <c r="BE1201" i="1"/>
  <c r="BE1213" i="1"/>
  <c r="BE1217" i="1"/>
  <c r="BE486" i="1"/>
  <c r="BE544" i="1"/>
  <c r="BE576" i="1"/>
  <c r="BE620" i="1"/>
  <c r="BE684" i="1"/>
  <c r="BE733" i="1"/>
  <c r="BE737" i="1"/>
  <c r="BE741" i="1"/>
  <c r="BE745" i="1"/>
  <c r="BE749" i="1"/>
  <c r="BE753" i="1"/>
  <c r="BE757" i="1"/>
  <c r="BE761" i="1"/>
  <c r="BE765" i="1"/>
  <c r="BE769" i="1"/>
  <c r="BE773" i="1"/>
  <c r="BE777" i="1"/>
  <c r="BE781" i="1"/>
  <c r="BE785" i="1"/>
  <c r="BE789" i="1"/>
  <c r="BE793" i="1"/>
  <c r="BE797" i="1"/>
  <c r="BE801" i="1"/>
  <c r="BE805" i="1"/>
  <c r="BE809" i="1"/>
  <c r="BE813" i="1"/>
  <c r="BE817" i="1"/>
  <c r="BE821" i="1"/>
  <c r="BE825" i="1"/>
  <c r="BE829" i="1"/>
  <c r="BE833" i="1"/>
  <c r="BE837" i="1"/>
  <c r="BE841" i="1"/>
  <c r="BE845" i="1"/>
  <c r="BE849" i="1"/>
  <c r="BE853" i="1"/>
  <c r="BE857" i="1"/>
  <c r="BE861" i="1"/>
  <c r="BE865" i="1"/>
  <c r="BE869" i="1"/>
  <c r="BE873" i="1"/>
  <c r="BE877" i="1"/>
  <c r="BE881" i="1"/>
  <c r="BE885" i="1"/>
  <c r="BE889" i="1"/>
  <c r="BE893" i="1"/>
  <c r="BE897" i="1"/>
  <c r="BE901" i="1"/>
  <c r="BE905" i="1"/>
  <c r="BE909" i="1"/>
  <c r="BE913" i="1"/>
  <c r="BE917" i="1"/>
  <c r="BE921" i="1"/>
  <c r="BE1031" i="1"/>
  <c r="BE1035" i="1"/>
  <c r="BE1039" i="1"/>
  <c r="BE1043" i="1"/>
  <c r="BE1047" i="1"/>
  <c r="BE1051" i="1"/>
  <c r="BE1055" i="1"/>
  <c r="BE1059" i="1"/>
  <c r="BE1063" i="1"/>
  <c r="BE1067" i="1"/>
  <c r="BE1071" i="1"/>
  <c r="BE1075" i="1"/>
  <c r="BE1079" i="1"/>
  <c r="BE1083" i="1"/>
  <c r="BE1087" i="1"/>
  <c r="BE1091" i="1"/>
  <c r="BE1095" i="1"/>
  <c r="BE1099" i="1"/>
  <c r="BE1103" i="1"/>
  <c r="BE1107" i="1"/>
  <c r="BE1111" i="1"/>
  <c r="BE1115" i="1"/>
  <c r="BE1119" i="1"/>
  <c r="BE1123" i="1"/>
  <c r="BE1127" i="1"/>
  <c r="BE1131" i="1"/>
  <c r="BE1135" i="1"/>
  <c r="BE1139" i="1"/>
  <c r="BE1143" i="1"/>
  <c r="BE1147" i="1"/>
  <c r="BE1151" i="1"/>
  <c r="BE1155" i="1"/>
  <c r="BE1159" i="1"/>
  <c r="BE1163" i="1"/>
  <c r="BE1167" i="1"/>
  <c r="BE1171" i="1"/>
  <c r="BE1175" i="1"/>
  <c r="BE1179" i="1"/>
  <c r="BE1183" i="1"/>
  <c r="BE1187" i="1"/>
  <c r="BE1191" i="1"/>
  <c r="BE1195" i="1"/>
  <c r="BE1199" i="1"/>
  <c r="BE1203" i="1"/>
  <c r="BE1207" i="1"/>
  <c r="BE1211" i="1"/>
  <c r="BE1215" i="1"/>
  <c r="BE1219" i="1"/>
  <c r="BE560" i="1"/>
  <c r="BE716" i="1"/>
  <c r="BE739" i="1"/>
  <c r="BE751" i="1"/>
  <c r="BE763" i="1"/>
  <c r="BE775" i="1"/>
  <c r="BE783" i="1"/>
  <c r="BE795" i="1"/>
  <c r="BE807" i="1"/>
  <c r="BE819" i="1"/>
  <c r="BE831" i="1"/>
  <c r="BE843" i="1"/>
  <c r="BE855" i="1"/>
  <c r="BE867" i="1"/>
  <c r="BE879" i="1"/>
  <c r="BE891" i="1"/>
  <c r="BE903" i="1"/>
  <c r="BE915" i="1"/>
  <c r="BE1033" i="1"/>
  <c r="BE1037" i="1"/>
  <c r="BE1053" i="1"/>
  <c r="BE1065" i="1"/>
  <c r="BE1153" i="1"/>
  <c r="BE1157" i="1"/>
  <c r="BE1161" i="1"/>
  <c r="BE1165" i="1"/>
  <c r="BE1169" i="1"/>
  <c r="BE1173" i="1"/>
  <c r="BE1205" i="1"/>
  <c r="BE1209" i="1"/>
  <c r="BE502" i="1"/>
  <c r="BE552" i="1"/>
  <c r="BE604" i="1"/>
  <c r="BE668" i="1"/>
  <c r="BE734" i="1"/>
  <c r="BE738" i="1"/>
  <c r="BE742" i="1"/>
  <c r="BE746" i="1"/>
  <c r="BE750" i="1"/>
  <c r="BE754" i="1"/>
  <c r="BE758" i="1"/>
  <c r="BE762" i="1"/>
  <c r="BE766" i="1"/>
  <c r="BE770" i="1"/>
  <c r="BE774" i="1"/>
  <c r="BE778" i="1"/>
  <c r="BE782" i="1"/>
  <c r="BE786" i="1"/>
  <c r="BE790" i="1"/>
  <c r="BE794" i="1"/>
  <c r="BE798" i="1"/>
  <c r="BE802" i="1"/>
  <c r="BE806" i="1"/>
  <c r="BE810" i="1"/>
  <c r="BE814" i="1"/>
  <c r="BE818" i="1"/>
  <c r="BE822" i="1"/>
  <c r="BE826" i="1"/>
  <c r="BE830" i="1"/>
  <c r="BE834" i="1"/>
  <c r="BE838" i="1"/>
  <c r="BE842" i="1"/>
  <c r="BE846" i="1"/>
  <c r="BE850" i="1"/>
  <c r="BE854" i="1"/>
  <c r="BE858" i="1"/>
  <c r="BE862" i="1"/>
  <c r="BE866" i="1"/>
  <c r="BE870" i="1"/>
  <c r="BE874" i="1"/>
  <c r="BE878" i="1"/>
  <c r="BE882" i="1"/>
  <c r="BE886" i="1"/>
  <c r="BE890" i="1"/>
  <c r="BE894" i="1"/>
  <c r="BE898" i="1"/>
  <c r="BE902" i="1"/>
  <c r="BE906" i="1"/>
  <c r="BE910" i="1"/>
  <c r="BE914" i="1"/>
  <c r="BE918" i="1"/>
  <c r="BE922" i="1"/>
  <c r="BE925" i="1"/>
  <c r="BE927" i="1"/>
  <c r="BE929" i="1"/>
  <c r="BE931" i="1"/>
  <c r="BE933" i="1"/>
  <c r="BE935" i="1"/>
  <c r="BE937" i="1"/>
  <c r="BE939" i="1"/>
  <c r="BE941" i="1"/>
  <c r="BE943" i="1"/>
  <c r="BE945" i="1"/>
  <c r="BE947" i="1"/>
  <c r="BE949" i="1"/>
  <c r="BE951" i="1"/>
  <c r="BE953" i="1"/>
  <c r="BE955" i="1"/>
  <c r="BE957" i="1"/>
  <c r="BE959" i="1"/>
  <c r="BE961" i="1"/>
  <c r="BE963" i="1"/>
  <c r="BE965" i="1"/>
  <c r="BE967" i="1"/>
  <c r="BE969" i="1"/>
  <c r="BE971" i="1"/>
  <c r="BE973" i="1"/>
  <c r="BE975" i="1"/>
  <c r="BE977" i="1"/>
  <c r="BE979" i="1"/>
  <c r="BE981" i="1"/>
  <c r="BE983" i="1"/>
  <c r="BE985" i="1"/>
  <c r="BE987" i="1"/>
  <c r="BE989" i="1"/>
  <c r="BE991" i="1"/>
  <c r="BE993" i="1"/>
  <c r="BE995" i="1"/>
  <c r="BE997" i="1"/>
  <c r="BE999" i="1"/>
  <c r="BE1001" i="1"/>
  <c r="BE1003" i="1"/>
  <c r="BE1005" i="1"/>
  <c r="BE1007" i="1"/>
  <c r="BE1009" i="1"/>
  <c r="BE1011" i="1"/>
  <c r="BE1013" i="1"/>
  <c r="BE1015" i="1"/>
  <c r="BE1017" i="1"/>
  <c r="BE1019" i="1"/>
  <c r="BE1021" i="1"/>
  <c r="BE1023" i="1"/>
  <c r="BE1025" i="1"/>
  <c r="BE1027" i="1"/>
  <c r="BE1030" i="1"/>
  <c r="BE1034" i="1"/>
  <c r="BE1038" i="1"/>
  <c r="BE1042" i="1"/>
  <c r="BE1046" i="1"/>
  <c r="BE1050" i="1"/>
  <c r="BE1054" i="1"/>
  <c r="BE1058" i="1"/>
  <c r="BE1062" i="1"/>
  <c r="BE1066" i="1"/>
  <c r="BE1070" i="1"/>
  <c r="BE1074" i="1"/>
  <c r="BE1078" i="1"/>
  <c r="BE1082" i="1"/>
  <c r="BE1086" i="1"/>
  <c r="BE1090" i="1"/>
  <c r="BE1094" i="1"/>
  <c r="BE1098" i="1"/>
  <c r="BE1102" i="1"/>
  <c r="BE1106" i="1"/>
  <c r="BE1110" i="1"/>
  <c r="BE1114" i="1"/>
  <c r="BE1118" i="1"/>
  <c r="BE1122" i="1"/>
  <c r="BE1126" i="1"/>
  <c r="BE1130" i="1"/>
  <c r="BE1134" i="1"/>
  <c r="BE1138" i="1"/>
  <c r="BE1142" i="1"/>
  <c r="BE1146" i="1"/>
  <c r="BE1150" i="1"/>
  <c r="BE1154" i="1"/>
  <c r="BE1158" i="1"/>
  <c r="BE1162" i="1"/>
  <c r="BE1166" i="1"/>
  <c r="BE1170" i="1"/>
  <c r="BE1174" i="1"/>
  <c r="BE1178" i="1"/>
  <c r="BE1182" i="1"/>
  <c r="BE1186" i="1"/>
  <c r="BE1190" i="1"/>
  <c r="BE1194" i="1"/>
  <c r="BE1198" i="1"/>
  <c r="BE1202" i="1"/>
  <c r="BE1206" i="1"/>
  <c r="BE1210" i="1"/>
  <c r="BE1214" i="1"/>
  <c r="BE1218" i="1"/>
  <c r="BE450" i="1"/>
  <c r="BE588" i="1"/>
  <c r="BE652" i="1"/>
  <c r="BE731" i="1"/>
  <c r="BE743" i="1"/>
  <c r="BE755" i="1"/>
  <c r="BE767" i="1"/>
  <c r="BE779" i="1"/>
  <c r="BE791" i="1"/>
  <c r="BE799" i="1"/>
  <c r="BE811" i="1"/>
  <c r="BE823" i="1"/>
  <c r="BE835" i="1"/>
  <c r="BE847" i="1"/>
  <c r="BE859" i="1"/>
  <c r="BE871" i="1"/>
  <c r="BE883" i="1"/>
  <c r="BE895" i="1"/>
  <c r="BE907" i="1"/>
  <c r="BE919" i="1"/>
  <c r="BE1057" i="1"/>
  <c r="BE1061" i="1"/>
  <c r="BE1073" i="1"/>
  <c r="BE1077" i="1"/>
  <c r="BE1081" i="1"/>
  <c r="BE1093" i="1"/>
  <c r="BE1097" i="1"/>
  <c r="BE1113" i="1"/>
  <c r="BE1117" i="1"/>
  <c r="BE1125" i="1"/>
  <c r="BE1129" i="1"/>
  <c r="BE1133" i="1"/>
  <c r="BE1137" i="1"/>
  <c r="BE1145" i="1"/>
  <c r="BE1149" i="1"/>
  <c r="BE1177" i="1"/>
  <c r="BE1181" i="1"/>
  <c r="BE1185" i="1"/>
  <c r="BE1189" i="1"/>
  <c r="BE1193" i="1"/>
  <c r="BE1197" i="1"/>
  <c r="CO12" i="1"/>
  <c r="CO13" i="1"/>
  <c r="CO14" i="1"/>
  <c r="CO15" i="1"/>
  <c r="CO16" i="1"/>
  <c r="CO17" i="1"/>
  <c r="CO18" i="1"/>
  <c r="CO19" i="1"/>
  <c r="CO20" i="1"/>
  <c r="CO21" i="1"/>
  <c r="CO22" i="1"/>
  <c r="CO23" i="1"/>
  <c r="CO24" i="1"/>
  <c r="CO25" i="1"/>
  <c r="CO26" i="1"/>
  <c r="CO27" i="1"/>
  <c r="CO28" i="1"/>
  <c r="CO29" i="1"/>
  <c r="CO30" i="1"/>
  <c r="CO31" i="1"/>
  <c r="CO32" i="1"/>
  <c r="CO33" i="1"/>
  <c r="CO34" i="1"/>
  <c r="CO35" i="1"/>
  <c r="CO36" i="1"/>
  <c r="CO37" i="1"/>
  <c r="CO38" i="1"/>
  <c r="CO39" i="1"/>
  <c r="CO40" i="1"/>
  <c r="CO41" i="1"/>
  <c r="CO42" i="1"/>
  <c r="CO43" i="1"/>
  <c r="CO44" i="1"/>
  <c r="CO45" i="1"/>
  <c r="CO46" i="1"/>
  <c r="CO47" i="1"/>
  <c r="CO48" i="1"/>
  <c r="CO49" i="1"/>
  <c r="CO50" i="1"/>
  <c r="CO51" i="1"/>
  <c r="CO52" i="1"/>
  <c r="CO53" i="1"/>
  <c r="CO54" i="1"/>
  <c r="CO55" i="1"/>
  <c r="CO56" i="1"/>
  <c r="CO57" i="1"/>
  <c r="CO58" i="1"/>
  <c r="CO59" i="1"/>
  <c r="CO60" i="1"/>
  <c r="CO11" i="1"/>
  <c r="DY11" i="1"/>
  <c r="DM12" i="1"/>
  <c r="DM13" i="1"/>
  <c r="DM14" i="1"/>
  <c r="DM15" i="1"/>
  <c r="DM16" i="1"/>
  <c r="DM17" i="1"/>
  <c r="DM18" i="1"/>
  <c r="DM19" i="1"/>
  <c r="DM20" i="1"/>
  <c r="DM21" i="1"/>
  <c r="DM22" i="1"/>
  <c r="DM23" i="1"/>
  <c r="DM24" i="1"/>
  <c r="DM25" i="1"/>
  <c r="DM26" i="1"/>
  <c r="DM27" i="1"/>
  <c r="DM28" i="1"/>
  <c r="DM29" i="1"/>
  <c r="DM30" i="1"/>
  <c r="DM31" i="1"/>
  <c r="DM32" i="1"/>
  <c r="DM33" i="1"/>
  <c r="DM34" i="1"/>
  <c r="DM35" i="1"/>
  <c r="DM36" i="1"/>
  <c r="DM37" i="1"/>
  <c r="DM38" i="1"/>
  <c r="DM39" i="1"/>
  <c r="DM40" i="1"/>
  <c r="DM41" i="1"/>
  <c r="DM42" i="1"/>
  <c r="DM43" i="1"/>
  <c r="DM44" i="1"/>
  <c r="DM45" i="1"/>
  <c r="DM46" i="1"/>
  <c r="DM47" i="1"/>
  <c r="DM48" i="1"/>
  <c r="DM49" i="1"/>
  <c r="DM50" i="1"/>
  <c r="DM51" i="1"/>
  <c r="DM52" i="1"/>
  <c r="DM53" i="1"/>
  <c r="DM54" i="1"/>
  <c r="DM55" i="1"/>
  <c r="DM56" i="1"/>
  <c r="DM57" i="1"/>
  <c r="DM58" i="1"/>
  <c r="DM59" i="1"/>
  <c r="DM60" i="1"/>
  <c r="DM11" i="1"/>
  <c r="DA12" i="1"/>
  <c r="DA13" i="1"/>
  <c r="DA14" i="1"/>
  <c r="DA15" i="1"/>
  <c r="DA16" i="1"/>
  <c r="DA17" i="1"/>
  <c r="DA18" i="1"/>
  <c r="DA19" i="1"/>
  <c r="DA20" i="1"/>
  <c r="DA21" i="1"/>
  <c r="DA22" i="1"/>
  <c r="DA23" i="1"/>
  <c r="DA24" i="1"/>
  <c r="DA25" i="1"/>
  <c r="DA26" i="1"/>
  <c r="DA27" i="1"/>
  <c r="DA28" i="1"/>
  <c r="DA29" i="1"/>
  <c r="DA30" i="1"/>
  <c r="DA31" i="1"/>
  <c r="DA32" i="1"/>
  <c r="DA33" i="1"/>
  <c r="DA34" i="1"/>
  <c r="DA35" i="1"/>
  <c r="DA36" i="1"/>
  <c r="DA37" i="1"/>
  <c r="DA38" i="1"/>
  <c r="DA39" i="1"/>
  <c r="DA40" i="1"/>
  <c r="DA41" i="1"/>
  <c r="DA42" i="1"/>
  <c r="DA43" i="1"/>
  <c r="DA44" i="1"/>
  <c r="DA45" i="1"/>
  <c r="DA46" i="1"/>
  <c r="DA47" i="1"/>
  <c r="DA48" i="1"/>
  <c r="DA49" i="1"/>
  <c r="DA50" i="1"/>
  <c r="DA51" i="1"/>
  <c r="DA52" i="1"/>
  <c r="DA53" i="1"/>
  <c r="DA54" i="1"/>
  <c r="DA55" i="1"/>
  <c r="DA56" i="1"/>
  <c r="DA57" i="1"/>
  <c r="DA58" i="1"/>
  <c r="DA59" i="1"/>
  <c r="DA60" i="1"/>
  <c r="DA11" i="1"/>
  <c r="J357" i="3" l="1"/>
  <c r="R357" i="3"/>
  <c r="Z357" i="3"/>
  <c r="AH357" i="3"/>
  <c r="AP357" i="3"/>
  <c r="AX357" i="3"/>
  <c r="J358" i="3"/>
  <c r="R358" i="3"/>
  <c r="Z358" i="3"/>
  <c r="AH358" i="3"/>
  <c r="AP358" i="3"/>
  <c r="AX358" i="3"/>
  <c r="J359" i="3"/>
  <c r="R359" i="3"/>
  <c r="Z359" i="3"/>
  <c r="AH359" i="3"/>
  <c r="AP359" i="3"/>
  <c r="AX359" i="3"/>
  <c r="J360" i="3"/>
  <c r="R360" i="3"/>
  <c r="Z360" i="3"/>
  <c r="AH360" i="3"/>
  <c r="AP360" i="3"/>
  <c r="AX360" i="3"/>
  <c r="J361" i="3"/>
  <c r="R361" i="3"/>
  <c r="Z361" i="3"/>
  <c r="AH361" i="3"/>
  <c r="AP361" i="3"/>
  <c r="AX361" i="3"/>
  <c r="J362" i="3"/>
  <c r="R362" i="3"/>
  <c r="Z362" i="3"/>
  <c r="AH362" i="3"/>
  <c r="AP362" i="3"/>
  <c r="AX362" i="3"/>
  <c r="J363" i="3"/>
  <c r="R363" i="3"/>
  <c r="Z363" i="3"/>
  <c r="AH363" i="3"/>
  <c r="AP363" i="3"/>
  <c r="AX363" i="3"/>
  <c r="J364" i="3"/>
  <c r="R364" i="3"/>
  <c r="Z364" i="3"/>
  <c r="AH364" i="3"/>
  <c r="AP364" i="3"/>
  <c r="AX364" i="3"/>
  <c r="J365" i="3"/>
  <c r="R365" i="3"/>
  <c r="Z365" i="3"/>
  <c r="AH365" i="3"/>
  <c r="AP365" i="3"/>
  <c r="AX365" i="3"/>
  <c r="J366" i="3"/>
  <c r="R366" i="3"/>
  <c r="Z366" i="3"/>
  <c r="AH366" i="3"/>
  <c r="AP366" i="3"/>
  <c r="AX366" i="3"/>
  <c r="J367" i="3"/>
  <c r="R367" i="3"/>
  <c r="Z367" i="3"/>
  <c r="AH367" i="3"/>
  <c r="AP367" i="3"/>
  <c r="AX367" i="3"/>
  <c r="J368" i="3"/>
  <c r="R368" i="3"/>
  <c r="Z368" i="3"/>
  <c r="AH368" i="3"/>
  <c r="AP368" i="3"/>
  <c r="AX368" i="3"/>
  <c r="J369" i="3"/>
  <c r="R369" i="3"/>
  <c r="Z369" i="3"/>
  <c r="AH369" i="3"/>
  <c r="AP369" i="3"/>
  <c r="AX369" i="3"/>
  <c r="J370" i="3"/>
  <c r="R370" i="3"/>
  <c r="Z370" i="3"/>
  <c r="AH370" i="3"/>
  <c r="AP370" i="3"/>
  <c r="AX370" i="3"/>
  <c r="J371" i="3"/>
  <c r="R371" i="3"/>
  <c r="Z371" i="3"/>
  <c r="AH371" i="3"/>
  <c r="AP371" i="3"/>
  <c r="AX371" i="3"/>
  <c r="J372" i="3"/>
  <c r="R372" i="3"/>
  <c r="Z372" i="3"/>
  <c r="AH372" i="3"/>
  <c r="AP372" i="3"/>
  <c r="AX372" i="3"/>
  <c r="J373" i="3"/>
  <c r="R373" i="3"/>
  <c r="Z373" i="3"/>
  <c r="AH373" i="3"/>
  <c r="AP373" i="3"/>
  <c r="AX373" i="3"/>
  <c r="J374" i="3"/>
  <c r="R374" i="3"/>
  <c r="Z374" i="3"/>
  <c r="AH374" i="3"/>
  <c r="AP374" i="3"/>
  <c r="AX374" i="3"/>
  <c r="J375" i="3"/>
  <c r="R375" i="3"/>
  <c r="Z375" i="3"/>
  <c r="AH375" i="3"/>
  <c r="AP375" i="3"/>
  <c r="AX375" i="3"/>
  <c r="J376" i="3"/>
  <c r="R376" i="3"/>
  <c r="Z376" i="3"/>
  <c r="AH376" i="3"/>
  <c r="AP376" i="3"/>
  <c r="AX376" i="3"/>
  <c r="J377" i="3"/>
  <c r="R377" i="3"/>
  <c r="Z377" i="3"/>
  <c r="AH377" i="3"/>
  <c r="AP377" i="3"/>
  <c r="AX377" i="3"/>
  <c r="J378" i="3"/>
  <c r="R378" i="3"/>
  <c r="Z378" i="3"/>
  <c r="AH378" i="3"/>
  <c r="AP378" i="3"/>
  <c r="AX378" i="3"/>
  <c r="J379" i="3"/>
  <c r="R379" i="3"/>
  <c r="Z379" i="3"/>
  <c r="AH379" i="3"/>
  <c r="AP379" i="3"/>
  <c r="AX379" i="3"/>
  <c r="J380" i="3"/>
  <c r="R380" i="3"/>
  <c r="Z380" i="3"/>
  <c r="AH380" i="3"/>
  <c r="AP380" i="3"/>
  <c r="AX380" i="3"/>
  <c r="J381" i="3"/>
  <c r="R381" i="3"/>
  <c r="Z381" i="3"/>
  <c r="AH381" i="3"/>
  <c r="AP381" i="3"/>
  <c r="AX381" i="3"/>
  <c r="J382" i="3"/>
  <c r="R382" i="3"/>
  <c r="Z382" i="3"/>
  <c r="AH382" i="3"/>
  <c r="AP382" i="3"/>
  <c r="AX382" i="3"/>
  <c r="J383" i="3"/>
  <c r="R383" i="3"/>
  <c r="Z383" i="3"/>
  <c r="AH383" i="3"/>
  <c r="AP383" i="3"/>
  <c r="AX383" i="3"/>
  <c r="J384" i="3"/>
  <c r="R384" i="3"/>
  <c r="Z384" i="3"/>
  <c r="AH384" i="3"/>
  <c r="AP384" i="3"/>
  <c r="AX384" i="3"/>
  <c r="J385" i="3"/>
  <c r="R385" i="3"/>
  <c r="Z385" i="3"/>
  <c r="AH385" i="3"/>
  <c r="AP385" i="3"/>
  <c r="AX385" i="3"/>
  <c r="J386" i="3"/>
  <c r="R386" i="3"/>
  <c r="Z386" i="3"/>
  <c r="AH386" i="3"/>
  <c r="AP386" i="3"/>
  <c r="AX386" i="3"/>
  <c r="J387" i="3"/>
  <c r="R387" i="3"/>
  <c r="Z387" i="3"/>
  <c r="AH387" i="3"/>
  <c r="AP387" i="3"/>
  <c r="AX387" i="3"/>
  <c r="J388" i="3"/>
  <c r="R388" i="3"/>
  <c r="Z388" i="3"/>
  <c r="AH388" i="3"/>
  <c r="AP388" i="3"/>
  <c r="AX388" i="3"/>
  <c r="J389" i="3"/>
  <c r="R389" i="3"/>
  <c r="Z389" i="3"/>
  <c r="AH389" i="3"/>
  <c r="AP389" i="3"/>
  <c r="AX389" i="3"/>
  <c r="J390" i="3"/>
  <c r="R390" i="3"/>
  <c r="Z390" i="3"/>
  <c r="AH390" i="3"/>
  <c r="AP390" i="3"/>
  <c r="AX390" i="3"/>
  <c r="J391" i="3"/>
  <c r="R391" i="3"/>
  <c r="Z391" i="3"/>
  <c r="AH391" i="3"/>
  <c r="AP391" i="3"/>
  <c r="AX391" i="3"/>
  <c r="J392" i="3"/>
  <c r="R392" i="3"/>
  <c r="Z392" i="3"/>
  <c r="AH392" i="3"/>
  <c r="AP392" i="3"/>
  <c r="AX392" i="3"/>
  <c r="J393" i="3"/>
  <c r="R393" i="3"/>
  <c r="Z393" i="3"/>
  <c r="AH393" i="3"/>
  <c r="AP393" i="3"/>
  <c r="AX393" i="3"/>
  <c r="J394" i="3"/>
  <c r="R394" i="3"/>
  <c r="Z394" i="3"/>
  <c r="AH394" i="3"/>
  <c r="AP394" i="3"/>
  <c r="AX394" i="3"/>
  <c r="J395" i="3"/>
  <c r="R395" i="3"/>
  <c r="Z395" i="3"/>
  <c r="AH395" i="3"/>
  <c r="AP395" i="3"/>
  <c r="AX395" i="3"/>
  <c r="J396" i="3"/>
  <c r="R396" i="3"/>
  <c r="Z396" i="3"/>
  <c r="AH396" i="3"/>
  <c r="AP396" i="3"/>
  <c r="AX396" i="3"/>
  <c r="J397" i="3"/>
  <c r="R397" i="3"/>
  <c r="Z397" i="3"/>
  <c r="AH397" i="3"/>
  <c r="AP397" i="3"/>
  <c r="AX397" i="3"/>
  <c r="J398" i="3"/>
  <c r="R398" i="3"/>
  <c r="Z398" i="3"/>
  <c r="AH398" i="3"/>
  <c r="AP398" i="3"/>
  <c r="AX398" i="3"/>
  <c r="J399" i="3"/>
  <c r="R399" i="3"/>
  <c r="Z399" i="3"/>
  <c r="AH399" i="3"/>
  <c r="AP399" i="3"/>
  <c r="AX399" i="3"/>
  <c r="J400" i="3"/>
  <c r="R400" i="3"/>
  <c r="Z400" i="3"/>
  <c r="AH400" i="3"/>
  <c r="AP400" i="3"/>
  <c r="AX400" i="3"/>
  <c r="J401" i="3"/>
  <c r="R401" i="3"/>
  <c r="Z401" i="3"/>
  <c r="AH401" i="3"/>
  <c r="AP401" i="3"/>
  <c r="AX401" i="3"/>
  <c r="J402" i="3"/>
  <c r="R402" i="3"/>
  <c r="Z402" i="3"/>
  <c r="AH402" i="3"/>
  <c r="AP402" i="3"/>
  <c r="AX402" i="3"/>
  <c r="J403" i="3"/>
  <c r="R403" i="3"/>
  <c r="Z403" i="3"/>
  <c r="AH403" i="3"/>
  <c r="AP403" i="3"/>
  <c r="AX403" i="3"/>
  <c r="J404" i="3"/>
  <c r="R404" i="3"/>
  <c r="Z404" i="3"/>
  <c r="AH404" i="3"/>
  <c r="AP404" i="3"/>
  <c r="AX404" i="3"/>
  <c r="J405" i="3"/>
  <c r="R405" i="3"/>
  <c r="Z405" i="3"/>
  <c r="AH405" i="3"/>
  <c r="AP405" i="3"/>
  <c r="AX405" i="3"/>
  <c r="J406" i="3"/>
  <c r="R406" i="3"/>
  <c r="Z406" i="3"/>
  <c r="AH406" i="3"/>
  <c r="AP406" i="3"/>
  <c r="AX406" i="3"/>
  <c r="J407" i="3"/>
  <c r="R407" i="3"/>
  <c r="Z407" i="3"/>
  <c r="AH407" i="3"/>
  <c r="AP407" i="3"/>
  <c r="AX407" i="3"/>
  <c r="J408" i="3"/>
  <c r="R408" i="3"/>
  <c r="Z408" i="3"/>
  <c r="AH408" i="3"/>
  <c r="AP408" i="3"/>
  <c r="AX408" i="3"/>
  <c r="J409" i="3"/>
  <c r="R409" i="3"/>
  <c r="Z409" i="3"/>
  <c r="AH409" i="3"/>
  <c r="AP409" i="3"/>
  <c r="AX409" i="3"/>
  <c r="J410" i="3"/>
  <c r="R410" i="3"/>
  <c r="Z410" i="3"/>
  <c r="AH410" i="3"/>
  <c r="AP410" i="3"/>
  <c r="AX410" i="3"/>
  <c r="J411" i="3"/>
  <c r="R411" i="3"/>
  <c r="Z411" i="3"/>
  <c r="AH411" i="3"/>
  <c r="AP411" i="3"/>
  <c r="AX411" i="3"/>
  <c r="J412" i="3"/>
  <c r="R412" i="3"/>
  <c r="Z412" i="3"/>
  <c r="AH412" i="3"/>
  <c r="AP412" i="3"/>
  <c r="AX412" i="3"/>
  <c r="J413" i="3"/>
  <c r="R413" i="3"/>
  <c r="Z413" i="3"/>
  <c r="AH413" i="3"/>
  <c r="AP413" i="3"/>
  <c r="AX413" i="3"/>
  <c r="J414" i="3"/>
  <c r="R414" i="3"/>
  <c r="Z414" i="3"/>
  <c r="AH414" i="3"/>
  <c r="AP414" i="3"/>
  <c r="AX414" i="3"/>
  <c r="J415" i="3"/>
  <c r="R415" i="3"/>
  <c r="Z415" i="3"/>
  <c r="AH415" i="3"/>
  <c r="AP415" i="3"/>
  <c r="AX415" i="3"/>
  <c r="J416" i="3"/>
  <c r="R416" i="3"/>
  <c r="Z416" i="3"/>
  <c r="AH416" i="3"/>
  <c r="AP416" i="3"/>
  <c r="AX416" i="3"/>
  <c r="J417" i="3"/>
  <c r="R417" i="3"/>
  <c r="Z417" i="3"/>
  <c r="AH417" i="3"/>
  <c r="AP417" i="3"/>
  <c r="AX417" i="3"/>
  <c r="J418" i="3"/>
  <c r="R418" i="3"/>
  <c r="Z418" i="3"/>
  <c r="AH418" i="3"/>
  <c r="AP418" i="3"/>
  <c r="AX418" i="3"/>
  <c r="J419" i="3"/>
  <c r="R419" i="3"/>
  <c r="Z419" i="3"/>
  <c r="AH419" i="3"/>
  <c r="AP419" i="3"/>
  <c r="AX419" i="3"/>
  <c r="J420" i="3"/>
  <c r="R420" i="3"/>
  <c r="Z420" i="3"/>
  <c r="AH420" i="3"/>
  <c r="AP420" i="3"/>
  <c r="AX420" i="3"/>
  <c r="J421" i="3"/>
  <c r="R421" i="3"/>
  <c r="Z421" i="3"/>
  <c r="AH421" i="3"/>
  <c r="AP421" i="3"/>
  <c r="AX421" i="3"/>
  <c r="J422" i="3"/>
  <c r="R422" i="3"/>
  <c r="Z422" i="3"/>
  <c r="AH422" i="3"/>
  <c r="AP422" i="3"/>
  <c r="AX422" i="3"/>
  <c r="J423" i="3"/>
  <c r="R423" i="3"/>
  <c r="Z423" i="3"/>
  <c r="AH423" i="3"/>
  <c r="AP423" i="3"/>
  <c r="AX423" i="3"/>
  <c r="J424" i="3"/>
  <c r="R424" i="3"/>
  <c r="Z424" i="3"/>
  <c r="AH424" i="3"/>
  <c r="AP424" i="3"/>
  <c r="AX424" i="3"/>
  <c r="J425" i="3"/>
  <c r="R425" i="3"/>
  <c r="Z425" i="3"/>
  <c r="AH425" i="3"/>
  <c r="AP425" i="3"/>
  <c r="AX425" i="3"/>
  <c r="J426" i="3"/>
  <c r="R426" i="3"/>
  <c r="Z426" i="3"/>
  <c r="AH426" i="3"/>
  <c r="AP426" i="3"/>
  <c r="AX426" i="3"/>
  <c r="J427" i="3"/>
  <c r="R427" i="3"/>
  <c r="Z427" i="3"/>
  <c r="AH427" i="3"/>
  <c r="AP427" i="3"/>
  <c r="AX427" i="3"/>
  <c r="J428" i="3"/>
  <c r="R428" i="3"/>
  <c r="Z428" i="3"/>
  <c r="AH428" i="3"/>
  <c r="AP428" i="3"/>
  <c r="AX428" i="3"/>
  <c r="J429" i="3"/>
  <c r="R429" i="3"/>
  <c r="Z429" i="3"/>
  <c r="AH429" i="3"/>
  <c r="AP429" i="3"/>
  <c r="AX429" i="3"/>
  <c r="J430" i="3"/>
  <c r="R430" i="3"/>
  <c r="Z430" i="3"/>
  <c r="AH430" i="3"/>
  <c r="AP430" i="3"/>
  <c r="AX430" i="3"/>
  <c r="J431" i="3"/>
  <c r="R431" i="3"/>
  <c r="Z431" i="3"/>
  <c r="AH431" i="3"/>
  <c r="AP431" i="3"/>
  <c r="AX431" i="3"/>
  <c r="J432" i="3"/>
  <c r="R432" i="3"/>
  <c r="Z432" i="3"/>
  <c r="AH432" i="3"/>
  <c r="AP432" i="3"/>
  <c r="AX432" i="3"/>
  <c r="J433" i="3"/>
  <c r="R433" i="3"/>
  <c r="Z433" i="3"/>
  <c r="AH433" i="3"/>
  <c r="AP433" i="3"/>
  <c r="AX433" i="3"/>
  <c r="J434" i="3"/>
  <c r="R434" i="3"/>
  <c r="Z434" i="3"/>
  <c r="AH434" i="3"/>
  <c r="AP434" i="3"/>
  <c r="AX434" i="3"/>
  <c r="J435" i="3"/>
  <c r="R435" i="3"/>
  <c r="Z435" i="3"/>
  <c r="AH435" i="3"/>
  <c r="AP435" i="3"/>
  <c r="AX435" i="3"/>
  <c r="J436" i="3"/>
  <c r="R436" i="3"/>
  <c r="Z436" i="3"/>
  <c r="AH436" i="3"/>
  <c r="AP436" i="3"/>
  <c r="AX436" i="3"/>
  <c r="J437" i="3"/>
  <c r="R437" i="3"/>
  <c r="Z437" i="3"/>
  <c r="AH437" i="3"/>
  <c r="AP437" i="3"/>
  <c r="AX437" i="3"/>
  <c r="J438" i="3"/>
  <c r="R438" i="3"/>
  <c r="Z438" i="3"/>
  <c r="AH438" i="3"/>
  <c r="AP438" i="3"/>
  <c r="AX438" i="3"/>
  <c r="J439" i="3"/>
  <c r="R439" i="3"/>
  <c r="Z439" i="3"/>
  <c r="AH439" i="3"/>
  <c r="AP439" i="3"/>
  <c r="AX439" i="3"/>
  <c r="J440" i="3"/>
  <c r="R440" i="3"/>
  <c r="Z440" i="3"/>
  <c r="AH440" i="3"/>
  <c r="AP440" i="3"/>
  <c r="AX440" i="3"/>
  <c r="J441" i="3"/>
  <c r="R441" i="3"/>
  <c r="Z441" i="3"/>
  <c r="AH441" i="3"/>
  <c r="AP441" i="3"/>
  <c r="AX441" i="3"/>
  <c r="J442" i="3"/>
  <c r="R442" i="3"/>
  <c r="Z442" i="3"/>
  <c r="AH442" i="3"/>
  <c r="AP442" i="3"/>
  <c r="AX442" i="3"/>
  <c r="J443" i="3"/>
  <c r="R443" i="3"/>
  <c r="Z443" i="3"/>
  <c r="AH443" i="3"/>
  <c r="AP443" i="3"/>
  <c r="AX443" i="3"/>
  <c r="J444" i="3"/>
  <c r="R444" i="3"/>
  <c r="Z444" i="3"/>
  <c r="AH444" i="3"/>
  <c r="AP444" i="3"/>
  <c r="AX444" i="3"/>
  <c r="J445" i="3"/>
  <c r="R445" i="3"/>
  <c r="Z445" i="3"/>
  <c r="AH445" i="3"/>
  <c r="AP445" i="3"/>
  <c r="AX445" i="3"/>
  <c r="J446" i="3"/>
  <c r="R446" i="3"/>
  <c r="Z446" i="3"/>
  <c r="AH446" i="3"/>
  <c r="AP446" i="3"/>
  <c r="AX446" i="3"/>
  <c r="J447" i="3"/>
  <c r="R447" i="3"/>
  <c r="Z447" i="3"/>
  <c r="AH447" i="3"/>
  <c r="AP447" i="3"/>
  <c r="AX447" i="3"/>
  <c r="J448" i="3"/>
  <c r="R448" i="3"/>
  <c r="Z448" i="3"/>
  <c r="AH448" i="3"/>
  <c r="AP448" i="3"/>
  <c r="AX448" i="3"/>
  <c r="J449" i="3"/>
  <c r="R449" i="3"/>
  <c r="Z449" i="3"/>
  <c r="AH449" i="3"/>
  <c r="AP449" i="3"/>
  <c r="AX449" i="3"/>
  <c r="J450" i="3"/>
  <c r="R450" i="3"/>
  <c r="Z450" i="3"/>
  <c r="AH450" i="3"/>
  <c r="AP450" i="3"/>
  <c r="AX450" i="3"/>
  <c r="J451" i="3"/>
  <c r="R451" i="3"/>
  <c r="Z451" i="3"/>
  <c r="AH451" i="3"/>
  <c r="AP451" i="3"/>
  <c r="AX451" i="3"/>
  <c r="J452" i="3"/>
  <c r="R452" i="3"/>
  <c r="Z452" i="3"/>
  <c r="AH452" i="3"/>
  <c r="AP452" i="3"/>
  <c r="AX452" i="3"/>
  <c r="J453" i="3"/>
  <c r="R453" i="3"/>
  <c r="Z453" i="3"/>
  <c r="AH453" i="3"/>
  <c r="AP453" i="3"/>
  <c r="AX453" i="3"/>
  <c r="J454" i="3"/>
  <c r="R454" i="3"/>
  <c r="Z454" i="3"/>
  <c r="AH454" i="3"/>
  <c r="AP454" i="3"/>
  <c r="AX454" i="3"/>
  <c r="J455" i="3"/>
  <c r="R455" i="3"/>
  <c r="Z455" i="3"/>
  <c r="AH455" i="3"/>
  <c r="AP455" i="3"/>
  <c r="AX455" i="3"/>
  <c r="BF356" i="3"/>
  <c r="AX356" i="3"/>
  <c r="AP356" i="3"/>
  <c r="AH356" i="3"/>
  <c r="Z356" i="3"/>
  <c r="R356" i="3"/>
  <c r="J356" i="3"/>
  <c r="AW13" i="3" l="1"/>
  <c r="AW19" i="3" s="1"/>
  <c r="AW18" i="3"/>
  <c r="AW12" i="3"/>
  <c r="BF454" i="3" l="1"/>
  <c r="BN454" i="3"/>
  <c r="BF455" i="3"/>
  <c r="BN455" i="3"/>
  <c r="BF453" i="3"/>
  <c r="BN453" i="3"/>
  <c r="BF448" i="3"/>
  <c r="BN448" i="3"/>
  <c r="BF449" i="3"/>
  <c r="BN449" i="3"/>
  <c r="BF450" i="3"/>
  <c r="BN450" i="3"/>
  <c r="BF451" i="3"/>
  <c r="BN451" i="3"/>
  <c r="BF452" i="3"/>
  <c r="BN452" i="3"/>
  <c r="BF432" i="3"/>
  <c r="BN432" i="3"/>
  <c r="BF433" i="3"/>
  <c r="BN433" i="3"/>
  <c r="BF434" i="3"/>
  <c r="BN434" i="3"/>
  <c r="BF435" i="3"/>
  <c r="BN435" i="3"/>
  <c r="BF436" i="3"/>
  <c r="BN436" i="3"/>
  <c r="BF437" i="3"/>
  <c r="BN437" i="3"/>
  <c r="BF438" i="3"/>
  <c r="BN438" i="3"/>
  <c r="BF439" i="3"/>
  <c r="BN439" i="3"/>
  <c r="BF440" i="3"/>
  <c r="BN440" i="3"/>
  <c r="BF441" i="3"/>
  <c r="BN441" i="3"/>
  <c r="BF442" i="3"/>
  <c r="BN442" i="3"/>
  <c r="BF443" i="3"/>
  <c r="BN443" i="3"/>
  <c r="BF444" i="3"/>
  <c r="BN444" i="3"/>
  <c r="BF445" i="3"/>
  <c r="BN445" i="3"/>
  <c r="BF446" i="3"/>
  <c r="BN446" i="3"/>
  <c r="BF447" i="3"/>
  <c r="BN447" i="3"/>
  <c r="BF417" i="3"/>
  <c r="BN417" i="3"/>
  <c r="BF418" i="3"/>
  <c r="BN418" i="3"/>
  <c r="BF419" i="3"/>
  <c r="BN419" i="3"/>
  <c r="BF420" i="3"/>
  <c r="BN420" i="3"/>
  <c r="BF421" i="3"/>
  <c r="BN421" i="3"/>
  <c r="BF422" i="3"/>
  <c r="BN422" i="3"/>
  <c r="BF423" i="3"/>
  <c r="BN423" i="3"/>
  <c r="BF424" i="3"/>
  <c r="BN424" i="3"/>
  <c r="BF425" i="3"/>
  <c r="BN425" i="3"/>
  <c r="BF426" i="3"/>
  <c r="BN426" i="3"/>
  <c r="BF427" i="3"/>
  <c r="BN427" i="3"/>
  <c r="BF428" i="3"/>
  <c r="BN428" i="3"/>
  <c r="BF429" i="3"/>
  <c r="BN429" i="3"/>
  <c r="BF430" i="3"/>
  <c r="BN430" i="3"/>
  <c r="BF431" i="3"/>
  <c r="BN431" i="3"/>
  <c r="BF357" i="3"/>
  <c r="BN357" i="3"/>
  <c r="BF358" i="3"/>
  <c r="BN358" i="3"/>
  <c r="BF359" i="3"/>
  <c r="BN359" i="3"/>
  <c r="BF360" i="3"/>
  <c r="BN360" i="3"/>
  <c r="BF361" i="3"/>
  <c r="BN361" i="3"/>
  <c r="BF362" i="3"/>
  <c r="BN362" i="3"/>
  <c r="BF363" i="3"/>
  <c r="BN363" i="3"/>
  <c r="BF364" i="3"/>
  <c r="BN364" i="3"/>
  <c r="BF365" i="3"/>
  <c r="BN365" i="3"/>
  <c r="BF366" i="3"/>
  <c r="BN366" i="3"/>
  <c r="BF367" i="3"/>
  <c r="BN367" i="3"/>
  <c r="BF368" i="3"/>
  <c r="BN368" i="3"/>
  <c r="BF369" i="3"/>
  <c r="BN369" i="3"/>
  <c r="BF370" i="3"/>
  <c r="BN370" i="3"/>
  <c r="BF371" i="3"/>
  <c r="BN371" i="3"/>
  <c r="BF372" i="3"/>
  <c r="BN372" i="3"/>
  <c r="BF373" i="3"/>
  <c r="BN373" i="3"/>
  <c r="BF374" i="3"/>
  <c r="BN374" i="3"/>
  <c r="BF375" i="3"/>
  <c r="BN375" i="3"/>
  <c r="BF376" i="3"/>
  <c r="BN376" i="3"/>
  <c r="BF377" i="3"/>
  <c r="BN377" i="3"/>
  <c r="BF378" i="3"/>
  <c r="BN378" i="3"/>
  <c r="BF379" i="3"/>
  <c r="BN379" i="3"/>
  <c r="BF380" i="3"/>
  <c r="BN380" i="3"/>
  <c r="BF381" i="3"/>
  <c r="BN381" i="3"/>
  <c r="BF382" i="3"/>
  <c r="BN382" i="3"/>
  <c r="BF383" i="3"/>
  <c r="BN383" i="3"/>
  <c r="BF384" i="3"/>
  <c r="BN384" i="3"/>
  <c r="BF385" i="3"/>
  <c r="BN385" i="3"/>
  <c r="BF386" i="3"/>
  <c r="BN386" i="3"/>
  <c r="BF387" i="3"/>
  <c r="BN387" i="3"/>
  <c r="BF388" i="3"/>
  <c r="BN388" i="3"/>
  <c r="BF389" i="3"/>
  <c r="BN389" i="3"/>
  <c r="BF390" i="3"/>
  <c r="BN390" i="3"/>
  <c r="BF391" i="3"/>
  <c r="BN391" i="3"/>
  <c r="BF392" i="3"/>
  <c r="BN392" i="3"/>
  <c r="BF393" i="3"/>
  <c r="BN393" i="3"/>
  <c r="BF394" i="3"/>
  <c r="BN394" i="3"/>
  <c r="BF395" i="3"/>
  <c r="BN395" i="3"/>
  <c r="BF396" i="3"/>
  <c r="BN396" i="3"/>
  <c r="BF397" i="3"/>
  <c r="BN397" i="3"/>
  <c r="BF398" i="3"/>
  <c r="BN398" i="3"/>
  <c r="BF399" i="3"/>
  <c r="BN399" i="3"/>
  <c r="BF400" i="3"/>
  <c r="BN400" i="3"/>
  <c r="BF401" i="3"/>
  <c r="BN401" i="3"/>
  <c r="BF402" i="3"/>
  <c r="BN402" i="3"/>
  <c r="BF403" i="3"/>
  <c r="BN403" i="3"/>
  <c r="BF404" i="3"/>
  <c r="BN404" i="3"/>
  <c r="BF405" i="3"/>
  <c r="BN405" i="3"/>
  <c r="BF406" i="3"/>
  <c r="BN406" i="3"/>
  <c r="BF407" i="3"/>
  <c r="BN407" i="3"/>
  <c r="BF408" i="3"/>
  <c r="BN408" i="3"/>
  <c r="BF409" i="3"/>
  <c r="BN409" i="3"/>
  <c r="BF410" i="3"/>
  <c r="BN410" i="3"/>
  <c r="BF411" i="3"/>
  <c r="BN411" i="3"/>
  <c r="BF412" i="3"/>
  <c r="BN412" i="3"/>
  <c r="BF413" i="3"/>
  <c r="BN413" i="3"/>
  <c r="BF414" i="3"/>
  <c r="BN414" i="3"/>
  <c r="BF415" i="3"/>
  <c r="BN415" i="3"/>
  <c r="BF416" i="3"/>
  <c r="BN416" i="3"/>
  <c r="BN356" i="3"/>
  <c r="CY12" i="1" l="1"/>
  <c r="CY13" i="1"/>
  <c r="CY14" i="1"/>
  <c r="CY15" i="1"/>
  <c r="CY16" i="1"/>
  <c r="CY17" i="1"/>
  <c r="CY18" i="1"/>
  <c r="CY19" i="1"/>
  <c r="CY20" i="1"/>
  <c r="CY21" i="1"/>
  <c r="CY22" i="1"/>
  <c r="CY23" i="1"/>
  <c r="CY24" i="1"/>
  <c r="CY25" i="1"/>
  <c r="CY26" i="1"/>
  <c r="CY27" i="1"/>
  <c r="CY28" i="1"/>
  <c r="CY29" i="1"/>
  <c r="CY30" i="1"/>
  <c r="CY31" i="1"/>
  <c r="CY32" i="1"/>
  <c r="CY33" i="1"/>
  <c r="CY34" i="1"/>
  <c r="CY35" i="1"/>
  <c r="CY36" i="1"/>
  <c r="CY37" i="1"/>
  <c r="CY38" i="1"/>
  <c r="CY39" i="1"/>
  <c r="CY40" i="1"/>
  <c r="CY41" i="1"/>
  <c r="CY42" i="1"/>
  <c r="CY43" i="1"/>
  <c r="CY44" i="1"/>
  <c r="CY45" i="1"/>
  <c r="CY46" i="1"/>
  <c r="CY47" i="1"/>
  <c r="CY48" i="1"/>
  <c r="CY49" i="1"/>
  <c r="CY50" i="1"/>
  <c r="CY51" i="1"/>
  <c r="CY52" i="1"/>
  <c r="CY53" i="1"/>
  <c r="CY54" i="1"/>
  <c r="CY55" i="1"/>
  <c r="CY56" i="1"/>
  <c r="CY57" i="1"/>
  <c r="CY58" i="1"/>
  <c r="CY59" i="1"/>
  <c r="CY60" i="1"/>
  <c r="BF27" i="3" l="1"/>
  <c r="BF28" i="3"/>
  <c r="BF26" i="3"/>
  <c r="AW27" i="3"/>
  <c r="AW28" i="3"/>
  <c r="AW26" i="3"/>
  <c r="AW23" i="3"/>
  <c r="AW22" i="3"/>
  <c r="H18" i="1" l="1"/>
  <c r="B218" i="3" l="1"/>
  <c r="FB10" i="1"/>
  <c r="FI10" i="1" s="1"/>
  <c r="FA10" i="1"/>
  <c r="FH10" i="1" s="1"/>
  <c r="EF24" i="1"/>
  <c r="EJ24" i="1" l="1"/>
  <c r="AG15" i="1"/>
  <c r="EG24" i="1"/>
  <c r="AG16" i="1" s="1"/>
  <c r="EH24" i="1"/>
  <c r="EI24" i="1"/>
  <c r="ES160" i="1"/>
  <c r="ER160" i="1"/>
  <c r="DT11" i="1"/>
  <c r="DU11" i="1"/>
  <c r="ET160" i="1" s="1"/>
  <c r="DV11" i="1"/>
  <c r="DR11" i="1"/>
  <c r="EM160" i="1" s="1"/>
  <c r="ES111" i="1"/>
  <c r="ES112" i="1"/>
  <c r="ES113" i="1"/>
  <c r="ES114" i="1"/>
  <c r="ES115" i="1"/>
  <c r="ES116" i="1"/>
  <c r="ES117" i="1"/>
  <c r="ES118" i="1"/>
  <c r="ES119" i="1"/>
  <c r="ES120" i="1"/>
  <c r="ES121" i="1"/>
  <c r="ES122" i="1"/>
  <c r="ES123" i="1"/>
  <c r="ES124" i="1"/>
  <c r="ES125" i="1"/>
  <c r="ES126" i="1"/>
  <c r="ES127" i="1"/>
  <c r="ES128" i="1"/>
  <c r="ES129" i="1"/>
  <c r="ES130" i="1"/>
  <c r="ES131" i="1"/>
  <c r="ES132" i="1"/>
  <c r="ES133" i="1"/>
  <c r="ES134" i="1"/>
  <c r="ES135" i="1"/>
  <c r="ES136" i="1"/>
  <c r="ES137" i="1"/>
  <c r="ES138" i="1"/>
  <c r="ES139" i="1"/>
  <c r="ES140" i="1"/>
  <c r="ES141" i="1"/>
  <c r="ES142" i="1"/>
  <c r="ES143" i="1"/>
  <c r="ES144" i="1"/>
  <c r="ES145" i="1"/>
  <c r="ES146" i="1"/>
  <c r="ES147" i="1"/>
  <c r="ES148" i="1"/>
  <c r="ES149" i="1"/>
  <c r="ES150" i="1"/>
  <c r="ES151" i="1"/>
  <c r="ES152" i="1"/>
  <c r="ES153" i="1"/>
  <c r="ES154" i="1"/>
  <c r="ES155" i="1"/>
  <c r="ES156" i="1"/>
  <c r="ES157" i="1"/>
  <c r="ES158" i="1"/>
  <c r="ES159" i="1"/>
  <c r="DF12" i="1"/>
  <c r="EM111" i="1" s="1"/>
  <c r="DH12" i="1"/>
  <c r="EO111" i="1" s="1"/>
  <c r="DI12" i="1"/>
  <c r="EP111" i="1" s="1"/>
  <c r="DJ12" i="1"/>
  <c r="DF13" i="1"/>
  <c r="EM112" i="1" s="1"/>
  <c r="DG13" i="1"/>
  <c r="DH13" i="1"/>
  <c r="EO112" i="1" s="1"/>
  <c r="DI13" i="1"/>
  <c r="EP112" i="1" s="1"/>
  <c r="DJ13" i="1"/>
  <c r="DK13" i="1"/>
  <c r="DF14" i="1"/>
  <c r="EM113" i="1" s="1"/>
  <c r="DG14" i="1"/>
  <c r="DH14" i="1"/>
  <c r="EO113" i="1" s="1"/>
  <c r="DI14" i="1"/>
  <c r="EP113" i="1" s="1"/>
  <c r="DJ14" i="1"/>
  <c r="DK14" i="1"/>
  <c r="DF15" i="1"/>
  <c r="EM114" i="1" s="1"/>
  <c r="DG15" i="1"/>
  <c r="DH15" i="1"/>
  <c r="EO114" i="1" s="1"/>
  <c r="DI15" i="1"/>
  <c r="EP114" i="1" s="1"/>
  <c r="DJ15" i="1"/>
  <c r="DK15" i="1"/>
  <c r="DF16" i="1"/>
  <c r="EM115" i="1" s="1"/>
  <c r="DG16" i="1"/>
  <c r="DH16" i="1"/>
  <c r="EO115" i="1" s="1"/>
  <c r="DI16" i="1"/>
  <c r="EP115" i="1" s="1"/>
  <c r="DJ16" i="1"/>
  <c r="DK16" i="1"/>
  <c r="DF17" i="1"/>
  <c r="EM116" i="1" s="1"/>
  <c r="DG17" i="1"/>
  <c r="DH17" i="1"/>
  <c r="EO116" i="1" s="1"/>
  <c r="DI17" i="1"/>
  <c r="EP116" i="1" s="1"/>
  <c r="DJ17" i="1"/>
  <c r="DK17" i="1"/>
  <c r="DF18" i="1"/>
  <c r="EM117" i="1" s="1"/>
  <c r="DG18" i="1"/>
  <c r="DH18" i="1"/>
  <c r="EO117" i="1" s="1"/>
  <c r="DI18" i="1"/>
  <c r="EP117" i="1" s="1"/>
  <c r="DJ18" i="1"/>
  <c r="DK18" i="1"/>
  <c r="DF19" i="1"/>
  <c r="EM118" i="1" s="1"/>
  <c r="DG19" i="1"/>
  <c r="DH19" i="1"/>
  <c r="EO118" i="1" s="1"/>
  <c r="DI19" i="1"/>
  <c r="EP118" i="1" s="1"/>
  <c r="DJ19" i="1"/>
  <c r="DK19" i="1"/>
  <c r="DF20" i="1"/>
  <c r="EM119" i="1" s="1"/>
  <c r="DG20" i="1"/>
  <c r="DH20" i="1"/>
  <c r="EO119" i="1" s="1"/>
  <c r="DI20" i="1"/>
  <c r="EP119" i="1" s="1"/>
  <c r="DJ20" i="1"/>
  <c r="DK20" i="1"/>
  <c r="DF21" i="1"/>
  <c r="EM120" i="1" s="1"/>
  <c r="DG21" i="1"/>
  <c r="DH21" i="1"/>
  <c r="EO120" i="1" s="1"/>
  <c r="DI21" i="1"/>
  <c r="EP120" i="1" s="1"/>
  <c r="DJ21" i="1"/>
  <c r="DK21" i="1"/>
  <c r="DF22" i="1"/>
  <c r="EM121" i="1" s="1"/>
  <c r="DG22" i="1"/>
  <c r="DH22" i="1"/>
  <c r="EO121" i="1" s="1"/>
  <c r="DI22" i="1"/>
  <c r="EP121" i="1" s="1"/>
  <c r="DJ22" i="1"/>
  <c r="DK22" i="1"/>
  <c r="DF23" i="1"/>
  <c r="EM122" i="1" s="1"/>
  <c r="DG23" i="1"/>
  <c r="DH23" i="1"/>
  <c r="EO122" i="1" s="1"/>
  <c r="DI23" i="1"/>
  <c r="EP122" i="1" s="1"/>
  <c r="DJ23" i="1"/>
  <c r="DK23" i="1"/>
  <c r="DF24" i="1"/>
  <c r="EM123" i="1" s="1"/>
  <c r="DG24" i="1"/>
  <c r="DH24" i="1"/>
  <c r="EO123" i="1" s="1"/>
  <c r="DI24" i="1"/>
  <c r="EP123" i="1" s="1"/>
  <c r="DJ24" i="1"/>
  <c r="DK24" i="1"/>
  <c r="DF25" i="1"/>
  <c r="EM124" i="1" s="1"/>
  <c r="DG25" i="1"/>
  <c r="DH25" i="1"/>
  <c r="EO124" i="1" s="1"/>
  <c r="DI25" i="1"/>
  <c r="EP124" i="1" s="1"/>
  <c r="DJ25" i="1"/>
  <c r="DK25" i="1"/>
  <c r="DF26" i="1"/>
  <c r="EM125" i="1" s="1"/>
  <c r="DG26" i="1"/>
  <c r="DH26" i="1"/>
  <c r="EO125" i="1" s="1"/>
  <c r="DI26" i="1"/>
  <c r="EP125" i="1" s="1"/>
  <c r="DJ26" i="1"/>
  <c r="DK26" i="1"/>
  <c r="DF27" i="1"/>
  <c r="EM126" i="1" s="1"/>
  <c r="DG27" i="1"/>
  <c r="DH27" i="1"/>
  <c r="EO126" i="1" s="1"/>
  <c r="DI27" i="1"/>
  <c r="EP126" i="1" s="1"/>
  <c r="DJ27" i="1"/>
  <c r="DK27" i="1"/>
  <c r="DF28" i="1"/>
  <c r="EM127" i="1" s="1"/>
  <c r="DG28" i="1"/>
  <c r="DH28" i="1"/>
  <c r="EO127" i="1" s="1"/>
  <c r="DI28" i="1"/>
  <c r="EP127" i="1" s="1"/>
  <c r="DJ28" i="1"/>
  <c r="DK28" i="1"/>
  <c r="DF29" i="1"/>
  <c r="EM128" i="1" s="1"/>
  <c r="DG29" i="1"/>
  <c r="DH29" i="1"/>
  <c r="EO128" i="1" s="1"/>
  <c r="DI29" i="1"/>
  <c r="EP128" i="1" s="1"/>
  <c r="DJ29" i="1"/>
  <c r="DK29" i="1"/>
  <c r="DF30" i="1"/>
  <c r="EM129" i="1" s="1"/>
  <c r="DG30" i="1"/>
  <c r="DH30" i="1"/>
  <c r="EO129" i="1" s="1"/>
  <c r="DI30" i="1"/>
  <c r="EP129" i="1" s="1"/>
  <c r="DJ30" i="1"/>
  <c r="DK30" i="1"/>
  <c r="DF31" i="1"/>
  <c r="EM130" i="1" s="1"/>
  <c r="DG31" i="1"/>
  <c r="DH31" i="1"/>
  <c r="EO130" i="1" s="1"/>
  <c r="DI31" i="1"/>
  <c r="EP130" i="1" s="1"/>
  <c r="DJ31" i="1"/>
  <c r="DK31" i="1"/>
  <c r="DF32" i="1"/>
  <c r="EM131" i="1" s="1"/>
  <c r="DG32" i="1"/>
  <c r="DH32" i="1"/>
  <c r="EO131" i="1" s="1"/>
  <c r="DI32" i="1"/>
  <c r="EP131" i="1" s="1"/>
  <c r="DJ32" i="1"/>
  <c r="DK32" i="1"/>
  <c r="DF33" i="1"/>
  <c r="EM132" i="1" s="1"/>
  <c r="DG33" i="1"/>
  <c r="DH33" i="1"/>
  <c r="EO132" i="1" s="1"/>
  <c r="DI33" i="1"/>
  <c r="EP132" i="1" s="1"/>
  <c r="DJ33" i="1"/>
  <c r="DK33" i="1"/>
  <c r="DF34" i="1"/>
  <c r="EM133" i="1" s="1"/>
  <c r="DG34" i="1"/>
  <c r="DH34" i="1"/>
  <c r="EO133" i="1" s="1"/>
  <c r="DI34" i="1"/>
  <c r="EP133" i="1" s="1"/>
  <c r="DJ34" i="1"/>
  <c r="DK34" i="1"/>
  <c r="DF35" i="1"/>
  <c r="EM134" i="1" s="1"/>
  <c r="DG35" i="1"/>
  <c r="DH35" i="1"/>
  <c r="EO134" i="1" s="1"/>
  <c r="DI35" i="1"/>
  <c r="EP134" i="1" s="1"/>
  <c r="DJ35" i="1"/>
  <c r="DK35" i="1"/>
  <c r="DF36" i="1"/>
  <c r="EM135" i="1" s="1"/>
  <c r="DG36" i="1"/>
  <c r="DH36" i="1"/>
  <c r="EO135" i="1" s="1"/>
  <c r="DI36" i="1"/>
  <c r="EP135" i="1" s="1"/>
  <c r="DJ36" i="1"/>
  <c r="DK36" i="1"/>
  <c r="DF37" i="1"/>
  <c r="EM136" i="1" s="1"/>
  <c r="DG37" i="1"/>
  <c r="DH37" i="1"/>
  <c r="EO136" i="1" s="1"/>
  <c r="DI37" i="1"/>
  <c r="EP136" i="1" s="1"/>
  <c r="DJ37" i="1"/>
  <c r="DK37" i="1"/>
  <c r="DF38" i="1"/>
  <c r="EM137" i="1" s="1"/>
  <c r="DG38" i="1"/>
  <c r="DH38" i="1"/>
  <c r="EO137" i="1" s="1"/>
  <c r="DI38" i="1"/>
  <c r="EP137" i="1" s="1"/>
  <c r="DJ38" i="1"/>
  <c r="DK38" i="1"/>
  <c r="DF39" i="1"/>
  <c r="EM138" i="1" s="1"/>
  <c r="DG39" i="1"/>
  <c r="DH39" i="1"/>
  <c r="EO138" i="1" s="1"/>
  <c r="DI39" i="1"/>
  <c r="EP138" i="1" s="1"/>
  <c r="DJ39" i="1"/>
  <c r="DK39" i="1"/>
  <c r="DF40" i="1"/>
  <c r="EM139" i="1" s="1"/>
  <c r="DG40" i="1"/>
  <c r="DH40" i="1"/>
  <c r="EO139" i="1" s="1"/>
  <c r="DI40" i="1"/>
  <c r="EP139" i="1" s="1"/>
  <c r="DJ40" i="1"/>
  <c r="DK40" i="1"/>
  <c r="DF41" i="1"/>
  <c r="EM140" i="1" s="1"/>
  <c r="DG41" i="1"/>
  <c r="DH41" i="1"/>
  <c r="EO140" i="1" s="1"/>
  <c r="DI41" i="1"/>
  <c r="EP140" i="1" s="1"/>
  <c r="DJ41" i="1"/>
  <c r="DK41" i="1"/>
  <c r="DF42" i="1"/>
  <c r="EM141" i="1" s="1"/>
  <c r="DG42" i="1"/>
  <c r="DH42" i="1"/>
  <c r="EO141" i="1" s="1"/>
  <c r="DI42" i="1"/>
  <c r="EP141" i="1" s="1"/>
  <c r="DJ42" i="1"/>
  <c r="DK42" i="1"/>
  <c r="DF43" i="1"/>
  <c r="EM142" i="1" s="1"/>
  <c r="DG43" i="1"/>
  <c r="DH43" i="1"/>
  <c r="EO142" i="1" s="1"/>
  <c r="DI43" i="1"/>
  <c r="EP142" i="1" s="1"/>
  <c r="DJ43" i="1"/>
  <c r="DK43" i="1"/>
  <c r="DF44" i="1"/>
  <c r="EM143" i="1" s="1"/>
  <c r="DG44" i="1"/>
  <c r="DH44" i="1"/>
  <c r="EO143" i="1" s="1"/>
  <c r="DI44" i="1"/>
  <c r="EP143" i="1" s="1"/>
  <c r="DJ44" i="1"/>
  <c r="DK44" i="1"/>
  <c r="DF45" i="1"/>
  <c r="EM144" i="1" s="1"/>
  <c r="DG45" i="1"/>
  <c r="DH45" i="1"/>
  <c r="EO144" i="1" s="1"/>
  <c r="DI45" i="1"/>
  <c r="EP144" i="1" s="1"/>
  <c r="DJ45" i="1"/>
  <c r="DK45" i="1"/>
  <c r="DF46" i="1"/>
  <c r="EM145" i="1" s="1"/>
  <c r="DG46" i="1"/>
  <c r="DH46" i="1"/>
  <c r="EO145" i="1" s="1"/>
  <c r="DI46" i="1"/>
  <c r="EP145" i="1" s="1"/>
  <c r="DJ46" i="1"/>
  <c r="DK46" i="1"/>
  <c r="DF47" i="1"/>
  <c r="EM146" i="1" s="1"/>
  <c r="DG47" i="1"/>
  <c r="DH47" i="1"/>
  <c r="EO146" i="1" s="1"/>
  <c r="DI47" i="1"/>
  <c r="EP146" i="1" s="1"/>
  <c r="DJ47" i="1"/>
  <c r="DK47" i="1"/>
  <c r="DF48" i="1"/>
  <c r="EM147" i="1" s="1"/>
  <c r="DG48" i="1"/>
  <c r="DH48" i="1"/>
  <c r="EO147" i="1" s="1"/>
  <c r="DI48" i="1"/>
  <c r="EP147" i="1" s="1"/>
  <c r="DJ48" i="1"/>
  <c r="DK48" i="1"/>
  <c r="DF49" i="1"/>
  <c r="EM148" i="1" s="1"/>
  <c r="DG49" i="1"/>
  <c r="DH49" i="1"/>
  <c r="EO148" i="1" s="1"/>
  <c r="DI49" i="1"/>
  <c r="EP148" i="1" s="1"/>
  <c r="DJ49" i="1"/>
  <c r="DK49" i="1"/>
  <c r="DF50" i="1"/>
  <c r="EM149" i="1" s="1"/>
  <c r="DG50" i="1"/>
  <c r="DH50" i="1"/>
  <c r="EO149" i="1" s="1"/>
  <c r="DI50" i="1"/>
  <c r="EP149" i="1" s="1"/>
  <c r="DJ50" i="1"/>
  <c r="DK50" i="1"/>
  <c r="DF51" i="1"/>
  <c r="EM150" i="1" s="1"/>
  <c r="DG51" i="1"/>
  <c r="DH51" i="1"/>
  <c r="EO150" i="1" s="1"/>
  <c r="DI51" i="1"/>
  <c r="EP150" i="1" s="1"/>
  <c r="DJ51" i="1"/>
  <c r="DK51" i="1"/>
  <c r="DF52" i="1"/>
  <c r="EM151" i="1" s="1"/>
  <c r="DG52" i="1"/>
  <c r="DH52" i="1"/>
  <c r="EO151" i="1" s="1"/>
  <c r="DI52" i="1"/>
  <c r="EP151" i="1" s="1"/>
  <c r="DJ52" i="1"/>
  <c r="DK52" i="1"/>
  <c r="DF53" i="1"/>
  <c r="EM152" i="1" s="1"/>
  <c r="DG53" i="1"/>
  <c r="DH53" i="1"/>
  <c r="EO152" i="1" s="1"/>
  <c r="DI53" i="1"/>
  <c r="EP152" i="1" s="1"/>
  <c r="DJ53" i="1"/>
  <c r="DK53" i="1"/>
  <c r="DF54" i="1"/>
  <c r="EM153" i="1" s="1"/>
  <c r="DG54" i="1"/>
  <c r="DH54" i="1"/>
  <c r="EO153" i="1" s="1"/>
  <c r="DI54" i="1"/>
  <c r="EP153" i="1" s="1"/>
  <c r="DJ54" i="1"/>
  <c r="DK54" i="1"/>
  <c r="DF55" i="1"/>
  <c r="EM154" i="1" s="1"/>
  <c r="DG55" i="1"/>
  <c r="DH55" i="1"/>
  <c r="EO154" i="1" s="1"/>
  <c r="DI55" i="1"/>
  <c r="EP154" i="1" s="1"/>
  <c r="DJ55" i="1"/>
  <c r="DK55" i="1"/>
  <c r="DF56" i="1"/>
  <c r="EM155" i="1" s="1"/>
  <c r="DG56" i="1"/>
  <c r="DH56" i="1"/>
  <c r="EO155" i="1" s="1"/>
  <c r="DI56" i="1"/>
  <c r="EP155" i="1" s="1"/>
  <c r="DJ56" i="1"/>
  <c r="DK56" i="1"/>
  <c r="DF57" i="1"/>
  <c r="EM156" i="1" s="1"/>
  <c r="DG57" i="1"/>
  <c r="DH57" i="1"/>
  <c r="EO156" i="1" s="1"/>
  <c r="DI57" i="1"/>
  <c r="EP156" i="1" s="1"/>
  <c r="DJ57" i="1"/>
  <c r="DK57" i="1"/>
  <c r="DF58" i="1"/>
  <c r="EM157" i="1" s="1"/>
  <c r="DG58" i="1"/>
  <c r="DH58" i="1"/>
  <c r="EO157" i="1" s="1"/>
  <c r="DI58" i="1"/>
  <c r="EP157" i="1" s="1"/>
  <c r="DJ58" i="1"/>
  <c r="DK58" i="1"/>
  <c r="DF59" i="1"/>
  <c r="EM158" i="1" s="1"/>
  <c r="DG59" i="1"/>
  <c r="DH59" i="1"/>
  <c r="EO158" i="1" s="1"/>
  <c r="DI59" i="1"/>
  <c r="EP158" i="1" s="1"/>
  <c r="DJ59" i="1"/>
  <c r="DK59" i="1"/>
  <c r="DF60" i="1"/>
  <c r="EM159" i="1" s="1"/>
  <c r="DG60" i="1"/>
  <c r="DH60" i="1"/>
  <c r="EO159" i="1" s="1"/>
  <c r="DI60" i="1"/>
  <c r="EP159" i="1" s="1"/>
  <c r="DJ60" i="1"/>
  <c r="DK60" i="1"/>
  <c r="DH11" i="1"/>
  <c r="EO110" i="1" s="1"/>
  <c r="DI11" i="1"/>
  <c r="EP110" i="1" s="1"/>
  <c r="DJ11" i="1"/>
  <c r="DF11" i="1"/>
  <c r="EM110" i="1" s="1"/>
  <c r="ES61" i="1"/>
  <c r="ES62" i="1"/>
  <c r="ES63" i="1"/>
  <c r="ES64" i="1"/>
  <c r="ES65" i="1"/>
  <c r="ES66" i="1"/>
  <c r="ES67" i="1"/>
  <c r="ES68" i="1"/>
  <c r="ES69" i="1"/>
  <c r="ES70" i="1"/>
  <c r="ES71" i="1"/>
  <c r="ES72" i="1"/>
  <c r="ES73" i="1"/>
  <c r="ES74" i="1"/>
  <c r="ES75" i="1"/>
  <c r="ES76" i="1"/>
  <c r="ES77" i="1"/>
  <c r="ES78" i="1"/>
  <c r="ES79" i="1"/>
  <c r="ES80" i="1"/>
  <c r="ES81" i="1"/>
  <c r="ES82" i="1"/>
  <c r="ES83" i="1"/>
  <c r="ES84" i="1"/>
  <c r="ES85" i="1"/>
  <c r="ES86" i="1"/>
  <c r="ES87" i="1"/>
  <c r="ES88" i="1"/>
  <c r="ES89" i="1"/>
  <c r="ES90" i="1"/>
  <c r="ES91" i="1"/>
  <c r="ES92" i="1"/>
  <c r="ES93" i="1"/>
  <c r="ES94" i="1"/>
  <c r="ES95" i="1"/>
  <c r="ES96" i="1"/>
  <c r="ES97" i="1"/>
  <c r="ES98" i="1"/>
  <c r="ES99" i="1"/>
  <c r="ES100" i="1"/>
  <c r="ES101" i="1"/>
  <c r="ES102" i="1"/>
  <c r="ES103" i="1"/>
  <c r="ES104" i="1"/>
  <c r="ES105" i="1"/>
  <c r="ES106" i="1"/>
  <c r="ES107" i="1"/>
  <c r="ES108" i="1"/>
  <c r="ES109" i="1"/>
  <c r="CT12" i="1"/>
  <c r="EM61" i="1" s="1"/>
  <c r="CU12" i="1"/>
  <c r="CV12" i="1"/>
  <c r="EO61" i="1" s="1"/>
  <c r="CW12" i="1"/>
  <c r="EP61" i="1" s="1"/>
  <c r="CX12" i="1"/>
  <c r="CT13" i="1"/>
  <c r="EM62" i="1" s="1"/>
  <c r="CU13" i="1"/>
  <c r="CV13" i="1"/>
  <c r="EO62" i="1" s="1"/>
  <c r="CW13" i="1"/>
  <c r="EP62" i="1" s="1"/>
  <c r="CX13" i="1"/>
  <c r="CT14" i="1"/>
  <c r="EM63" i="1" s="1"/>
  <c r="CU14" i="1"/>
  <c r="CV14" i="1"/>
  <c r="EO63" i="1" s="1"/>
  <c r="CW14" i="1"/>
  <c r="EP63" i="1" s="1"/>
  <c r="CX14" i="1"/>
  <c r="CT15" i="1"/>
  <c r="EM64" i="1" s="1"/>
  <c r="CU15" i="1"/>
  <c r="CV15" i="1"/>
  <c r="EO64" i="1" s="1"/>
  <c r="CW15" i="1"/>
  <c r="EP64" i="1" s="1"/>
  <c r="CX15" i="1"/>
  <c r="CT16" i="1"/>
  <c r="EM65" i="1" s="1"/>
  <c r="CU16" i="1"/>
  <c r="CV16" i="1"/>
  <c r="EO65" i="1" s="1"/>
  <c r="CW16" i="1"/>
  <c r="EP65" i="1" s="1"/>
  <c r="CX16" i="1"/>
  <c r="CT17" i="1"/>
  <c r="EM66" i="1" s="1"/>
  <c r="CU17" i="1"/>
  <c r="CV17" i="1"/>
  <c r="EO66" i="1" s="1"/>
  <c r="CW17" i="1"/>
  <c r="EP66" i="1" s="1"/>
  <c r="CX17" i="1"/>
  <c r="CT18" i="1"/>
  <c r="EM67" i="1" s="1"/>
  <c r="CU18" i="1"/>
  <c r="CV18" i="1"/>
  <c r="EO67" i="1" s="1"/>
  <c r="CW18" i="1"/>
  <c r="EP67" i="1" s="1"/>
  <c r="CX18" i="1"/>
  <c r="CT19" i="1"/>
  <c r="EM68" i="1" s="1"/>
  <c r="CU19" i="1"/>
  <c r="CV19" i="1"/>
  <c r="EO68" i="1" s="1"/>
  <c r="CW19" i="1"/>
  <c r="EP68" i="1" s="1"/>
  <c r="CX19" i="1"/>
  <c r="CT20" i="1"/>
  <c r="EM69" i="1" s="1"/>
  <c r="CU20" i="1"/>
  <c r="CV20" i="1"/>
  <c r="EO69" i="1" s="1"/>
  <c r="CW20" i="1"/>
  <c r="EP69" i="1" s="1"/>
  <c r="CX20" i="1"/>
  <c r="CT21" i="1"/>
  <c r="EM70" i="1" s="1"/>
  <c r="CU21" i="1"/>
  <c r="CV21" i="1"/>
  <c r="EO70" i="1" s="1"/>
  <c r="CW21" i="1"/>
  <c r="EP70" i="1" s="1"/>
  <c r="CX21" i="1"/>
  <c r="CT22" i="1"/>
  <c r="EM71" i="1" s="1"/>
  <c r="CU22" i="1"/>
  <c r="CV22" i="1"/>
  <c r="EO71" i="1" s="1"/>
  <c r="CW22" i="1"/>
  <c r="EP71" i="1" s="1"/>
  <c r="CX22" i="1"/>
  <c r="CT23" i="1"/>
  <c r="EM72" i="1" s="1"/>
  <c r="CU23" i="1"/>
  <c r="CV23" i="1"/>
  <c r="EO72" i="1" s="1"/>
  <c r="CW23" i="1"/>
  <c r="EP72" i="1" s="1"/>
  <c r="CX23" i="1"/>
  <c r="CT24" i="1"/>
  <c r="EM73" i="1" s="1"/>
  <c r="CU24" i="1"/>
  <c r="CV24" i="1"/>
  <c r="EO73" i="1" s="1"/>
  <c r="CW24" i="1"/>
  <c r="EP73" i="1" s="1"/>
  <c r="CX24" i="1"/>
  <c r="CT25" i="1"/>
  <c r="EM74" i="1" s="1"/>
  <c r="CU25" i="1"/>
  <c r="CV25" i="1"/>
  <c r="EO74" i="1" s="1"/>
  <c r="CW25" i="1"/>
  <c r="EP74" i="1" s="1"/>
  <c r="CX25" i="1"/>
  <c r="CT26" i="1"/>
  <c r="EM75" i="1" s="1"/>
  <c r="CU26" i="1"/>
  <c r="CV26" i="1"/>
  <c r="EO75" i="1" s="1"/>
  <c r="CW26" i="1"/>
  <c r="EP75" i="1" s="1"/>
  <c r="CX26" i="1"/>
  <c r="CT27" i="1"/>
  <c r="EM76" i="1" s="1"/>
  <c r="CU27" i="1"/>
  <c r="CV27" i="1"/>
  <c r="EO76" i="1" s="1"/>
  <c r="CW27" i="1"/>
  <c r="EP76" i="1" s="1"/>
  <c r="CX27" i="1"/>
  <c r="CT28" i="1"/>
  <c r="EM77" i="1" s="1"/>
  <c r="CU28" i="1"/>
  <c r="CV28" i="1"/>
  <c r="EO77" i="1" s="1"/>
  <c r="CW28" i="1"/>
  <c r="EP77" i="1" s="1"/>
  <c r="CX28" i="1"/>
  <c r="CT29" i="1"/>
  <c r="EM78" i="1" s="1"/>
  <c r="CU29" i="1"/>
  <c r="CV29" i="1"/>
  <c r="EO78" i="1" s="1"/>
  <c r="CW29" i="1"/>
  <c r="EP78" i="1" s="1"/>
  <c r="CX29" i="1"/>
  <c r="CT30" i="1"/>
  <c r="EM79" i="1" s="1"/>
  <c r="CU30" i="1"/>
  <c r="CV30" i="1"/>
  <c r="EO79" i="1" s="1"/>
  <c r="CW30" i="1"/>
  <c r="EP79" i="1" s="1"/>
  <c r="CX30" i="1"/>
  <c r="CT31" i="1"/>
  <c r="EM80" i="1" s="1"/>
  <c r="CU31" i="1"/>
  <c r="CV31" i="1"/>
  <c r="EO80" i="1" s="1"/>
  <c r="CW31" i="1"/>
  <c r="EP80" i="1" s="1"/>
  <c r="CX31" i="1"/>
  <c r="CT32" i="1"/>
  <c r="EM81" i="1" s="1"/>
  <c r="CU32" i="1"/>
  <c r="CV32" i="1"/>
  <c r="EO81" i="1" s="1"/>
  <c r="CW32" i="1"/>
  <c r="EP81" i="1" s="1"/>
  <c r="CX32" i="1"/>
  <c r="CT33" i="1"/>
  <c r="EM82" i="1" s="1"/>
  <c r="CU33" i="1"/>
  <c r="CV33" i="1"/>
  <c r="EO82" i="1" s="1"/>
  <c r="CW33" i="1"/>
  <c r="EP82" i="1" s="1"/>
  <c r="CX33" i="1"/>
  <c r="CT34" i="1"/>
  <c r="EM83" i="1" s="1"/>
  <c r="CU34" i="1"/>
  <c r="CV34" i="1"/>
  <c r="EO83" i="1" s="1"/>
  <c r="CW34" i="1"/>
  <c r="EP83" i="1" s="1"/>
  <c r="CX34" i="1"/>
  <c r="CT35" i="1"/>
  <c r="EM84" i="1" s="1"/>
  <c r="CU35" i="1"/>
  <c r="CV35" i="1"/>
  <c r="EO84" i="1" s="1"/>
  <c r="CW35" i="1"/>
  <c r="EP84" i="1" s="1"/>
  <c r="CX35" i="1"/>
  <c r="CT36" i="1"/>
  <c r="EM85" i="1" s="1"/>
  <c r="CU36" i="1"/>
  <c r="CV36" i="1"/>
  <c r="EO85" i="1" s="1"/>
  <c r="CW36" i="1"/>
  <c r="EP85" i="1" s="1"/>
  <c r="CX36" i="1"/>
  <c r="CT37" i="1"/>
  <c r="EM86" i="1" s="1"/>
  <c r="CU37" i="1"/>
  <c r="CV37" i="1"/>
  <c r="EO86" i="1" s="1"/>
  <c r="CW37" i="1"/>
  <c r="EP86" i="1" s="1"/>
  <c r="CX37" i="1"/>
  <c r="CT38" i="1"/>
  <c r="EM87" i="1" s="1"/>
  <c r="CU38" i="1"/>
  <c r="CV38" i="1"/>
  <c r="EO87" i="1" s="1"/>
  <c r="CW38" i="1"/>
  <c r="EP87" i="1" s="1"/>
  <c r="CX38" i="1"/>
  <c r="CT39" i="1"/>
  <c r="EM88" i="1" s="1"/>
  <c r="CU39" i="1"/>
  <c r="CV39" i="1"/>
  <c r="EO88" i="1" s="1"/>
  <c r="CW39" i="1"/>
  <c r="EP88" i="1" s="1"/>
  <c r="CX39" i="1"/>
  <c r="CT40" i="1"/>
  <c r="EM89" i="1" s="1"/>
  <c r="CU40" i="1"/>
  <c r="CV40" i="1"/>
  <c r="EO89" i="1" s="1"/>
  <c r="CW40" i="1"/>
  <c r="EP89" i="1" s="1"/>
  <c r="CX40" i="1"/>
  <c r="CT41" i="1"/>
  <c r="EM90" i="1" s="1"/>
  <c r="CU41" i="1"/>
  <c r="CV41" i="1"/>
  <c r="EO90" i="1" s="1"/>
  <c r="CW41" i="1"/>
  <c r="EP90" i="1" s="1"/>
  <c r="CX41" i="1"/>
  <c r="CT42" i="1"/>
  <c r="EM91" i="1" s="1"/>
  <c r="CU42" i="1"/>
  <c r="CV42" i="1"/>
  <c r="EO91" i="1" s="1"/>
  <c r="CW42" i="1"/>
  <c r="EP91" i="1" s="1"/>
  <c r="CX42" i="1"/>
  <c r="CT43" i="1"/>
  <c r="EM92" i="1" s="1"/>
  <c r="CU43" i="1"/>
  <c r="CV43" i="1"/>
  <c r="EO92" i="1" s="1"/>
  <c r="CW43" i="1"/>
  <c r="EP92" i="1" s="1"/>
  <c r="CX43" i="1"/>
  <c r="CT44" i="1"/>
  <c r="EM93" i="1" s="1"/>
  <c r="CU44" i="1"/>
  <c r="CV44" i="1"/>
  <c r="EO93" i="1" s="1"/>
  <c r="CW44" i="1"/>
  <c r="EP93" i="1" s="1"/>
  <c r="CX44" i="1"/>
  <c r="CT45" i="1"/>
  <c r="EM94" i="1" s="1"/>
  <c r="CU45" i="1"/>
  <c r="CV45" i="1"/>
  <c r="EO94" i="1" s="1"/>
  <c r="CW45" i="1"/>
  <c r="EP94" i="1" s="1"/>
  <c r="CX45" i="1"/>
  <c r="CT46" i="1"/>
  <c r="EM95" i="1" s="1"/>
  <c r="CU46" i="1"/>
  <c r="CV46" i="1"/>
  <c r="EO95" i="1" s="1"/>
  <c r="CW46" i="1"/>
  <c r="EP95" i="1" s="1"/>
  <c r="CX46" i="1"/>
  <c r="CT47" i="1"/>
  <c r="EM96" i="1" s="1"/>
  <c r="CU47" i="1"/>
  <c r="CV47" i="1"/>
  <c r="EO96" i="1" s="1"/>
  <c r="CW47" i="1"/>
  <c r="EP96" i="1" s="1"/>
  <c r="CX47" i="1"/>
  <c r="CT48" i="1"/>
  <c r="EM97" i="1" s="1"/>
  <c r="CU48" i="1"/>
  <c r="CV48" i="1"/>
  <c r="EO97" i="1" s="1"/>
  <c r="CW48" i="1"/>
  <c r="EP97" i="1" s="1"/>
  <c r="CX48" i="1"/>
  <c r="CT49" i="1"/>
  <c r="EM98" i="1" s="1"/>
  <c r="CU49" i="1"/>
  <c r="CV49" i="1"/>
  <c r="EO98" i="1" s="1"/>
  <c r="CW49" i="1"/>
  <c r="EP98" i="1" s="1"/>
  <c r="CX49" i="1"/>
  <c r="CT50" i="1"/>
  <c r="EM99" i="1" s="1"/>
  <c r="CU50" i="1"/>
  <c r="CV50" i="1"/>
  <c r="EO99" i="1" s="1"/>
  <c r="CW50" i="1"/>
  <c r="EP99" i="1" s="1"/>
  <c r="CX50" i="1"/>
  <c r="CT51" i="1"/>
  <c r="EM100" i="1" s="1"/>
  <c r="CU51" i="1"/>
  <c r="CV51" i="1"/>
  <c r="EO100" i="1" s="1"/>
  <c r="CW51" i="1"/>
  <c r="EP100" i="1" s="1"/>
  <c r="CX51" i="1"/>
  <c r="CT52" i="1"/>
  <c r="EM101" i="1" s="1"/>
  <c r="CU52" i="1"/>
  <c r="CV52" i="1"/>
  <c r="EO101" i="1" s="1"/>
  <c r="CW52" i="1"/>
  <c r="EP101" i="1" s="1"/>
  <c r="CX52" i="1"/>
  <c r="CT53" i="1"/>
  <c r="EM102" i="1" s="1"/>
  <c r="CU53" i="1"/>
  <c r="CV53" i="1"/>
  <c r="EO102" i="1" s="1"/>
  <c r="CW53" i="1"/>
  <c r="EP102" i="1" s="1"/>
  <c r="CX53" i="1"/>
  <c r="CT54" i="1"/>
  <c r="EM103" i="1" s="1"/>
  <c r="CU54" i="1"/>
  <c r="CV54" i="1"/>
  <c r="EO103" i="1" s="1"/>
  <c r="CW54" i="1"/>
  <c r="EP103" i="1" s="1"/>
  <c r="CX54" i="1"/>
  <c r="CT55" i="1"/>
  <c r="EM104" i="1" s="1"/>
  <c r="CU55" i="1"/>
  <c r="CV55" i="1"/>
  <c r="EO104" i="1" s="1"/>
  <c r="CW55" i="1"/>
  <c r="EP104" i="1" s="1"/>
  <c r="CX55" i="1"/>
  <c r="CT56" i="1"/>
  <c r="EM105" i="1" s="1"/>
  <c r="CU56" i="1"/>
  <c r="CV56" i="1"/>
  <c r="EO105" i="1" s="1"/>
  <c r="CW56" i="1"/>
  <c r="EP105" i="1" s="1"/>
  <c r="CX56" i="1"/>
  <c r="CT57" i="1"/>
  <c r="EM106" i="1" s="1"/>
  <c r="CU57" i="1"/>
  <c r="CV57" i="1"/>
  <c r="EO106" i="1" s="1"/>
  <c r="CW57" i="1"/>
  <c r="EP106" i="1" s="1"/>
  <c r="CX57" i="1"/>
  <c r="CT58" i="1"/>
  <c r="EM107" i="1" s="1"/>
  <c r="CU58" i="1"/>
  <c r="CV58" i="1"/>
  <c r="EO107" i="1" s="1"/>
  <c r="CW58" i="1"/>
  <c r="EP107" i="1" s="1"/>
  <c r="CX58" i="1"/>
  <c r="CT59" i="1"/>
  <c r="EM108" i="1" s="1"/>
  <c r="CU59" i="1"/>
  <c r="CV59" i="1"/>
  <c r="EO108" i="1" s="1"/>
  <c r="CW59" i="1"/>
  <c r="EP108" i="1" s="1"/>
  <c r="CX59" i="1"/>
  <c r="CT60" i="1"/>
  <c r="EM109" i="1" s="1"/>
  <c r="CU60" i="1"/>
  <c r="CV60" i="1"/>
  <c r="EO109" i="1" s="1"/>
  <c r="CW60" i="1"/>
  <c r="EP109" i="1" s="1"/>
  <c r="CX60" i="1"/>
  <c r="CU11" i="1"/>
  <c r="CW11" i="1"/>
  <c r="EP60" i="1" s="1"/>
  <c r="CX11" i="1"/>
  <c r="CT11" i="1"/>
  <c r="EM60" i="1" s="1"/>
  <c r="ES11" i="1"/>
  <c r="ES12" i="1"/>
  <c r="ES13" i="1"/>
  <c r="ES14" i="1"/>
  <c r="ES15" i="1"/>
  <c r="ES16" i="1"/>
  <c r="ES17" i="1"/>
  <c r="ES18" i="1"/>
  <c r="ES19" i="1"/>
  <c r="ES20" i="1"/>
  <c r="ES21" i="1"/>
  <c r="ES22" i="1"/>
  <c r="ES23" i="1"/>
  <c r="ES24" i="1"/>
  <c r="ES25" i="1"/>
  <c r="ES26" i="1"/>
  <c r="ES27" i="1"/>
  <c r="ES28" i="1"/>
  <c r="ES29" i="1"/>
  <c r="ES30" i="1"/>
  <c r="ES31" i="1"/>
  <c r="ES32" i="1"/>
  <c r="ES33" i="1"/>
  <c r="ES34" i="1"/>
  <c r="ES35" i="1"/>
  <c r="ES36" i="1"/>
  <c r="ES37" i="1"/>
  <c r="ES38" i="1"/>
  <c r="ES39" i="1"/>
  <c r="ES40" i="1"/>
  <c r="ES41" i="1"/>
  <c r="ES42" i="1"/>
  <c r="ES43" i="1"/>
  <c r="ES44" i="1"/>
  <c r="ES45" i="1"/>
  <c r="ES46" i="1"/>
  <c r="ES47" i="1"/>
  <c r="ES48" i="1"/>
  <c r="ES49" i="1"/>
  <c r="ES50" i="1"/>
  <c r="ES51" i="1"/>
  <c r="ES52" i="1"/>
  <c r="ES53" i="1"/>
  <c r="ES54" i="1"/>
  <c r="ES55" i="1"/>
  <c r="ES56" i="1"/>
  <c r="ES57" i="1"/>
  <c r="ES58" i="1"/>
  <c r="ES59" i="1"/>
  <c r="CN11" i="1"/>
  <c r="EP10" i="1" s="1"/>
  <c r="CL12" i="1"/>
  <c r="EM11" i="1" s="1"/>
  <c r="CM12" i="1"/>
  <c r="EO11" i="1" s="1"/>
  <c r="ER11" i="1" s="1"/>
  <c r="CN12" i="1"/>
  <c r="EP11" i="1" s="1"/>
  <c r="CL13" i="1"/>
  <c r="EM12" i="1" s="1"/>
  <c r="CM13" i="1"/>
  <c r="EO12" i="1" s="1"/>
  <c r="ER12" i="1" s="1"/>
  <c r="CN13" i="1"/>
  <c r="EP12" i="1" s="1"/>
  <c r="CL14" i="1"/>
  <c r="EM13" i="1" s="1"/>
  <c r="CM14" i="1"/>
  <c r="EO13" i="1" s="1"/>
  <c r="ER13" i="1" s="1"/>
  <c r="CN14" i="1"/>
  <c r="EP13" i="1" s="1"/>
  <c r="CL15" i="1"/>
  <c r="EM14" i="1" s="1"/>
  <c r="CM15" i="1"/>
  <c r="EO14" i="1" s="1"/>
  <c r="ER14" i="1" s="1"/>
  <c r="CN15" i="1"/>
  <c r="EP14" i="1" s="1"/>
  <c r="CL16" i="1"/>
  <c r="EM15" i="1" s="1"/>
  <c r="CM16" i="1"/>
  <c r="EO15" i="1" s="1"/>
  <c r="ER15" i="1" s="1"/>
  <c r="CN16" i="1"/>
  <c r="EP15" i="1" s="1"/>
  <c r="CL17" i="1"/>
  <c r="EM16" i="1" s="1"/>
  <c r="CM17" i="1"/>
  <c r="EO16" i="1" s="1"/>
  <c r="ER16" i="1" s="1"/>
  <c r="CN17" i="1"/>
  <c r="EP16" i="1" s="1"/>
  <c r="CL18" i="1"/>
  <c r="EM17" i="1" s="1"/>
  <c r="CM18" i="1"/>
  <c r="EO17" i="1" s="1"/>
  <c r="ER17" i="1" s="1"/>
  <c r="CN18" i="1"/>
  <c r="EP17" i="1" s="1"/>
  <c r="CL19" i="1"/>
  <c r="EM18" i="1" s="1"/>
  <c r="CM19" i="1"/>
  <c r="EO18" i="1" s="1"/>
  <c r="ER18" i="1" s="1"/>
  <c r="CN19" i="1"/>
  <c r="EP18" i="1" s="1"/>
  <c r="CL20" i="1"/>
  <c r="EM19" i="1" s="1"/>
  <c r="CM20" i="1"/>
  <c r="EO19" i="1" s="1"/>
  <c r="ER19" i="1" s="1"/>
  <c r="CN20" i="1"/>
  <c r="EP19" i="1" s="1"/>
  <c r="CL21" i="1"/>
  <c r="EM20" i="1" s="1"/>
  <c r="CM21" i="1"/>
  <c r="EO20" i="1" s="1"/>
  <c r="ER20" i="1" s="1"/>
  <c r="CN21" i="1"/>
  <c r="EP20" i="1" s="1"/>
  <c r="CL22" i="1"/>
  <c r="EM21" i="1" s="1"/>
  <c r="CM22" i="1"/>
  <c r="EO21" i="1" s="1"/>
  <c r="ER21" i="1" s="1"/>
  <c r="CN22" i="1"/>
  <c r="EP21" i="1" s="1"/>
  <c r="CL23" i="1"/>
  <c r="EM22" i="1" s="1"/>
  <c r="CM23" i="1"/>
  <c r="EO22" i="1" s="1"/>
  <c r="ER22" i="1" s="1"/>
  <c r="CN23" i="1"/>
  <c r="EP22" i="1" s="1"/>
  <c r="CL24" i="1"/>
  <c r="EM23" i="1" s="1"/>
  <c r="CM24" i="1"/>
  <c r="EO23" i="1" s="1"/>
  <c r="ER23" i="1" s="1"/>
  <c r="CN24" i="1"/>
  <c r="EP23" i="1" s="1"/>
  <c r="CL25" i="1"/>
  <c r="EM24" i="1" s="1"/>
  <c r="CM25" i="1"/>
  <c r="EO24" i="1" s="1"/>
  <c r="ER24" i="1" s="1"/>
  <c r="CN25" i="1"/>
  <c r="EP24" i="1" s="1"/>
  <c r="CL26" i="1"/>
  <c r="EM25" i="1" s="1"/>
  <c r="CM26" i="1"/>
  <c r="EO25" i="1" s="1"/>
  <c r="ER25" i="1" s="1"/>
  <c r="CN26" i="1"/>
  <c r="EP25" i="1" s="1"/>
  <c r="CL27" i="1"/>
  <c r="EM26" i="1" s="1"/>
  <c r="CM27" i="1"/>
  <c r="EO26" i="1" s="1"/>
  <c r="ER26" i="1" s="1"/>
  <c r="CN27" i="1"/>
  <c r="EP26" i="1" s="1"/>
  <c r="CL28" i="1"/>
  <c r="EM27" i="1" s="1"/>
  <c r="CM28" i="1"/>
  <c r="EO27" i="1" s="1"/>
  <c r="ER27" i="1" s="1"/>
  <c r="CN28" i="1"/>
  <c r="EP27" i="1" s="1"/>
  <c r="CL29" i="1"/>
  <c r="EM28" i="1" s="1"/>
  <c r="CM29" i="1"/>
  <c r="EO28" i="1" s="1"/>
  <c r="ER28" i="1" s="1"/>
  <c r="CN29" i="1"/>
  <c r="EP28" i="1" s="1"/>
  <c r="CL30" i="1"/>
  <c r="EM29" i="1" s="1"/>
  <c r="CM30" i="1"/>
  <c r="EO29" i="1" s="1"/>
  <c r="ER29" i="1" s="1"/>
  <c r="CN30" i="1"/>
  <c r="EP29" i="1" s="1"/>
  <c r="CL31" i="1"/>
  <c r="EM30" i="1" s="1"/>
  <c r="CM31" i="1"/>
  <c r="EO30" i="1" s="1"/>
  <c r="ER30" i="1" s="1"/>
  <c r="CN31" i="1"/>
  <c r="EP30" i="1" s="1"/>
  <c r="CL32" i="1"/>
  <c r="EM31" i="1" s="1"/>
  <c r="CM32" i="1"/>
  <c r="EO31" i="1" s="1"/>
  <c r="ER31" i="1" s="1"/>
  <c r="CN32" i="1"/>
  <c r="EP31" i="1" s="1"/>
  <c r="CL33" i="1"/>
  <c r="EM32" i="1" s="1"/>
  <c r="CM33" i="1"/>
  <c r="EO32" i="1" s="1"/>
  <c r="ER32" i="1" s="1"/>
  <c r="CN33" i="1"/>
  <c r="EP32" i="1" s="1"/>
  <c r="CL34" i="1"/>
  <c r="EM33" i="1" s="1"/>
  <c r="CM34" i="1"/>
  <c r="EO33" i="1" s="1"/>
  <c r="ER33" i="1" s="1"/>
  <c r="CN34" i="1"/>
  <c r="EP33" i="1" s="1"/>
  <c r="CL35" i="1"/>
  <c r="EM34" i="1" s="1"/>
  <c r="CM35" i="1"/>
  <c r="EO34" i="1" s="1"/>
  <c r="ER34" i="1" s="1"/>
  <c r="CN35" i="1"/>
  <c r="EP34" i="1" s="1"/>
  <c r="CL36" i="1"/>
  <c r="EM35" i="1" s="1"/>
  <c r="CM36" i="1"/>
  <c r="EO35" i="1" s="1"/>
  <c r="ER35" i="1" s="1"/>
  <c r="CN36" i="1"/>
  <c r="EP35" i="1" s="1"/>
  <c r="CL37" i="1"/>
  <c r="EM36" i="1" s="1"/>
  <c r="CM37" i="1"/>
  <c r="EO36" i="1" s="1"/>
  <c r="ER36" i="1" s="1"/>
  <c r="CN37" i="1"/>
  <c r="EP36" i="1" s="1"/>
  <c r="CL38" i="1"/>
  <c r="EM37" i="1" s="1"/>
  <c r="CM38" i="1"/>
  <c r="EO37" i="1" s="1"/>
  <c r="ER37" i="1" s="1"/>
  <c r="CN38" i="1"/>
  <c r="EP37" i="1" s="1"/>
  <c r="CL39" i="1"/>
  <c r="EM38" i="1" s="1"/>
  <c r="CM39" i="1"/>
  <c r="EO38" i="1" s="1"/>
  <c r="ER38" i="1" s="1"/>
  <c r="CN39" i="1"/>
  <c r="EP38" i="1" s="1"/>
  <c r="CL40" i="1"/>
  <c r="EM39" i="1" s="1"/>
  <c r="CM40" i="1"/>
  <c r="EO39" i="1" s="1"/>
  <c r="ER39" i="1" s="1"/>
  <c r="CN40" i="1"/>
  <c r="EP39" i="1" s="1"/>
  <c r="CL41" i="1"/>
  <c r="EM40" i="1" s="1"/>
  <c r="CM41" i="1"/>
  <c r="EO40" i="1" s="1"/>
  <c r="ER40" i="1" s="1"/>
  <c r="CN41" i="1"/>
  <c r="EP40" i="1" s="1"/>
  <c r="CL42" i="1"/>
  <c r="EM41" i="1" s="1"/>
  <c r="CM42" i="1"/>
  <c r="EO41" i="1" s="1"/>
  <c r="ER41" i="1" s="1"/>
  <c r="CN42" i="1"/>
  <c r="EP41" i="1" s="1"/>
  <c r="CL43" i="1"/>
  <c r="EM42" i="1" s="1"/>
  <c r="CM43" i="1"/>
  <c r="EO42" i="1" s="1"/>
  <c r="ER42" i="1" s="1"/>
  <c r="CN43" i="1"/>
  <c r="EP42" i="1" s="1"/>
  <c r="CL44" i="1"/>
  <c r="EM43" i="1" s="1"/>
  <c r="CM44" i="1"/>
  <c r="EO43" i="1" s="1"/>
  <c r="ER43" i="1" s="1"/>
  <c r="CN44" i="1"/>
  <c r="EP43" i="1" s="1"/>
  <c r="CL45" i="1"/>
  <c r="EM44" i="1" s="1"/>
  <c r="CM45" i="1"/>
  <c r="EO44" i="1" s="1"/>
  <c r="ER44" i="1" s="1"/>
  <c r="CN45" i="1"/>
  <c r="EP44" i="1" s="1"/>
  <c r="CL46" i="1"/>
  <c r="EM45" i="1" s="1"/>
  <c r="CM46" i="1"/>
  <c r="EO45" i="1" s="1"/>
  <c r="ER45" i="1" s="1"/>
  <c r="CN46" i="1"/>
  <c r="EP45" i="1" s="1"/>
  <c r="CL47" i="1"/>
  <c r="EM46" i="1" s="1"/>
  <c r="CM47" i="1"/>
  <c r="EO46" i="1" s="1"/>
  <c r="ER46" i="1" s="1"/>
  <c r="CN47" i="1"/>
  <c r="EP46" i="1" s="1"/>
  <c r="CL48" i="1"/>
  <c r="EM47" i="1" s="1"/>
  <c r="CM48" i="1"/>
  <c r="EO47" i="1" s="1"/>
  <c r="ER47" i="1" s="1"/>
  <c r="CN48" i="1"/>
  <c r="EP47" i="1" s="1"/>
  <c r="CL49" i="1"/>
  <c r="EM48" i="1" s="1"/>
  <c r="CM49" i="1"/>
  <c r="EO48" i="1" s="1"/>
  <c r="ER48" i="1" s="1"/>
  <c r="CN49" i="1"/>
  <c r="EP48" i="1" s="1"/>
  <c r="CL50" i="1"/>
  <c r="EM49" i="1" s="1"/>
  <c r="CM50" i="1"/>
  <c r="EO49" i="1" s="1"/>
  <c r="ER49" i="1" s="1"/>
  <c r="CN50" i="1"/>
  <c r="EP49" i="1" s="1"/>
  <c r="CL51" i="1"/>
  <c r="EM50" i="1" s="1"/>
  <c r="CM51" i="1"/>
  <c r="EO50" i="1" s="1"/>
  <c r="ER50" i="1" s="1"/>
  <c r="CN51" i="1"/>
  <c r="EP50" i="1" s="1"/>
  <c r="CL52" i="1"/>
  <c r="EM51" i="1" s="1"/>
  <c r="CM52" i="1"/>
  <c r="EO51" i="1" s="1"/>
  <c r="ER51" i="1" s="1"/>
  <c r="CN52" i="1"/>
  <c r="EP51" i="1" s="1"/>
  <c r="CL53" i="1"/>
  <c r="EM52" i="1" s="1"/>
  <c r="CM53" i="1"/>
  <c r="EO52" i="1" s="1"/>
  <c r="ER52" i="1" s="1"/>
  <c r="CN53" i="1"/>
  <c r="EP52" i="1" s="1"/>
  <c r="CL54" i="1"/>
  <c r="EM53" i="1" s="1"/>
  <c r="CM54" i="1"/>
  <c r="EO53" i="1" s="1"/>
  <c r="ER53" i="1" s="1"/>
  <c r="CN54" i="1"/>
  <c r="EP53" i="1" s="1"/>
  <c r="CL55" i="1"/>
  <c r="EM54" i="1" s="1"/>
  <c r="CM55" i="1"/>
  <c r="EO54" i="1" s="1"/>
  <c r="ER54" i="1" s="1"/>
  <c r="CN55" i="1"/>
  <c r="EP54" i="1" s="1"/>
  <c r="CL56" i="1"/>
  <c r="EM55" i="1" s="1"/>
  <c r="CM56" i="1"/>
  <c r="EO55" i="1" s="1"/>
  <c r="ER55" i="1" s="1"/>
  <c r="CN56" i="1"/>
  <c r="EP55" i="1" s="1"/>
  <c r="CL57" i="1"/>
  <c r="EM56" i="1" s="1"/>
  <c r="CM57" i="1"/>
  <c r="EO56" i="1" s="1"/>
  <c r="ER56" i="1" s="1"/>
  <c r="CN57" i="1"/>
  <c r="EP56" i="1" s="1"/>
  <c r="CL58" i="1"/>
  <c r="EM57" i="1" s="1"/>
  <c r="CM58" i="1"/>
  <c r="EO57" i="1" s="1"/>
  <c r="ER57" i="1" s="1"/>
  <c r="CN58" i="1"/>
  <c r="EP57" i="1" s="1"/>
  <c r="CL59" i="1"/>
  <c r="EM58" i="1" s="1"/>
  <c r="CM59" i="1"/>
  <c r="EO58" i="1" s="1"/>
  <c r="ER58" i="1" s="1"/>
  <c r="CN59" i="1"/>
  <c r="EP58" i="1" s="1"/>
  <c r="CL60" i="1"/>
  <c r="EM59" i="1" s="1"/>
  <c r="CM60" i="1"/>
  <c r="EO59" i="1" s="1"/>
  <c r="ER59" i="1" s="1"/>
  <c r="CN60" i="1"/>
  <c r="EP59" i="1" s="1"/>
  <c r="CL11" i="1"/>
  <c r="EM10" i="1" s="1"/>
  <c r="EL10" i="1" s="1"/>
  <c r="AW17" i="3"/>
  <c r="C25" i="1"/>
  <c r="AI25" i="1"/>
  <c r="AI24" i="1"/>
  <c r="AI13" i="1"/>
  <c r="AI12" i="1"/>
  <c r="ES110" i="1" s="1"/>
  <c r="EO160" i="1" l="1"/>
  <c r="AI39" i="1"/>
  <c r="EP160" i="1"/>
  <c r="ES10" i="1"/>
  <c r="ES60" i="1"/>
  <c r="H15" i="1"/>
  <c r="B72" i="10" s="1"/>
  <c r="AG17" i="1"/>
  <c r="DL53" i="1"/>
  <c r="EN152" i="1"/>
  <c r="DL51" i="1"/>
  <c r="EN150" i="1"/>
  <c r="DL43" i="1"/>
  <c r="EN142" i="1"/>
  <c r="DL41" i="1"/>
  <c r="EN140" i="1"/>
  <c r="DL31" i="1"/>
  <c r="EN130" i="1"/>
  <c r="DL19" i="1"/>
  <c r="EN118" i="1"/>
  <c r="DL39" i="1"/>
  <c r="EN138" i="1"/>
  <c r="DL29" i="1"/>
  <c r="EN128" i="1"/>
  <c r="DL27" i="1"/>
  <c r="EN126" i="1"/>
  <c r="DL23" i="1"/>
  <c r="EN122" i="1"/>
  <c r="DL13" i="1"/>
  <c r="EN112" i="1"/>
  <c r="DL59" i="1"/>
  <c r="EN158" i="1"/>
  <c r="DL57" i="1"/>
  <c r="EN156" i="1"/>
  <c r="DL55" i="1"/>
  <c r="EN154" i="1"/>
  <c r="DL49" i="1"/>
  <c r="EN148" i="1"/>
  <c r="DL47" i="1"/>
  <c r="EN146" i="1"/>
  <c r="DL45" i="1"/>
  <c r="EN144" i="1"/>
  <c r="DL37" i="1"/>
  <c r="EN136" i="1"/>
  <c r="DL35" i="1"/>
  <c r="EN134" i="1"/>
  <c r="DL33" i="1"/>
  <c r="EN132" i="1"/>
  <c r="DL25" i="1"/>
  <c r="EN124" i="1"/>
  <c r="DL21" i="1"/>
  <c r="EN120" i="1"/>
  <c r="DL17" i="1"/>
  <c r="EN116" i="1"/>
  <c r="DL15" i="1"/>
  <c r="EN114" i="1"/>
  <c r="DL60" i="1"/>
  <c r="EN159" i="1"/>
  <c r="DL58" i="1"/>
  <c r="EN157" i="1"/>
  <c r="DL56" i="1"/>
  <c r="EN155" i="1"/>
  <c r="DL54" i="1"/>
  <c r="EN153" i="1"/>
  <c r="DL52" i="1"/>
  <c r="EN151" i="1"/>
  <c r="DL50" i="1"/>
  <c r="EN149" i="1"/>
  <c r="DL48" i="1"/>
  <c r="EN147" i="1"/>
  <c r="DL46" i="1"/>
  <c r="EN145" i="1"/>
  <c r="DL44" i="1"/>
  <c r="EN143" i="1"/>
  <c r="DL42" i="1"/>
  <c r="EN141" i="1"/>
  <c r="DL40" i="1"/>
  <c r="EN139" i="1"/>
  <c r="DL38" i="1"/>
  <c r="EN137" i="1"/>
  <c r="DL36" i="1"/>
  <c r="EN135" i="1"/>
  <c r="DL34" i="1"/>
  <c r="EN133" i="1"/>
  <c r="DL32" i="1"/>
  <c r="EN131" i="1"/>
  <c r="DL30" i="1"/>
  <c r="EN129" i="1"/>
  <c r="DL28" i="1"/>
  <c r="EN127" i="1"/>
  <c r="DL26" i="1"/>
  <c r="EN125" i="1"/>
  <c r="DL24" i="1"/>
  <c r="EN123" i="1"/>
  <c r="DL22" i="1"/>
  <c r="EN121" i="1"/>
  <c r="DL20" i="1"/>
  <c r="EN119" i="1"/>
  <c r="DL18" i="1"/>
  <c r="EN117" i="1"/>
  <c r="DL16" i="1"/>
  <c r="EN115" i="1"/>
  <c r="DL14" i="1"/>
  <c r="EN113" i="1"/>
  <c r="CZ50" i="1"/>
  <c r="EN99" i="1"/>
  <c r="CZ44" i="1"/>
  <c r="EN93" i="1"/>
  <c r="CZ36" i="1"/>
  <c r="EN85" i="1"/>
  <c r="CZ18" i="1"/>
  <c r="EN67" i="1"/>
  <c r="CZ14" i="1"/>
  <c r="EN63" i="1"/>
  <c r="CZ12" i="1"/>
  <c r="EN61" i="1"/>
  <c r="CZ59" i="1"/>
  <c r="EN108" i="1"/>
  <c r="CZ57" i="1"/>
  <c r="EN106" i="1"/>
  <c r="CZ53" i="1"/>
  <c r="EN102" i="1"/>
  <c r="CZ49" i="1"/>
  <c r="EN98" i="1"/>
  <c r="CZ47" i="1"/>
  <c r="EN96" i="1"/>
  <c r="CZ41" i="1"/>
  <c r="EN90" i="1"/>
  <c r="CZ37" i="1"/>
  <c r="EN86" i="1"/>
  <c r="CZ35" i="1"/>
  <c r="EN84" i="1"/>
  <c r="CZ31" i="1"/>
  <c r="EN80" i="1"/>
  <c r="CZ29" i="1"/>
  <c r="EN78" i="1"/>
  <c r="CZ25" i="1"/>
  <c r="EN74" i="1"/>
  <c r="CZ21" i="1"/>
  <c r="EN70" i="1"/>
  <c r="CZ19" i="1"/>
  <c r="EN68" i="1"/>
  <c r="CZ15" i="1"/>
  <c r="EN64" i="1"/>
  <c r="CZ13" i="1"/>
  <c r="EN62" i="1"/>
  <c r="CZ60" i="1"/>
  <c r="EN109" i="1"/>
  <c r="CZ56" i="1"/>
  <c r="EN105" i="1"/>
  <c r="CZ54" i="1"/>
  <c r="EN103" i="1"/>
  <c r="CZ48" i="1"/>
  <c r="EN97" i="1"/>
  <c r="CZ46" i="1"/>
  <c r="EN95" i="1"/>
  <c r="CZ42" i="1"/>
  <c r="EN91" i="1"/>
  <c r="CZ40" i="1"/>
  <c r="EN89" i="1"/>
  <c r="CZ38" i="1"/>
  <c r="EN87" i="1"/>
  <c r="CZ32" i="1"/>
  <c r="EN81" i="1"/>
  <c r="CZ28" i="1"/>
  <c r="EN77" i="1"/>
  <c r="CZ24" i="1"/>
  <c r="EN73" i="1"/>
  <c r="CZ22" i="1"/>
  <c r="EN71" i="1"/>
  <c r="CZ20" i="1"/>
  <c r="EN69" i="1"/>
  <c r="CZ58" i="1"/>
  <c r="EN107" i="1"/>
  <c r="CZ52" i="1"/>
  <c r="EN101" i="1"/>
  <c r="CZ34" i="1"/>
  <c r="EN83" i="1"/>
  <c r="CZ30" i="1"/>
  <c r="EN79" i="1"/>
  <c r="CZ26" i="1"/>
  <c r="EN75" i="1"/>
  <c r="CZ16" i="1"/>
  <c r="EN65" i="1"/>
  <c r="CZ55" i="1"/>
  <c r="EN104" i="1"/>
  <c r="CZ51" i="1"/>
  <c r="EN100" i="1"/>
  <c r="CZ45" i="1"/>
  <c r="EN94" i="1"/>
  <c r="CZ43" i="1"/>
  <c r="EN92" i="1"/>
  <c r="CZ39" i="1"/>
  <c r="EN88" i="1"/>
  <c r="CZ33" i="1"/>
  <c r="EN82" i="1"/>
  <c r="CZ27" i="1"/>
  <c r="EN76" i="1"/>
  <c r="CZ23" i="1"/>
  <c r="EN72" i="1"/>
  <c r="CZ17" i="1"/>
  <c r="EN66" i="1"/>
  <c r="CZ11" i="1"/>
  <c r="EN60" i="1"/>
  <c r="EL11" i="1"/>
  <c r="EL12" i="1" s="1"/>
  <c r="EL13" i="1" s="1"/>
  <c r="EL14" i="1" s="1"/>
  <c r="EL15" i="1" s="1"/>
  <c r="EL16" i="1" s="1"/>
  <c r="EL17" i="1" s="1"/>
  <c r="EL18" i="1" s="1"/>
  <c r="EL19" i="1" s="1"/>
  <c r="EL20" i="1" s="1"/>
  <c r="EL21" i="1" s="1"/>
  <c r="EL22" i="1" s="1"/>
  <c r="EL23" i="1" s="1"/>
  <c r="EL24" i="1" s="1"/>
  <c r="EL25" i="1" s="1"/>
  <c r="EL26" i="1" s="1"/>
  <c r="EL27" i="1" s="1"/>
  <c r="EL28" i="1" s="1"/>
  <c r="EL29" i="1" s="1"/>
  <c r="EL30" i="1" s="1"/>
  <c r="EL31" i="1" s="1"/>
  <c r="EL32" i="1" s="1"/>
  <c r="EL33" i="1" s="1"/>
  <c r="EL34" i="1" s="1"/>
  <c r="EL35" i="1" s="1"/>
  <c r="EL36" i="1" s="1"/>
  <c r="EL37" i="1" s="1"/>
  <c r="EL38" i="1" s="1"/>
  <c r="EL39" i="1" s="1"/>
  <c r="EL40" i="1" s="1"/>
  <c r="EL41" i="1" s="1"/>
  <c r="EL42" i="1" s="1"/>
  <c r="EL43" i="1" s="1"/>
  <c r="EL44" i="1" s="1"/>
  <c r="EL45" i="1" s="1"/>
  <c r="EL46" i="1" s="1"/>
  <c r="EL47" i="1" s="1"/>
  <c r="EL48" i="1" s="1"/>
  <c r="EL49" i="1" s="1"/>
  <c r="EL50" i="1" s="1"/>
  <c r="EL51" i="1" s="1"/>
  <c r="EL52" i="1" s="1"/>
  <c r="EL53" i="1" s="1"/>
  <c r="EL54" i="1" s="1"/>
  <c r="EL55" i="1" s="1"/>
  <c r="EL56" i="1" s="1"/>
  <c r="EL57" i="1" s="1"/>
  <c r="EL58" i="1" s="1"/>
  <c r="EL59" i="1" s="1"/>
  <c r="EL60" i="1" s="1"/>
  <c r="EL61" i="1" s="1"/>
  <c r="EL62" i="1" s="1"/>
  <c r="EL63" i="1" s="1"/>
  <c r="EL64" i="1" s="1"/>
  <c r="EL65" i="1" s="1"/>
  <c r="EL66" i="1" s="1"/>
  <c r="EL67" i="1" s="1"/>
  <c r="EL68" i="1" s="1"/>
  <c r="EL69" i="1" s="1"/>
  <c r="EL70" i="1" s="1"/>
  <c r="EL71" i="1" s="1"/>
  <c r="EL72" i="1" s="1"/>
  <c r="EL73" i="1" s="1"/>
  <c r="EL74" i="1" s="1"/>
  <c r="EL75" i="1" s="1"/>
  <c r="EL76" i="1" s="1"/>
  <c r="EL77" i="1" s="1"/>
  <c r="EL78" i="1" s="1"/>
  <c r="EL79" i="1" s="1"/>
  <c r="EL80" i="1" s="1"/>
  <c r="EL81" i="1" s="1"/>
  <c r="EL82" i="1" s="1"/>
  <c r="EL83" i="1" s="1"/>
  <c r="EL84" i="1" s="1"/>
  <c r="EL85" i="1" s="1"/>
  <c r="EL86" i="1" s="1"/>
  <c r="EL87" i="1" s="1"/>
  <c r="EL88" i="1" s="1"/>
  <c r="EL89" i="1" s="1"/>
  <c r="EL90" i="1" s="1"/>
  <c r="EL91" i="1" s="1"/>
  <c r="EL92" i="1" s="1"/>
  <c r="EL93" i="1" s="1"/>
  <c r="EL94" i="1" s="1"/>
  <c r="EL95" i="1" s="1"/>
  <c r="EL96" i="1" s="1"/>
  <c r="EL97" i="1" s="1"/>
  <c r="EL98" i="1" s="1"/>
  <c r="EL99" i="1" s="1"/>
  <c r="EL100" i="1" s="1"/>
  <c r="EL101" i="1" s="1"/>
  <c r="EL102" i="1" s="1"/>
  <c r="EL103" i="1" s="1"/>
  <c r="EL104" i="1" s="1"/>
  <c r="EL105" i="1" s="1"/>
  <c r="EL106" i="1" s="1"/>
  <c r="EL107" i="1" s="1"/>
  <c r="EL108" i="1" s="1"/>
  <c r="EL109" i="1" s="1"/>
  <c r="EL110" i="1" s="1"/>
  <c r="EL111" i="1" s="1"/>
  <c r="EL112" i="1" s="1"/>
  <c r="EL113" i="1" s="1"/>
  <c r="EL114" i="1" s="1"/>
  <c r="EL115" i="1" s="1"/>
  <c r="EL116" i="1" s="1"/>
  <c r="EL117" i="1" s="1"/>
  <c r="EL118" i="1" s="1"/>
  <c r="EL119" i="1" s="1"/>
  <c r="EL120" i="1" s="1"/>
  <c r="EL121" i="1" s="1"/>
  <c r="EL122" i="1" s="1"/>
  <c r="EL123" i="1" s="1"/>
  <c r="EL124" i="1" s="1"/>
  <c r="EL125" i="1" s="1"/>
  <c r="EL126" i="1" s="1"/>
  <c r="EL127" i="1" s="1"/>
  <c r="EL128" i="1" s="1"/>
  <c r="EL129" i="1" s="1"/>
  <c r="EL130" i="1" s="1"/>
  <c r="EL131" i="1" s="1"/>
  <c r="EL132" i="1" s="1"/>
  <c r="EL133" i="1" s="1"/>
  <c r="EL134" i="1" s="1"/>
  <c r="EL135" i="1" s="1"/>
  <c r="EL136" i="1" s="1"/>
  <c r="EL137" i="1" s="1"/>
  <c r="EL138" i="1" s="1"/>
  <c r="EL139" i="1" s="1"/>
  <c r="EL140" i="1" s="1"/>
  <c r="EL141" i="1" s="1"/>
  <c r="EL142" i="1" s="1"/>
  <c r="EL143" i="1" s="1"/>
  <c r="EL144" i="1" s="1"/>
  <c r="EL145" i="1" s="1"/>
  <c r="EL146" i="1" s="1"/>
  <c r="EL147" i="1" s="1"/>
  <c r="EL148" i="1" s="1"/>
  <c r="EL149" i="1" s="1"/>
  <c r="EL150" i="1" s="1"/>
  <c r="EL151" i="1" s="1"/>
  <c r="EL152" i="1" s="1"/>
  <c r="EL153" i="1" s="1"/>
  <c r="EL154" i="1" s="1"/>
  <c r="EL155" i="1" s="1"/>
  <c r="EL156" i="1" s="1"/>
  <c r="EL157" i="1" s="1"/>
  <c r="EL158" i="1" s="1"/>
  <c r="EL159" i="1" s="1"/>
  <c r="EL160" i="1" s="1"/>
  <c r="EL161" i="1" s="1"/>
  <c r="EL162" i="1" s="1"/>
  <c r="EL163" i="1" s="1"/>
  <c r="EL164" i="1" s="1"/>
  <c r="EL165" i="1" s="1"/>
  <c r="EL166" i="1" s="1"/>
  <c r="EL167" i="1" s="1"/>
  <c r="EL168" i="1" s="1"/>
  <c r="EL169" i="1" s="1"/>
  <c r="EL170" i="1" s="1"/>
  <c r="EL171" i="1" s="1"/>
  <c r="EL172" i="1" s="1"/>
  <c r="EL173" i="1" s="1"/>
  <c r="EL174" i="1" s="1"/>
  <c r="EL175" i="1" s="1"/>
  <c r="EL176" i="1" s="1"/>
  <c r="EL177" i="1" s="1"/>
  <c r="EL178" i="1" s="1"/>
  <c r="EL179" i="1" s="1"/>
  <c r="EL180" i="1" s="1"/>
  <c r="EL181" i="1" s="1"/>
  <c r="EL182" i="1" s="1"/>
  <c r="EL183" i="1" s="1"/>
  <c r="EL184" i="1" s="1"/>
  <c r="EL185" i="1" s="1"/>
  <c r="EL186" i="1" s="1"/>
  <c r="EL187" i="1" s="1"/>
  <c r="EL188" i="1" s="1"/>
  <c r="EL189" i="1" s="1"/>
  <c r="EL190" i="1" s="1"/>
  <c r="EL191" i="1" s="1"/>
  <c r="EL192" i="1" s="1"/>
  <c r="EL193" i="1" s="1"/>
  <c r="EL194" i="1" s="1"/>
  <c r="EL195" i="1" s="1"/>
  <c r="EL196" i="1" s="1"/>
  <c r="EL197" i="1" s="1"/>
  <c r="EL198" i="1" s="1"/>
  <c r="EL199" i="1" s="1"/>
  <c r="EL200" i="1" s="1"/>
  <c r="EL201" i="1" s="1"/>
  <c r="EL202" i="1" s="1"/>
  <c r="EL203" i="1" s="1"/>
  <c r="EL204" i="1" s="1"/>
  <c r="EL205" i="1" s="1"/>
  <c r="EL206" i="1" s="1"/>
  <c r="EL207" i="1" s="1"/>
  <c r="EL208" i="1" s="1"/>
  <c r="EL209" i="1" s="1"/>
  <c r="EN56" i="1"/>
  <c r="EQ56" i="1"/>
  <c r="EN52" i="1"/>
  <c r="EQ52" i="1"/>
  <c r="EN48" i="1"/>
  <c r="EQ48" i="1"/>
  <c r="EN28" i="1"/>
  <c r="EQ28" i="1"/>
  <c r="EN24" i="1"/>
  <c r="EQ24" i="1"/>
  <c r="EN58" i="1"/>
  <c r="EQ58" i="1"/>
  <c r="EN54" i="1"/>
  <c r="EQ54" i="1"/>
  <c r="EN50" i="1"/>
  <c r="EQ50" i="1"/>
  <c r="EN46" i="1"/>
  <c r="EQ46" i="1"/>
  <c r="EN42" i="1"/>
  <c r="EQ42" i="1"/>
  <c r="EN38" i="1"/>
  <c r="EQ38" i="1"/>
  <c r="EN34" i="1"/>
  <c r="EQ34" i="1"/>
  <c r="EN30" i="1"/>
  <c r="EQ30" i="1"/>
  <c r="EN26" i="1"/>
  <c r="EQ26" i="1"/>
  <c r="EN22" i="1"/>
  <c r="EQ22" i="1"/>
  <c r="EN18" i="1"/>
  <c r="EQ18" i="1"/>
  <c r="EN14" i="1"/>
  <c r="EQ14" i="1"/>
  <c r="EN59" i="1"/>
  <c r="EQ59" i="1"/>
  <c r="EN55" i="1"/>
  <c r="EQ55" i="1"/>
  <c r="EN51" i="1"/>
  <c r="EQ51" i="1"/>
  <c r="EN47" i="1"/>
  <c r="EQ47" i="1"/>
  <c r="EN43" i="1"/>
  <c r="EQ43" i="1"/>
  <c r="EN39" i="1"/>
  <c r="EQ39" i="1"/>
  <c r="EN35" i="1"/>
  <c r="EQ35" i="1"/>
  <c r="EN31" i="1"/>
  <c r="EQ31" i="1"/>
  <c r="EN27" i="1"/>
  <c r="EQ27" i="1"/>
  <c r="EN23" i="1"/>
  <c r="EQ23" i="1"/>
  <c r="EN19" i="1"/>
  <c r="EQ19" i="1"/>
  <c r="EN15" i="1"/>
  <c r="EQ15" i="1"/>
  <c r="EN11" i="1"/>
  <c r="EQ11" i="1"/>
  <c r="EN44" i="1"/>
  <c r="EQ44" i="1"/>
  <c r="EN32" i="1"/>
  <c r="EQ32" i="1"/>
  <c r="EN40" i="1"/>
  <c r="EQ40" i="1"/>
  <c r="EN36" i="1"/>
  <c r="EQ36" i="1"/>
  <c r="EN20" i="1"/>
  <c r="EQ20" i="1"/>
  <c r="EN16" i="1"/>
  <c r="EQ16" i="1"/>
  <c r="EN12" i="1"/>
  <c r="EQ12" i="1"/>
  <c r="EN57" i="1"/>
  <c r="EQ57" i="1"/>
  <c r="EN53" i="1"/>
  <c r="EQ53" i="1"/>
  <c r="EN49" i="1"/>
  <c r="EQ49" i="1"/>
  <c r="EN45" i="1"/>
  <c r="EQ45" i="1"/>
  <c r="EN41" i="1"/>
  <c r="EQ41" i="1"/>
  <c r="EN37" i="1"/>
  <c r="EQ37" i="1"/>
  <c r="EN33" i="1"/>
  <c r="EQ33" i="1"/>
  <c r="EN29" i="1"/>
  <c r="EQ29" i="1"/>
  <c r="EN25" i="1"/>
  <c r="EQ25" i="1"/>
  <c r="EN21" i="1"/>
  <c r="EQ21" i="1"/>
  <c r="EN17" i="1"/>
  <c r="EQ17" i="1"/>
  <c r="EN13" i="1"/>
  <c r="EQ13" i="1"/>
  <c r="FL14" i="1"/>
  <c r="AO8" i="1"/>
  <c r="BD8" i="1" l="1"/>
  <c r="AN8" i="1"/>
  <c r="EX11" i="1"/>
  <c r="EX12" i="1" s="1"/>
  <c r="DZ12" i="1"/>
  <c r="DZ16" i="1"/>
  <c r="DZ20" i="1"/>
  <c r="DZ24" i="1"/>
  <c r="DZ28" i="1"/>
  <c r="DZ32" i="1"/>
  <c r="DZ36" i="1"/>
  <c r="DZ40" i="1"/>
  <c r="DZ44" i="1"/>
  <c r="DZ48" i="1"/>
  <c r="DZ52" i="1"/>
  <c r="DZ56" i="1"/>
  <c r="DZ60" i="1"/>
  <c r="DZ47" i="1"/>
  <c r="DZ13" i="1"/>
  <c r="DZ17" i="1"/>
  <c r="DZ21" i="1"/>
  <c r="DZ25" i="1"/>
  <c r="DZ29" i="1"/>
  <c r="DZ33" i="1"/>
  <c r="DZ37" i="1"/>
  <c r="DZ41" i="1"/>
  <c r="DZ45" i="1"/>
  <c r="DZ49" i="1"/>
  <c r="DZ53" i="1"/>
  <c r="DZ57" i="1"/>
  <c r="DZ15" i="1"/>
  <c r="DZ27" i="1"/>
  <c r="DZ14" i="1"/>
  <c r="DZ18" i="1"/>
  <c r="DZ22" i="1"/>
  <c r="DZ26" i="1"/>
  <c r="DZ30" i="1"/>
  <c r="DZ34" i="1"/>
  <c r="DZ38" i="1"/>
  <c r="DZ42" i="1"/>
  <c r="DZ46" i="1"/>
  <c r="DZ50" i="1"/>
  <c r="DZ54" i="1"/>
  <c r="DZ58" i="1"/>
  <c r="DZ39" i="1"/>
  <c r="DZ55" i="1"/>
  <c r="DZ35" i="1"/>
  <c r="DZ31" i="1"/>
  <c r="DZ19" i="1"/>
  <c r="DZ43" i="1"/>
  <c r="DZ23" i="1"/>
  <c r="DZ59" i="1"/>
  <c r="DZ51" i="1"/>
  <c r="BQ8" i="1"/>
  <c r="EQ115" i="1"/>
  <c r="ER115" i="1"/>
  <c r="EQ123" i="1"/>
  <c r="ER123" i="1"/>
  <c r="EQ131" i="1"/>
  <c r="ER131" i="1"/>
  <c r="EQ135" i="1"/>
  <c r="ER135" i="1"/>
  <c r="EQ143" i="1"/>
  <c r="ER143" i="1"/>
  <c r="EQ151" i="1"/>
  <c r="ER151" i="1"/>
  <c r="EQ155" i="1"/>
  <c r="ER155" i="1"/>
  <c r="EQ116" i="1"/>
  <c r="ER116" i="1"/>
  <c r="EQ124" i="1"/>
  <c r="ER124" i="1"/>
  <c r="EQ134" i="1"/>
  <c r="ER134" i="1"/>
  <c r="EQ144" i="1"/>
  <c r="ER144" i="1"/>
  <c r="EQ148" i="1"/>
  <c r="ER148" i="1"/>
  <c r="EQ112" i="1"/>
  <c r="ER112" i="1"/>
  <c r="EQ126" i="1"/>
  <c r="ER126" i="1"/>
  <c r="EQ138" i="1"/>
  <c r="ER138" i="1"/>
  <c r="EQ130" i="1"/>
  <c r="ER130" i="1"/>
  <c r="EQ142" i="1"/>
  <c r="ER142" i="1"/>
  <c r="EQ152" i="1"/>
  <c r="ER152" i="1"/>
  <c r="EQ119" i="1"/>
  <c r="ER119" i="1"/>
  <c r="EQ127" i="1"/>
  <c r="ER127" i="1"/>
  <c r="EQ139" i="1"/>
  <c r="ER139" i="1"/>
  <c r="EQ147" i="1"/>
  <c r="ER147" i="1"/>
  <c r="EQ159" i="1"/>
  <c r="ER159" i="1"/>
  <c r="EQ156" i="1"/>
  <c r="ER156" i="1"/>
  <c r="EQ113" i="1"/>
  <c r="ER113" i="1"/>
  <c r="EQ117" i="1"/>
  <c r="ER117" i="1"/>
  <c r="EQ121" i="1"/>
  <c r="ER121" i="1"/>
  <c r="EQ125" i="1"/>
  <c r="ER125" i="1"/>
  <c r="EQ129" i="1"/>
  <c r="ER129" i="1"/>
  <c r="EQ133" i="1"/>
  <c r="ER133" i="1"/>
  <c r="EQ137" i="1"/>
  <c r="ER137" i="1"/>
  <c r="EQ141" i="1"/>
  <c r="ER141" i="1"/>
  <c r="EQ145" i="1"/>
  <c r="ER145" i="1"/>
  <c r="EQ149" i="1"/>
  <c r="ER149" i="1"/>
  <c r="EQ153" i="1"/>
  <c r="ER153" i="1"/>
  <c r="EQ157" i="1"/>
  <c r="ER157" i="1"/>
  <c r="EQ114" i="1"/>
  <c r="ER114" i="1"/>
  <c r="EQ120" i="1"/>
  <c r="ER120" i="1"/>
  <c r="EQ132" i="1"/>
  <c r="ER132" i="1"/>
  <c r="EQ136" i="1"/>
  <c r="ER136" i="1"/>
  <c r="EQ146" i="1"/>
  <c r="ER146" i="1"/>
  <c r="EQ154" i="1"/>
  <c r="ER154" i="1"/>
  <c r="EQ158" i="1"/>
  <c r="ER158" i="1"/>
  <c r="EQ122" i="1"/>
  <c r="ER122" i="1"/>
  <c r="EQ128" i="1"/>
  <c r="ER128" i="1"/>
  <c r="EQ118" i="1"/>
  <c r="ER118" i="1"/>
  <c r="EQ140" i="1"/>
  <c r="ER140" i="1"/>
  <c r="EQ150" i="1"/>
  <c r="ER150" i="1"/>
  <c r="EQ66" i="1"/>
  <c r="ER66" i="1"/>
  <c r="EQ88" i="1"/>
  <c r="ER88" i="1"/>
  <c r="EQ104" i="1"/>
  <c r="ER104" i="1"/>
  <c r="EQ83" i="1"/>
  <c r="ER83" i="1"/>
  <c r="EQ107" i="1"/>
  <c r="ER107" i="1"/>
  <c r="EQ77" i="1"/>
  <c r="ER77" i="1"/>
  <c r="EQ91" i="1"/>
  <c r="ER91" i="1"/>
  <c r="EQ97" i="1"/>
  <c r="ER97" i="1"/>
  <c r="EQ62" i="1"/>
  <c r="ER62" i="1"/>
  <c r="EQ74" i="1"/>
  <c r="ER74" i="1"/>
  <c r="EQ80" i="1"/>
  <c r="ER80" i="1"/>
  <c r="EQ86" i="1"/>
  <c r="ER86" i="1"/>
  <c r="EQ102" i="1"/>
  <c r="ER102" i="1"/>
  <c r="EQ63" i="1"/>
  <c r="ER63" i="1"/>
  <c r="EQ99" i="1"/>
  <c r="ER99" i="1"/>
  <c r="EQ76" i="1"/>
  <c r="ER76" i="1"/>
  <c r="EQ94" i="1"/>
  <c r="ER94" i="1"/>
  <c r="EQ75" i="1"/>
  <c r="ER75" i="1"/>
  <c r="EQ71" i="1"/>
  <c r="ER71" i="1"/>
  <c r="EQ87" i="1"/>
  <c r="ER87" i="1"/>
  <c r="EQ105" i="1"/>
  <c r="ER105" i="1"/>
  <c r="EQ68" i="1"/>
  <c r="ER68" i="1"/>
  <c r="EQ96" i="1"/>
  <c r="ER96" i="1"/>
  <c r="EQ108" i="1"/>
  <c r="ER108" i="1"/>
  <c r="EQ85" i="1"/>
  <c r="ER85" i="1"/>
  <c r="EQ72" i="1"/>
  <c r="ER72" i="1"/>
  <c r="EQ82" i="1"/>
  <c r="ER82" i="1"/>
  <c r="EQ92" i="1"/>
  <c r="ER92" i="1"/>
  <c r="EQ100" i="1"/>
  <c r="ER100" i="1"/>
  <c r="EQ65" i="1"/>
  <c r="ER65" i="1"/>
  <c r="EQ79" i="1"/>
  <c r="ER79" i="1"/>
  <c r="EQ101" i="1"/>
  <c r="ER101" i="1"/>
  <c r="EQ69" i="1"/>
  <c r="ER69" i="1"/>
  <c r="EQ73" i="1"/>
  <c r="ER73" i="1"/>
  <c r="EQ81" i="1"/>
  <c r="ER81" i="1"/>
  <c r="EQ89" i="1"/>
  <c r="ER89" i="1"/>
  <c r="EQ95" i="1"/>
  <c r="ER95" i="1"/>
  <c r="EQ103" i="1"/>
  <c r="ER103" i="1"/>
  <c r="EQ109" i="1"/>
  <c r="ER109" i="1"/>
  <c r="EQ64" i="1"/>
  <c r="ER64" i="1"/>
  <c r="EQ70" i="1"/>
  <c r="ER70" i="1"/>
  <c r="EQ78" i="1"/>
  <c r="ER78" i="1"/>
  <c r="EQ84" i="1"/>
  <c r="ER84" i="1"/>
  <c r="EQ90" i="1"/>
  <c r="ER90" i="1"/>
  <c r="EQ98" i="1"/>
  <c r="ER98" i="1"/>
  <c r="EQ106" i="1"/>
  <c r="ER106" i="1"/>
  <c r="EQ61" i="1"/>
  <c r="ER61" i="1"/>
  <c r="EQ67" i="1"/>
  <c r="ER67" i="1"/>
  <c r="EQ93" i="1"/>
  <c r="ER93" i="1"/>
  <c r="EQ60" i="1"/>
  <c r="B216" i="3"/>
  <c r="CV11" i="1"/>
  <c r="EO60" i="1" s="1"/>
  <c r="CM11" i="1"/>
  <c r="EO10" i="1" s="1"/>
  <c r="H55" i="1"/>
  <c r="B108" i="10" s="1"/>
  <c r="H58" i="1"/>
  <c r="B111" i="10" s="1"/>
  <c r="H62" i="1"/>
  <c r="B115" i="10" s="1"/>
  <c r="H66" i="1"/>
  <c r="B119" i="10" s="1"/>
  <c r="H70" i="1"/>
  <c r="B123" i="10" s="1"/>
  <c r="H74" i="1"/>
  <c r="B127" i="10" s="1"/>
  <c r="H78" i="1"/>
  <c r="B131" i="10" s="1"/>
  <c r="H82" i="1"/>
  <c r="B135" i="10" s="1"/>
  <c r="H86" i="1"/>
  <c r="B139" i="10" s="1"/>
  <c r="H90" i="1"/>
  <c r="B143" i="10" s="1"/>
  <c r="H94" i="1"/>
  <c r="H98" i="1"/>
  <c r="H102" i="1"/>
  <c r="H106" i="1"/>
  <c r="H110" i="1"/>
  <c r="H114" i="1"/>
  <c r="H118" i="1"/>
  <c r="H122" i="1"/>
  <c r="H126" i="1"/>
  <c r="H130" i="1"/>
  <c r="H134" i="1"/>
  <c r="H138" i="1"/>
  <c r="H142" i="1"/>
  <c r="H146" i="1"/>
  <c r="H150" i="1"/>
  <c r="H154" i="1"/>
  <c r="H63" i="1"/>
  <c r="B116" i="10" s="1"/>
  <c r="H67" i="1"/>
  <c r="B120" i="10" s="1"/>
  <c r="H71" i="1"/>
  <c r="B124" i="10" s="1"/>
  <c r="H75" i="1"/>
  <c r="B128" i="10" s="1"/>
  <c r="H79" i="1"/>
  <c r="B132" i="10" s="1"/>
  <c r="H87" i="1"/>
  <c r="B140" i="10" s="1"/>
  <c r="H95" i="1"/>
  <c r="H103" i="1"/>
  <c r="H107" i="1"/>
  <c r="H115" i="1"/>
  <c r="H119" i="1"/>
  <c r="H127" i="1"/>
  <c r="H131" i="1"/>
  <c r="H139" i="1"/>
  <c r="H147" i="1"/>
  <c r="H56" i="1"/>
  <c r="B109" i="10" s="1"/>
  <c r="H60" i="1"/>
  <c r="B113" i="10" s="1"/>
  <c r="H64" i="1"/>
  <c r="B117" i="10" s="1"/>
  <c r="H68" i="1"/>
  <c r="B121" i="10" s="1"/>
  <c r="H72" i="1"/>
  <c r="B125" i="10" s="1"/>
  <c r="H76" i="1"/>
  <c r="B129" i="10" s="1"/>
  <c r="H80" i="1"/>
  <c r="B133" i="10" s="1"/>
  <c r="H84" i="1"/>
  <c r="B137" i="10" s="1"/>
  <c r="H88" i="1"/>
  <c r="B141" i="10" s="1"/>
  <c r="H92" i="1"/>
  <c r="H96" i="1"/>
  <c r="H100" i="1"/>
  <c r="H104" i="1"/>
  <c r="H108" i="1"/>
  <c r="H116" i="1"/>
  <c r="H120" i="1"/>
  <c r="H124" i="1"/>
  <c r="H132" i="1"/>
  <c r="H140" i="1"/>
  <c r="H148" i="1"/>
  <c r="H61" i="1"/>
  <c r="B114" i="10" s="1"/>
  <c r="H65" i="1"/>
  <c r="B118" i="10" s="1"/>
  <c r="H73" i="1"/>
  <c r="B126" i="10" s="1"/>
  <c r="H81" i="1"/>
  <c r="B134" i="10" s="1"/>
  <c r="H89" i="1"/>
  <c r="B142" i="10" s="1"/>
  <c r="H97" i="1"/>
  <c r="H105" i="1"/>
  <c r="H113" i="1"/>
  <c r="H121" i="1"/>
  <c r="H129" i="1"/>
  <c r="H137" i="1"/>
  <c r="H145" i="1"/>
  <c r="H153" i="1"/>
  <c r="H59" i="1"/>
  <c r="B112" i="10" s="1"/>
  <c r="H83" i="1"/>
  <c r="B136" i="10" s="1"/>
  <c r="H91" i="1"/>
  <c r="H99" i="1"/>
  <c r="H111" i="1"/>
  <c r="H123" i="1"/>
  <c r="H135" i="1"/>
  <c r="H143" i="1"/>
  <c r="H151" i="1"/>
  <c r="H112" i="1"/>
  <c r="H128" i="1"/>
  <c r="H136" i="1"/>
  <c r="H144" i="1"/>
  <c r="H152" i="1"/>
  <c r="H57" i="1"/>
  <c r="B110" i="10" s="1"/>
  <c r="H69" i="1"/>
  <c r="B122" i="10" s="1"/>
  <c r="H77" i="1"/>
  <c r="B130" i="10" s="1"/>
  <c r="H85" i="1"/>
  <c r="B138" i="10" s="1"/>
  <c r="H93" i="1"/>
  <c r="H101" i="1"/>
  <c r="H109" i="1"/>
  <c r="H117" i="1"/>
  <c r="H125" i="1"/>
  <c r="H133" i="1"/>
  <c r="H141" i="1"/>
  <c r="H149" i="1"/>
  <c r="CP47" i="1"/>
  <c r="DZ11" i="1"/>
  <c r="DN24" i="1"/>
  <c r="DN13" i="1"/>
  <c r="DN37" i="1"/>
  <c r="DN45" i="1"/>
  <c r="DN34" i="1"/>
  <c r="DN32" i="1"/>
  <c r="DN21" i="1"/>
  <c r="DN53" i="1"/>
  <c r="DN52" i="1"/>
  <c r="DN44" i="1"/>
  <c r="DN29" i="1"/>
  <c r="DN12" i="1"/>
  <c r="DN48" i="1"/>
  <c r="DN40" i="1"/>
  <c r="DN15" i="1"/>
  <c r="DN23" i="1"/>
  <c r="DN31" i="1"/>
  <c r="DN39" i="1"/>
  <c r="DN47" i="1"/>
  <c r="DN55" i="1"/>
  <c r="DN16" i="1"/>
  <c r="DN26" i="1"/>
  <c r="DN38" i="1"/>
  <c r="DN56" i="1"/>
  <c r="DN18" i="1"/>
  <c r="DN54" i="1"/>
  <c r="DN50" i="1"/>
  <c r="DN17" i="1"/>
  <c r="DN25" i="1"/>
  <c r="DN33" i="1"/>
  <c r="DN41" i="1"/>
  <c r="DN49" i="1"/>
  <c r="DN57" i="1"/>
  <c r="DN20" i="1"/>
  <c r="DN28" i="1"/>
  <c r="DN42" i="1"/>
  <c r="DN60" i="1"/>
  <c r="DN36" i="1"/>
  <c r="DN14" i="1"/>
  <c r="DN58" i="1"/>
  <c r="DN19" i="1"/>
  <c r="DN27" i="1"/>
  <c r="DN35" i="1"/>
  <c r="DN43" i="1"/>
  <c r="DN51" i="1"/>
  <c r="DN59" i="1"/>
  <c r="DN22" i="1"/>
  <c r="DN30" i="1"/>
  <c r="DN46" i="1"/>
  <c r="DN11" i="1"/>
  <c r="DB57" i="1"/>
  <c r="DB56" i="1"/>
  <c r="DB16" i="1"/>
  <c r="DB25" i="1"/>
  <c r="DB40" i="1"/>
  <c r="DB33" i="1"/>
  <c r="DB48" i="1"/>
  <c r="DB41" i="1"/>
  <c r="DB24" i="1"/>
  <c r="DB17" i="1"/>
  <c r="DB49" i="1"/>
  <c r="DB32" i="1"/>
  <c r="DB19" i="1"/>
  <c r="DB27" i="1"/>
  <c r="DB35" i="1"/>
  <c r="DB43" i="1"/>
  <c r="DB51" i="1"/>
  <c r="DB59" i="1"/>
  <c r="DB18" i="1"/>
  <c r="DB26" i="1"/>
  <c r="DB34" i="1"/>
  <c r="DB42" i="1"/>
  <c r="DB50" i="1"/>
  <c r="DB58" i="1"/>
  <c r="DB13" i="1"/>
  <c r="DB21" i="1"/>
  <c r="DB29" i="1"/>
  <c r="DB37" i="1"/>
  <c r="DB45" i="1"/>
  <c r="DB53" i="1"/>
  <c r="DB12" i="1"/>
  <c r="DB20" i="1"/>
  <c r="DB28" i="1"/>
  <c r="DB36" i="1"/>
  <c r="DB44" i="1"/>
  <c r="DB52" i="1"/>
  <c r="DB60" i="1"/>
  <c r="DB15" i="1"/>
  <c r="DB23" i="1"/>
  <c r="DB31" i="1"/>
  <c r="DB39" i="1"/>
  <c r="DB47" i="1"/>
  <c r="DB55" i="1"/>
  <c r="DB14" i="1"/>
  <c r="DB22" i="1"/>
  <c r="DB30" i="1"/>
  <c r="DB38" i="1"/>
  <c r="DB46" i="1"/>
  <c r="DB54" i="1"/>
  <c r="DB11" i="1"/>
  <c r="CP15" i="1"/>
  <c r="CP33" i="1"/>
  <c r="CP49" i="1"/>
  <c r="CP48" i="1"/>
  <c r="CP16" i="1"/>
  <c r="CP31" i="1"/>
  <c r="CP17" i="1"/>
  <c r="CP32" i="1"/>
  <c r="CP11" i="1"/>
  <c r="CP14" i="1"/>
  <c r="CP26" i="1"/>
  <c r="CP38" i="1"/>
  <c r="CP46" i="1"/>
  <c r="CP58" i="1"/>
  <c r="CP22" i="1"/>
  <c r="CP34" i="1"/>
  <c r="CP50" i="1"/>
  <c r="CP18" i="1"/>
  <c r="CP30" i="1"/>
  <c r="CP42" i="1"/>
  <c r="CP54" i="1"/>
  <c r="CP21" i="1"/>
  <c r="CP37" i="1"/>
  <c r="CP53" i="1"/>
  <c r="CP20" i="1"/>
  <c r="CP36" i="1"/>
  <c r="CP52" i="1"/>
  <c r="CP19" i="1"/>
  <c r="CP35" i="1"/>
  <c r="CP51" i="1"/>
  <c r="CP59" i="1"/>
  <c r="CP25" i="1"/>
  <c r="CP41" i="1"/>
  <c r="CP57" i="1"/>
  <c r="CP24" i="1"/>
  <c r="CP40" i="1"/>
  <c r="CP56" i="1"/>
  <c r="CP23" i="1"/>
  <c r="CP39" i="1"/>
  <c r="CP55" i="1"/>
  <c r="CP13" i="1"/>
  <c r="CP29" i="1"/>
  <c r="CP45" i="1"/>
  <c r="CP12" i="1"/>
  <c r="CP28" i="1"/>
  <c r="CP44" i="1"/>
  <c r="CP60" i="1"/>
  <c r="CP27" i="1"/>
  <c r="CP43" i="1"/>
  <c r="AO9" i="1"/>
  <c r="AN9" i="1" s="1"/>
  <c r="E104" i="1" l="1"/>
  <c r="D104" i="1"/>
  <c r="AI38" i="1" s="1"/>
  <c r="I149" i="1"/>
  <c r="I117" i="1"/>
  <c r="I85" i="1"/>
  <c r="F138" i="10" s="1"/>
  <c r="I152" i="1"/>
  <c r="I112" i="1"/>
  <c r="I123" i="1"/>
  <c r="I83" i="1"/>
  <c r="F136" i="10" s="1"/>
  <c r="I137" i="1"/>
  <c r="I105" i="1"/>
  <c r="I73" i="1"/>
  <c r="F126" i="10" s="1"/>
  <c r="I140" i="1"/>
  <c r="I116" i="1"/>
  <c r="I96" i="1"/>
  <c r="I80" i="1"/>
  <c r="F133" i="10" s="1"/>
  <c r="I64" i="1"/>
  <c r="F117" i="10" s="1"/>
  <c r="I139" i="1"/>
  <c r="I115" i="1"/>
  <c r="I87" i="1"/>
  <c r="F140" i="10" s="1"/>
  <c r="I67" i="1"/>
  <c r="F120" i="10" s="1"/>
  <c r="I146" i="1"/>
  <c r="I130" i="1"/>
  <c r="I114" i="1"/>
  <c r="I98" i="1"/>
  <c r="I82" i="1"/>
  <c r="F135" i="10" s="1"/>
  <c r="I66" i="1"/>
  <c r="F119" i="10" s="1"/>
  <c r="I141" i="1"/>
  <c r="I109" i="1"/>
  <c r="I77" i="1"/>
  <c r="F130" i="10" s="1"/>
  <c r="I144" i="1"/>
  <c r="I151" i="1"/>
  <c r="I111" i="1"/>
  <c r="I59" i="1"/>
  <c r="F112" i="10" s="1"/>
  <c r="I129" i="1"/>
  <c r="I97" i="1"/>
  <c r="I65" i="1"/>
  <c r="F118" i="10" s="1"/>
  <c r="I132" i="1"/>
  <c r="I108" i="1"/>
  <c r="I92" i="1"/>
  <c r="I76" i="1"/>
  <c r="F129" i="10" s="1"/>
  <c r="I60" i="1"/>
  <c r="F113" i="10" s="1"/>
  <c r="I131" i="1"/>
  <c r="I107" i="1"/>
  <c r="I79" i="1"/>
  <c r="F132" i="10" s="1"/>
  <c r="I63" i="1"/>
  <c r="F116" i="10" s="1"/>
  <c r="I142" i="1"/>
  <c r="I126" i="1"/>
  <c r="I110" i="1"/>
  <c r="I94" i="1"/>
  <c r="I78" i="1"/>
  <c r="F131" i="10" s="1"/>
  <c r="I62" i="1"/>
  <c r="F115" i="10" s="1"/>
  <c r="I133" i="1"/>
  <c r="I101" i="1"/>
  <c r="I69" i="1"/>
  <c r="F122" i="10" s="1"/>
  <c r="I136" i="1"/>
  <c r="I143" i="1"/>
  <c r="I99" i="1"/>
  <c r="I153" i="1"/>
  <c r="I121" i="1"/>
  <c r="I89" i="1"/>
  <c r="F142" i="10" s="1"/>
  <c r="I61" i="1"/>
  <c r="F114" i="10" s="1"/>
  <c r="I124" i="1"/>
  <c r="I104" i="1"/>
  <c r="I88" i="1"/>
  <c r="F141" i="10" s="1"/>
  <c r="I72" i="1"/>
  <c r="F125" i="10" s="1"/>
  <c r="I56" i="1"/>
  <c r="F109" i="10" s="1"/>
  <c r="I127" i="1"/>
  <c r="I103" i="1"/>
  <c r="I75" i="1"/>
  <c r="F128" i="10" s="1"/>
  <c r="I154" i="1"/>
  <c r="I138" i="1"/>
  <c r="I122" i="1"/>
  <c r="I106" i="1"/>
  <c r="I90" i="1"/>
  <c r="F143" i="10" s="1"/>
  <c r="I74" i="1"/>
  <c r="F127" i="10" s="1"/>
  <c r="I58" i="1"/>
  <c r="F111" i="10" s="1"/>
  <c r="I125" i="1"/>
  <c r="I93" i="1"/>
  <c r="I57" i="1"/>
  <c r="F110" i="10" s="1"/>
  <c r="I128" i="1"/>
  <c r="I135" i="1"/>
  <c r="I91" i="1"/>
  <c r="I145" i="1"/>
  <c r="I113" i="1"/>
  <c r="I81" i="1"/>
  <c r="F134" i="10" s="1"/>
  <c r="I148" i="1"/>
  <c r="I120" i="1"/>
  <c r="I100" i="1"/>
  <c r="I84" i="1"/>
  <c r="F137" i="10" s="1"/>
  <c r="I68" i="1"/>
  <c r="F121" i="10" s="1"/>
  <c r="I147" i="1"/>
  <c r="I119" i="1"/>
  <c r="I95" i="1"/>
  <c r="I71" i="1"/>
  <c r="F124" i="10" s="1"/>
  <c r="I150" i="1"/>
  <c r="I134" i="1"/>
  <c r="I118" i="1"/>
  <c r="I102" i="1"/>
  <c r="I86" i="1"/>
  <c r="F139" i="10" s="1"/>
  <c r="I70" i="1"/>
  <c r="F123" i="10" s="1"/>
  <c r="I55" i="1"/>
  <c r="F108" i="10" s="1"/>
  <c r="AR8" i="1" a="1"/>
  <c r="AR8" i="1" s="1"/>
  <c r="AU8" i="1" s="1"/>
  <c r="BD9" i="1"/>
  <c r="EY12" i="1"/>
  <c r="B37" i="10" s="1"/>
  <c r="FC12" i="1"/>
  <c r="AQ37" i="10" s="1"/>
  <c r="FG12" i="1"/>
  <c r="FF12" i="1"/>
  <c r="FA12" i="1"/>
  <c r="W37" i="10" s="1"/>
  <c r="EX13" i="1"/>
  <c r="FF11" i="1"/>
  <c r="FG11" i="1"/>
  <c r="FA11" i="1"/>
  <c r="W36" i="10" s="1"/>
  <c r="FC11" i="1"/>
  <c r="AQ36" i="10" s="1"/>
  <c r="EY11" i="1"/>
  <c r="B36" i="10" s="1"/>
  <c r="BQ9" i="1"/>
  <c r="ER10" i="1"/>
  <c r="EN10" i="1"/>
  <c r="EQ10" i="1"/>
  <c r="AG14" i="1"/>
  <c r="T149" i="1"/>
  <c r="B346" i="3"/>
  <c r="T117" i="1"/>
  <c r="B314" i="3"/>
  <c r="T85" i="1"/>
  <c r="B282" i="3"/>
  <c r="T152" i="1"/>
  <c r="B349" i="3"/>
  <c r="T112" i="1"/>
  <c r="B309" i="3"/>
  <c r="T123" i="1"/>
  <c r="B320" i="3"/>
  <c r="T83" i="1"/>
  <c r="B280" i="3"/>
  <c r="T137" i="1"/>
  <c r="B334" i="3"/>
  <c r="T105" i="1"/>
  <c r="B302" i="3"/>
  <c r="T73" i="1"/>
  <c r="B270" i="3"/>
  <c r="T140" i="1"/>
  <c r="B337" i="3"/>
  <c r="T116" i="1"/>
  <c r="B313" i="3"/>
  <c r="T96" i="1"/>
  <c r="B293" i="3"/>
  <c r="T80" i="1"/>
  <c r="B277" i="3"/>
  <c r="T64" i="1"/>
  <c r="B261" i="3"/>
  <c r="T139" i="1"/>
  <c r="B336" i="3"/>
  <c r="T115" i="1"/>
  <c r="B312" i="3"/>
  <c r="T87" i="1"/>
  <c r="B284" i="3"/>
  <c r="T67" i="1"/>
  <c r="B264" i="3"/>
  <c r="T146" i="1"/>
  <c r="B343" i="3"/>
  <c r="T130" i="1"/>
  <c r="B327" i="3"/>
  <c r="T114" i="1"/>
  <c r="B311" i="3"/>
  <c r="T98" i="1"/>
  <c r="B295" i="3"/>
  <c r="T82" i="1"/>
  <c r="B279" i="3"/>
  <c r="T66" i="1"/>
  <c r="B263" i="3"/>
  <c r="T141" i="1"/>
  <c r="B338" i="3"/>
  <c r="T77" i="1"/>
  <c r="B274" i="3"/>
  <c r="T151" i="1"/>
  <c r="B348" i="3"/>
  <c r="T59" i="1"/>
  <c r="B256" i="3"/>
  <c r="T97" i="1"/>
  <c r="B294" i="3"/>
  <c r="T132" i="1"/>
  <c r="B329" i="3"/>
  <c r="T92" i="1"/>
  <c r="B289" i="3"/>
  <c r="T60" i="1"/>
  <c r="B257" i="3"/>
  <c r="T107" i="1"/>
  <c r="B304" i="3"/>
  <c r="T63" i="1"/>
  <c r="B260" i="3"/>
  <c r="T126" i="1"/>
  <c r="B323" i="3"/>
  <c r="T78" i="1"/>
  <c r="B275" i="3"/>
  <c r="T133" i="1"/>
  <c r="B330" i="3"/>
  <c r="T101" i="1"/>
  <c r="B298" i="3"/>
  <c r="T69" i="1"/>
  <c r="B266" i="3"/>
  <c r="T136" i="1"/>
  <c r="B333" i="3"/>
  <c r="T143" i="1"/>
  <c r="B340" i="3"/>
  <c r="T99" i="1"/>
  <c r="B296" i="3"/>
  <c r="T153" i="1"/>
  <c r="B350" i="3"/>
  <c r="T121" i="1"/>
  <c r="B318" i="3"/>
  <c r="T89" i="1"/>
  <c r="B286" i="3"/>
  <c r="T61" i="1"/>
  <c r="B258" i="3"/>
  <c r="T124" i="1"/>
  <c r="B321" i="3"/>
  <c r="T104" i="1"/>
  <c r="B301" i="3"/>
  <c r="T88" i="1"/>
  <c r="B285" i="3"/>
  <c r="T72" i="1"/>
  <c r="B269" i="3"/>
  <c r="T56" i="1"/>
  <c r="B253" i="3"/>
  <c r="T127" i="1"/>
  <c r="B324" i="3"/>
  <c r="T103" i="1"/>
  <c r="B300" i="3"/>
  <c r="T75" i="1"/>
  <c r="B272" i="3"/>
  <c r="T154" i="1"/>
  <c r="B351" i="3"/>
  <c r="T138" i="1"/>
  <c r="B335" i="3"/>
  <c r="T122" i="1"/>
  <c r="B319" i="3"/>
  <c r="T106" i="1"/>
  <c r="B303" i="3"/>
  <c r="T90" i="1"/>
  <c r="B287" i="3"/>
  <c r="T74" i="1"/>
  <c r="B271" i="3"/>
  <c r="T58" i="1"/>
  <c r="B255" i="3"/>
  <c r="T109" i="1"/>
  <c r="B306" i="3"/>
  <c r="T144" i="1"/>
  <c r="B341" i="3"/>
  <c r="T111" i="1"/>
  <c r="B308" i="3"/>
  <c r="T129" i="1"/>
  <c r="B326" i="3"/>
  <c r="T65" i="1"/>
  <c r="B262" i="3"/>
  <c r="T108" i="1"/>
  <c r="B305" i="3"/>
  <c r="T76" i="1"/>
  <c r="B273" i="3"/>
  <c r="T131" i="1"/>
  <c r="B328" i="3"/>
  <c r="T79" i="1"/>
  <c r="B276" i="3"/>
  <c r="T142" i="1"/>
  <c r="B339" i="3"/>
  <c r="T110" i="1"/>
  <c r="B307" i="3"/>
  <c r="T94" i="1"/>
  <c r="B291" i="3"/>
  <c r="T62" i="1"/>
  <c r="B259" i="3"/>
  <c r="T125" i="1"/>
  <c r="B322" i="3"/>
  <c r="T93" i="1"/>
  <c r="B290" i="3"/>
  <c r="T57" i="1"/>
  <c r="B254" i="3"/>
  <c r="T128" i="1"/>
  <c r="B325" i="3"/>
  <c r="T135" i="1"/>
  <c r="B332" i="3"/>
  <c r="T91" i="1"/>
  <c r="B288" i="3"/>
  <c r="T145" i="1"/>
  <c r="B342" i="3"/>
  <c r="T113" i="1"/>
  <c r="B310" i="3"/>
  <c r="T81" i="1"/>
  <c r="B278" i="3"/>
  <c r="T148" i="1"/>
  <c r="B345" i="3"/>
  <c r="T120" i="1"/>
  <c r="B317" i="3"/>
  <c r="T100" i="1"/>
  <c r="B297" i="3"/>
  <c r="T84" i="1"/>
  <c r="B281" i="3"/>
  <c r="T68" i="1"/>
  <c r="B265" i="3"/>
  <c r="T147" i="1"/>
  <c r="B344" i="3"/>
  <c r="T119" i="1"/>
  <c r="B316" i="3"/>
  <c r="T95" i="1"/>
  <c r="B292" i="3"/>
  <c r="T71" i="1"/>
  <c r="B268" i="3"/>
  <c r="T150" i="1"/>
  <c r="B347" i="3"/>
  <c r="T134" i="1"/>
  <c r="B331" i="3"/>
  <c r="T118" i="1"/>
  <c r="B315" i="3"/>
  <c r="T102" i="1"/>
  <c r="B299" i="3"/>
  <c r="T86" i="1"/>
  <c r="B283" i="3"/>
  <c r="T70" i="1"/>
  <c r="B267" i="3"/>
  <c r="T55" i="1"/>
  <c r="B252" i="3"/>
  <c r="AR9" i="1" a="1"/>
  <c r="AR9" i="1" s="1"/>
  <c r="AO10" i="1"/>
  <c r="AN10" i="1" s="1"/>
  <c r="B371" i="3" l="1"/>
  <c r="B403" i="3"/>
  <c r="B435" i="3"/>
  <c r="B372" i="3"/>
  <c r="B420" i="3"/>
  <c r="B369" i="3"/>
  <c r="B401" i="3"/>
  <c r="B449" i="3"/>
  <c r="B414" i="3"/>
  <c r="B392" i="3"/>
  <c r="B429" i="3"/>
  <c r="B394" i="3"/>
  <c r="B363" i="3"/>
  <c r="B411" i="3"/>
  <c r="B380" i="3"/>
  <c r="B377" i="3"/>
  <c r="B366" i="3"/>
  <c r="B412" i="3"/>
  <c r="B410" i="3"/>
  <c r="B375" i="3"/>
  <c r="B407" i="3"/>
  <c r="B439" i="3"/>
  <c r="B376" i="3"/>
  <c r="B428" i="3"/>
  <c r="B373" i="3"/>
  <c r="B405" i="3"/>
  <c r="B362" i="3"/>
  <c r="B422" i="3"/>
  <c r="B400" i="3"/>
  <c r="B437" i="3"/>
  <c r="B402" i="3"/>
  <c r="B379" i="3"/>
  <c r="B364" i="3"/>
  <c r="B361" i="3"/>
  <c r="B433" i="3"/>
  <c r="B360" i="3"/>
  <c r="B378" i="3"/>
  <c r="B367" i="3"/>
  <c r="B399" i="3"/>
  <c r="B431" i="3"/>
  <c r="B368" i="3"/>
  <c r="B416" i="3"/>
  <c r="B365" i="3"/>
  <c r="B397" i="3"/>
  <c r="B441" i="3"/>
  <c r="B406" i="3"/>
  <c r="B384" i="3"/>
  <c r="B413" i="3"/>
  <c r="B386" i="3"/>
  <c r="B450" i="3"/>
  <c r="FH11" i="1"/>
  <c r="B356" i="3"/>
  <c r="B387" i="3"/>
  <c r="B419" i="3"/>
  <c r="B451" i="3"/>
  <c r="B396" i="3"/>
  <c r="B448" i="3"/>
  <c r="B385" i="3"/>
  <c r="B421" i="3"/>
  <c r="B382" i="3"/>
  <c r="B446" i="3"/>
  <c r="B436" i="3"/>
  <c r="B358" i="3"/>
  <c r="B426" i="3"/>
  <c r="B395" i="3"/>
  <c r="B443" i="3"/>
  <c r="B432" i="3"/>
  <c r="B409" i="3"/>
  <c r="B430" i="3"/>
  <c r="B445" i="3"/>
  <c r="B359" i="3"/>
  <c r="B391" i="3"/>
  <c r="B423" i="3"/>
  <c r="B455" i="3"/>
  <c r="B404" i="3"/>
  <c r="B357" i="3"/>
  <c r="B389" i="3"/>
  <c r="B425" i="3"/>
  <c r="B390" i="3"/>
  <c r="B454" i="3"/>
  <c r="B444" i="3"/>
  <c r="B370" i="3"/>
  <c r="B434" i="3"/>
  <c r="B427" i="3"/>
  <c r="B408" i="3"/>
  <c r="B393" i="3"/>
  <c r="B398" i="3"/>
  <c r="B452" i="3"/>
  <c r="B442" i="3"/>
  <c r="B383" i="3"/>
  <c r="B415" i="3"/>
  <c r="B447" i="3"/>
  <c r="B388" i="3"/>
  <c r="B440" i="3"/>
  <c r="B381" i="3"/>
  <c r="B417" i="3"/>
  <c r="B374" i="3"/>
  <c r="B438" i="3"/>
  <c r="B424" i="3"/>
  <c r="B453" i="3"/>
  <c r="B418" i="3"/>
  <c r="AT8" i="1"/>
  <c r="AS8" i="1"/>
  <c r="BD10" i="1"/>
  <c r="EY13" i="1"/>
  <c r="B38" i="10" s="1"/>
  <c r="FC13" i="1"/>
  <c r="AQ38" i="10" s="1"/>
  <c r="FG13" i="1"/>
  <c r="EX14" i="1"/>
  <c r="FF13" i="1"/>
  <c r="FA13" i="1"/>
  <c r="W38" i="10" s="1"/>
  <c r="FH12" i="1"/>
  <c r="FB12" i="1"/>
  <c r="AG37" i="10" s="1"/>
  <c r="BQ10" i="1"/>
  <c r="AQ36" i="3"/>
  <c r="W36" i="3"/>
  <c r="U119" i="1"/>
  <c r="F316" i="3"/>
  <c r="U128" i="1"/>
  <c r="F325" i="3"/>
  <c r="U65" i="1"/>
  <c r="F262" i="3"/>
  <c r="U73" i="1"/>
  <c r="F270" i="3"/>
  <c r="U75" i="1"/>
  <c r="F272" i="3"/>
  <c r="U99" i="1"/>
  <c r="F296" i="3"/>
  <c r="U108" i="1"/>
  <c r="F305" i="3"/>
  <c r="U146" i="1"/>
  <c r="F343" i="3"/>
  <c r="U86" i="1"/>
  <c r="F283" i="3"/>
  <c r="U120" i="1"/>
  <c r="F317" i="3"/>
  <c r="U94" i="1"/>
  <c r="F291" i="3"/>
  <c r="U129" i="1"/>
  <c r="F326" i="3"/>
  <c r="U137" i="1"/>
  <c r="F334" i="3"/>
  <c r="U103" i="1"/>
  <c r="F300" i="3"/>
  <c r="U89" i="1"/>
  <c r="F286" i="3"/>
  <c r="U79" i="1"/>
  <c r="F276" i="3"/>
  <c r="U97" i="1"/>
  <c r="F294" i="3"/>
  <c r="U67" i="1"/>
  <c r="F264" i="3"/>
  <c r="U85" i="1"/>
  <c r="F282" i="3"/>
  <c r="U102" i="1"/>
  <c r="F299" i="3"/>
  <c r="U71" i="1"/>
  <c r="F268" i="3"/>
  <c r="U68" i="1"/>
  <c r="F265" i="3"/>
  <c r="U148" i="1"/>
  <c r="F345" i="3"/>
  <c r="U91" i="1"/>
  <c r="F288" i="3"/>
  <c r="U93" i="1"/>
  <c r="F290" i="3"/>
  <c r="U126" i="1"/>
  <c r="F323" i="3"/>
  <c r="U111" i="1"/>
  <c r="F308" i="3"/>
  <c r="U98" i="1"/>
  <c r="F295" i="3"/>
  <c r="U96" i="1"/>
  <c r="F293" i="3"/>
  <c r="U123" i="1"/>
  <c r="F320" i="3"/>
  <c r="U74" i="1"/>
  <c r="F271" i="3"/>
  <c r="U138" i="1"/>
  <c r="F335" i="3"/>
  <c r="U127" i="1"/>
  <c r="F324" i="3"/>
  <c r="U104" i="1"/>
  <c r="F301" i="3"/>
  <c r="U121" i="1"/>
  <c r="F318" i="3"/>
  <c r="U136" i="1"/>
  <c r="F333" i="3"/>
  <c r="U62" i="1"/>
  <c r="F259" i="3"/>
  <c r="U131" i="1"/>
  <c r="F328" i="3"/>
  <c r="U59" i="1"/>
  <c r="F256" i="3"/>
  <c r="U82" i="1"/>
  <c r="F279" i="3"/>
  <c r="U115" i="1"/>
  <c r="F312" i="3"/>
  <c r="U105" i="1"/>
  <c r="F302" i="3"/>
  <c r="U149" i="1"/>
  <c r="F346" i="3"/>
  <c r="U118" i="1"/>
  <c r="F315" i="3"/>
  <c r="U95" i="1"/>
  <c r="F292" i="3"/>
  <c r="U84" i="1"/>
  <c r="F281" i="3"/>
  <c r="U81" i="1"/>
  <c r="F278" i="3"/>
  <c r="U135" i="1"/>
  <c r="F332" i="3"/>
  <c r="U125" i="1"/>
  <c r="F322" i="3"/>
  <c r="U63" i="1"/>
  <c r="F260" i="3"/>
  <c r="U132" i="1"/>
  <c r="F329" i="3"/>
  <c r="U144" i="1"/>
  <c r="F341" i="3"/>
  <c r="U130" i="1"/>
  <c r="F327" i="3"/>
  <c r="U140" i="1"/>
  <c r="F337" i="3"/>
  <c r="U152" i="1"/>
  <c r="F349" i="3"/>
  <c r="U90" i="1"/>
  <c r="F287" i="3"/>
  <c r="U154" i="1"/>
  <c r="F351" i="3"/>
  <c r="U56" i="1"/>
  <c r="F253" i="3"/>
  <c r="U124" i="1"/>
  <c r="F321" i="3"/>
  <c r="U153" i="1"/>
  <c r="F350" i="3"/>
  <c r="U69" i="1"/>
  <c r="F266" i="3"/>
  <c r="U110" i="1"/>
  <c r="F307" i="3"/>
  <c r="U76" i="1"/>
  <c r="F273" i="3"/>
  <c r="U151" i="1"/>
  <c r="F348" i="3"/>
  <c r="U114" i="1"/>
  <c r="F311" i="3"/>
  <c r="U64" i="1"/>
  <c r="F261" i="3"/>
  <c r="U83" i="1"/>
  <c r="F280" i="3"/>
  <c r="U70" i="1"/>
  <c r="F267" i="3"/>
  <c r="U100" i="1"/>
  <c r="F297" i="3"/>
  <c r="U78" i="1"/>
  <c r="F275" i="3"/>
  <c r="U109" i="1"/>
  <c r="F306" i="3"/>
  <c r="U117" i="1"/>
  <c r="F314" i="3"/>
  <c r="U72" i="1"/>
  <c r="F269" i="3"/>
  <c r="U101" i="1"/>
  <c r="F298" i="3"/>
  <c r="U77" i="1"/>
  <c r="F274" i="3"/>
  <c r="U80" i="1"/>
  <c r="F277" i="3"/>
  <c r="U147" i="1"/>
  <c r="F344" i="3"/>
  <c r="U57" i="1"/>
  <c r="F254" i="3"/>
  <c r="U66" i="1"/>
  <c r="F263" i="3"/>
  <c r="U122" i="1"/>
  <c r="F319" i="3"/>
  <c r="U143" i="1"/>
  <c r="F340" i="3"/>
  <c r="U116" i="1"/>
  <c r="F313" i="3"/>
  <c r="U134" i="1"/>
  <c r="F331" i="3"/>
  <c r="U113" i="1"/>
  <c r="F310" i="3"/>
  <c r="U107" i="1"/>
  <c r="F304" i="3"/>
  <c r="U87" i="1"/>
  <c r="F284" i="3"/>
  <c r="U106" i="1"/>
  <c r="F303" i="3"/>
  <c r="U61" i="1"/>
  <c r="F258" i="3"/>
  <c r="U142" i="1"/>
  <c r="F339" i="3"/>
  <c r="U112" i="1"/>
  <c r="F309" i="3"/>
  <c r="U150" i="1"/>
  <c r="F347" i="3"/>
  <c r="U145" i="1"/>
  <c r="F342" i="3"/>
  <c r="U60" i="1"/>
  <c r="F257" i="3"/>
  <c r="U139" i="1"/>
  <c r="F336" i="3"/>
  <c r="U58" i="1"/>
  <c r="F255" i="3"/>
  <c r="U88" i="1"/>
  <c r="F285" i="3"/>
  <c r="U133" i="1"/>
  <c r="F330" i="3"/>
  <c r="U141" i="1"/>
  <c r="F338" i="3"/>
  <c r="U92" i="1"/>
  <c r="F289" i="3"/>
  <c r="U55" i="1"/>
  <c r="F252" i="3"/>
  <c r="B36" i="3"/>
  <c r="AS9" i="1"/>
  <c r="AT9" i="1"/>
  <c r="AU9" i="1"/>
  <c r="FB11" i="1"/>
  <c r="AG36" i="10" s="1"/>
  <c r="AR10" i="1" a="1"/>
  <c r="AR10" i="1" s="1"/>
  <c r="AO11" i="1"/>
  <c r="AN11" i="1" s="1"/>
  <c r="F440" i="3" l="1"/>
  <c r="F393" i="3"/>
  <c r="F434" i="3"/>
  <c r="F359" i="3"/>
  <c r="F451" i="3"/>
  <c r="F443" i="3"/>
  <c r="F407" i="3"/>
  <c r="F408" i="3"/>
  <c r="F444" i="3"/>
  <c r="F367" i="3"/>
  <c r="F448" i="3"/>
  <c r="F378" i="3"/>
  <c r="F410" i="3"/>
  <c r="F401" i="3"/>
  <c r="F384" i="3"/>
  <c r="F415" i="3"/>
  <c r="F370" i="3"/>
  <c r="F425" i="3"/>
  <c r="F455" i="3"/>
  <c r="F453" i="3"/>
  <c r="F433" i="3"/>
  <c r="F426" i="3"/>
  <c r="F382" i="3"/>
  <c r="F450" i="3"/>
  <c r="F360" i="3"/>
  <c r="F397" i="3"/>
  <c r="F442" i="3"/>
  <c r="F413" i="3"/>
  <c r="F388" i="3"/>
  <c r="F417" i="3"/>
  <c r="F358" i="3"/>
  <c r="F402" i="3"/>
  <c r="F379" i="3"/>
  <c r="F371" i="3"/>
  <c r="F365" i="3"/>
  <c r="F452" i="3"/>
  <c r="F454" i="3"/>
  <c r="F357" i="3"/>
  <c r="F391" i="3"/>
  <c r="F441" i="3"/>
  <c r="F445" i="3"/>
  <c r="F364" i="3"/>
  <c r="F436" i="3"/>
  <c r="F385" i="3"/>
  <c r="F419" i="3"/>
  <c r="F406" i="3"/>
  <c r="F383" i="3"/>
  <c r="F432" i="3"/>
  <c r="F437" i="3"/>
  <c r="F405" i="3"/>
  <c r="F439" i="3"/>
  <c r="F424" i="3"/>
  <c r="F399" i="3"/>
  <c r="F427" i="3"/>
  <c r="F392" i="3"/>
  <c r="F369" i="3"/>
  <c r="F403" i="3"/>
  <c r="F368" i="3"/>
  <c r="F380" i="3"/>
  <c r="F404" i="3"/>
  <c r="F430" i="3"/>
  <c r="F421" i="3"/>
  <c r="F447" i="3"/>
  <c r="F400" i="3"/>
  <c r="F374" i="3"/>
  <c r="F429" i="3"/>
  <c r="F389" i="3"/>
  <c r="F446" i="3"/>
  <c r="F362" i="3"/>
  <c r="F414" i="3"/>
  <c r="F423" i="3"/>
  <c r="F381" i="3"/>
  <c r="F418" i="3"/>
  <c r="F411" i="3"/>
  <c r="FI11" i="1"/>
  <c r="FI12" i="1"/>
  <c r="F361" i="3"/>
  <c r="F435" i="3"/>
  <c r="F373" i="3"/>
  <c r="F377" i="3"/>
  <c r="F431" i="3"/>
  <c r="F396" i="3"/>
  <c r="F416" i="3"/>
  <c r="F363" i="3"/>
  <c r="F422" i="3"/>
  <c r="F428" i="3"/>
  <c r="F375" i="3"/>
  <c r="F412" i="3"/>
  <c r="F394" i="3"/>
  <c r="F449" i="3"/>
  <c r="F372" i="3"/>
  <c r="F386" i="3"/>
  <c r="F398" i="3"/>
  <c r="F390" i="3"/>
  <c r="F438" i="3"/>
  <c r="F395" i="3"/>
  <c r="F387" i="3"/>
  <c r="F409" i="3"/>
  <c r="F376" i="3"/>
  <c r="F366" i="3"/>
  <c r="F420" i="3"/>
  <c r="AV8" i="1"/>
  <c r="BD11" i="1"/>
  <c r="EY14" i="1"/>
  <c r="B39" i="10" s="1"/>
  <c r="FC14" i="1"/>
  <c r="AQ39" i="10" s="1"/>
  <c r="FG14" i="1"/>
  <c r="FF14" i="1"/>
  <c r="FA14" i="1"/>
  <c r="W39" i="10" s="1"/>
  <c r="EX15" i="1"/>
  <c r="FH13" i="1"/>
  <c r="FB13" i="1"/>
  <c r="AG38" i="10" s="1"/>
  <c r="F356" i="3"/>
  <c r="BQ11" i="1"/>
  <c r="W37" i="3"/>
  <c r="AQ37" i="3"/>
  <c r="B37" i="3"/>
  <c r="AG36" i="3"/>
  <c r="AT10" i="1"/>
  <c r="AU10" i="1"/>
  <c r="AS10" i="1"/>
  <c r="AR11" i="1" a="1"/>
  <c r="AR11" i="1" s="1"/>
  <c r="AV9" i="1"/>
  <c r="AO12" i="1"/>
  <c r="AN12" i="1" s="1"/>
  <c r="FI13" i="1" l="1"/>
  <c r="BD12" i="1"/>
  <c r="FH14" i="1"/>
  <c r="FB14" i="1"/>
  <c r="AG39" i="10" s="1"/>
  <c r="EY15" i="1"/>
  <c r="B40" i="10" s="1"/>
  <c r="FC15" i="1"/>
  <c r="AQ40" i="10" s="1"/>
  <c r="FG15" i="1"/>
  <c r="EX16" i="1"/>
  <c r="FF15" i="1"/>
  <c r="FA15" i="1"/>
  <c r="W40" i="10" s="1"/>
  <c r="BQ12" i="1"/>
  <c r="B38" i="3"/>
  <c r="W38" i="3"/>
  <c r="AQ38" i="3"/>
  <c r="AG37" i="3"/>
  <c r="AU11" i="1"/>
  <c r="AT11" i="1"/>
  <c r="AS11" i="1"/>
  <c r="AR12" i="1" a="1"/>
  <c r="AR12" i="1" s="1"/>
  <c r="AV10" i="1"/>
  <c r="AO13" i="1"/>
  <c r="AN13" i="1" s="1"/>
  <c r="FI14" i="1" l="1"/>
  <c r="BD13" i="1"/>
  <c r="FH15" i="1"/>
  <c r="FB15" i="1"/>
  <c r="AG40" i="10" s="1"/>
  <c r="EY16" i="1"/>
  <c r="B41" i="10" s="1"/>
  <c r="FC16" i="1"/>
  <c r="AQ41" i="10" s="1"/>
  <c r="FG16" i="1"/>
  <c r="FF16" i="1"/>
  <c r="FA16" i="1"/>
  <c r="W41" i="10" s="1"/>
  <c r="EX17" i="1"/>
  <c r="BQ13" i="1"/>
  <c r="AQ39" i="3"/>
  <c r="W39" i="3"/>
  <c r="B39" i="3"/>
  <c r="AG38" i="3"/>
  <c r="AS12" i="1"/>
  <c r="AU12" i="1"/>
  <c r="AT12" i="1"/>
  <c r="AR13" i="1" a="1"/>
  <c r="AR13" i="1" s="1"/>
  <c r="AV11" i="1"/>
  <c r="AO14" i="1"/>
  <c r="AN14" i="1" s="1"/>
  <c r="FI15" i="1" l="1"/>
  <c r="BD14" i="1"/>
  <c r="EY17" i="1"/>
  <c r="B42" i="10" s="1"/>
  <c r="FC17" i="1"/>
  <c r="AQ42" i="10" s="1"/>
  <c r="FG17" i="1"/>
  <c r="EX18" i="1"/>
  <c r="FF17" i="1"/>
  <c r="FA17" i="1"/>
  <c r="W42" i="10" s="1"/>
  <c r="FH16" i="1"/>
  <c r="FB16" i="1"/>
  <c r="AG41" i="10" s="1"/>
  <c r="BQ14" i="1"/>
  <c r="W40" i="3"/>
  <c r="AQ40" i="3"/>
  <c r="B40" i="3"/>
  <c r="AG39" i="3"/>
  <c r="AS13" i="1"/>
  <c r="AT13" i="1"/>
  <c r="AU13" i="1"/>
  <c r="AR14" i="1" a="1"/>
  <c r="AR14" i="1" s="1"/>
  <c r="AV12" i="1"/>
  <c r="AO15" i="1"/>
  <c r="AN15" i="1" s="1"/>
  <c r="AG9" i="1" l="1"/>
  <c r="FI16" i="1"/>
  <c r="BD15" i="1"/>
  <c r="EY18" i="1"/>
  <c r="FC18" i="1"/>
  <c r="FG18" i="1"/>
  <c r="EZ18" i="1"/>
  <c r="FD18" i="1"/>
  <c r="FF18" i="1"/>
  <c r="FA18" i="1"/>
  <c r="EX19" i="1"/>
  <c r="FE18" i="1"/>
  <c r="FH17" i="1"/>
  <c r="FB17" i="1"/>
  <c r="AG42" i="10" s="1"/>
  <c r="BQ15" i="1"/>
  <c r="AQ41" i="3"/>
  <c r="B41" i="3"/>
  <c r="W41" i="3"/>
  <c r="AG40" i="3"/>
  <c r="AT14" i="1"/>
  <c r="AU14" i="1"/>
  <c r="AS14" i="1"/>
  <c r="AR15" i="1" a="1"/>
  <c r="AR15" i="1" s="1"/>
  <c r="AV13" i="1"/>
  <c r="AO16" i="1"/>
  <c r="AN16" i="1" s="1"/>
  <c r="FI17" i="1" l="1"/>
  <c r="BD16" i="1"/>
  <c r="FH18" i="1"/>
  <c r="FB18" i="1"/>
  <c r="EY19" i="1"/>
  <c r="FC19" i="1"/>
  <c r="FG19" i="1"/>
  <c r="EZ19" i="1"/>
  <c r="FD19" i="1"/>
  <c r="EX20" i="1"/>
  <c r="FE19" i="1"/>
  <c r="FF19" i="1"/>
  <c r="FA19" i="1"/>
  <c r="BQ16" i="1"/>
  <c r="B42" i="3"/>
  <c r="W42" i="3"/>
  <c r="AQ42" i="3"/>
  <c r="AG41" i="3"/>
  <c r="AU15" i="1"/>
  <c r="AT15" i="1"/>
  <c r="AS15" i="1"/>
  <c r="AR16" i="1" a="1"/>
  <c r="AR16" i="1" s="1"/>
  <c r="AV14" i="1"/>
  <c r="AO17" i="1"/>
  <c r="AN17" i="1" s="1"/>
  <c r="FI18" i="1" l="1"/>
  <c r="BD17" i="1"/>
  <c r="FH19" i="1"/>
  <c r="FB19" i="1"/>
  <c r="EY20" i="1"/>
  <c r="FC20" i="1"/>
  <c r="FG20" i="1"/>
  <c r="EZ20" i="1"/>
  <c r="FD20" i="1"/>
  <c r="FF20" i="1"/>
  <c r="FA20" i="1"/>
  <c r="EX21" i="1"/>
  <c r="FE20" i="1"/>
  <c r="BQ17" i="1"/>
  <c r="B43" i="3"/>
  <c r="AQ43" i="3"/>
  <c r="AY43" i="3"/>
  <c r="W43" i="3"/>
  <c r="BG43" i="3"/>
  <c r="O43" i="3"/>
  <c r="AG42" i="3"/>
  <c r="AS16" i="1"/>
  <c r="AU16" i="1"/>
  <c r="AT16" i="1"/>
  <c r="AR17" i="1" a="1"/>
  <c r="AR17" i="1" s="1"/>
  <c r="AV15" i="1"/>
  <c r="AO18" i="1"/>
  <c r="AN18" i="1" s="1"/>
  <c r="FI19" i="1" l="1"/>
  <c r="BD18" i="1"/>
  <c r="EY21" i="1"/>
  <c r="FC21" i="1"/>
  <c r="FG21" i="1"/>
  <c r="FA21" i="1"/>
  <c r="FF21" i="1"/>
  <c r="FD21" i="1"/>
  <c r="EZ21" i="1"/>
  <c r="FE21" i="1"/>
  <c r="EX22" i="1"/>
  <c r="FH20" i="1"/>
  <c r="FB20" i="1"/>
  <c r="BQ18" i="1"/>
  <c r="W44" i="3"/>
  <c r="O44" i="3"/>
  <c r="AY44" i="3"/>
  <c r="AQ44" i="3"/>
  <c r="BG44" i="3"/>
  <c r="B44" i="3"/>
  <c r="AG43" i="3"/>
  <c r="AS17" i="1"/>
  <c r="AT17" i="1"/>
  <c r="AU17" i="1"/>
  <c r="AR18" i="1" a="1"/>
  <c r="AR18" i="1" s="1"/>
  <c r="AV16" i="1"/>
  <c r="AO19" i="1"/>
  <c r="AN19" i="1" s="1"/>
  <c r="FI20" i="1" l="1"/>
  <c r="BD19" i="1"/>
  <c r="FB21" i="1"/>
  <c r="FH21" i="1"/>
  <c r="EY22" i="1"/>
  <c r="FC22" i="1"/>
  <c r="FG22" i="1"/>
  <c r="EZ22" i="1"/>
  <c r="FE22" i="1"/>
  <c r="EX23" i="1"/>
  <c r="FA22" i="1"/>
  <c r="FF22" i="1"/>
  <c r="FD22" i="1"/>
  <c r="BQ19" i="1"/>
  <c r="AY45" i="3"/>
  <c r="B45" i="3"/>
  <c r="O45" i="3"/>
  <c r="BG45" i="3"/>
  <c r="W45" i="3"/>
  <c r="AQ45" i="3"/>
  <c r="AG44" i="3"/>
  <c r="AT18" i="1"/>
  <c r="AU18" i="1"/>
  <c r="AS18" i="1"/>
  <c r="AR19" i="1" a="1"/>
  <c r="AR19" i="1" s="1"/>
  <c r="AV17" i="1"/>
  <c r="AO20" i="1"/>
  <c r="AN20" i="1" s="1"/>
  <c r="FI21" i="1" l="1"/>
  <c r="BD20" i="1"/>
  <c r="EY23" i="1"/>
  <c r="FC23" i="1"/>
  <c r="FG23" i="1"/>
  <c r="FD23" i="1"/>
  <c r="EZ23" i="1"/>
  <c r="FE23" i="1"/>
  <c r="EX24" i="1"/>
  <c r="FA23" i="1"/>
  <c r="FF23" i="1"/>
  <c r="FB22" i="1"/>
  <c r="FH22" i="1"/>
  <c r="BQ20" i="1"/>
  <c r="O46" i="3"/>
  <c r="BG46" i="3"/>
  <c r="W46" i="3"/>
  <c r="B46" i="3"/>
  <c r="AQ46" i="3"/>
  <c r="AY46" i="3"/>
  <c r="AG45" i="3"/>
  <c r="AU19" i="1"/>
  <c r="AT19" i="1"/>
  <c r="AS19" i="1"/>
  <c r="AR20" i="1" a="1"/>
  <c r="AR20" i="1" s="1"/>
  <c r="AV18" i="1"/>
  <c r="AO21" i="1"/>
  <c r="AN21" i="1" s="1"/>
  <c r="FI22" i="1" l="1"/>
  <c r="BD21" i="1"/>
  <c r="EY24" i="1"/>
  <c r="FC24" i="1"/>
  <c r="FG24" i="1"/>
  <c r="FD24" i="1"/>
  <c r="EZ24" i="1"/>
  <c r="FE24" i="1"/>
  <c r="EX25" i="1"/>
  <c r="FA24" i="1"/>
  <c r="FF24" i="1"/>
  <c r="FB23" i="1"/>
  <c r="FH23" i="1"/>
  <c r="BQ21" i="1"/>
  <c r="B47" i="3"/>
  <c r="O47" i="3"/>
  <c r="AQ47" i="3"/>
  <c r="BG47" i="3"/>
  <c r="AY47" i="3"/>
  <c r="W47" i="3"/>
  <c r="AG46" i="3"/>
  <c r="AS20" i="1"/>
  <c r="AU20" i="1"/>
  <c r="AT20" i="1"/>
  <c r="AR21" i="1" a="1"/>
  <c r="AR21" i="1" s="1"/>
  <c r="AV19" i="1"/>
  <c r="AO22" i="1"/>
  <c r="AN22" i="1" s="1"/>
  <c r="FI23" i="1" l="1"/>
  <c r="BD22" i="1"/>
  <c r="FB24" i="1"/>
  <c r="FH24" i="1"/>
  <c r="EY25" i="1"/>
  <c r="FC25" i="1"/>
  <c r="FG25" i="1"/>
  <c r="FA25" i="1"/>
  <c r="FF25" i="1"/>
  <c r="FD25" i="1"/>
  <c r="EX26" i="1"/>
  <c r="EZ25" i="1"/>
  <c r="FE25" i="1"/>
  <c r="BQ22" i="1"/>
  <c r="W48" i="3"/>
  <c r="AY48" i="3"/>
  <c r="AQ48" i="3"/>
  <c r="O48" i="3"/>
  <c r="BG48" i="3"/>
  <c r="B48" i="3"/>
  <c r="AG47" i="3"/>
  <c r="AS21" i="1"/>
  <c r="AT21" i="1"/>
  <c r="AU21" i="1"/>
  <c r="AR22" i="1" a="1"/>
  <c r="AR22" i="1" s="1"/>
  <c r="AV20" i="1"/>
  <c r="AO23" i="1"/>
  <c r="AN23" i="1" s="1"/>
  <c r="FI24" i="1" l="1"/>
  <c r="BD23" i="1"/>
  <c r="FB25" i="1"/>
  <c r="FH25" i="1"/>
  <c r="EY26" i="1"/>
  <c r="FC26" i="1"/>
  <c r="FG26" i="1"/>
  <c r="EZ26" i="1"/>
  <c r="FE26" i="1"/>
  <c r="EX27" i="1"/>
  <c r="FA26" i="1"/>
  <c r="FF26" i="1"/>
  <c r="FD26" i="1"/>
  <c r="BQ23" i="1"/>
  <c r="BG49" i="3"/>
  <c r="O49" i="3"/>
  <c r="W49" i="3"/>
  <c r="AQ49" i="3"/>
  <c r="AY49" i="3"/>
  <c r="B49" i="3"/>
  <c r="AG48" i="3"/>
  <c r="AT22" i="1"/>
  <c r="AU22" i="1"/>
  <c r="AS22" i="1"/>
  <c r="AR23" i="1" a="1"/>
  <c r="AR23" i="1" s="1"/>
  <c r="AV21" i="1"/>
  <c r="AO24" i="1"/>
  <c r="AN24" i="1" s="1"/>
  <c r="FI25" i="1" l="1"/>
  <c r="BD24" i="1"/>
  <c r="EY27" i="1"/>
  <c r="FC27" i="1"/>
  <c r="FG27" i="1"/>
  <c r="FD27" i="1"/>
  <c r="EZ27" i="1"/>
  <c r="FE27" i="1"/>
  <c r="EX28" i="1"/>
  <c r="FA27" i="1"/>
  <c r="FF27" i="1"/>
  <c r="FB26" i="1"/>
  <c r="FH26" i="1"/>
  <c r="BQ24" i="1"/>
  <c r="AQ50" i="3"/>
  <c r="AY50" i="3"/>
  <c r="B50" i="3"/>
  <c r="O50" i="3"/>
  <c r="BG50" i="3"/>
  <c r="W50" i="3"/>
  <c r="AG49" i="3"/>
  <c r="AU23" i="1"/>
  <c r="AT23" i="1"/>
  <c r="AS23" i="1"/>
  <c r="AR24" i="1" a="1"/>
  <c r="AR24" i="1" s="1"/>
  <c r="AV22" i="1"/>
  <c r="AO25" i="1"/>
  <c r="AN25" i="1" s="1"/>
  <c r="FI26" i="1" l="1"/>
  <c r="BD25" i="1"/>
  <c r="FH27" i="1"/>
  <c r="FB27" i="1"/>
  <c r="EY28" i="1"/>
  <c r="FC28" i="1"/>
  <c r="FG28" i="1"/>
  <c r="FD28" i="1"/>
  <c r="EZ28" i="1"/>
  <c r="FE28" i="1"/>
  <c r="EX29" i="1"/>
  <c r="FA28" i="1"/>
  <c r="FF28" i="1"/>
  <c r="BQ25" i="1"/>
  <c r="B51" i="3"/>
  <c r="O51" i="3"/>
  <c r="AQ51" i="3"/>
  <c r="BG51" i="3"/>
  <c r="AY51" i="3"/>
  <c r="W51" i="3"/>
  <c r="AG50" i="3"/>
  <c r="AS24" i="1"/>
  <c r="AU24" i="1"/>
  <c r="AT24" i="1"/>
  <c r="AR25" i="1" a="1"/>
  <c r="AR25" i="1" s="1"/>
  <c r="AV23" i="1"/>
  <c r="AO26" i="1"/>
  <c r="AN26" i="1" s="1"/>
  <c r="FI27" i="1" l="1"/>
  <c r="BD26" i="1"/>
  <c r="FB28" i="1"/>
  <c r="FH28" i="1"/>
  <c r="EY29" i="1"/>
  <c r="FC29" i="1"/>
  <c r="FG29" i="1"/>
  <c r="FA29" i="1"/>
  <c r="FF29" i="1"/>
  <c r="FD29" i="1"/>
  <c r="FE29" i="1"/>
  <c r="EX30" i="1"/>
  <c r="EZ29" i="1"/>
  <c r="BQ26" i="1"/>
  <c r="BG52" i="3"/>
  <c r="B52" i="3"/>
  <c r="W52" i="3"/>
  <c r="AY52" i="3"/>
  <c r="O52" i="3"/>
  <c r="AQ52" i="3"/>
  <c r="AG51" i="3"/>
  <c r="AS25" i="1"/>
  <c r="AT25" i="1"/>
  <c r="AU25" i="1"/>
  <c r="AR26" i="1" a="1"/>
  <c r="AR26" i="1" s="1"/>
  <c r="AV24" i="1"/>
  <c r="AO27" i="1"/>
  <c r="AN27" i="1" s="1"/>
  <c r="FI28" i="1" l="1"/>
  <c r="BD27" i="1"/>
  <c r="EY30" i="1"/>
  <c r="FC30" i="1"/>
  <c r="FG30" i="1"/>
  <c r="EZ30" i="1"/>
  <c r="FE30" i="1"/>
  <c r="EX31" i="1"/>
  <c r="FA30" i="1"/>
  <c r="FF30" i="1"/>
  <c r="FD30" i="1"/>
  <c r="FB29" i="1"/>
  <c r="FH29" i="1"/>
  <c r="BQ27" i="1"/>
  <c r="AY53" i="3"/>
  <c r="B53" i="3"/>
  <c r="BG53" i="3"/>
  <c r="O53" i="3"/>
  <c r="W53" i="3"/>
  <c r="AQ53" i="3"/>
  <c r="AG52" i="3"/>
  <c r="AT26" i="1"/>
  <c r="AU26" i="1"/>
  <c r="AS26" i="1"/>
  <c r="AR27" i="1" a="1"/>
  <c r="AR27" i="1" s="1"/>
  <c r="AV25" i="1"/>
  <c r="AO28" i="1"/>
  <c r="AN28" i="1" s="1"/>
  <c r="FI29" i="1" l="1"/>
  <c r="BD28" i="1"/>
  <c r="FB30" i="1"/>
  <c r="FH30" i="1"/>
  <c r="EY31" i="1"/>
  <c r="FC31" i="1"/>
  <c r="FG31" i="1"/>
  <c r="FD31" i="1"/>
  <c r="EZ31" i="1"/>
  <c r="FE31" i="1"/>
  <c r="EX32" i="1"/>
  <c r="FA31" i="1"/>
  <c r="FF31" i="1"/>
  <c r="BQ28" i="1"/>
  <c r="AQ54" i="3"/>
  <c r="AY54" i="3"/>
  <c r="B54" i="3"/>
  <c r="O54" i="3"/>
  <c r="BG54" i="3"/>
  <c r="W54" i="3"/>
  <c r="AG53" i="3"/>
  <c r="AU27" i="1"/>
  <c r="AT27" i="1"/>
  <c r="AS27" i="1"/>
  <c r="AR28" i="1" a="1"/>
  <c r="AR28" i="1" s="1"/>
  <c r="AV26" i="1"/>
  <c r="AO29" i="1"/>
  <c r="AN29" i="1" s="1"/>
  <c r="FI30" i="1" l="1"/>
  <c r="BD29" i="1"/>
  <c r="FB31" i="1"/>
  <c r="FH31" i="1"/>
  <c r="EY32" i="1"/>
  <c r="FC32" i="1"/>
  <c r="FG32" i="1"/>
  <c r="FD32" i="1"/>
  <c r="EZ32" i="1"/>
  <c r="FE32" i="1"/>
  <c r="EX33" i="1"/>
  <c r="FA32" i="1"/>
  <c r="FF32" i="1"/>
  <c r="BQ29" i="1"/>
  <c r="AQ55" i="3"/>
  <c r="O55" i="3"/>
  <c r="B55" i="3"/>
  <c r="BG55" i="3"/>
  <c r="AY55" i="3"/>
  <c r="W55" i="3"/>
  <c r="AG54" i="3"/>
  <c r="AS28" i="1"/>
  <c r="AU28" i="1"/>
  <c r="AT28" i="1"/>
  <c r="AR29" i="1" a="1"/>
  <c r="AR29" i="1" s="1"/>
  <c r="AV27" i="1"/>
  <c r="AO30" i="1"/>
  <c r="AN30" i="1" s="1"/>
  <c r="FI31" i="1" l="1"/>
  <c r="BD30" i="1"/>
  <c r="FB32" i="1"/>
  <c r="FH32" i="1"/>
  <c r="EY33" i="1"/>
  <c r="FC33" i="1"/>
  <c r="FG33" i="1"/>
  <c r="FA33" i="1"/>
  <c r="FF33" i="1"/>
  <c r="FD33" i="1"/>
  <c r="EZ33" i="1"/>
  <c r="FE33" i="1"/>
  <c r="EX34" i="1"/>
  <c r="BQ30" i="1"/>
  <c r="BG56" i="3"/>
  <c r="B56" i="3"/>
  <c r="W56" i="3"/>
  <c r="AY56" i="3"/>
  <c r="O56" i="3"/>
  <c r="AQ56" i="3"/>
  <c r="AG55" i="3"/>
  <c r="AS29" i="1"/>
  <c r="AT29" i="1"/>
  <c r="AU29" i="1"/>
  <c r="AR30" i="1" a="1"/>
  <c r="AR30" i="1" s="1"/>
  <c r="AV28" i="1"/>
  <c r="AO31" i="1"/>
  <c r="AN31" i="1" s="1"/>
  <c r="FI32" i="1" l="1"/>
  <c r="BD31" i="1"/>
  <c r="EY34" i="1"/>
  <c r="FC34" i="1"/>
  <c r="FG34" i="1"/>
  <c r="EZ34" i="1"/>
  <c r="FE34" i="1"/>
  <c r="EX35" i="1"/>
  <c r="FA34" i="1"/>
  <c r="FF34" i="1"/>
  <c r="FD34" i="1"/>
  <c r="FB33" i="1"/>
  <c r="FH33" i="1"/>
  <c r="BQ31" i="1"/>
  <c r="AQ57" i="3"/>
  <c r="AY57" i="3"/>
  <c r="B57" i="3"/>
  <c r="W57" i="3"/>
  <c r="O57" i="3"/>
  <c r="BG57" i="3"/>
  <c r="AG56" i="3"/>
  <c r="AT30" i="1"/>
  <c r="AU30" i="1"/>
  <c r="AS30" i="1"/>
  <c r="AR31" i="1" a="1"/>
  <c r="AR31" i="1" s="1"/>
  <c r="AV29" i="1"/>
  <c r="AO32" i="1"/>
  <c r="AN32" i="1" s="1"/>
  <c r="FI33" i="1" l="1"/>
  <c r="BD32" i="1"/>
  <c r="FB34" i="1"/>
  <c r="FH34" i="1"/>
  <c r="EY35" i="1"/>
  <c r="FC35" i="1"/>
  <c r="FG35" i="1"/>
  <c r="FD35" i="1"/>
  <c r="EZ35" i="1"/>
  <c r="FE35" i="1"/>
  <c r="EX36" i="1"/>
  <c r="FA35" i="1"/>
  <c r="FF35" i="1"/>
  <c r="BQ32" i="1"/>
  <c r="W58" i="3"/>
  <c r="AQ58" i="3"/>
  <c r="AY58" i="3"/>
  <c r="B58" i="3"/>
  <c r="O58" i="3"/>
  <c r="BG58" i="3"/>
  <c r="AG57" i="3"/>
  <c r="AU31" i="1"/>
  <c r="AT31" i="1"/>
  <c r="AS31" i="1"/>
  <c r="AR32" i="1" a="1"/>
  <c r="AR32" i="1" s="1"/>
  <c r="AV30" i="1"/>
  <c r="AO33" i="1"/>
  <c r="AN33" i="1" s="1"/>
  <c r="FI34" i="1" l="1"/>
  <c r="BD33" i="1"/>
  <c r="FB35" i="1"/>
  <c r="FH35" i="1"/>
  <c r="EY36" i="1"/>
  <c r="FC36" i="1"/>
  <c r="FG36" i="1"/>
  <c r="FD36" i="1"/>
  <c r="EZ36" i="1"/>
  <c r="FE36" i="1"/>
  <c r="EX37" i="1"/>
  <c r="FF36" i="1"/>
  <c r="FA36" i="1"/>
  <c r="BQ33" i="1"/>
  <c r="B59" i="3"/>
  <c r="BG59" i="3"/>
  <c r="AY59" i="3"/>
  <c r="W59" i="3"/>
  <c r="O59" i="3"/>
  <c r="AQ59" i="3"/>
  <c r="AG58" i="3"/>
  <c r="AS32" i="1"/>
  <c r="AU32" i="1"/>
  <c r="AT32" i="1"/>
  <c r="AR33" i="1" a="1"/>
  <c r="AR33" i="1" s="1"/>
  <c r="AV31" i="1"/>
  <c r="AO34" i="1"/>
  <c r="AN34" i="1" s="1"/>
  <c r="FI35" i="1" l="1"/>
  <c r="BD34" i="1"/>
  <c r="FB36" i="1"/>
  <c r="FH36" i="1"/>
  <c r="EY37" i="1"/>
  <c r="FC37" i="1"/>
  <c r="FG37" i="1"/>
  <c r="FA37" i="1"/>
  <c r="FF37" i="1"/>
  <c r="FD37" i="1"/>
  <c r="EZ37" i="1"/>
  <c r="FE37" i="1"/>
  <c r="EX38" i="1"/>
  <c r="BQ34" i="1"/>
  <c r="AY60" i="3"/>
  <c r="AQ60" i="3"/>
  <c r="BG60" i="3"/>
  <c r="B60" i="3"/>
  <c r="W60" i="3"/>
  <c r="O60" i="3"/>
  <c r="AG59" i="3"/>
  <c r="AS33" i="1"/>
  <c r="AT33" i="1"/>
  <c r="AU33" i="1"/>
  <c r="AR34" i="1" a="1"/>
  <c r="AR34" i="1" s="1"/>
  <c r="AV32" i="1"/>
  <c r="AO35" i="1"/>
  <c r="AN35" i="1" s="1"/>
  <c r="FI36" i="1" l="1"/>
  <c r="BD35" i="1"/>
  <c r="EY38" i="1"/>
  <c r="FC38" i="1"/>
  <c r="FG38" i="1"/>
  <c r="EZ38" i="1"/>
  <c r="FE38" i="1"/>
  <c r="EX39" i="1"/>
  <c r="FA38" i="1"/>
  <c r="FF38" i="1"/>
  <c r="FD38" i="1"/>
  <c r="FB37" i="1"/>
  <c r="FH37" i="1"/>
  <c r="BQ35" i="1"/>
  <c r="AQ61" i="3"/>
  <c r="B61" i="3"/>
  <c r="BG61" i="3"/>
  <c r="W61" i="3"/>
  <c r="AY61" i="3"/>
  <c r="O61" i="3"/>
  <c r="AG60" i="3"/>
  <c r="AU34" i="1"/>
  <c r="AS34" i="1"/>
  <c r="AT34" i="1"/>
  <c r="AR35" i="1" a="1"/>
  <c r="AR35" i="1" s="1"/>
  <c r="AV33" i="1"/>
  <c r="AO36" i="1"/>
  <c r="AN36" i="1" s="1"/>
  <c r="FI37" i="1" l="1"/>
  <c r="BD36" i="1"/>
  <c r="FB38" i="1"/>
  <c r="FH38" i="1"/>
  <c r="EY39" i="1"/>
  <c r="FC39" i="1"/>
  <c r="FG39" i="1"/>
  <c r="FD39" i="1"/>
  <c r="EZ39" i="1"/>
  <c r="FE39" i="1"/>
  <c r="EX40" i="1"/>
  <c r="FA39" i="1"/>
  <c r="FF39" i="1"/>
  <c r="BQ36" i="1"/>
  <c r="W62" i="3"/>
  <c r="O62" i="3"/>
  <c r="AQ62" i="3"/>
  <c r="B62" i="3"/>
  <c r="AY62" i="3"/>
  <c r="BG62" i="3"/>
  <c r="AG61" i="3"/>
  <c r="AT35" i="1"/>
  <c r="AU35" i="1"/>
  <c r="AS35" i="1"/>
  <c r="AR36" i="1" a="1"/>
  <c r="AR36" i="1" s="1"/>
  <c r="AV34" i="1"/>
  <c r="AO37" i="1"/>
  <c r="AN37" i="1" s="1"/>
  <c r="FI38" i="1" l="1"/>
  <c r="BD37" i="1"/>
  <c r="FB39" i="1"/>
  <c r="FH39" i="1"/>
  <c r="EY40" i="1"/>
  <c r="FF40" i="1"/>
  <c r="EX41" i="1"/>
  <c r="FC40" i="1"/>
  <c r="FG40" i="1"/>
  <c r="EZ40" i="1"/>
  <c r="FD40" i="1"/>
  <c r="FA40" i="1"/>
  <c r="FE40" i="1"/>
  <c r="BQ37" i="1"/>
  <c r="BG63" i="3"/>
  <c r="W63" i="3"/>
  <c r="AY63" i="3"/>
  <c r="B63" i="3"/>
  <c r="O63" i="3"/>
  <c r="AQ63" i="3"/>
  <c r="AG62" i="3"/>
  <c r="AS36" i="1"/>
  <c r="AU36" i="1"/>
  <c r="AT36" i="1"/>
  <c r="AR37" i="1" a="1"/>
  <c r="AR37" i="1" s="1"/>
  <c r="AV35" i="1"/>
  <c r="AO38" i="1"/>
  <c r="AN38" i="1" s="1"/>
  <c r="FI39" i="1" l="1"/>
  <c r="BD38" i="1"/>
  <c r="FB40" i="1"/>
  <c r="FH40" i="1"/>
  <c r="FF41" i="1"/>
  <c r="EX42" i="1"/>
  <c r="EY41" i="1"/>
  <c r="FC41" i="1"/>
  <c r="FG41" i="1"/>
  <c r="EZ41" i="1"/>
  <c r="FD41" i="1"/>
  <c r="FE41" i="1"/>
  <c r="FA41" i="1"/>
  <c r="BQ38" i="1"/>
  <c r="O64" i="3"/>
  <c r="AQ64" i="3"/>
  <c r="BG64" i="3"/>
  <c r="B64" i="3"/>
  <c r="AY64" i="3"/>
  <c r="W64" i="3"/>
  <c r="AG63" i="3"/>
  <c r="AT37" i="1"/>
  <c r="AS37" i="1"/>
  <c r="AU37" i="1"/>
  <c r="AR38" i="1" a="1"/>
  <c r="AR38" i="1" s="1"/>
  <c r="AV36" i="1"/>
  <c r="AO39" i="1"/>
  <c r="AN39" i="1" s="1"/>
  <c r="FI40" i="1" l="1"/>
  <c r="BD39" i="1"/>
  <c r="FF42" i="1"/>
  <c r="EX43" i="1"/>
  <c r="EY42" i="1"/>
  <c r="FC42" i="1"/>
  <c r="FG42" i="1"/>
  <c r="EZ42" i="1"/>
  <c r="FD42" i="1"/>
  <c r="FA42" i="1"/>
  <c r="FE42" i="1"/>
  <c r="FB41" i="1"/>
  <c r="FH41" i="1"/>
  <c r="BQ39" i="1"/>
  <c r="W65" i="3"/>
  <c r="AY65" i="3"/>
  <c r="BG65" i="3"/>
  <c r="O65" i="3"/>
  <c r="B65" i="3"/>
  <c r="AQ65" i="3"/>
  <c r="AG64" i="3"/>
  <c r="AU38" i="1"/>
  <c r="AS38" i="1"/>
  <c r="AT38" i="1"/>
  <c r="AR39" i="1" a="1"/>
  <c r="AR39" i="1" s="1"/>
  <c r="AV37" i="1"/>
  <c r="AO40" i="1"/>
  <c r="AN40" i="1" s="1"/>
  <c r="FI41" i="1" l="1"/>
  <c r="BD40" i="1"/>
  <c r="FB42" i="1"/>
  <c r="FH42" i="1"/>
  <c r="FF43" i="1"/>
  <c r="EX44" i="1"/>
  <c r="EY43" i="1"/>
  <c r="FC43" i="1"/>
  <c r="FG43" i="1"/>
  <c r="EZ43" i="1"/>
  <c r="FD43" i="1"/>
  <c r="FA43" i="1"/>
  <c r="FE43" i="1"/>
  <c r="BQ40" i="1"/>
  <c r="W66" i="3"/>
  <c r="AY66" i="3"/>
  <c r="AQ66" i="3"/>
  <c r="B66" i="3"/>
  <c r="O66" i="3"/>
  <c r="BG66" i="3"/>
  <c r="AG65" i="3"/>
  <c r="AT39" i="1"/>
  <c r="AU39" i="1"/>
  <c r="AS39" i="1"/>
  <c r="AR40" i="1" a="1"/>
  <c r="AR40" i="1" s="1"/>
  <c r="AV38" i="1"/>
  <c r="AO41" i="1"/>
  <c r="AN41" i="1" s="1"/>
  <c r="FI42" i="1" l="1"/>
  <c r="BD41" i="1"/>
  <c r="FF44" i="1"/>
  <c r="EX45" i="1"/>
  <c r="EY44" i="1"/>
  <c r="FC44" i="1"/>
  <c r="FG44" i="1"/>
  <c r="EZ44" i="1"/>
  <c r="FD44" i="1"/>
  <c r="FA44" i="1"/>
  <c r="FE44" i="1"/>
  <c r="FB43" i="1"/>
  <c r="FH43" i="1"/>
  <c r="BQ41" i="1"/>
  <c r="B67" i="3"/>
  <c r="W67" i="3"/>
  <c r="BG67" i="3"/>
  <c r="AQ67" i="3"/>
  <c r="AY67" i="3"/>
  <c r="O67" i="3"/>
  <c r="AG66" i="3"/>
  <c r="AS40" i="1"/>
  <c r="AU40" i="1"/>
  <c r="AT40" i="1"/>
  <c r="AR41" i="1" a="1"/>
  <c r="AR41" i="1" s="1"/>
  <c r="AV39" i="1"/>
  <c r="AO42" i="1"/>
  <c r="AN42" i="1" s="1"/>
  <c r="FI43" i="1" l="1"/>
  <c r="BD42" i="1"/>
  <c r="FB44" i="1"/>
  <c r="FH44" i="1"/>
  <c r="FF45" i="1"/>
  <c r="EX46" i="1"/>
  <c r="EY45" i="1"/>
  <c r="FC45" i="1"/>
  <c r="FG45" i="1"/>
  <c r="EZ45" i="1"/>
  <c r="FD45" i="1"/>
  <c r="FE45" i="1"/>
  <c r="FA45" i="1"/>
  <c r="BQ42" i="1"/>
  <c r="W68" i="3"/>
  <c r="AQ68" i="3"/>
  <c r="AY68" i="3"/>
  <c r="O68" i="3"/>
  <c r="B68" i="3"/>
  <c r="BG68" i="3"/>
  <c r="AG67" i="3"/>
  <c r="AT41" i="1"/>
  <c r="AS41" i="1"/>
  <c r="AU41" i="1"/>
  <c r="AR42" i="1" a="1"/>
  <c r="AR42" i="1" s="1"/>
  <c r="AV40" i="1"/>
  <c r="AO43" i="1"/>
  <c r="AN43" i="1" s="1"/>
  <c r="FI44" i="1" l="1"/>
  <c r="BD43" i="1"/>
  <c r="FF46" i="1"/>
  <c r="EX47" i="1"/>
  <c r="EY46" i="1"/>
  <c r="FC46" i="1"/>
  <c r="FG46" i="1"/>
  <c r="FA46" i="1"/>
  <c r="FD46" i="1"/>
  <c r="FE46" i="1"/>
  <c r="EZ46" i="1"/>
  <c r="FB45" i="1"/>
  <c r="FH45" i="1"/>
  <c r="BQ43" i="1"/>
  <c r="B69" i="3"/>
  <c r="BG69" i="3"/>
  <c r="W69" i="3"/>
  <c r="AQ69" i="3"/>
  <c r="AY69" i="3"/>
  <c r="O69" i="3"/>
  <c r="AG68" i="3"/>
  <c r="AU42" i="1"/>
  <c r="AS42" i="1"/>
  <c r="AT42" i="1"/>
  <c r="AR43" i="1" a="1"/>
  <c r="AR43" i="1" s="1"/>
  <c r="AV41" i="1"/>
  <c r="AO44" i="1"/>
  <c r="AN44" i="1" s="1"/>
  <c r="FI45" i="1" l="1"/>
  <c r="BD44" i="1"/>
  <c r="FB46" i="1"/>
  <c r="FH46" i="1"/>
  <c r="FF47" i="1"/>
  <c r="EX48" i="1"/>
  <c r="EY47" i="1"/>
  <c r="FC47" i="1"/>
  <c r="FG47" i="1"/>
  <c r="FE47" i="1"/>
  <c r="EZ47" i="1"/>
  <c r="FA47" i="1"/>
  <c r="FD47" i="1"/>
  <c r="BQ44" i="1"/>
  <c r="B70" i="3"/>
  <c r="BG70" i="3"/>
  <c r="W70" i="3"/>
  <c r="AY70" i="3"/>
  <c r="O70" i="3"/>
  <c r="AQ70" i="3"/>
  <c r="AG69" i="3"/>
  <c r="AT43" i="1"/>
  <c r="AS43" i="1"/>
  <c r="AU43" i="1"/>
  <c r="AR44" i="1" a="1"/>
  <c r="AR44" i="1" s="1"/>
  <c r="AV42" i="1"/>
  <c r="AO45" i="1"/>
  <c r="AN45" i="1" s="1"/>
  <c r="FI46" i="1" l="1"/>
  <c r="BD45" i="1"/>
  <c r="FF48" i="1"/>
  <c r="EX49" i="1"/>
  <c r="EY48" i="1"/>
  <c r="FC48" i="1"/>
  <c r="FG48" i="1"/>
  <c r="FA48" i="1"/>
  <c r="FD48" i="1"/>
  <c r="FE48" i="1"/>
  <c r="EZ48" i="1"/>
  <c r="FB47" i="1"/>
  <c r="FH47" i="1"/>
  <c r="BQ45" i="1"/>
  <c r="AY71" i="3"/>
  <c r="BG71" i="3"/>
  <c r="W71" i="3"/>
  <c r="AQ71" i="3"/>
  <c r="O71" i="3"/>
  <c r="B71" i="3"/>
  <c r="AG70" i="3"/>
  <c r="AS44" i="1"/>
  <c r="AU44" i="1"/>
  <c r="AT44" i="1"/>
  <c r="AR45" i="1" a="1"/>
  <c r="AR45" i="1" s="1"/>
  <c r="AV43" i="1"/>
  <c r="AO46" i="1"/>
  <c r="AN46" i="1" s="1"/>
  <c r="FI47" i="1" l="1"/>
  <c r="BD46" i="1"/>
  <c r="FB48" i="1"/>
  <c r="FH48" i="1"/>
  <c r="EY49" i="1"/>
  <c r="FD49" i="1"/>
  <c r="EZ49" i="1"/>
  <c r="FE49" i="1"/>
  <c r="FA49" i="1"/>
  <c r="FF49" i="1"/>
  <c r="EX50" i="1"/>
  <c r="FG49" i="1"/>
  <c r="FC49" i="1"/>
  <c r="BQ46" i="1"/>
  <c r="W72" i="3"/>
  <c r="AQ72" i="3"/>
  <c r="B72" i="3"/>
  <c r="BG72" i="3"/>
  <c r="AY72" i="3"/>
  <c r="O72" i="3"/>
  <c r="AG71" i="3"/>
  <c r="AT45" i="1"/>
  <c r="AS45" i="1"/>
  <c r="AU45" i="1"/>
  <c r="AR46" i="1" a="1"/>
  <c r="AR46" i="1" s="1"/>
  <c r="AV44" i="1"/>
  <c r="AO47" i="1"/>
  <c r="AN47" i="1" s="1"/>
  <c r="FI48" i="1" l="1"/>
  <c r="BD47" i="1"/>
  <c r="FB49" i="1"/>
  <c r="FH49" i="1"/>
  <c r="EZ50" i="1"/>
  <c r="FD50" i="1"/>
  <c r="FA50" i="1"/>
  <c r="FE50" i="1"/>
  <c r="FF50" i="1"/>
  <c r="EX51" i="1"/>
  <c r="EY50" i="1"/>
  <c r="FC50" i="1"/>
  <c r="FG50" i="1"/>
  <c r="BQ47" i="1"/>
  <c r="AQ73" i="3"/>
  <c r="W73" i="3"/>
  <c r="AY73" i="3"/>
  <c r="O73" i="3"/>
  <c r="B73" i="3"/>
  <c r="BG73" i="3"/>
  <c r="AG72" i="3"/>
  <c r="AU46" i="1"/>
  <c r="AS46" i="1"/>
  <c r="AT46" i="1"/>
  <c r="AR47" i="1" a="1"/>
  <c r="AR47" i="1" s="1"/>
  <c r="AV45" i="1"/>
  <c r="AO48" i="1"/>
  <c r="AN48" i="1" s="1"/>
  <c r="FI49" i="1" l="1"/>
  <c r="BD48" i="1"/>
  <c r="EZ51" i="1"/>
  <c r="FD51" i="1"/>
  <c r="FA51" i="1"/>
  <c r="FE51" i="1"/>
  <c r="FF51" i="1"/>
  <c r="EX52" i="1"/>
  <c r="EY51" i="1"/>
  <c r="FC51" i="1"/>
  <c r="FG51" i="1"/>
  <c r="FH50" i="1"/>
  <c r="FB50" i="1"/>
  <c r="BQ48" i="1"/>
  <c r="O74" i="3"/>
  <c r="W74" i="3"/>
  <c r="AQ74" i="3"/>
  <c r="B74" i="3"/>
  <c r="AY74" i="3"/>
  <c r="BG74" i="3"/>
  <c r="AG73" i="3"/>
  <c r="AT47" i="1"/>
  <c r="AU47" i="1"/>
  <c r="AS47" i="1"/>
  <c r="AR48" i="1" a="1"/>
  <c r="AR48" i="1" s="1"/>
  <c r="AV46" i="1"/>
  <c r="AO49" i="1"/>
  <c r="AN49" i="1" s="1"/>
  <c r="FI50" i="1" l="1"/>
  <c r="BD49" i="1"/>
  <c r="FH51" i="1"/>
  <c r="FB51" i="1"/>
  <c r="EZ52" i="1"/>
  <c r="FD52" i="1"/>
  <c r="FA52" i="1"/>
  <c r="FE52" i="1"/>
  <c r="FF52" i="1"/>
  <c r="EX53" i="1"/>
  <c r="FC52" i="1"/>
  <c r="FG52" i="1"/>
  <c r="EY52" i="1"/>
  <c r="BQ49" i="1"/>
  <c r="BG75" i="3"/>
  <c r="AQ75" i="3"/>
  <c r="AY75" i="3"/>
  <c r="B75" i="3"/>
  <c r="O75" i="3"/>
  <c r="W75" i="3"/>
  <c r="AG74" i="3"/>
  <c r="AS48" i="1"/>
  <c r="AU48" i="1"/>
  <c r="AT48" i="1"/>
  <c r="AR49" i="1" a="1"/>
  <c r="AR49" i="1" s="1"/>
  <c r="AV47" i="1"/>
  <c r="AO50" i="1"/>
  <c r="AN50" i="1" s="1"/>
  <c r="FI51" i="1" l="1"/>
  <c r="BD50" i="1"/>
  <c r="EZ53" i="1"/>
  <c r="FD53" i="1"/>
  <c r="FA53" i="1"/>
  <c r="FE53" i="1"/>
  <c r="FF53" i="1"/>
  <c r="EX54" i="1"/>
  <c r="FG53" i="1"/>
  <c r="EY53" i="1"/>
  <c r="FC53" i="1"/>
  <c r="FH52" i="1"/>
  <c r="FB52" i="1"/>
  <c r="BQ50" i="1"/>
  <c r="B76" i="3"/>
  <c r="W76" i="3"/>
  <c r="AY76" i="3"/>
  <c r="O76" i="3"/>
  <c r="BG76" i="3"/>
  <c r="AQ76" i="3"/>
  <c r="AG75" i="3"/>
  <c r="AT49" i="1"/>
  <c r="AU49" i="1"/>
  <c r="AS49" i="1"/>
  <c r="AR50" i="1" a="1"/>
  <c r="AR50" i="1" s="1"/>
  <c r="AV48" i="1"/>
  <c r="AO51" i="1"/>
  <c r="AN51" i="1" s="1"/>
  <c r="FI52" i="1" l="1"/>
  <c r="BD51" i="1"/>
  <c r="FH53" i="1"/>
  <c r="FB53" i="1"/>
  <c r="EZ54" i="1"/>
  <c r="FD54" i="1"/>
  <c r="FA54" i="1"/>
  <c r="FE54" i="1"/>
  <c r="FF54" i="1"/>
  <c r="EX55" i="1"/>
  <c r="EY54" i="1"/>
  <c r="FC54" i="1"/>
  <c r="FG54" i="1"/>
  <c r="BQ51" i="1"/>
  <c r="B77" i="3"/>
  <c r="BG77" i="3"/>
  <c r="W77" i="3"/>
  <c r="AQ77" i="3"/>
  <c r="AY77" i="3"/>
  <c r="O77" i="3"/>
  <c r="AG76" i="3"/>
  <c r="AU50" i="1"/>
  <c r="AS50" i="1"/>
  <c r="AT50" i="1"/>
  <c r="AR51" i="1" a="1"/>
  <c r="AR51" i="1" s="1"/>
  <c r="AV49" i="1"/>
  <c r="AO52" i="1"/>
  <c r="AN52" i="1" s="1"/>
  <c r="FI53" i="1" l="1"/>
  <c r="BD52" i="1"/>
  <c r="EZ55" i="1"/>
  <c r="FD55" i="1"/>
  <c r="FA55" i="1"/>
  <c r="FE55" i="1"/>
  <c r="FF55" i="1"/>
  <c r="EX56" i="1"/>
  <c r="EY55" i="1"/>
  <c r="FC55" i="1"/>
  <c r="FG55" i="1"/>
  <c r="FH54" i="1"/>
  <c r="FB54" i="1"/>
  <c r="BQ52" i="1"/>
  <c r="AQ78" i="3"/>
  <c r="B78" i="3"/>
  <c r="BG78" i="3"/>
  <c r="O78" i="3"/>
  <c r="W78" i="3"/>
  <c r="AY78" i="3"/>
  <c r="AG77" i="3"/>
  <c r="AT51" i="1"/>
  <c r="AS51" i="1"/>
  <c r="AU51" i="1"/>
  <c r="AR52" i="1" a="1"/>
  <c r="AR52" i="1" s="1"/>
  <c r="AV50" i="1"/>
  <c r="AO53" i="1"/>
  <c r="AN53" i="1" s="1"/>
  <c r="FI54" i="1" l="1"/>
  <c r="BD53" i="1"/>
  <c r="FH55" i="1"/>
  <c r="FB55" i="1"/>
  <c r="EZ56" i="1"/>
  <c r="FD56" i="1"/>
  <c r="FA56" i="1"/>
  <c r="FE56" i="1"/>
  <c r="FF56" i="1"/>
  <c r="EX57" i="1"/>
  <c r="FC56" i="1"/>
  <c r="FG56" i="1"/>
  <c r="EY56" i="1"/>
  <c r="BQ53" i="1"/>
  <c r="O79" i="3"/>
  <c r="B79" i="3"/>
  <c r="AY79" i="3"/>
  <c r="BG79" i="3"/>
  <c r="W79" i="3"/>
  <c r="AQ79" i="3"/>
  <c r="AG78" i="3"/>
  <c r="AS52" i="1"/>
  <c r="AU52" i="1"/>
  <c r="AT52" i="1"/>
  <c r="AR53" i="1" a="1"/>
  <c r="AR53" i="1" s="1"/>
  <c r="AV51" i="1"/>
  <c r="AO54" i="1"/>
  <c r="AN54" i="1" s="1"/>
  <c r="FI55" i="1" l="1"/>
  <c r="BD54" i="1"/>
  <c r="EZ57" i="1"/>
  <c r="FD57" i="1"/>
  <c r="FA57" i="1"/>
  <c r="FE57" i="1"/>
  <c r="FF57" i="1"/>
  <c r="EX58" i="1"/>
  <c r="FG57" i="1"/>
  <c r="EY57" i="1"/>
  <c r="FC57" i="1"/>
  <c r="FH56" i="1"/>
  <c r="FB56" i="1"/>
  <c r="BQ54" i="1"/>
  <c r="W80" i="3"/>
  <c r="AQ80" i="3"/>
  <c r="B80" i="3"/>
  <c r="BG80" i="3"/>
  <c r="AY80" i="3"/>
  <c r="O80" i="3"/>
  <c r="AG79" i="3"/>
  <c r="AT53" i="1"/>
  <c r="AS53" i="1"/>
  <c r="AU53" i="1"/>
  <c r="AR54" i="1" a="1"/>
  <c r="AR54" i="1" s="1"/>
  <c r="AV52" i="1"/>
  <c r="AO55" i="1"/>
  <c r="AN55" i="1" s="1"/>
  <c r="FI56" i="1" l="1"/>
  <c r="BD55" i="1"/>
  <c r="FH57" i="1"/>
  <c r="FB57" i="1"/>
  <c r="EZ58" i="1"/>
  <c r="FD58" i="1"/>
  <c r="FA58" i="1"/>
  <c r="FE58" i="1"/>
  <c r="FF58" i="1"/>
  <c r="EX59" i="1"/>
  <c r="EY58" i="1"/>
  <c r="FC58" i="1"/>
  <c r="FG58" i="1"/>
  <c r="BQ55" i="1"/>
  <c r="AQ81" i="3"/>
  <c r="W81" i="3"/>
  <c r="AY81" i="3"/>
  <c r="O81" i="3"/>
  <c r="B81" i="3"/>
  <c r="BG81" i="3"/>
  <c r="AG80" i="3"/>
  <c r="AU54" i="1"/>
  <c r="AS54" i="1"/>
  <c r="AT54" i="1"/>
  <c r="AR55" i="1" a="1"/>
  <c r="AR55" i="1" s="1"/>
  <c r="AV53" i="1"/>
  <c r="AO56" i="1"/>
  <c r="AN56" i="1" s="1"/>
  <c r="FI57" i="1" l="1"/>
  <c r="BD56" i="1"/>
  <c r="EZ59" i="1"/>
  <c r="FD59" i="1"/>
  <c r="FA59" i="1"/>
  <c r="FE59" i="1"/>
  <c r="FF59" i="1"/>
  <c r="EX60" i="1"/>
  <c r="EY59" i="1"/>
  <c r="FC59" i="1"/>
  <c r="FG59" i="1"/>
  <c r="FH58" i="1"/>
  <c r="FB58" i="1"/>
  <c r="BQ56" i="1"/>
  <c r="AY82" i="3"/>
  <c r="BG82" i="3"/>
  <c r="W82" i="3"/>
  <c r="O82" i="3"/>
  <c r="AQ82" i="3"/>
  <c r="B82" i="3"/>
  <c r="AG81" i="3"/>
  <c r="AT55" i="1"/>
  <c r="AU55" i="1"/>
  <c r="AS55" i="1"/>
  <c r="AR56" i="1" a="1"/>
  <c r="AR56" i="1" s="1"/>
  <c r="AV54" i="1"/>
  <c r="AO57" i="1"/>
  <c r="AN57" i="1" s="1"/>
  <c r="FI58" i="1" l="1"/>
  <c r="BD57" i="1"/>
  <c r="FH59" i="1"/>
  <c r="FB59" i="1"/>
  <c r="EZ60" i="1"/>
  <c r="FD60" i="1"/>
  <c r="FA60" i="1"/>
  <c r="FE60" i="1"/>
  <c r="FF60" i="1"/>
  <c r="EX61" i="1"/>
  <c r="FC60" i="1"/>
  <c r="FG60" i="1"/>
  <c r="EY60" i="1"/>
  <c r="BQ57" i="1"/>
  <c r="AY83" i="3"/>
  <c r="BG83" i="3"/>
  <c r="AQ83" i="3"/>
  <c r="B83" i="3"/>
  <c r="O83" i="3"/>
  <c r="W83" i="3"/>
  <c r="AG82" i="3"/>
  <c r="AS56" i="1"/>
  <c r="AU56" i="1"/>
  <c r="AT56" i="1"/>
  <c r="AR57" i="1" a="1"/>
  <c r="AR57" i="1" s="1"/>
  <c r="AV55" i="1"/>
  <c r="AO58" i="1"/>
  <c r="AN58" i="1" s="1"/>
  <c r="FI59" i="1" l="1"/>
  <c r="BD58" i="1"/>
  <c r="EZ61" i="1"/>
  <c r="FD61" i="1"/>
  <c r="FA61" i="1"/>
  <c r="FE61" i="1"/>
  <c r="FF61" i="1"/>
  <c r="EX62" i="1"/>
  <c r="FG61" i="1"/>
  <c r="EY61" i="1"/>
  <c r="FC61" i="1"/>
  <c r="FH60" i="1"/>
  <c r="FB60" i="1"/>
  <c r="BQ58" i="1"/>
  <c r="B84" i="3"/>
  <c r="W84" i="3"/>
  <c r="AY84" i="3"/>
  <c r="O84" i="3"/>
  <c r="BG84" i="3"/>
  <c r="AQ84" i="3"/>
  <c r="AG83" i="3"/>
  <c r="AT57" i="1"/>
  <c r="AS57" i="1"/>
  <c r="AU57" i="1"/>
  <c r="AR58" i="1" a="1"/>
  <c r="AR58" i="1" s="1"/>
  <c r="AV56" i="1"/>
  <c r="AO59" i="1"/>
  <c r="AN59" i="1" s="1"/>
  <c r="FI60" i="1" l="1"/>
  <c r="BD59" i="1"/>
  <c r="FH61" i="1"/>
  <c r="FB61" i="1"/>
  <c r="EZ62" i="1"/>
  <c r="FD62" i="1"/>
  <c r="FA62" i="1"/>
  <c r="FE62" i="1"/>
  <c r="FF62" i="1"/>
  <c r="EX63" i="1"/>
  <c r="EY62" i="1"/>
  <c r="FC62" i="1"/>
  <c r="FG62" i="1"/>
  <c r="BQ59" i="1"/>
  <c r="W85" i="3"/>
  <c r="AQ85" i="3"/>
  <c r="O85" i="3"/>
  <c r="AY85" i="3"/>
  <c r="B85" i="3"/>
  <c r="BG85" i="3"/>
  <c r="AG84" i="3"/>
  <c r="AU58" i="1"/>
  <c r="AS58" i="1"/>
  <c r="AT58" i="1"/>
  <c r="AR59" i="1" a="1"/>
  <c r="AR59" i="1" s="1"/>
  <c r="AV57" i="1"/>
  <c r="AO60" i="1"/>
  <c r="AN60" i="1" s="1"/>
  <c r="FI61" i="1" l="1"/>
  <c r="BD60" i="1"/>
  <c r="EZ63" i="1"/>
  <c r="FD63" i="1"/>
  <c r="FA63" i="1"/>
  <c r="FE63" i="1"/>
  <c r="FF63" i="1"/>
  <c r="EX64" i="1"/>
  <c r="EY63" i="1"/>
  <c r="FC63" i="1"/>
  <c r="FG63" i="1"/>
  <c r="FH62" i="1"/>
  <c r="FB62" i="1"/>
  <c r="BQ60" i="1"/>
  <c r="B86" i="3"/>
  <c r="AQ86" i="3"/>
  <c r="BG86" i="3"/>
  <c r="O86" i="3"/>
  <c r="W86" i="3"/>
  <c r="AY86" i="3"/>
  <c r="AG85" i="3"/>
  <c r="AT59" i="1"/>
  <c r="AS59" i="1"/>
  <c r="AU59" i="1"/>
  <c r="AR60" i="1" a="1"/>
  <c r="AR60" i="1" s="1"/>
  <c r="AV58" i="1"/>
  <c r="AO61" i="1"/>
  <c r="AN61" i="1" s="1"/>
  <c r="FI62" i="1" l="1"/>
  <c r="BD61" i="1"/>
  <c r="FH63" i="1"/>
  <c r="FB63" i="1"/>
  <c r="EZ64" i="1"/>
  <c r="FD64" i="1"/>
  <c r="FA64" i="1"/>
  <c r="FE64" i="1"/>
  <c r="FF64" i="1"/>
  <c r="EX65" i="1"/>
  <c r="FC64" i="1"/>
  <c r="FG64" i="1"/>
  <c r="EY64" i="1"/>
  <c r="BQ61" i="1"/>
  <c r="O87" i="3"/>
  <c r="B87" i="3"/>
  <c r="AY87" i="3"/>
  <c r="BG87" i="3"/>
  <c r="W87" i="3"/>
  <c r="AQ87" i="3"/>
  <c r="AG86" i="3"/>
  <c r="AS60" i="1"/>
  <c r="AU60" i="1"/>
  <c r="AT60" i="1"/>
  <c r="AR61" i="1" a="1"/>
  <c r="AR61" i="1" s="1"/>
  <c r="AV59" i="1"/>
  <c r="AO62" i="1"/>
  <c r="AN62" i="1" s="1"/>
  <c r="FI63" i="1" l="1"/>
  <c r="BD62" i="1"/>
  <c r="EZ65" i="1"/>
  <c r="FA65" i="1"/>
  <c r="FE65" i="1"/>
  <c r="FF65" i="1"/>
  <c r="EX66" i="1"/>
  <c r="FD65" i="1"/>
  <c r="FG65" i="1"/>
  <c r="EY65" i="1"/>
  <c r="FC65" i="1"/>
  <c r="FH64" i="1"/>
  <c r="FB64" i="1"/>
  <c r="BQ62" i="1"/>
  <c r="BG88" i="3"/>
  <c r="B88" i="3"/>
  <c r="AY88" i="3"/>
  <c r="O88" i="3"/>
  <c r="W88" i="3"/>
  <c r="AQ88" i="3"/>
  <c r="AG87" i="3"/>
  <c r="AT61" i="1"/>
  <c r="AS61" i="1"/>
  <c r="AU61" i="1"/>
  <c r="AR62" i="1" a="1"/>
  <c r="AR62" i="1" s="1"/>
  <c r="AV60" i="1"/>
  <c r="AO63" i="1"/>
  <c r="AN63" i="1" s="1"/>
  <c r="FI64" i="1" l="1"/>
  <c r="BD63" i="1"/>
  <c r="FB65" i="1"/>
  <c r="FH65" i="1"/>
  <c r="FF66" i="1"/>
  <c r="EX67" i="1"/>
  <c r="EY66" i="1"/>
  <c r="FD66" i="1"/>
  <c r="EZ66" i="1"/>
  <c r="FE66" i="1"/>
  <c r="FA66" i="1"/>
  <c r="FG66" i="1"/>
  <c r="FC66" i="1"/>
  <c r="BQ63" i="1"/>
  <c r="W89" i="3"/>
  <c r="B89" i="3"/>
  <c r="AQ89" i="3"/>
  <c r="AY89" i="3"/>
  <c r="BG89" i="3"/>
  <c r="O89" i="3"/>
  <c r="AG88" i="3"/>
  <c r="AU62" i="1"/>
  <c r="AS62" i="1"/>
  <c r="AT62" i="1"/>
  <c r="AR63" i="1" a="1"/>
  <c r="AR63" i="1" s="1"/>
  <c r="AV61" i="1"/>
  <c r="AO64" i="1"/>
  <c r="AN64" i="1" s="1"/>
  <c r="FI65" i="1" l="1"/>
  <c r="BD64" i="1"/>
  <c r="FF67" i="1"/>
  <c r="EX68" i="1"/>
  <c r="FC67" i="1"/>
  <c r="EY67" i="1"/>
  <c r="FD67" i="1"/>
  <c r="EZ67" i="1"/>
  <c r="FE67" i="1"/>
  <c r="FA67" i="1"/>
  <c r="FG67" i="1"/>
  <c r="FB66" i="1"/>
  <c r="FH66" i="1"/>
  <c r="BQ64" i="1"/>
  <c r="AY90" i="3"/>
  <c r="AQ90" i="3"/>
  <c r="B90" i="3"/>
  <c r="O90" i="3"/>
  <c r="BG90" i="3"/>
  <c r="W90" i="3"/>
  <c r="AG89" i="3"/>
  <c r="AT63" i="1"/>
  <c r="AU63" i="1"/>
  <c r="AS63" i="1"/>
  <c r="AR64" i="1" a="1"/>
  <c r="AR64" i="1" s="1"/>
  <c r="AV62" i="1"/>
  <c r="AO65" i="1"/>
  <c r="AN65" i="1" s="1"/>
  <c r="FI66" i="1" l="1"/>
  <c r="BD65" i="1"/>
  <c r="FB67" i="1"/>
  <c r="FH67" i="1"/>
  <c r="FF68" i="1"/>
  <c r="EX69" i="1"/>
  <c r="FA68" i="1"/>
  <c r="FG68" i="1"/>
  <c r="FC68" i="1"/>
  <c r="EY68" i="1"/>
  <c r="FD68" i="1"/>
  <c r="FE68" i="1"/>
  <c r="EZ68" i="1"/>
  <c r="BQ65" i="1"/>
  <c r="AY91" i="3"/>
  <c r="AQ91" i="3"/>
  <c r="O91" i="3"/>
  <c r="B91" i="3"/>
  <c r="BG91" i="3"/>
  <c r="W91" i="3"/>
  <c r="AG90" i="3"/>
  <c r="AS64" i="1"/>
  <c r="AU64" i="1"/>
  <c r="AT64" i="1"/>
  <c r="AR65" i="1" a="1"/>
  <c r="AR65" i="1" s="1"/>
  <c r="AV63" i="1"/>
  <c r="AO66" i="1"/>
  <c r="AN66" i="1" s="1"/>
  <c r="FI67" i="1" l="1"/>
  <c r="BD66" i="1"/>
  <c r="FF69" i="1"/>
  <c r="EZ69" i="1"/>
  <c r="FE69" i="1"/>
  <c r="EX70" i="1"/>
  <c r="FA69" i="1"/>
  <c r="FG69" i="1"/>
  <c r="FC69" i="1"/>
  <c r="EY69" i="1"/>
  <c r="FD69" i="1"/>
  <c r="FB68" i="1"/>
  <c r="FH68" i="1"/>
  <c r="BQ66" i="1"/>
  <c r="BG92" i="3"/>
  <c r="AY92" i="3"/>
  <c r="AQ92" i="3"/>
  <c r="B92" i="3"/>
  <c r="O92" i="3"/>
  <c r="W92" i="3"/>
  <c r="AG91" i="3"/>
  <c r="AT65" i="1"/>
  <c r="AS65" i="1"/>
  <c r="AU65" i="1"/>
  <c r="AR66" i="1" a="1"/>
  <c r="AR66" i="1" s="1"/>
  <c r="AV64" i="1"/>
  <c r="AO67" i="1"/>
  <c r="AN67" i="1" s="1"/>
  <c r="FI68" i="1" l="1"/>
  <c r="BD67" i="1"/>
  <c r="FF70" i="1"/>
  <c r="EX71" i="1"/>
  <c r="EY70" i="1"/>
  <c r="FC70" i="1"/>
  <c r="FG70" i="1"/>
  <c r="EZ70" i="1"/>
  <c r="FD70" i="1"/>
  <c r="FA70" i="1"/>
  <c r="FE70" i="1"/>
  <c r="FB69" i="1"/>
  <c r="FH69" i="1"/>
  <c r="BQ67" i="1"/>
  <c r="B93" i="3"/>
  <c r="W93" i="3"/>
  <c r="BG93" i="3"/>
  <c r="AY93" i="3"/>
  <c r="AQ93" i="3"/>
  <c r="O93" i="3"/>
  <c r="AG92" i="3"/>
  <c r="AU66" i="1"/>
  <c r="AS66" i="1"/>
  <c r="AT66" i="1"/>
  <c r="AR67" i="1" a="1"/>
  <c r="AR67" i="1" s="1"/>
  <c r="AV65" i="1"/>
  <c r="AO68" i="1"/>
  <c r="AN68" i="1" s="1"/>
  <c r="FI69" i="1" l="1"/>
  <c r="BD68" i="1"/>
  <c r="FB70" i="1"/>
  <c r="FH70" i="1"/>
  <c r="FF71" i="1"/>
  <c r="EX72" i="1"/>
  <c r="EY71" i="1"/>
  <c r="FC71" i="1"/>
  <c r="FG71" i="1"/>
  <c r="EZ71" i="1"/>
  <c r="FD71" i="1"/>
  <c r="FE71" i="1"/>
  <c r="FA71" i="1"/>
  <c r="BQ68" i="1"/>
  <c r="AQ94" i="3"/>
  <c r="W94" i="3"/>
  <c r="B94" i="3"/>
  <c r="O94" i="3"/>
  <c r="AY94" i="3"/>
  <c r="BG94" i="3"/>
  <c r="AG93" i="3"/>
  <c r="AT67" i="1"/>
  <c r="AU67" i="1"/>
  <c r="AS67" i="1"/>
  <c r="AR68" i="1" a="1"/>
  <c r="AR68" i="1" s="1"/>
  <c r="AV66" i="1"/>
  <c r="AO69" i="1"/>
  <c r="AN69" i="1" s="1"/>
  <c r="FI70" i="1" l="1"/>
  <c r="BD69" i="1"/>
  <c r="FF72" i="1"/>
  <c r="EX73" i="1"/>
  <c r="EY72" i="1"/>
  <c r="FC72" i="1"/>
  <c r="FG72" i="1"/>
  <c r="EZ72" i="1"/>
  <c r="FD72" i="1"/>
  <c r="FA72" i="1"/>
  <c r="FE72" i="1"/>
  <c r="FB71" i="1"/>
  <c r="FH71" i="1"/>
  <c r="BQ69" i="1"/>
  <c r="AQ95" i="3"/>
  <c r="W95" i="3"/>
  <c r="BG95" i="3"/>
  <c r="B95" i="3"/>
  <c r="O95" i="3"/>
  <c r="AY95" i="3"/>
  <c r="AG94" i="3"/>
  <c r="AS68" i="1"/>
  <c r="AU68" i="1"/>
  <c r="AT68" i="1"/>
  <c r="AR69" i="1" a="1"/>
  <c r="AR69" i="1" s="1"/>
  <c r="AV67" i="1"/>
  <c r="AO70" i="1"/>
  <c r="AN70" i="1" s="1"/>
  <c r="FI71" i="1" l="1"/>
  <c r="BD70" i="1"/>
  <c r="FB72" i="1"/>
  <c r="FH72" i="1"/>
  <c r="FF73" i="1"/>
  <c r="EX74" i="1"/>
  <c r="EY73" i="1"/>
  <c r="FC73" i="1"/>
  <c r="FG73" i="1"/>
  <c r="EZ73" i="1"/>
  <c r="FD73" i="1"/>
  <c r="FA73" i="1"/>
  <c r="FE73" i="1"/>
  <c r="BQ70" i="1"/>
  <c r="W96" i="3"/>
  <c r="AY96" i="3"/>
  <c r="AQ96" i="3"/>
  <c r="BG96" i="3"/>
  <c r="B96" i="3"/>
  <c r="O96" i="3"/>
  <c r="AG95" i="3"/>
  <c r="AT69" i="1"/>
  <c r="AS69" i="1"/>
  <c r="AU69" i="1"/>
  <c r="AR70" i="1" a="1"/>
  <c r="AR70" i="1" s="1"/>
  <c r="AV68" i="1"/>
  <c r="AO71" i="1"/>
  <c r="AN71" i="1" s="1"/>
  <c r="FI72" i="1" l="1"/>
  <c r="BD71" i="1"/>
  <c r="FF74" i="1"/>
  <c r="EX75" i="1"/>
  <c r="EY74" i="1"/>
  <c r="FC74" i="1"/>
  <c r="FG74" i="1"/>
  <c r="EZ74" i="1"/>
  <c r="FD74" i="1"/>
  <c r="FA74" i="1"/>
  <c r="FE74" i="1"/>
  <c r="FB73" i="1"/>
  <c r="FH73" i="1"/>
  <c r="BQ71" i="1"/>
  <c r="AQ97" i="3"/>
  <c r="AY97" i="3"/>
  <c r="O97" i="3"/>
  <c r="BG97" i="3"/>
  <c r="W97" i="3"/>
  <c r="B97" i="3"/>
  <c r="AG96" i="3"/>
  <c r="AU70" i="1"/>
  <c r="AS70" i="1"/>
  <c r="AT70" i="1"/>
  <c r="AR71" i="1" a="1"/>
  <c r="AR71" i="1" s="1"/>
  <c r="AV69" i="1"/>
  <c r="AO72" i="1"/>
  <c r="AN72" i="1" s="1"/>
  <c r="FI73" i="1" l="1"/>
  <c r="BD72" i="1"/>
  <c r="FF75" i="1"/>
  <c r="EX76" i="1"/>
  <c r="EY75" i="1"/>
  <c r="FC75" i="1"/>
  <c r="FG75" i="1"/>
  <c r="EZ75" i="1"/>
  <c r="FD75" i="1"/>
  <c r="FE75" i="1"/>
  <c r="FA75" i="1"/>
  <c r="FB74" i="1"/>
  <c r="FH74" i="1"/>
  <c r="BQ72" i="1"/>
  <c r="W98" i="3"/>
  <c r="O98" i="3"/>
  <c r="AY98" i="3"/>
  <c r="B98" i="3"/>
  <c r="AQ98" i="3"/>
  <c r="BG98" i="3"/>
  <c r="AG97" i="3"/>
  <c r="AT71" i="1"/>
  <c r="AU71" i="1"/>
  <c r="AS71" i="1"/>
  <c r="AR72" i="1" a="1"/>
  <c r="AR72" i="1" s="1"/>
  <c r="AV70" i="1"/>
  <c r="AO73" i="1"/>
  <c r="AN73" i="1" s="1"/>
  <c r="FI74" i="1" l="1"/>
  <c r="BD73" i="1"/>
  <c r="FF76" i="1"/>
  <c r="EX77" i="1"/>
  <c r="EY76" i="1"/>
  <c r="FC76" i="1"/>
  <c r="FG76" i="1"/>
  <c r="EZ76" i="1"/>
  <c r="FD76" i="1"/>
  <c r="FA76" i="1"/>
  <c r="FE76" i="1"/>
  <c r="FB75" i="1"/>
  <c r="FH75" i="1"/>
  <c r="BQ73" i="1"/>
  <c r="BG99" i="3"/>
  <c r="W99" i="3"/>
  <c r="O99" i="3"/>
  <c r="AY99" i="3"/>
  <c r="AQ99" i="3"/>
  <c r="B99" i="3"/>
  <c r="AG98" i="3"/>
  <c r="AS72" i="1"/>
  <c r="AU72" i="1"/>
  <c r="AT72" i="1"/>
  <c r="AR73" i="1" a="1"/>
  <c r="AR73" i="1" s="1"/>
  <c r="AV71" i="1"/>
  <c r="AO74" i="1"/>
  <c r="AN74" i="1" s="1"/>
  <c r="FI75" i="1" l="1"/>
  <c r="BD74" i="1"/>
  <c r="FB76" i="1"/>
  <c r="FH76" i="1"/>
  <c r="FF77" i="1"/>
  <c r="EX78" i="1"/>
  <c r="EY77" i="1"/>
  <c r="FC77" i="1"/>
  <c r="FG77" i="1"/>
  <c r="EZ77" i="1"/>
  <c r="FD77" i="1"/>
  <c r="FA77" i="1"/>
  <c r="FE77" i="1"/>
  <c r="BQ74" i="1"/>
  <c r="BG100" i="3"/>
  <c r="AY100" i="3"/>
  <c r="O100" i="3"/>
  <c r="AQ100" i="3"/>
  <c r="W100" i="3"/>
  <c r="B100" i="3"/>
  <c r="AG99" i="3"/>
  <c r="AT73" i="1"/>
  <c r="AS73" i="1"/>
  <c r="AU73" i="1"/>
  <c r="AR74" i="1" a="1"/>
  <c r="AR74" i="1" s="1"/>
  <c r="AV72" i="1"/>
  <c r="AO75" i="1"/>
  <c r="AN75" i="1" s="1"/>
  <c r="FI76" i="1" l="1"/>
  <c r="BD75" i="1"/>
  <c r="FF78" i="1"/>
  <c r="EX79" i="1"/>
  <c r="EY78" i="1"/>
  <c r="FC78" i="1"/>
  <c r="FG78" i="1"/>
  <c r="EZ78" i="1"/>
  <c r="FD78" i="1"/>
  <c r="FA78" i="1"/>
  <c r="FE78" i="1"/>
  <c r="FB77" i="1"/>
  <c r="FH77" i="1"/>
  <c r="BQ75" i="1"/>
  <c r="B101" i="3"/>
  <c r="AY101" i="3"/>
  <c r="O101" i="3"/>
  <c r="W101" i="3"/>
  <c r="BG101" i="3"/>
  <c r="AQ101" i="3"/>
  <c r="AG100" i="3"/>
  <c r="AU74" i="1"/>
  <c r="AS74" i="1"/>
  <c r="AT74" i="1"/>
  <c r="AR75" i="1" a="1"/>
  <c r="AR75" i="1" s="1"/>
  <c r="AV73" i="1"/>
  <c r="AO76" i="1"/>
  <c r="AN76" i="1" s="1"/>
  <c r="FI77" i="1" l="1"/>
  <c r="BD76" i="1"/>
  <c r="FB78" i="1"/>
  <c r="FH78" i="1"/>
  <c r="FF79" i="1"/>
  <c r="EX80" i="1"/>
  <c r="EY79" i="1"/>
  <c r="FC79" i="1"/>
  <c r="FG79" i="1"/>
  <c r="EZ79" i="1"/>
  <c r="FD79" i="1"/>
  <c r="FE79" i="1"/>
  <c r="FA79" i="1"/>
  <c r="BQ76" i="1"/>
  <c r="B102" i="3"/>
  <c r="O102" i="3"/>
  <c r="AQ102" i="3"/>
  <c r="AY102" i="3"/>
  <c r="BG102" i="3"/>
  <c r="W102" i="3"/>
  <c r="AG101" i="3"/>
  <c r="AT75" i="1"/>
  <c r="AS75" i="1"/>
  <c r="AU75" i="1"/>
  <c r="AR76" i="1" a="1"/>
  <c r="AR76" i="1" s="1"/>
  <c r="AV74" i="1"/>
  <c r="AO77" i="1"/>
  <c r="AN77" i="1" s="1"/>
  <c r="FI78" i="1" l="1"/>
  <c r="BD77" i="1"/>
  <c r="FF80" i="1"/>
  <c r="EX81" i="1"/>
  <c r="EY80" i="1"/>
  <c r="FC80" i="1"/>
  <c r="FG80" i="1"/>
  <c r="EZ80" i="1"/>
  <c r="FD80" i="1"/>
  <c r="FA80" i="1"/>
  <c r="FE80" i="1"/>
  <c r="FB79" i="1"/>
  <c r="FH79" i="1"/>
  <c r="BQ77" i="1"/>
  <c r="AQ103" i="3"/>
  <c r="W103" i="3"/>
  <c r="AY103" i="3"/>
  <c r="BG103" i="3"/>
  <c r="B103" i="3"/>
  <c r="O103" i="3"/>
  <c r="AG102" i="3"/>
  <c r="AS76" i="1"/>
  <c r="AU76" i="1"/>
  <c r="AT76" i="1"/>
  <c r="AR77" i="1" a="1"/>
  <c r="AR77" i="1" s="1"/>
  <c r="AV75" i="1"/>
  <c r="AO78" i="1"/>
  <c r="AN78" i="1" s="1"/>
  <c r="FI79" i="1" l="1"/>
  <c r="BD78" i="1"/>
  <c r="FF81" i="1"/>
  <c r="EX82" i="1"/>
  <c r="EY81" i="1"/>
  <c r="FC81" i="1"/>
  <c r="FG81" i="1"/>
  <c r="EZ81" i="1"/>
  <c r="FD81" i="1"/>
  <c r="FA81" i="1"/>
  <c r="FE81" i="1"/>
  <c r="FB80" i="1"/>
  <c r="FH80" i="1"/>
  <c r="BQ78" i="1"/>
  <c r="W104" i="3"/>
  <c r="AQ104" i="3"/>
  <c r="BG104" i="3"/>
  <c r="B104" i="3"/>
  <c r="O104" i="3"/>
  <c r="AY104" i="3"/>
  <c r="AG103" i="3"/>
  <c r="AT77" i="1"/>
  <c r="AS77" i="1"/>
  <c r="AU77" i="1"/>
  <c r="AR78" i="1" a="1"/>
  <c r="AR78" i="1" s="1"/>
  <c r="AV76" i="1"/>
  <c r="AO79" i="1"/>
  <c r="AN79" i="1" s="1"/>
  <c r="FI80" i="1" l="1"/>
  <c r="BD79" i="1"/>
  <c r="FB81" i="1"/>
  <c r="FH81" i="1"/>
  <c r="FF82" i="1"/>
  <c r="EX83" i="1"/>
  <c r="EY82" i="1"/>
  <c r="FC82" i="1"/>
  <c r="FG82" i="1"/>
  <c r="EZ82" i="1"/>
  <c r="FD82" i="1"/>
  <c r="FA82" i="1"/>
  <c r="FE82" i="1"/>
  <c r="BQ79" i="1"/>
  <c r="B105" i="3"/>
  <c r="AQ105" i="3"/>
  <c r="W105" i="3"/>
  <c r="AY105" i="3"/>
  <c r="BG105" i="3"/>
  <c r="O105" i="3"/>
  <c r="AG104" i="3"/>
  <c r="AU78" i="1"/>
  <c r="AS78" i="1"/>
  <c r="AT78" i="1"/>
  <c r="AR79" i="1" a="1"/>
  <c r="AR79" i="1" s="1"/>
  <c r="AV77" i="1"/>
  <c r="AO80" i="1"/>
  <c r="AN80" i="1" s="1"/>
  <c r="FI81" i="1" l="1"/>
  <c r="BD80" i="1"/>
  <c r="FF83" i="1"/>
  <c r="EX84" i="1"/>
  <c r="EY83" i="1"/>
  <c r="FC83" i="1"/>
  <c r="FG83" i="1"/>
  <c r="EZ83" i="1"/>
  <c r="FD83" i="1"/>
  <c r="FE83" i="1"/>
  <c r="FA83" i="1"/>
  <c r="FB82" i="1"/>
  <c r="FH82" i="1"/>
  <c r="BQ80" i="1"/>
  <c r="O106" i="3"/>
  <c r="BG106" i="3"/>
  <c r="AY106" i="3"/>
  <c r="W106" i="3"/>
  <c r="B106" i="3"/>
  <c r="AQ106" i="3"/>
  <c r="AG105" i="3"/>
  <c r="AT79" i="1"/>
  <c r="AU79" i="1"/>
  <c r="AS79" i="1"/>
  <c r="AR80" i="1" a="1"/>
  <c r="AR80" i="1" s="1"/>
  <c r="AV78" i="1"/>
  <c r="AO81" i="1"/>
  <c r="AN81" i="1" s="1"/>
  <c r="FI82" i="1" l="1"/>
  <c r="BD81" i="1"/>
  <c r="FF84" i="1"/>
  <c r="EX85" i="1"/>
  <c r="EY84" i="1"/>
  <c r="FC84" i="1"/>
  <c r="FG84" i="1"/>
  <c r="EZ84" i="1"/>
  <c r="FD84" i="1"/>
  <c r="FA84" i="1"/>
  <c r="FE84" i="1"/>
  <c r="FB83" i="1"/>
  <c r="FH83" i="1"/>
  <c r="BQ81" i="1"/>
  <c r="AY107" i="3"/>
  <c r="AQ107" i="3"/>
  <c r="BG107" i="3"/>
  <c r="B107" i="3"/>
  <c r="O107" i="3"/>
  <c r="W107" i="3"/>
  <c r="AG106" i="3"/>
  <c r="AS80" i="1"/>
  <c r="AU80" i="1"/>
  <c r="AT80" i="1"/>
  <c r="AR81" i="1" a="1"/>
  <c r="AR81" i="1" s="1"/>
  <c r="AV79" i="1"/>
  <c r="AO82" i="1"/>
  <c r="AN82" i="1" s="1"/>
  <c r="FI83" i="1" l="1"/>
  <c r="BD82" i="1"/>
  <c r="FB84" i="1"/>
  <c r="FH84" i="1"/>
  <c r="FF85" i="1"/>
  <c r="EX86" i="1"/>
  <c r="EY85" i="1"/>
  <c r="FC85" i="1"/>
  <c r="FG85" i="1"/>
  <c r="EZ85" i="1"/>
  <c r="FD85" i="1"/>
  <c r="FA85" i="1"/>
  <c r="FE85" i="1"/>
  <c r="BQ82" i="1"/>
  <c r="AY108" i="3"/>
  <c r="B108" i="3"/>
  <c r="W108" i="3"/>
  <c r="BG108" i="3"/>
  <c r="O108" i="3"/>
  <c r="AQ108" i="3"/>
  <c r="AG107" i="3"/>
  <c r="AT81" i="1"/>
  <c r="AU81" i="1"/>
  <c r="AS81" i="1"/>
  <c r="AR82" i="1" a="1"/>
  <c r="AR82" i="1" s="1"/>
  <c r="AV80" i="1"/>
  <c r="AO83" i="1"/>
  <c r="AN83" i="1" s="1"/>
  <c r="FI84" i="1" l="1"/>
  <c r="BD83" i="1"/>
  <c r="FF86" i="1"/>
  <c r="EX87" i="1"/>
  <c r="EY86" i="1"/>
  <c r="FC86" i="1"/>
  <c r="FG86" i="1"/>
  <c r="EZ86" i="1"/>
  <c r="FD86" i="1"/>
  <c r="FA86" i="1"/>
  <c r="FE86" i="1"/>
  <c r="FB85" i="1"/>
  <c r="FH85" i="1"/>
  <c r="BQ83" i="1"/>
  <c r="B109" i="3"/>
  <c r="AY109" i="3"/>
  <c r="O109" i="3"/>
  <c r="W109" i="3"/>
  <c r="BG109" i="3"/>
  <c r="AQ109" i="3"/>
  <c r="AG108" i="3"/>
  <c r="AU82" i="1"/>
  <c r="AS82" i="1"/>
  <c r="AT82" i="1"/>
  <c r="AR83" i="1" a="1"/>
  <c r="AR83" i="1" s="1"/>
  <c r="AV81" i="1"/>
  <c r="AO84" i="1"/>
  <c r="AN84" i="1" s="1"/>
  <c r="FI85" i="1" l="1"/>
  <c r="BD84" i="1"/>
  <c r="FB86" i="1"/>
  <c r="FH86" i="1"/>
  <c r="FF87" i="1"/>
  <c r="EX88" i="1"/>
  <c r="EY87" i="1"/>
  <c r="FC87" i="1"/>
  <c r="FG87" i="1"/>
  <c r="EZ87" i="1"/>
  <c r="FD87" i="1"/>
  <c r="FE87" i="1"/>
  <c r="FA87" i="1"/>
  <c r="BQ84" i="1"/>
  <c r="AQ110" i="3"/>
  <c r="AY110" i="3"/>
  <c r="W110" i="3"/>
  <c r="BG110" i="3"/>
  <c r="B110" i="3"/>
  <c r="O110" i="3"/>
  <c r="AG109" i="3"/>
  <c r="AT83" i="1"/>
  <c r="AS83" i="1"/>
  <c r="AU83" i="1"/>
  <c r="AR84" i="1" a="1"/>
  <c r="AR84" i="1" s="1"/>
  <c r="AV82" i="1"/>
  <c r="AO85" i="1"/>
  <c r="AN85" i="1" s="1"/>
  <c r="FI86" i="1" l="1"/>
  <c r="BD85" i="1"/>
  <c r="FB87" i="1"/>
  <c r="FH87" i="1"/>
  <c r="FF88" i="1"/>
  <c r="EX89" i="1"/>
  <c r="EY88" i="1"/>
  <c r="FC88" i="1"/>
  <c r="FG88" i="1"/>
  <c r="EZ88" i="1"/>
  <c r="FD88" i="1"/>
  <c r="FA88" i="1"/>
  <c r="FE88" i="1"/>
  <c r="BQ85" i="1"/>
  <c r="O111" i="3"/>
  <c r="W111" i="3"/>
  <c r="AY111" i="3"/>
  <c r="B111" i="3"/>
  <c r="AQ111" i="3"/>
  <c r="BG111" i="3"/>
  <c r="AG110" i="3"/>
  <c r="AS84" i="1"/>
  <c r="AU84" i="1"/>
  <c r="AT84" i="1"/>
  <c r="AR85" i="1" a="1"/>
  <c r="AR85" i="1" s="1"/>
  <c r="AV83" i="1"/>
  <c r="AO86" i="1"/>
  <c r="AN86" i="1" s="1"/>
  <c r="FI87" i="1" l="1"/>
  <c r="BD86" i="1"/>
  <c r="FF89" i="1"/>
  <c r="EX90" i="1"/>
  <c r="EY89" i="1"/>
  <c r="FC89" i="1"/>
  <c r="FG89" i="1"/>
  <c r="EZ89" i="1"/>
  <c r="FD89" i="1"/>
  <c r="FA89" i="1"/>
  <c r="FE89" i="1"/>
  <c r="FB88" i="1"/>
  <c r="FH88" i="1"/>
  <c r="BQ86" i="1"/>
  <c r="W112" i="3"/>
  <c r="AQ112" i="3"/>
  <c r="B112" i="3"/>
  <c r="BG112" i="3"/>
  <c r="O112" i="3"/>
  <c r="AY112" i="3"/>
  <c r="AG111" i="3"/>
  <c r="AT85" i="1"/>
  <c r="AS85" i="1"/>
  <c r="AU85" i="1"/>
  <c r="AR86" i="1" a="1"/>
  <c r="AR86" i="1" s="1"/>
  <c r="AV84" i="1"/>
  <c r="AO87" i="1"/>
  <c r="AN87" i="1" s="1"/>
  <c r="FI88" i="1" l="1"/>
  <c r="BD87" i="1"/>
  <c r="FB89" i="1"/>
  <c r="FH89" i="1"/>
  <c r="FF90" i="1"/>
  <c r="EX91" i="1"/>
  <c r="EY90" i="1"/>
  <c r="FC90" i="1"/>
  <c r="FG90" i="1"/>
  <c r="EZ90" i="1"/>
  <c r="FD90" i="1"/>
  <c r="FA90" i="1"/>
  <c r="FE90" i="1"/>
  <c r="BQ87" i="1"/>
  <c r="BG113" i="3"/>
  <c r="W113" i="3"/>
  <c r="AY113" i="3"/>
  <c r="B113" i="3"/>
  <c r="O113" i="3"/>
  <c r="AQ113" i="3"/>
  <c r="AG112" i="3"/>
  <c r="AU86" i="1"/>
  <c r="AS86" i="1"/>
  <c r="AT86" i="1"/>
  <c r="AR87" i="1" a="1"/>
  <c r="AR87" i="1" s="1"/>
  <c r="AV85" i="1"/>
  <c r="AO88" i="1"/>
  <c r="AN88" i="1" s="1"/>
  <c r="FI89" i="1" l="1"/>
  <c r="BD88" i="1"/>
  <c r="FB90" i="1"/>
  <c r="FH90" i="1"/>
  <c r="FF91" i="1"/>
  <c r="EX92" i="1"/>
  <c r="EY91" i="1"/>
  <c r="FC91" i="1"/>
  <c r="FG91" i="1"/>
  <c r="EZ91" i="1"/>
  <c r="FD91" i="1"/>
  <c r="FE91" i="1"/>
  <c r="FA91" i="1"/>
  <c r="BQ88" i="1"/>
  <c r="O114" i="3"/>
  <c r="BG114" i="3"/>
  <c r="W114" i="3"/>
  <c r="AY114" i="3"/>
  <c r="B114" i="3"/>
  <c r="AQ114" i="3"/>
  <c r="AG113" i="3"/>
  <c r="AT87" i="1"/>
  <c r="AU87" i="1"/>
  <c r="AS87" i="1"/>
  <c r="AR88" i="1" a="1"/>
  <c r="AR88" i="1" s="1"/>
  <c r="AV86" i="1"/>
  <c r="AO89" i="1"/>
  <c r="AN89" i="1" s="1"/>
  <c r="FI90" i="1" l="1"/>
  <c r="BD89" i="1"/>
  <c r="FB91" i="1"/>
  <c r="FH91" i="1"/>
  <c r="FF92" i="1"/>
  <c r="EX93" i="1"/>
  <c r="EY92" i="1"/>
  <c r="FC92" i="1"/>
  <c r="FG92" i="1"/>
  <c r="EZ92" i="1"/>
  <c r="FD92" i="1"/>
  <c r="FA92" i="1"/>
  <c r="FE92" i="1"/>
  <c r="BQ89" i="1"/>
  <c r="B115" i="3"/>
  <c r="W115" i="3"/>
  <c r="AY115" i="3"/>
  <c r="BG115" i="3"/>
  <c r="O115" i="3"/>
  <c r="AQ115" i="3"/>
  <c r="AG114" i="3"/>
  <c r="AS88" i="1"/>
  <c r="AU88" i="1"/>
  <c r="AT88" i="1"/>
  <c r="AR89" i="1" a="1"/>
  <c r="AR89" i="1" s="1"/>
  <c r="AV87" i="1"/>
  <c r="AO90" i="1"/>
  <c r="AN90" i="1" s="1"/>
  <c r="FI91" i="1" l="1"/>
  <c r="BD90" i="1"/>
  <c r="FF93" i="1"/>
  <c r="EX94" i="1"/>
  <c r="EY93" i="1"/>
  <c r="FC93" i="1"/>
  <c r="FG93" i="1"/>
  <c r="EZ93" i="1"/>
  <c r="FD93" i="1"/>
  <c r="FA93" i="1"/>
  <c r="FE93" i="1"/>
  <c r="FB92" i="1"/>
  <c r="FH92" i="1"/>
  <c r="BQ90" i="1"/>
  <c r="AY116" i="3"/>
  <c r="B116" i="3"/>
  <c r="O116" i="3"/>
  <c r="W116" i="3"/>
  <c r="BG116" i="3"/>
  <c r="AQ116" i="3"/>
  <c r="AG115" i="3"/>
  <c r="AT89" i="1"/>
  <c r="AS89" i="1"/>
  <c r="AU89" i="1"/>
  <c r="AR90" i="1" a="1"/>
  <c r="AR90" i="1" s="1"/>
  <c r="AV88" i="1"/>
  <c r="AO91" i="1"/>
  <c r="AN91" i="1" s="1"/>
  <c r="FI92" i="1" l="1"/>
  <c r="BD91" i="1"/>
  <c r="FF94" i="1"/>
  <c r="EX95" i="1"/>
  <c r="EY94" i="1"/>
  <c r="FC94" i="1"/>
  <c r="FG94" i="1"/>
  <c r="EZ94" i="1"/>
  <c r="FD94" i="1"/>
  <c r="FA94" i="1"/>
  <c r="FE94" i="1"/>
  <c r="FB93" i="1"/>
  <c r="FH93" i="1"/>
  <c r="BQ91" i="1"/>
  <c r="AQ117" i="3"/>
  <c r="BG117" i="3"/>
  <c r="AY117" i="3"/>
  <c r="W117" i="3"/>
  <c r="B117" i="3"/>
  <c r="O117" i="3"/>
  <c r="AG116" i="3"/>
  <c r="AU90" i="1"/>
  <c r="AS90" i="1"/>
  <c r="AT90" i="1"/>
  <c r="AR91" i="1" a="1"/>
  <c r="AR91" i="1" s="1"/>
  <c r="AV89" i="1"/>
  <c r="AO92" i="1"/>
  <c r="AN92" i="1" s="1"/>
  <c r="FI93" i="1" l="1"/>
  <c r="BD92" i="1"/>
  <c r="FB94" i="1"/>
  <c r="FH94" i="1"/>
  <c r="FF95" i="1"/>
  <c r="EX96" i="1"/>
  <c r="EY95" i="1"/>
  <c r="FC95" i="1"/>
  <c r="FG95" i="1"/>
  <c r="EZ95" i="1"/>
  <c r="FD95" i="1"/>
  <c r="FE95" i="1"/>
  <c r="FA95" i="1"/>
  <c r="BQ92" i="1"/>
  <c r="O118" i="3"/>
  <c r="AY118" i="3"/>
  <c r="BG118" i="3"/>
  <c r="B118" i="3"/>
  <c r="AQ118" i="3"/>
  <c r="W118" i="3"/>
  <c r="AG117" i="3"/>
  <c r="AT91" i="1"/>
  <c r="AS91" i="1"/>
  <c r="AU91" i="1"/>
  <c r="AR92" i="1" a="1"/>
  <c r="AR92" i="1" s="1"/>
  <c r="AV90" i="1"/>
  <c r="AO93" i="1"/>
  <c r="AN93" i="1" s="1"/>
  <c r="FI94" i="1" l="1"/>
  <c r="BD93" i="1"/>
  <c r="FB95" i="1"/>
  <c r="FH95" i="1"/>
  <c r="FF96" i="1"/>
  <c r="EX97" i="1"/>
  <c r="EY96" i="1"/>
  <c r="FC96" i="1"/>
  <c r="FG96" i="1"/>
  <c r="EZ96" i="1"/>
  <c r="FD96" i="1"/>
  <c r="FA96" i="1"/>
  <c r="FE96" i="1"/>
  <c r="BQ93" i="1"/>
  <c r="BG119" i="3"/>
  <c r="W119" i="3"/>
  <c r="B119" i="3"/>
  <c r="AQ119" i="3"/>
  <c r="AY119" i="3"/>
  <c r="O119" i="3"/>
  <c r="AG118" i="3"/>
  <c r="AS92" i="1"/>
  <c r="AU92" i="1"/>
  <c r="AT92" i="1"/>
  <c r="AR93" i="1" a="1"/>
  <c r="AR93" i="1" s="1"/>
  <c r="AV91" i="1"/>
  <c r="AO94" i="1"/>
  <c r="AN94" i="1" s="1"/>
  <c r="FI95" i="1" l="1"/>
  <c r="BD94" i="1"/>
  <c r="FF97" i="1"/>
  <c r="EX98" i="1"/>
  <c r="EY97" i="1"/>
  <c r="FC97" i="1"/>
  <c r="FG97" i="1"/>
  <c r="EZ97" i="1"/>
  <c r="FD97" i="1"/>
  <c r="FA97" i="1"/>
  <c r="FE97" i="1"/>
  <c r="FB96" i="1"/>
  <c r="FH96" i="1"/>
  <c r="BQ94" i="1"/>
  <c r="O120" i="3"/>
  <c r="AQ120" i="3"/>
  <c r="B120" i="3"/>
  <c r="BG120" i="3"/>
  <c r="W120" i="3"/>
  <c r="AY120" i="3"/>
  <c r="AG119" i="3"/>
  <c r="AT93" i="1"/>
  <c r="AS93" i="1"/>
  <c r="AU93" i="1"/>
  <c r="AR94" i="1" a="1"/>
  <c r="AR94" i="1" s="1"/>
  <c r="AV92" i="1"/>
  <c r="AO95" i="1"/>
  <c r="AN95" i="1" s="1"/>
  <c r="FI96" i="1" l="1"/>
  <c r="BD95" i="1"/>
  <c r="FB97" i="1"/>
  <c r="FH97" i="1"/>
  <c r="FF98" i="1"/>
  <c r="EX99" i="1"/>
  <c r="EY98" i="1"/>
  <c r="FC98" i="1"/>
  <c r="FG98" i="1"/>
  <c r="EZ98" i="1"/>
  <c r="FD98" i="1"/>
  <c r="FA98" i="1"/>
  <c r="FE98" i="1"/>
  <c r="BQ95" i="1"/>
  <c r="B121" i="3"/>
  <c r="W121" i="3"/>
  <c r="BG121" i="3"/>
  <c r="AY121" i="3"/>
  <c r="AQ121" i="3"/>
  <c r="O121" i="3"/>
  <c r="AG120" i="3"/>
  <c r="AU94" i="1"/>
  <c r="AS94" i="1"/>
  <c r="AT94" i="1"/>
  <c r="AR95" i="1" a="1"/>
  <c r="AR95" i="1" s="1"/>
  <c r="AV93" i="1"/>
  <c r="AO96" i="1"/>
  <c r="AN96" i="1" s="1"/>
  <c r="FI97" i="1" l="1"/>
  <c r="BD96" i="1"/>
  <c r="FF99" i="1"/>
  <c r="EX100" i="1"/>
  <c r="EY99" i="1"/>
  <c r="FC99" i="1"/>
  <c r="FG99" i="1"/>
  <c r="EZ99" i="1"/>
  <c r="FD99" i="1"/>
  <c r="FE99" i="1"/>
  <c r="FA99" i="1"/>
  <c r="FB98" i="1"/>
  <c r="FH98" i="1"/>
  <c r="BQ96" i="1"/>
  <c r="AY122" i="3"/>
  <c r="AQ122" i="3"/>
  <c r="O122" i="3"/>
  <c r="BG122" i="3"/>
  <c r="B122" i="3"/>
  <c r="W122" i="3"/>
  <c r="AG121" i="3"/>
  <c r="AT95" i="1"/>
  <c r="AU95" i="1"/>
  <c r="AS95" i="1"/>
  <c r="AR96" i="1" a="1"/>
  <c r="AR96" i="1" s="1"/>
  <c r="AV94" i="1"/>
  <c r="AO97" i="1"/>
  <c r="AN97" i="1" s="1"/>
  <c r="FI98" i="1" l="1"/>
  <c r="BD97" i="1"/>
  <c r="FF100" i="1"/>
  <c r="EX101" i="1"/>
  <c r="EY100" i="1"/>
  <c r="FC100" i="1"/>
  <c r="FG100" i="1"/>
  <c r="EZ100" i="1"/>
  <c r="FD100" i="1"/>
  <c r="FA100" i="1"/>
  <c r="FE100" i="1"/>
  <c r="FB99" i="1"/>
  <c r="FH99" i="1"/>
  <c r="BQ97" i="1"/>
  <c r="B123" i="3"/>
  <c r="O123" i="3"/>
  <c r="AY123" i="3"/>
  <c r="W123" i="3"/>
  <c r="AQ123" i="3"/>
  <c r="BG123" i="3"/>
  <c r="AG122" i="3"/>
  <c r="AS96" i="1"/>
  <c r="AU96" i="1"/>
  <c r="AT96" i="1"/>
  <c r="AR97" i="1" a="1"/>
  <c r="AR97" i="1" s="1"/>
  <c r="AV95" i="1"/>
  <c r="AO98" i="1"/>
  <c r="AN98" i="1" s="1"/>
  <c r="FI99" i="1" l="1"/>
  <c r="BD98" i="1"/>
  <c r="FB100" i="1"/>
  <c r="FH100" i="1"/>
  <c r="FF101" i="1"/>
  <c r="EX102" i="1"/>
  <c r="EY101" i="1"/>
  <c r="FC101" i="1"/>
  <c r="FG101" i="1"/>
  <c r="EZ101" i="1"/>
  <c r="FD101" i="1"/>
  <c r="FA101" i="1"/>
  <c r="FE101" i="1"/>
  <c r="BQ98" i="1"/>
  <c r="AQ124" i="3"/>
  <c r="BG124" i="3"/>
  <c r="B124" i="3"/>
  <c r="AY124" i="3"/>
  <c r="O124" i="3"/>
  <c r="W124" i="3"/>
  <c r="AG123" i="3"/>
  <c r="AT97" i="1"/>
  <c r="AS97" i="1"/>
  <c r="AU97" i="1"/>
  <c r="AR98" i="1" a="1"/>
  <c r="AR98" i="1" s="1"/>
  <c r="AV96" i="1"/>
  <c r="AO99" i="1"/>
  <c r="AN99" i="1" s="1"/>
  <c r="FI100" i="1" l="1"/>
  <c r="BD99" i="1"/>
  <c r="FF102" i="1"/>
  <c r="EX103" i="1"/>
  <c r="EY102" i="1"/>
  <c r="FC102" i="1"/>
  <c r="FG102" i="1"/>
  <c r="EZ102" i="1"/>
  <c r="FD102" i="1"/>
  <c r="FA102" i="1"/>
  <c r="FE102" i="1"/>
  <c r="FB101" i="1"/>
  <c r="FH101" i="1"/>
  <c r="BQ99" i="1"/>
  <c r="W125" i="3"/>
  <c r="B125" i="3"/>
  <c r="AY125" i="3"/>
  <c r="AQ125" i="3"/>
  <c r="O125" i="3"/>
  <c r="BG125" i="3"/>
  <c r="AG124" i="3"/>
  <c r="AU98" i="1"/>
  <c r="AS98" i="1"/>
  <c r="AT98" i="1"/>
  <c r="AR99" i="1" a="1"/>
  <c r="AR99" i="1" s="1"/>
  <c r="AV97" i="1"/>
  <c r="AO100" i="1"/>
  <c r="AN100" i="1" s="1"/>
  <c r="FI101" i="1" l="1"/>
  <c r="BD100" i="1"/>
  <c r="FB102" i="1"/>
  <c r="FH102" i="1"/>
  <c r="FF103" i="1"/>
  <c r="EX104" i="1"/>
  <c r="EY103" i="1"/>
  <c r="FC103" i="1"/>
  <c r="FG103" i="1"/>
  <c r="EZ103" i="1"/>
  <c r="FD103" i="1"/>
  <c r="FE103" i="1"/>
  <c r="FA103" i="1"/>
  <c r="BQ100" i="1"/>
  <c r="AQ126" i="3"/>
  <c r="AY126" i="3"/>
  <c r="B126" i="3"/>
  <c r="O126" i="3"/>
  <c r="BG126" i="3"/>
  <c r="W126" i="3"/>
  <c r="AG125" i="3"/>
  <c r="AT99" i="1"/>
  <c r="AU99" i="1"/>
  <c r="AS99" i="1"/>
  <c r="AR100" i="1" a="1"/>
  <c r="AR100" i="1" s="1"/>
  <c r="AV98" i="1"/>
  <c r="AO101" i="1"/>
  <c r="AN101" i="1" s="1"/>
  <c r="FI102" i="1" l="1"/>
  <c r="BD101" i="1"/>
  <c r="FB103" i="1"/>
  <c r="FH103" i="1"/>
  <c r="FF104" i="1"/>
  <c r="EX105" i="1"/>
  <c r="EY104" i="1"/>
  <c r="FC104" i="1"/>
  <c r="FG104" i="1"/>
  <c r="EZ104" i="1"/>
  <c r="FD104" i="1"/>
  <c r="FA104" i="1"/>
  <c r="FE104" i="1"/>
  <c r="BQ101" i="1"/>
  <c r="AY127" i="3"/>
  <c r="B127" i="3"/>
  <c r="AQ127" i="3"/>
  <c r="BG127" i="3"/>
  <c r="O127" i="3"/>
  <c r="W127" i="3"/>
  <c r="AG126" i="3"/>
  <c r="AS100" i="1"/>
  <c r="AU100" i="1"/>
  <c r="AT100" i="1"/>
  <c r="AR101" i="1" a="1"/>
  <c r="AR101" i="1" s="1"/>
  <c r="AV99" i="1"/>
  <c r="AO102" i="1"/>
  <c r="AN102" i="1" s="1"/>
  <c r="FI103" i="1" l="1"/>
  <c r="BD102" i="1"/>
  <c r="FF105" i="1"/>
  <c r="EX106" i="1"/>
  <c r="EY105" i="1"/>
  <c r="FC105" i="1"/>
  <c r="FG105" i="1"/>
  <c r="EZ105" i="1"/>
  <c r="FA105" i="1"/>
  <c r="FD105" i="1"/>
  <c r="FE105" i="1"/>
  <c r="FB104" i="1"/>
  <c r="FH104" i="1"/>
  <c r="BQ102" i="1"/>
  <c r="O128" i="3"/>
  <c r="AQ128" i="3"/>
  <c r="BG128" i="3"/>
  <c r="B128" i="3"/>
  <c r="W128" i="3"/>
  <c r="AY128" i="3"/>
  <c r="AG127" i="3"/>
  <c r="AT101" i="1"/>
  <c r="AS101" i="1"/>
  <c r="AU101" i="1"/>
  <c r="AR102" i="1" a="1"/>
  <c r="AR102" i="1" s="1"/>
  <c r="AV100" i="1"/>
  <c r="AO103" i="1"/>
  <c r="AN103" i="1" s="1"/>
  <c r="FI104" i="1" l="1"/>
  <c r="BD103" i="1"/>
  <c r="FB105" i="1"/>
  <c r="FH105" i="1"/>
  <c r="FF106" i="1"/>
  <c r="EX107" i="1"/>
  <c r="EY106" i="1"/>
  <c r="FC106" i="1"/>
  <c r="FG106" i="1"/>
  <c r="FD106" i="1"/>
  <c r="FE106" i="1"/>
  <c r="EZ106" i="1"/>
  <c r="FA106" i="1"/>
  <c r="BQ103" i="1"/>
  <c r="B129" i="3"/>
  <c r="W129" i="3"/>
  <c r="AQ129" i="3"/>
  <c r="BG129" i="3"/>
  <c r="AY129" i="3"/>
  <c r="O129" i="3"/>
  <c r="AG128" i="3"/>
  <c r="AU102" i="1"/>
  <c r="AS102" i="1"/>
  <c r="AT102" i="1"/>
  <c r="AR103" i="1" a="1"/>
  <c r="AR103" i="1" s="1"/>
  <c r="AV101" i="1"/>
  <c r="AO104" i="1"/>
  <c r="AN104" i="1" s="1"/>
  <c r="FI105" i="1" l="1"/>
  <c r="BD104" i="1"/>
  <c r="FF107" i="1"/>
  <c r="EX108" i="1"/>
  <c r="EY107" i="1"/>
  <c r="FC107" i="1"/>
  <c r="FG107" i="1"/>
  <c r="EZ107" i="1"/>
  <c r="FA107" i="1"/>
  <c r="FD107" i="1"/>
  <c r="FE107" i="1"/>
  <c r="FB106" i="1"/>
  <c r="FH106" i="1"/>
  <c r="BQ104" i="1"/>
  <c r="B130" i="3"/>
  <c r="W130" i="3"/>
  <c r="AY130" i="3"/>
  <c r="O130" i="3"/>
  <c r="AQ130" i="3"/>
  <c r="BG130" i="3"/>
  <c r="AG129" i="3"/>
  <c r="AT103" i="1"/>
  <c r="AU103" i="1"/>
  <c r="AS103" i="1"/>
  <c r="AR104" i="1" a="1"/>
  <c r="AR104" i="1" s="1"/>
  <c r="AV102" i="1"/>
  <c r="AO105" i="1"/>
  <c r="AN105" i="1" s="1"/>
  <c r="FI106" i="1" l="1"/>
  <c r="BD105" i="1"/>
  <c r="FB107" i="1"/>
  <c r="FH107" i="1"/>
  <c r="FF108" i="1"/>
  <c r="EX109" i="1"/>
  <c r="EY108" i="1"/>
  <c r="FC108" i="1"/>
  <c r="FG108" i="1"/>
  <c r="FD108" i="1"/>
  <c r="FE108" i="1"/>
  <c r="EZ108" i="1"/>
  <c r="FA108" i="1"/>
  <c r="BQ105" i="1"/>
  <c r="BG131" i="3"/>
  <c r="B131" i="3"/>
  <c r="O131" i="3"/>
  <c r="AY131" i="3"/>
  <c r="AQ131" i="3"/>
  <c r="W131" i="3"/>
  <c r="AG130" i="3"/>
  <c r="AS104" i="1"/>
  <c r="AU104" i="1"/>
  <c r="AT104" i="1"/>
  <c r="AR105" i="1" a="1"/>
  <c r="AR105" i="1" s="1"/>
  <c r="AV103" i="1"/>
  <c r="AO106" i="1"/>
  <c r="AN106" i="1" s="1"/>
  <c r="FI107" i="1" l="1"/>
  <c r="BD106" i="1"/>
  <c r="FF109" i="1"/>
  <c r="EX110" i="1"/>
  <c r="EY109" i="1"/>
  <c r="FC109" i="1"/>
  <c r="FG109" i="1"/>
  <c r="EZ109" i="1"/>
  <c r="FA109" i="1"/>
  <c r="FD109" i="1"/>
  <c r="FE109" i="1"/>
  <c r="FB108" i="1"/>
  <c r="FH108" i="1"/>
  <c r="BQ106" i="1"/>
  <c r="O132" i="3"/>
  <c r="AQ132" i="3"/>
  <c r="BG132" i="3"/>
  <c r="B132" i="3"/>
  <c r="W132" i="3"/>
  <c r="AY132" i="3"/>
  <c r="AG131" i="3"/>
  <c r="AT105" i="1"/>
  <c r="AS105" i="1"/>
  <c r="AU105" i="1"/>
  <c r="AR106" i="1" a="1"/>
  <c r="AR106" i="1" s="1"/>
  <c r="AV104" i="1"/>
  <c r="AO107" i="1"/>
  <c r="AN107" i="1" s="1"/>
  <c r="FI108" i="1" l="1"/>
  <c r="BD107" i="1"/>
  <c r="FB109" i="1"/>
  <c r="FH109" i="1"/>
  <c r="FF110" i="1"/>
  <c r="EX111" i="1"/>
  <c r="EY110" i="1"/>
  <c r="FC110" i="1"/>
  <c r="FG110" i="1"/>
  <c r="FD110" i="1"/>
  <c r="FE110" i="1"/>
  <c r="EZ110" i="1"/>
  <c r="FA110" i="1"/>
  <c r="BQ107" i="1"/>
  <c r="W133" i="3"/>
  <c r="AY133" i="3"/>
  <c r="O133" i="3"/>
  <c r="BG133" i="3"/>
  <c r="B133" i="3"/>
  <c r="AQ133" i="3"/>
  <c r="AG132" i="3"/>
  <c r="AU106" i="1"/>
  <c r="AS106" i="1"/>
  <c r="AT106" i="1"/>
  <c r="AR107" i="1" a="1"/>
  <c r="AR107" i="1" s="1"/>
  <c r="AV105" i="1"/>
  <c r="AO108" i="1"/>
  <c r="AN108" i="1" s="1"/>
  <c r="FI109" i="1" l="1"/>
  <c r="BD108" i="1"/>
  <c r="FB110" i="1"/>
  <c r="FH110" i="1"/>
  <c r="FF111" i="1"/>
  <c r="EX112" i="1"/>
  <c r="EY111" i="1"/>
  <c r="FC111" i="1"/>
  <c r="FG111" i="1"/>
  <c r="EZ111" i="1"/>
  <c r="FA111" i="1"/>
  <c r="FD111" i="1"/>
  <c r="FE111" i="1"/>
  <c r="BQ108" i="1"/>
  <c r="B134" i="3"/>
  <c r="BG134" i="3"/>
  <c r="AY134" i="3"/>
  <c r="W134" i="3"/>
  <c r="O134" i="3"/>
  <c r="AQ134" i="3"/>
  <c r="AG133" i="3"/>
  <c r="AT107" i="1"/>
  <c r="AS107" i="1"/>
  <c r="AU107" i="1"/>
  <c r="AR108" i="1" a="1"/>
  <c r="AR108" i="1" s="1"/>
  <c r="AV106" i="1"/>
  <c r="AO109" i="1"/>
  <c r="AN109" i="1" s="1"/>
  <c r="FI110" i="1" l="1"/>
  <c r="BD109" i="1"/>
  <c r="FF112" i="1"/>
  <c r="EX113" i="1"/>
  <c r="EY112" i="1"/>
  <c r="FC112" i="1"/>
  <c r="FG112" i="1"/>
  <c r="FD112" i="1"/>
  <c r="FE112" i="1"/>
  <c r="EZ112" i="1"/>
  <c r="FA112" i="1"/>
  <c r="FB111" i="1"/>
  <c r="FH111" i="1"/>
  <c r="BQ109" i="1"/>
  <c r="BG135" i="3"/>
  <c r="AY135" i="3"/>
  <c r="B135" i="3"/>
  <c r="AQ135" i="3"/>
  <c r="O135" i="3"/>
  <c r="W135" i="3"/>
  <c r="AG134" i="3"/>
  <c r="AS108" i="1"/>
  <c r="AU108" i="1"/>
  <c r="AT108" i="1"/>
  <c r="AR109" i="1" a="1"/>
  <c r="AR109" i="1" s="1"/>
  <c r="AV107" i="1"/>
  <c r="AO110" i="1"/>
  <c r="AN110" i="1" s="1"/>
  <c r="FI111" i="1" l="1"/>
  <c r="BD110" i="1"/>
  <c r="FF113" i="1"/>
  <c r="EX114" i="1"/>
  <c r="EY113" i="1"/>
  <c r="FC113" i="1"/>
  <c r="FG113" i="1"/>
  <c r="EZ113" i="1"/>
  <c r="FA113" i="1"/>
  <c r="FD113" i="1"/>
  <c r="FE113" i="1"/>
  <c r="FB112" i="1"/>
  <c r="FH112" i="1"/>
  <c r="BQ110" i="1"/>
  <c r="O136" i="3"/>
  <c r="W136" i="3"/>
  <c r="BG136" i="3"/>
  <c r="AY136" i="3"/>
  <c r="AQ136" i="3"/>
  <c r="B136" i="3"/>
  <c r="AG135" i="3"/>
  <c r="AT109" i="1"/>
  <c r="AS109" i="1"/>
  <c r="AU109" i="1"/>
  <c r="AR110" i="1" a="1"/>
  <c r="AR110" i="1" s="1"/>
  <c r="AV108" i="1"/>
  <c r="AO111" i="1"/>
  <c r="AN111" i="1" s="1"/>
  <c r="FI112" i="1" l="1"/>
  <c r="BD111" i="1"/>
  <c r="FB113" i="1"/>
  <c r="FH113" i="1"/>
  <c r="FF114" i="1"/>
  <c r="EX115" i="1"/>
  <c r="EY114" i="1"/>
  <c r="FC114" i="1"/>
  <c r="FG114" i="1"/>
  <c r="FD114" i="1"/>
  <c r="FE114" i="1"/>
  <c r="EZ114" i="1"/>
  <c r="FA114" i="1"/>
  <c r="BQ111" i="1"/>
  <c r="B137" i="3"/>
  <c r="BG137" i="3"/>
  <c r="W137" i="3"/>
  <c r="AQ137" i="3"/>
  <c r="AY137" i="3"/>
  <c r="O137" i="3"/>
  <c r="AG136" i="3"/>
  <c r="AU110" i="1"/>
  <c r="AS110" i="1"/>
  <c r="AT110" i="1"/>
  <c r="AR111" i="1" a="1"/>
  <c r="AR111" i="1" s="1"/>
  <c r="AV109" i="1"/>
  <c r="AO112" i="1"/>
  <c r="AN112" i="1" s="1"/>
  <c r="FI113" i="1" l="1"/>
  <c r="BD112" i="1"/>
  <c r="FB114" i="1"/>
  <c r="FH114" i="1"/>
  <c r="FF115" i="1"/>
  <c r="EX116" i="1"/>
  <c r="EY115" i="1"/>
  <c r="FC115" i="1"/>
  <c r="FG115" i="1"/>
  <c r="EZ115" i="1"/>
  <c r="FA115" i="1"/>
  <c r="FD115" i="1"/>
  <c r="FE115" i="1"/>
  <c r="BQ112" i="1"/>
  <c r="W138" i="3"/>
  <c r="AQ138" i="3"/>
  <c r="BG138" i="3"/>
  <c r="O138" i="3"/>
  <c r="AY138" i="3"/>
  <c r="B138" i="3"/>
  <c r="AG137" i="3"/>
  <c r="AT111" i="1"/>
  <c r="AU111" i="1"/>
  <c r="AS111" i="1"/>
  <c r="AR112" i="1" a="1"/>
  <c r="AR112" i="1" s="1"/>
  <c r="AV110" i="1"/>
  <c r="AO113" i="1"/>
  <c r="AN113" i="1" s="1"/>
  <c r="FI114" i="1" l="1"/>
  <c r="BD113" i="1"/>
  <c r="FF116" i="1"/>
  <c r="EX117" i="1"/>
  <c r="EY116" i="1"/>
  <c r="FC116" i="1"/>
  <c r="FG116" i="1"/>
  <c r="FD116" i="1"/>
  <c r="FE116" i="1"/>
  <c r="EZ116" i="1"/>
  <c r="FA116" i="1"/>
  <c r="FB115" i="1"/>
  <c r="FH115" i="1"/>
  <c r="BQ113" i="1"/>
  <c r="O139" i="3"/>
  <c r="BG139" i="3"/>
  <c r="AY139" i="3"/>
  <c r="AQ139" i="3"/>
  <c r="B139" i="3"/>
  <c r="W139" i="3"/>
  <c r="AG138" i="3"/>
  <c r="AS112" i="1"/>
  <c r="AU112" i="1"/>
  <c r="AT112" i="1"/>
  <c r="AR113" i="1" a="1"/>
  <c r="AR113" i="1" s="1"/>
  <c r="AV111" i="1"/>
  <c r="AO114" i="1"/>
  <c r="AN114" i="1" s="1"/>
  <c r="FI115" i="1" l="1"/>
  <c r="BD114" i="1"/>
  <c r="EY117" i="1"/>
  <c r="FC117" i="1"/>
  <c r="FG117" i="1"/>
  <c r="EZ117" i="1"/>
  <c r="FD117" i="1"/>
  <c r="FA117" i="1"/>
  <c r="FE117" i="1"/>
  <c r="FF117" i="1"/>
  <c r="EX118" i="1"/>
  <c r="FB116" i="1"/>
  <c r="FH116" i="1"/>
  <c r="BQ114" i="1"/>
  <c r="W140" i="3"/>
  <c r="B140" i="3"/>
  <c r="O140" i="3"/>
  <c r="AY140" i="3"/>
  <c r="BG140" i="3"/>
  <c r="AQ140" i="3"/>
  <c r="AG139" i="3"/>
  <c r="AT113" i="1"/>
  <c r="AU113" i="1"/>
  <c r="AS113" i="1"/>
  <c r="AR114" i="1" a="1"/>
  <c r="AR114" i="1" s="1"/>
  <c r="AV112" i="1"/>
  <c r="AO115" i="1"/>
  <c r="AN115" i="1" s="1"/>
  <c r="FI116" i="1" l="1"/>
  <c r="BD115" i="1"/>
  <c r="FH117" i="1"/>
  <c r="FB117" i="1"/>
  <c r="EY118" i="1"/>
  <c r="FC118" i="1"/>
  <c r="FG118" i="1"/>
  <c r="EZ118" i="1"/>
  <c r="FD118" i="1"/>
  <c r="FA118" i="1"/>
  <c r="FE118" i="1"/>
  <c r="EX119" i="1"/>
  <c r="FF118" i="1"/>
  <c r="BQ115" i="1"/>
  <c r="B141" i="3"/>
  <c r="AQ141" i="3"/>
  <c r="BG141" i="3"/>
  <c r="AY141" i="3"/>
  <c r="O141" i="3"/>
  <c r="W141" i="3"/>
  <c r="AG140" i="3"/>
  <c r="AU114" i="1"/>
  <c r="AS114" i="1"/>
  <c r="AT114" i="1"/>
  <c r="AR115" i="1" a="1"/>
  <c r="AR115" i="1" s="1"/>
  <c r="AV113" i="1"/>
  <c r="AO116" i="1"/>
  <c r="AN116" i="1" s="1"/>
  <c r="FI117" i="1" l="1"/>
  <c r="BD116" i="1"/>
  <c r="FH118" i="1"/>
  <c r="FB118" i="1"/>
  <c r="EY119" i="1"/>
  <c r="FC119" i="1"/>
  <c r="FG119" i="1"/>
  <c r="EZ119" i="1"/>
  <c r="FD119" i="1"/>
  <c r="FA119" i="1"/>
  <c r="FE119" i="1"/>
  <c r="FF119" i="1"/>
  <c r="EX120" i="1"/>
  <c r="BQ116" i="1"/>
  <c r="AY142" i="3"/>
  <c r="BG142" i="3"/>
  <c r="W142" i="3"/>
  <c r="O142" i="3"/>
  <c r="B142" i="3"/>
  <c r="AQ142" i="3"/>
  <c r="AG141" i="3"/>
  <c r="AS115" i="1"/>
  <c r="AT115" i="1"/>
  <c r="AU115" i="1"/>
  <c r="AR116" i="1" a="1"/>
  <c r="AR116" i="1" s="1"/>
  <c r="AV114" i="1"/>
  <c r="AO117" i="1"/>
  <c r="AN117" i="1" s="1"/>
  <c r="FI118" i="1" l="1"/>
  <c r="BD117" i="1"/>
  <c r="EY120" i="1"/>
  <c r="FC120" i="1"/>
  <c r="FG120" i="1"/>
  <c r="EZ120" i="1"/>
  <c r="FD120" i="1"/>
  <c r="FA120" i="1"/>
  <c r="FE120" i="1"/>
  <c r="FF120" i="1"/>
  <c r="EX121" i="1"/>
  <c r="FH119" i="1"/>
  <c r="FB119" i="1"/>
  <c r="BQ117" i="1"/>
  <c r="BG143" i="3"/>
  <c r="O143" i="3"/>
  <c r="AQ143" i="3"/>
  <c r="B143" i="3"/>
  <c r="AY143" i="3"/>
  <c r="W143" i="3"/>
  <c r="AG142" i="3"/>
  <c r="AS116" i="1"/>
  <c r="AT116" i="1"/>
  <c r="AU116" i="1"/>
  <c r="AR117" i="1" a="1"/>
  <c r="AR117" i="1" s="1"/>
  <c r="AV115" i="1"/>
  <c r="AO118" i="1"/>
  <c r="AN118" i="1" s="1"/>
  <c r="FI119" i="1" l="1"/>
  <c r="BD118" i="1"/>
  <c r="FH120" i="1"/>
  <c r="FB120" i="1"/>
  <c r="EY121" i="1"/>
  <c r="FC121" i="1"/>
  <c r="FG121" i="1"/>
  <c r="EZ121" i="1"/>
  <c r="FD121" i="1"/>
  <c r="FA121" i="1"/>
  <c r="FE121" i="1"/>
  <c r="FF121" i="1"/>
  <c r="EX122" i="1"/>
  <c r="BQ118" i="1"/>
  <c r="W144" i="3"/>
  <c r="O144" i="3"/>
  <c r="AY144" i="3"/>
  <c r="AQ144" i="3"/>
  <c r="BG144" i="3"/>
  <c r="B144" i="3"/>
  <c r="AG143" i="3"/>
  <c r="AT117" i="1"/>
  <c r="AS117" i="1"/>
  <c r="AU117" i="1"/>
  <c r="AR118" i="1" a="1"/>
  <c r="AR118" i="1" s="1"/>
  <c r="AV116" i="1"/>
  <c r="AO119" i="1"/>
  <c r="AN119" i="1" s="1"/>
  <c r="FI120" i="1" l="1"/>
  <c r="BD119" i="1"/>
  <c r="EY122" i="1"/>
  <c r="FC122" i="1"/>
  <c r="FG122" i="1"/>
  <c r="EZ122" i="1"/>
  <c r="FD122" i="1"/>
  <c r="FA122" i="1"/>
  <c r="FE122" i="1"/>
  <c r="EX123" i="1"/>
  <c r="FF122" i="1"/>
  <c r="FH121" i="1"/>
  <c r="FB121" i="1"/>
  <c r="BQ119" i="1"/>
  <c r="BG145" i="3"/>
  <c r="B145" i="3"/>
  <c r="AY145" i="3"/>
  <c r="O145" i="3"/>
  <c r="W145" i="3"/>
  <c r="AQ145" i="3"/>
  <c r="AG144" i="3"/>
  <c r="AU118" i="1"/>
  <c r="AS118" i="1"/>
  <c r="AT118" i="1"/>
  <c r="AR119" i="1" a="1"/>
  <c r="AR119" i="1" s="1"/>
  <c r="AV117" i="1"/>
  <c r="AO120" i="1"/>
  <c r="AN120" i="1" s="1"/>
  <c r="FI121" i="1" l="1"/>
  <c r="BD120" i="1"/>
  <c r="EY123" i="1"/>
  <c r="FC123" i="1"/>
  <c r="FG123" i="1"/>
  <c r="EZ123" i="1"/>
  <c r="FD123" i="1"/>
  <c r="FA123" i="1"/>
  <c r="FE123" i="1"/>
  <c r="FF123" i="1"/>
  <c r="EX124" i="1"/>
  <c r="FH122" i="1"/>
  <c r="FB122" i="1"/>
  <c r="BQ120" i="1"/>
  <c r="AY146" i="3"/>
  <c r="W146" i="3"/>
  <c r="O146" i="3"/>
  <c r="BG146" i="3"/>
  <c r="AQ146" i="3"/>
  <c r="B146" i="3"/>
  <c r="AG145" i="3"/>
  <c r="AU119" i="1"/>
  <c r="AS119" i="1"/>
  <c r="AT119" i="1"/>
  <c r="AR120" i="1" a="1"/>
  <c r="AR120" i="1" s="1"/>
  <c r="AV118" i="1"/>
  <c r="AO121" i="1"/>
  <c r="AN121" i="1" s="1"/>
  <c r="FI122" i="1" l="1"/>
  <c r="BD121" i="1"/>
  <c r="FH123" i="1"/>
  <c r="FB123" i="1"/>
  <c r="EY124" i="1"/>
  <c r="FC124" i="1"/>
  <c r="FG124" i="1"/>
  <c r="EZ124" i="1"/>
  <c r="FD124" i="1"/>
  <c r="FA124" i="1"/>
  <c r="FE124" i="1"/>
  <c r="FF124" i="1"/>
  <c r="EX125" i="1"/>
  <c r="BQ121" i="1"/>
  <c r="O147" i="3"/>
  <c r="W147" i="3"/>
  <c r="AY147" i="3"/>
  <c r="AQ147" i="3"/>
  <c r="B147" i="3"/>
  <c r="BG147" i="3"/>
  <c r="AG146" i="3"/>
  <c r="AS120" i="1"/>
  <c r="AT120" i="1"/>
  <c r="AU120" i="1"/>
  <c r="AR121" i="1" a="1"/>
  <c r="AR121" i="1" s="1"/>
  <c r="AV119" i="1"/>
  <c r="AO122" i="1"/>
  <c r="AN122" i="1" s="1"/>
  <c r="FI123" i="1" l="1"/>
  <c r="BD122" i="1"/>
  <c r="EY125" i="1"/>
  <c r="FC125" i="1"/>
  <c r="FG125" i="1"/>
  <c r="EZ125" i="1"/>
  <c r="FD125" i="1"/>
  <c r="FA125" i="1"/>
  <c r="FE125" i="1"/>
  <c r="FF125" i="1"/>
  <c r="EX126" i="1"/>
  <c r="FH124" i="1"/>
  <c r="FB124" i="1"/>
  <c r="BQ122" i="1"/>
  <c r="B148" i="3"/>
  <c r="AQ148" i="3"/>
  <c r="BG148" i="3"/>
  <c r="W148" i="3"/>
  <c r="O148" i="3"/>
  <c r="AY148" i="3"/>
  <c r="AG147" i="3"/>
  <c r="AT121" i="1"/>
  <c r="AU121" i="1"/>
  <c r="AS121" i="1"/>
  <c r="AR122" i="1" a="1"/>
  <c r="AR122" i="1" s="1"/>
  <c r="AV120" i="1"/>
  <c r="AO123" i="1"/>
  <c r="AN123" i="1" s="1"/>
  <c r="FI124" i="1" l="1"/>
  <c r="BD123" i="1"/>
  <c r="FH125" i="1"/>
  <c r="FB125" i="1"/>
  <c r="EY126" i="1"/>
  <c r="FC126" i="1"/>
  <c r="FG126" i="1"/>
  <c r="EZ126" i="1"/>
  <c r="FD126" i="1"/>
  <c r="FA126" i="1"/>
  <c r="FE126" i="1"/>
  <c r="EX127" i="1"/>
  <c r="FF126" i="1"/>
  <c r="BQ123" i="1"/>
  <c r="AY149" i="3"/>
  <c r="W149" i="3"/>
  <c r="BG149" i="3"/>
  <c r="AQ149" i="3"/>
  <c r="O149" i="3"/>
  <c r="B149" i="3"/>
  <c r="AG148" i="3"/>
  <c r="AS122" i="1"/>
  <c r="AT122" i="1"/>
  <c r="AU122" i="1"/>
  <c r="AR123" i="1" a="1"/>
  <c r="AR123" i="1" s="1"/>
  <c r="AV121" i="1"/>
  <c r="AO124" i="1"/>
  <c r="AN124" i="1" s="1"/>
  <c r="FI125" i="1" l="1"/>
  <c r="BD124" i="1"/>
  <c r="EY127" i="1"/>
  <c r="FC127" i="1"/>
  <c r="FG127" i="1"/>
  <c r="EZ127" i="1"/>
  <c r="FD127" i="1"/>
  <c r="FA127" i="1"/>
  <c r="FE127" i="1"/>
  <c r="FF127" i="1"/>
  <c r="EX128" i="1"/>
  <c r="FH126" i="1"/>
  <c r="FB126" i="1"/>
  <c r="BQ124" i="1"/>
  <c r="AQ150" i="3"/>
  <c r="AY150" i="3"/>
  <c r="BG150" i="3"/>
  <c r="O150" i="3"/>
  <c r="W150" i="3"/>
  <c r="B150" i="3"/>
  <c r="AG149" i="3"/>
  <c r="AS123" i="1"/>
  <c r="AT123" i="1"/>
  <c r="AU123" i="1"/>
  <c r="AR124" i="1" a="1"/>
  <c r="AR124" i="1" s="1"/>
  <c r="AV122" i="1"/>
  <c r="AO125" i="1"/>
  <c r="AN125" i="1" s="1"/>
  <c r="FI126" i="1" l="1"/>
  <c r="BD125" i="1"/>
  <c r="FH127" i="1"/>
  <c r="FB127" i="1"/>
  <c r="EY128" i="1"/>
  <c r="FC128" i="1"/>
  <c r="FG128" i="1"/>
  <c r="EZ128" i="1"/>
  <c r="FD128" i="1"/>
  <c r="FA128" i="1"/>
  <c r="FE128" i="1"/>
  <c r="FF128" i="1"/>
  <c r="EX129" i="1"/>
  <c r="BQ125" i="1"/>
  <c r="BG151" i="3"/>
  <c r="AY151" i="3"/>
  <c r="W151" i="3"/>
  <c r="B151" i="3"/>
  <c r="O151" i="3"/>
  <c r="AQ151" i="3"/>
  <c r="AG150" i="3"/>
  <c r="AT124" i="1"/>
  <c r="AS124" i="1"/>
  <c r="AU124" i="1"/>
  <c r="AR125" i="1" a="1"/>
  <c r="AR125" i="1" s="1"/>
  <c r="AV123" i="1"/>
  <c r="AO126" i="1"/>
  <c r="AN126" i="1" s="1"/>
  <c r="FI127" i="1" l="1"/>
  <c r="BD126" i="1"/>
  <c r="FH128" i="1"/>
  <c r="FB128" i="1"/>
  <c r="EY129" i="1"/>
  <c r="FC129" i="1"/>
  <c r="FG129" i="1"/>
  <c r="EZ129" i="1"/>
  <c r="FD129" i="1"/>
  <c r="FA129" i="1"/>
  <c r="FE129" i="1"/>
  <c r="FF129" i="1"/>
  <c r="EX130" i="1"/>
  <c r="BQ126" i="1"/>
  <c r="B152" i="3"/>
  <c r="O152" i="3"/>
  <c r="AY152" i="3"/>
  <c r="BG152" i="3"/>
  <c r="AQ152" i="3"/>
  <c r="W152" i="3"/>
  <c r="AG151" i="3"/>
  <c r="AU125" i="1"/>
  <c r="AS125" i="1"/>
  <c r="AT125" i="1"/>
  <c r="AR126" i="1" a="1"/>
  <c r="AR126" i="1" s="1"/>
  <c r="AV124" i="1"/>
  <c r="AO127" i="1"/>
  <c r="AN127" i="1" s="1"/>
  <c r="FI128" i="1" l="1"/>
  <c r="BD127" i="1"/>
  <c r="EY130" i="1"/>
  <c r="FC130" i="1"/>
  <c r="FG130" i="1"/>
  <c r="EZ130" i="1"/>
  <c r="FD130" i="1"/>
  <c r="FA130" i="1"/>
  <c r="FE130" i="1"/>
  <c r="EX131" i="1"/>
  <c r="FF130" i="1"/>
  <c r="FH129" i="1"/>
  <c r="FB129" i="1"/>
  <c r="BQ127" i="1"/>
  <c r="W153" i="3"/>
  <c r="B153" i="3"/>
  <c r="BG153" i="3"/>
  <c r="AY153" i="3"/>
  <c r="O153" i="3"/>
  <c r="AQ153" i="3"/>
  <c r="AG152" i="3"/>
  <c r="AU126" i="1"/>
  <c r="AS126" i="1"/>
  <c r="AT126" i="1"/>
  <c r="AR127" i="1" a="1"/>
  <c r="AR127" i="1" s="1"/>
  <c r="AV125" i="1"/>
  <c r="AO128" i="1"/>
  <c r="AN128" i="1" s="1"/>
  <c r="FI129" i="1" l="1"/>
  <c r="BD128" i="1"/>
  <c r="EY131" i="1"/>
  <c r="FC131" i="1"/>
  <c r="FG131" i="1"/>
  <c r="EZ131" i="1"/>
  <c r="FD131" i="1"/>
  <c r="FA131" i="1"/>
  <c r="FE131" i="1"/>
  <c r="FF131" i="1"/>
  <c r="EX132" i="1"/>
  <c r="FH130" i="1"/>
  <c r="FB130" i="1"/>
  <c r="BQ128" i="1"/>
  <c r="AY154" i="3"/>
  <c r="W154" i="3"/>
  <c r="O154" i="3"/>
  <c r="B154" i="3"/>
  <c r="AQ154" i="3"/>
  <c r="BG154" i="3"/>
  <c r="AG153" i="3"/>
  <c r="AS127" i="1"/>
  <c r="AT127" i="1"/>
  <c r="AU127" i="1"/>
  <c r="AR128" i="1" a="1"/>
  <c r="AR128" i="1" s="1"/>
  <c r="AV126" i="1"/>
  <c r="AO129" i="1"/>
  <c r="AN129" i="1" s="1"/>
  <c r="FI130" i="1" l="1"/>
  <c r="BD129" i="1"/>
  <c r="FH131" i="1"/>
  <c r="FB131" i="1"/>
  <c r="EY132" i="1"/>
  <c r="FC132" i="1"/>
  <c r="FG132" i="1"/>
  <c r="EZ132" i="1"/>
  <c r="FD132" i="1"/>
  <c r="FA132" i="1"/>
  <c r="FE132" i="1"/>
  <c r="FF132" i="1"/>
  <c r="EX133" i="1"/>
  <c r="BQ129" i="1"/>
  <c r="B155" i="3"/>
  <c r="BG155" i="3"/>
  <c r="O155" i="3"/>
  <c r="W155" i="3"/>
  <c r="AY155" i="3"/>
  <c r="AQ155" i="3"/>
  <c r="AG154" i="3"/>
  <c r="AT128" i="1"/>
  <c r="AU128" i="1"/>
  <c r="AS128" i="1"/>
  <c r="AR129" i="1" a="1"/>
  <c r="AR129" i="1" s="1"/>
  <c r="AV127" i="1"/>
  <c r="AO130" i="1"/>
  <c r="AN130" i="1" s="1"/>
  <c r="FI131" i="1" l="1"/>
  <c r="BD130" i="1"/>
  <c r="FH132" i="1"/>
  <c r="FB132" i="1"/>
  <c r="EY133" i="1"/>
  <c r="FC133" i="1"/>
  <c r="FG133" i="1"/>
  <c r="EZ133" i="1"/>
  <c r="FD133" i="1"/>
  <c r="FA133" i="1"/>
  <c r="FE133" i="1"/>
  <c r="FF133" i="1"/>
  <c r="EX134" i="1"/>
  <c r="BQ130" i="1"/>
  <c r="O156" i="3"/>
  <c r="B156" i="3"/>
  <c r="AQ156" i="3"/>
  <c r="AY156" i="3"/>
  <c r="BG156" i="3"/>
  <c r="W156" i="3"/>
  <c r="AG155" i="3"/>
  <c r="AU129" i="1"/>
  <c r="AS129" i="1"/>
  <c r="AT129" i="1"/>
  <c r="AR130" i="1" a="1"/>
  <c r="AR130" i="1" s="1"/>
  <c r="AV128" i="1"/>
  <c r="AO131" i="1"/>
  <c r="AN131" i="1" s="1"/>
  <c r="FI132" i="1" l="1"/>
  <c r="BD131" i="1"/>
  <c r="FH133" i="1"/>
  <c r="FB133" i="1"/>
  <c r="EY134" i="1"/>
  <c r="FC134" i="1"/>
  <c r="FG134" i="1"/>
  <c r="EZ134" i="1"/>
  <c r="FD134" i="1"/>
  <c r="FA134" i="1"/>
  <c r="FE134" i="1"/>
  <c r="EX135" i="1"/>
  <c r="FF134" i="1"/>
  <c r="BQ131" i="1"/>
  <c r="B157" i="3"/>
  <c r="AY157" i="3"/>
  <c r="W157" i="3"/>
  <c r="BG157" i="3"/>
  <c r="O157" i="3"/>
  <c r="AQ157" i="3"/>
  <c r="AG156" i="3"/>
  <c r="AT130" i="1"/>
  <c r="AU130" i="1"/>
  <c r="AS130" i="1"/>
  <c r="AR131" i="1" a="1"/>
  <c r="AR131" i="1" s="1"/>
  <c r="AV129" i="1"/>
  <c r="AO132" i="1"/>
  <c r="AN132" i="1" s="1"/>
  <c r="FI133" i="1" l="1"/>
  <c r="BD132" i="1"/>
  <c r="FH134" i="1"/>
  <c r="FB134" i="1"/>
  <c r="EY135" i="1"/>
  <c r="FC135" i="1"/>
  <c r="FG135" i="1"/>
  <c r="EZ135" i="1"/>
  <c r="FD135" i="1"/>
  <c r="FA135" i="1"/>
  <c r="FE135" i="1"/>
  <c r="FF135" i="1"/>
  <c r="EX136" i="1"/>
  <c r="BQ132" i="1"/>
  <c r="O158" i="3"/>
  <c r="AQ158" i="3"/>
  <c r="BG158" i="3"/>
  <c r="W158" i="3"/>
  <c r="B158" i="3"/>
  <c r="AY158" i="3"/>
  <c r="AG157" i="3"/>
  <c r="AS131" i="1"/>
  <c r="AT131" i="1"/>
  <c r="AU131" i="1"/>
  <c r="AR132" i="1" a="1"/>
  <c r="AR132" i="1" s="1"/>
  <c r="AV130" i="1"/>
  <c r="AO133" i="1"/>
  <c r="AN133" i="1" s="1"/>
  <c r="FI134" i="1" l="1"/>
  <c r="BD133" i="1"/>
  <c r="FH135" i="1"/>
  <c r="FB135" i="1"/>
  <c r="EY136" i="1"/>
  <c r="FC136" i="1"/>
  <c r="FG136" i="1"/>
  <c r="EZ136" i="1"/>
  <c r="FD136" i="1"/>
  <c r="FA136" i="1"/>
  <c r="FE136" i="1"/>
  <c r="FF136" i="1"/>
  <c r="EX137" i="1"/>
  <c r="BQ133" i="1"/>
  <c r="W159" i="3"/>
  <c r="AQ159" i="3"/>
  <c r="AY159" i="3"/>
  <c r="O159" i="3"/>
  <c r="B159" i="3"/>
  <c r="BG159" i="3"/>
  <c r="AG158" i="3"/>
  <c r="AT132" i="1"/>
  <c r="AS132" i="1"/>
  <c r="AU132" i="1"/>
  <c r="AR133" i="1" a="1"/>
  <c r="AR133" i="1" s="1"/>
  <c r="AV131" i="1"/>
  <c r="AO134" i="1"/>
  <c r="AN134" i="1" s="1"/>
  <c r="FI135" i="1" l="1"/>
  <c r="BD134" i="1"/>
  <c r="FH136" i="1"/>
  <c r="FB136" i="1"/>
  <c r="EY137" i="1"/>
  <c r="FC137" i="1"/>
  <c r="FG137" i="1"/>
  <c r="EZ137" i="1"/>
  <c r="FD137" i="1"/>
  <c r="FA137" i="1"/>
  <c r="FE137" i="1"/>
  <c r="FF137" i="1"/>
  <c r="EX138" i="1"/>
  <c r="BQ134" i="1"/>
  <c r="AQ160" i="3"/>
  <c r="W160" i="3"/>
  <c r="BG160" i="3"/>
  <c r="B160" i="3"/>
  <c r="O160" i="3"/>
  <c r="AY160" i="3"/>
  <c r="AG159" i="3"/>
  <c r="AU133" i="1"/>
  <c r="AS133" i="1"/>
  <c r="AT133" i="1"/>
  <c r="AR134" i="1" a="1"/>
  <c r="AR134" i="1" s="1"/>
  <c r="AV132" i="1"/>
  <c r="AO135" i="1"/>
  <c r="AN135" i="1" s="1"/>
  <c r="FI136" i="1" l="1"/>
  <c r="BD135" i="1"/>
  <c r="EY138" i="1"/>
  <c r="FC138" i="1"/>
  <c r="FG138" i="1"/>
  <c r="EZ138" i="1"/>
  <c r="FD138" i="1"/>
  <c r="FA138" i="1"/>
  <c r="FE138" i="1"/>
  <c r="EX139" i="1"/>
  <c r="FF138" i="1"/>
  <c r="FH137" i="1"/>
  <c r="FB137" i="1"/>
  <c r="BQ135" i="1"/>
  <c r="AY161" i="3"/>
  <c r="O161" i="3"/>
  <c r="W161" i="3"/>
  <c r="AQ161" i="3"/>
  <c r="BG161" i="3"/>
  <c r="B161" i="3"/>
  <c r="AG160" i="3"/>
  <c r="AS134" i="1"/>
  <c r="AT134" i="1"/>
  <c r="AU134" i="1"/>
  <c r="AR135" i="1" a="1"/>
  <c r="AR135" i="1" s="1"/>
  <c r="AV133" i="1"/>
  <c r="AO136" i="1"/>
  <c r="AN136" i="1" s="1"/>
  <c r="FI137" i="1" l="1"/>
  <c r="BD136" i="1"/>
  <c r="EY139" i="1"/>
  <c r="FC139" i="1"/>
  <c r="FG139" i="1"/>
  <c r="EZ139" i="1"/>
  <c r="FD139" i="1"/>
  <c r="FA139" i="1"/>
  <c r="FE139" i="1"/>
  <c r="FF139" i="1"/>
  <c r="EX140" i="1"/>
  <c r="FH138" i="1"/>
  <c r="FB138" i="1"/>
  <c r="BQ136" i="1"/>
  <c r="AQ162" i="3"/>
  <c r="B162" i="3"/>
  <c r="AY162" i="3"/>
  <c r="W162" i="3"/>
  <c r="O162" i="3"/>
  <c r="BG162" i="3"/>
  <c r="AG161" i="3"/>
  <c r="AS135" i="1"/>
  <c r="AU135" i="1"/>
  <c r="AT135" i="1"/>
  <c r="AR136" i="1" a="1"/>
  <c r="AR136" i="1" s="1"/>
  <c r="AV134" i="1"/>
  <c r="AO137" i="1"/>
  <c r="AN137" i="1" s="1"/>
  <c r="FI138" i="1" l="1"/>
  <c r="BD137" i="1"/>
  <c r="FH139" i="1"/>
  <c r="FB139" i="1"/>
  <c r="EY140" i="1"/>
  <c r="FC140" i="1"/>
  <c r="FG140" i="1"/>
  <c r="EZ140" i="1"/>
  <c r="FD140" i="1"/>
  <c r="FA140" i="1"/>
  <c r="FE140" i="1"/>
  <c r="FF140" i="1"/>
  <c r="EX141" i="1"/>
  <c r="BQ137" i="1"/>
  <c r="O163" i="3"/>
  <c r="W163" i="3"/>
  <c r="AY163" i="3"/>
  <c r="AQ163" i="3"/>
  <c r="B163" i="3"/>
  <c r="BG163" i="3"/>
  <c r="AG162" i="3"/>
  <c r="AT136" i="1"/>
  <c r="AS136" i="1"/>
  <c r="AU136" i="1"/>
  <c r="AR137" i="1" a="1"/>
  <c r="AR137" i="1" s="1"/>
  <c r="AV135" i="1"/>
  <c r="AO138" i="1"/>
  <c r="AN138" i="1" s="1"/>
  <c r="FI139" i="1" l="1"/>
  <c r="BD138" i="1"/>
  <c r="FH140" i="1"/>
  <c r="FB140" i="1"/>
  <c r="EY141" i="1"/>
  <c r="FC141" i="1"/>
  <c r="FG141" i="1"/>
  <c r="EZ141" i="1"/>
  <c r="FD141" i="1"/>
  <c r="FA141" i="1"/>
  <c r="FE141" i="1"/>
  <c r="FF141" i="1"/>
  <c r="EX142" i="1"/>
  <c r="BQ138" i="1"/>
  <c r="W164" i="3"/>
  <c r="AY164" i="3"/>
  <c r="AQ164" i="3"/>
  <c r="B164" i="3"/>
  <c r="BG164" i="3"/>
  <c r="O164" i="3"/>
  <c r="AG163" i="3"/>
  <c r="AU137" i="1"/>
  <c r="AT137" i="1"/>
  <c r="AS137" i="1"/>
  <c r="AR138" i="1" a="1"/>
  <c r="AR138" i="1" s="1"/>
  <c r="AV136" i="1"/>
  <c r="AO139" i="1"/>
  <c r="AN139" i="1" s="1"/>
  <c r="FI140" i="1" l="1"/>
  <c r="BD139" i="1"/>
  <c r="FH141" i="1"/>
  <c r="FB141" i="1"/>
  <c r="EY142" i="1"/>
  <c r="FC142" i="1"/>
  <c r="FG142" i="1"/>
  <c r="EZ142" i="1"/>
  <c r="FD142" i="1"/>
  <c r="FA142" i="1"/>
  <c r="FE142" i="1"/>
  <c r="EX143" i="1"/>
  <c r="FF142" i="1"/>
  <c r="BQ139" i="1"/>
  <c r="BG165" i="3"/>
  <c r="AQ165" i="3"/>
  <c r="O165" i="3"/>
  <c r="B165" i="3"/>
  <c r="AY165" i="3"/>
  <c r="W165" i="3"/>
  <c r="AG164" i="3"/>
  <c r="AS138" i="1"/>
  <c r="AT138" i="1"/>
  <c r="AU138" i="1"/>
  <c r="AR139" i="1" a="1"/>
  <c r="AR139" i="1" s="1"/>
  <c r="AV137" i="1"/>
  <c r="AO140" i="1"/>
  <c r="AN140" i="1" s="1"/>
  <c r="FI141" i="1" l="1"/>
  <c r="BD140" i="1"/>
  <c r="FH142" i="1"/>
  <c r="FB142" i="1"/>
  <c r="EY143" i="1"/>
  <c r="FC143" i="1"/>
  <c r="FG143" i="1"/>
  <c r="EZ143" i="1"/>
  <c r="FD143" i="1"/>
  <c r="FA143" i="1"/>
  <c r="FE143" i="1"/>
  <c r="FF143" i="1"/>
  <c r="EX144" i="1"/>
  <c r="BQ140" i="1"/>
  <c r="B166" i="3"/>
  <c r="W166" i="3"/>
  <c r="AQ166" i="3"/>
  <c r="AY166" i="3"/>
  <c r="BG166" i="3"/>
  <c r="O166" i="3"/>
  <c r="AG165" i="3"/>
  <c r="AS139" i="1"/>
  <c r="AT139" i="1"/>
  <c r="AU139" i="1"/>
  <c r="AR140" i="1" a="1"/>
  <c r="AR140" i="1" s="1"/>
  <c r="AV138" i="1"/>
  <c r="AO141" i="1"/>
  <c r="AN141" i="1" s="1"/>
  <c r="FI142" i="1" l="1"/>
  <c r="BD141" i="1"/>
  <c r="FH143" i="1"/>
  <c r="FB143" i="1"/>
  <c r="EY144" i="1"/>
  <c r="FC144" i="1"/>
  <c r="FG144" i="1"/>
  <c r="EZ144" i="1"/>
  <c r="FD144" i="1"/>
  <c r="FA144" i="1"/>
  <c r="FE144" i="1"/>
  <c r="FF144" i="1"/>
  <c r="EX145" i="1"/>
  <c r="BQ141" i="1"/>
  <c r="B167" i="3"/>
  <c r="AQ167" i="3"/>
  <c r="BG167" i="3"/>
  <c r="O167" i="3"/>
  <c r="AY167" i="3"/>
  <c r="W167" i="3"/>
  <c r="AG166" i="3"/>
  <c r="AT140" i="1"/>
  <c r="AS140" i="1"/>
  <c r="AU140" i="1"/>
  <c r="AR141" i="1" a="1"/>
  <c r="AR141" i="1" s="1"/>
  <c r="AV139" i="1"/>
  <c r="AO142" i="1"/>
  <c r="AN142" i="1" s="1"/>
  <c r="FI143" i="1" l="1"/>
  <c r="BD142" i="1"/>
  <c r="FH144" i="1"/>
  <c r="FB144" i="1"/>
  <c r="EY145" i="1"/>
  <c r="FC145" i="1"/>
  <c r="FG145" i="1"/>
  <c r="EZ145" i="1"/>
  <c r="FD145" i="1"/>
  <c r="FA145" i="1"/>
  <c r="FE145" i="1"/>
  <c r="FF145" i="1"/>
  <c r="EX146" i="1"/>
  <c r="BQ142" i="1"/>
  <c r="O168" i="3"/>
  <c r="B168" i="3"/>
  <c r="AQ168" i="3"/>
  <c r="W168" i="3"/>
  <c r="BG168" i="3"/>
  <c r="AY168" i="3"/>
  <c r="AG167" i="3"/>
  <c r="AU141" i="1"/>
  <c r="AS141" i="1"/>
  <c r="AT141" i="1"/>
  <c r="AR142" i="1" a="1"/>
  <c r="AR142" i="1" s="1"/>
  <c r="AV140" i="1"/>
  <c r="AO143" i="1"/>
  <c r="AN143" i="1" s="1"/>
  <c r="FI144" i="1" l="1"/>
  <c r="BD143" i="1"/>
  <c r="FH145" i="1"/>
  <c r="FB145" i="1"/>
  <c r="EY146" i="1"/>
  <c r="FC146" i="1"/>
  <c r="FG146" i="1"/>
  <c r="EZ146" i="1"/>
  <c r="FD146" i="1"/>
  <c r="FA146" i="1"/>
  <c r="FE146" i="1"/>
  <c r="EX147" i="1"/>
  <c r="FF146" i="1"/>
  <c r="BQ143" i="1"/>
  <c r="BG169" i="3"/>
  <c r="AY169" i="3"/>
  <c r="O169" i="3"/>
  <c r="AQ169" i="3"/>
  <c r="W169" i="3"/>
  <c r="B169" i="3"/>
  <c r="AG168" i="3"/>
  <c r="AU142" i="1"/>
  <c r="AS142" i="1"/>
  <c r="AT142" i="1"/>
  <c r="AR143" i="1" a="1"/>
  <c r="AR143" i="1" s="1"/>
  <c r="AV141" i="1"/>
  <c r="AO144" i="1"/>
  <c r="AN144" i="1" s="1"/>
  <c r="FI145" i="1" l="1"/>
  <c r="BD144" i="1"/>
  <c r="EY147" i="1"/>
  <c r="FC147" i="1"/>
  <c r="FG147" i="1"/>
  <c r="EZ147" i="1"/>
  <c r="FD147" i="1"/>
  <c r="FA147" i="1"/>
  <c r="FE147" i="1"/>
  <c r="FF147" i="1"/>
  <c r="EX148" i="1"/>
  <c r="FH146" i="1"/>
  <c r="FB146" i="1"/>
  <c r="BQ144" i="1"/>
  <c r="AY170" i="3"/>
  <c r="W170" i="3"/>
  <c r="O170" i="3"/>
  <c r="BG170" i="3"/>
  <c r="AQ170" i="3"/>
  <c r="B170" i="3"/>
  <c r="AG169" i="3"/>
  <c r="AS143" i="1"/>
  <c r="AT143" i="1"/>
  <c r="AU143" i="1"/>
  <c r="AR144" i="1" a="1"/>
  <c r="AR144" i="1" s="1"/>
  <c r="AV142" i="1"/>
  <c r="AO145" i="1"/>
  <c r="AN145" i="1" s="1"/>
  <c r="FI146" i="1" l="1"/>
  <c r="BD145" i="1"/>
  <c r="FH147" i="1"/>
  <c r="FB147" i="1"/>
  <c r="EY148" i="1"/>
  <c r="FC148" i="1"/>
  <c r="FG148" i="1"/>
  <c r="EZ148" i="1"/>
  <c r="FD148" i="1"/>
  <c r="FA148" i="1"/>
  <c r="FE148" i="1"/>
  <c r="FF148" i="1"/>
  <c r="EX149" i="1"/>
  <c r="BQ145" i="1"/>
  <c r="O171" i="3"/>
  <c r="W171" i="3"/>
  <c r="AY171" i="3"/>
  <c r="AQ171" i="3"/>
  <c r="B171" i="3"/>
  <c r="BG171" i="3"/>
  <c r="AG170" i="3"/>
  <c r="AT144" i="1"/>
  <c r="AU144" i="1"/>
  <c r="AS144" i="1"/>
  <c r="AR145" i="1" a="1"/>
  <c r="AR145" i="1" s="1"/>
  <c r="AV143" i="1"/>
  <c r="AO146" i="1"/>
  <c r="AN146" i="1" s="1"/>
  <c r="FI147" i="1" l="1"/>
  <c r="BD146" i="1"/>
  <c r="EY149" i="1"/>
  <c r="FC149" i="1"/>
  <c r="FG149" i="1"/>
  <c r="EZ149" i="1"/>
  <c r="FD149" i="1"/>
  <c r="FA149" i="1"/>
  <c r="FE149" i="1"/>
  <c r="FF149" i="1"/>
  <c r="EX150" i="1"/>
  <c r="FH148" i="1"/>
  <c r="FB148" i="1"/>
  <c r="BQ146" i="1"/>
  <c r="BG172" i="3"/>
  <c r="W172" i="3"/>
  <c r="O172" i="3"/>
  <c r="AY172" i="3"/>
  <c r="AQ172" i="3"/>
  <c r="B172" i="3"/>
  <c r="AG171" i="3"/>
  <c r="AU145" i="1"/>
  <c r="AS145" i="1"/>
  <c r="AT145" i="1"/>
  <c r="AR146" i="1" a="1"/>
  <c r="AR146" i="1" s="1"/>
  <c r="AV144" i="1"/>
  <c r="AO147" i="1"/>
  <c r="AN147" i="1" s="1"/>
  <c r="FI148" i="1" l="1"/>
  <c r="BD147" i="1"/>
  <c r="FH149" i="1"/>
  <c r="FB149" i="1"/>
  <c r="EY150" i="1"/>
  <c r="FC150" i="1"/>
  <c r="FG150" i="1"/>
  <c r="EZ150" i="1"/>
  <c r="FD150" i="1"/>
  <c r="FA150" i="1"/>
  <c r="FE150" i="1"/>
  <c r="EX151" i="1"/>
  <c r="FF150" i="1"/>
  <c r="BQ147" i="1"/>
  <c r="AY173" i="3"/>
  <c r="W173" i="3"/>
  <c r="BG173" i="3"/>
  <c r="O173" i="3"/>
  <c r="AQ173" i="3"/>
  <c r="B173" i="3"/>
  <c r="AG172" i="3"/>
  <c r="AT146" i="1"/>
  <c r="AU146" i="1"/>
  <c r="AS146" i="1"/>
  <c r="AR147" i="1" a="1"/>
  <c r="AR147" i="1" s="1"/>
  <c r="AV145" i="1"/>
  <c r="AO148" i="1"/>
  <c r="AN148" i="1" s="1"/>
  <c r="FI149" i="1" l="1"/>
  <c r="BD148" i="1"/>
  <c r="FH150" i="1"/>
  <c r="FB150" i="1"/>
  <c r="EY151" i="1"/>
  <c r="FC151" i="1"/>
  <c r="FG151" i="1"/>
  <c r="EZ151" i="1"/>
  <c r="FD151" i="1"/>
  <c r="FA151" i="1"/>
  <c r="FE151" i="1"/>
  <c r="FF151" i="1"/>
  <c r="EX152" i="1"/>
  <c r="BQ148" i="1"/>
  <c r="AY174" i="3"/>
  <c r="BG174" i="3"/>
  <c r="O174" i="3"/>
  <c r="B174" i="3"/>
  <c r="AQ174" i="3"/>
  <c r="W174" i="3"/>
  <c r="AG173" i="3"/>
  <c r="AS147" i="1"/>
  <c r="AT147" i="1"/>
  <c r="AU147" i="1"/>
  <c r="AR148" i="1" a="1"/>
  <c r="AR148" i="1" s="1"/>
  <c r="AV146" i="1"/>
  <c r="AO149" i="1"/>
  <c r="AN149" i="1" s="1"/>
  <c r="FI150" i="1" l="1"/>
  <c r="BD149" i="1"/>
  <c r="FH151" i="1"/>
  <c r="FB151" i="1"/>
  <c r="EY152" i="1"/>
  <c r="FC152" i="1"/>
  <c r="FG152" i="1"/>
  <c r="EZ152" i="1"/>
  <c r="FD152" i="1"/>
  <c r="FA152" i="1"/>
  <c r="FE152" i="1"/>
  <c r="FF152" i="1"/>
  <c r="EX153" i="1"/>
  <c r="BQ149" i="1"/>
  <c r="AQ175" i="3"/>
  <c r="W175" i="3"/>
  <c r="AY175" i="3"/>
  <c r="O175" i="3"/>
  <c r="B175" i="3"/>
  <c r="BG175" i="3"/>
  <c r="AG174" i="3"/>
  <c r="AT148" i="1"/>
  <c r="AS148" i="1"/>
  <c r="AU148" i="1"/>
  <c r="AR149" i="1" a="1"/>
  <c r="AR149" i="1" s="1"/>
  <c r="AV147" i="1"/>
  <c r="AO150" i="1"/>
  <c r="AN150" i="1" s="1"/>
  <c r="FI151" i="1" l="1"/>
  <c r="BD150" i="1"/>
  <c r="EY153" i="1"/>
  <c r="FC153" i="1"/>
  <c r="FG153" i="1"/>
  <c r="EZ153" i="1"/>
  <c r="FD153" i="1"/>
  <c r="FA153" i="1"/>
  <c r="FE153" i="1"/>
  <c r="FF153" i="1"/>
  <c r="EX154" i="1"/>
  <c r="FH152" i="1"/>
  <c r="FB152" i="1"/>
  <c r="BQ150" i="1"/>
  <c r="BG176" i="3"/>
  <c r="O176" i="3"/>
  <c r="AQ176" i="3"/>
  <c r="AY176" i="3"/>
  <c r="W176" i="3"/>
  <c r="B176" i="3"/>
  <c r="AG175" i="3"/>
  <c r="AU149" i="1"/>
  <c r="AS149" i="1"/>
  <c r="AT149" i="1"/>
  <c r="AR150" i="1" a="1"/>
  <c r="AR150" i="1" s="1"/>
  <c r="AV148" i="1"/>
  <c r="AO151" i="1"/>
  <c r="AN151" i="1" s="1"/>
  <c r="FI152" i="1" l="1"/>
  <c r="BD151" i="1"/>
  <c r="FH153" i="1"/>
  <c r="FB153" i="1"/>
  <c r="EY154" i="1"/>
  <c r="FC154" i="1"/>
  <c r="FG154" i="1"/>
  <c r="EZ154" i="1"/>
  <c r="FD154" i="1"/>
  <c r="FA154" i="1"/>
  <c r="FE154" i="1"/>
  <c r="EX155" i="1"/>
  <c r="FF154" i="1"/>
  <c r="BQ151" i="1"/>
  <c r="O177" i="3"/>
  <c r="AQ177" i="3"/>
  <c r="BG177" i="3"/>
  <c r="B177" i="3"/>
  <c r="W177" i="3"/>
  <c r="AY177" i="3"/>
  <c r="AG176" i="3"/>
  <c r="AS150" i="1"/>
  <c r="AT150" i="1"/>
  <c r="AU150" i="1"/>
  <c r="AR151" i="1" a="1"/>
  <c r="AR151" i="1" s="1"/>
  <c r="AV149" i="1"/>
  <c r="AO152" i="1"/>
  <c r="AN152" i="1" s="1"/>
  <c r="FI153" i="1" l="1"/>
  <c r="BD152" i="1"/>
  <c r="FH154" i="1"/>
  <c r="FB154" i="1"/>
  <c r="EY155" i="1"/>
  <c r="FC155" i="1"/>
  <c r="FG155" i="1"/>
  <c r="EZ155" i="1"/>
  <c r="FD155" i="1"/>
  <c r="FA155" i="1"/>
  <c r="FE155" i="1"/>
  <c r="FF155" i="1"/>
  <c r="EX156" i="1"/>
  <c r="BQ152" i="1"/>
  <c r="W178" i="3"/>
  <c r="B178" i="3"/>
  <c r="BG178" i="3"/>
  <c r="AQ178" i="3"/>
  <c r="O178" i="3"/>
  <c r="AY178" i="3"/>
  <c r="AG177" i="3"/>
  <c r="AS151" i="1"/>
  <c r="AU151" i="1"/>
  <c r="AT151" i="1"/>
  <c r="AR152" i="1" a="1"/>
  <c r="AR152" i="1" s="1"/>
  <c r="AV150" i="1"/>
  <c r="AO153" i="1"/>
  <c r="AN153" i="1" s="1"/>
  <c r="FI154" i="1" l="1"/>
  <c r="BD153" i="1"/>
  <c r="FH155" i="1"/>
  <c r="FB155" i="1"/>
  <c r="EY156" i="1"/>
  <c r="FC156" i="1"/>
  <c r="FG156" i="1"/>
  <c r="EZ156" i="1"/>
  <c r="FA156" i="1"/>
  <c r="FE156" i="1"/>
  <c r="FD156" i="1"/>
  <c r="EX157" i="1"/>
  <c r="FF156" i="1"/>
  <c r="BQ153" i="1"/>
  <c r="AY179" i="3"/>
  <c r="W179" i="3"/>
  <c r="BG179" i="3"/>
  <c r="AQ179" i="3"/>
  <c r="O179" i="3"/>
  <c r="B179" i="3"/>
  <c r="AG178" i="3"/>
  <c r="AT152" i="1"/>
  <c r="AS152" i="1"/>
  <c r="AU152" i="1"/>
  <c r="AR153" i="1" a="1"/>
  <c r="AR153" i="1" s="1"/>
  <c r="AV151" i="1"/>
  <c r="AO154" i="1"/>
  <c r="AN154" i="1" s="1"/>
  <c r="FI155" i="1" l="1"/>
  <c r="BD154" i="1"/>
  <c r="FB156" i="1"/>
  <c r="FH156" i="1"/>
  <c r="EY157" i="1"/>
  <c r="FC157" i="1"/>
  <c r="FG157" i="1"/>
  <c r="FD157" i="1"/>
  <c r="EZ157" i="1"/>
  <c r="FE157" i="1"/>
  <c r="EX158" i="1"/>
  <c r="FF157" i="1"/>
  <c r="FA157" i="1"/>
  <c r="BQ154" i="1"/>
  <c r="B180" i="3"/>
  <c r="AQ180" i="3"/>
  <c r="W180" i="3"/>
  <c r="AY180" i="3"/>
  <c r="BG180" i="3"/>
  <c r="O180" i="3"/>
  <c r="AG179" i="3"/>
  <c r="AU153" i="1"/>
  <c r="AT153" i="1"/>
  <c r="AS153" i="1"/>
  <c r="AR154" i="1" a="1"/>
  <c r="AR154" i="1" s="1"/>
  <c r="AV152" i="1"/>
  <c r="AO155" i="1"/>
  <c r="AN155" i="1" s="1"/>
  <c r="FI156" i="1" l="1"/>
  <c r="BD155" i="1"/>
  <c r="FB157" i="1"/>
  <c r="FH157" i="1"/>
  <c r="EY158" i="1"/>
  <c r="FC158" i="1"/>
  <c r="FG158" i="1"/>
  <c r="FA158" i="1"/>
  <c r="FF158" i="1"/>
  <c r="FD158" i="1"/>
  <c r="FE158" i="1"/>
  <c r="EX159" i="1"/>
  <c r="EZ158" i="1"/>
  <c r="BQ155" i="1"/>
  <c r="AY181" i="3"/>
  <c r="W181" i="3"/>
  <c r="B181" i="3"/>
  <c r="AQ181" i="3"/>
  <c r="O181" i="3"/>
  <c r="BG181" i="3"/>
  <c r="AG180" i="3"/>
  <c r="AS154" i="1"/>
  <c r="AT154" i="1"/>
  <c r="AU154" i="1"/>
  <c r="AR155" i="1" a="1"/>
  <c r="AR155" i="1" s="1"/>
  <c r="AV153" i="1"/>
  <c r="AO156" i="1"/>
  <c r="AN156" i="1" s="1"/>
  <c r="FI157" i="1" l="1"/>
  <c r="BD156" i="1"/>
  <c r="EY159" i="1"/>
  <c r="FC159" i="1"/>
  <c r="FG159" i="1"/>
  <c r="EZ159" i="1"/>
  <c r="FE159" i="1"/>
  <c r="EX160" i="1"/>
  <c r="FA159" i="1"/>
  <c r="FF159" i="1"/>
  <c r="FD159" i="1"/>
  <c r="FB158" i="1"/>
  <c r="FH158" i="1"/>
  <c r="BQ156" i="1"/>
  <c r="AY182" i="3"/>
  <c r="W182" i="3"/>
  <c r="B182" i="3"/>
  <c r="BG182" i="3"/>
  <c r="AQ182" i="3"/>
  <c r="O182" i="3"/>
  <c r="AG181" i="3"/>
  <c r="AS155" i="1"/>
  <c r="AT155" i="1"/>
  <c r="AU155" i="1"/>
  <c r="AR156" i="1" a="1"/>
  <c r="AR156" i="1" s="1"/>
  <c r="AV154" i="1"/>
  <c r="AO157" i="1"/>
  <c r="AN157" i="1" s="1"/>
  <c r="FI158" i="1" l="1"/>
  <c r="BD157" i="1"/>
  <c r="FB159" i="1"/>
  <c r="FH159" i="1"/>
  <c r="EY160" i="1"/>
  <c r="FC160" i="1"/>
  <c r="FG160" i="1"/>
  <c r="FD160" i="1"/>
  <c r="EZ160" i="1"/>
  <c r="FE160" i="1"/>
  <c r="EX161" i="1"/>
  <c r="FA160" i="1"/>
  <c r="FF160" i="1"/>
  <c r="BQ157" i="1"/>
  <c r="AY183" i="3"/>
  <c r="W183" i="3"/>
  <c r="BG183" i="3"/>
  <c r="AQ183" i="3"/>
  <c r="O183" i="3"/>
  <c r="B183" i="3"/>
  <c r="AG182" i="3"/>
  <c r="AT156" i="1"/>
  <c r="AS156" i="1"/>
  <c r="AU156" i="1"/>
  <c r="AR157" i="1" a="1"/>
  <c r="AR157" i="1" s="1"/>
  <c r="AV155" i="1"/>
  <c r="AO158" i="1"/>
  <c r="AN158" i="1" s="1"/>
  <c r="FI159" i="1" l="1"/>
  <c r="BD158" i="1"/>
  <c r="FB160" i="1"/>
  <c r="FH160" i="1"/>
  <c r="EY161" i="1"/>
  <c r="FC161" i="1"/>
  <c r="FG161" i="1"/>
  <c r="FD161" i="1"/>
  <c r="EZ161" i="1"/>
  <c r="FE161" i="1"/>
  <c r="EX162" i="1"/>
  <c r="FA161" i="1"/>
  <c r="FF161" i="1"/>
  <c r="BQ158" i="1"/>
  <c r="BG184" i="3"/>
  <c r="AY184" i="3"/>
  <c r="B184" i="3"/>
  <c r="O184" i="3"/>
  <c r="AQ184" i="3"/>
  <c r="W184" i="3"/>
  <c r="AG183" i="3"/>
  <c r="AU157" i="1"/>
  <c r="AS157" i="1"/>
  <c r="AT157" i="1"/>
  <c r="AR158" i="1" a="1"/>
  <c r="AR158" i="1" s="1"/>
  <c r="AV156" i="1"/>
  <c r="AO159" i="1"/>
  <c r="AN159" i="1" s="1"/>
  <c r="FI160" i="1" l="1"/>
  <c r="BD159" i="1"/>
  <c r="FB161" i="1"/>
  <c r="FH161" i="1"/>
  <c r="EY162" i="1"/>
  <c r="FC162" i="1"/>
  <c r="FG162" i="1"/>
  <c r="FA162" i="1"/>
  <c r="FF162" i="1"/>
  <c r="FD162" i="1"/>
  <c r="EX163" i="1"/>
  <c r="EZ162" i="1"/>
  <c r="FE162" i="1"/>
  <c r="BQ159" i="1"/>
  <c r="AY185" i="3"/>
  <c r="BG185" i="3"/>
  <c r="W185" i="3"/>
  <c r="AQ185" i="3"/>
  <c r="B185" i="3"/>
  <c r="O185" i="3"/>
  <c r="AG184" i="3"/>
  <c r="AU158" i="1"/>
  <c r="AS158" i="1"/>
  <c r="AT158" i="1"/>
  <c r="AR159" i="1" a="1"/>
  <c r="AR159" i="1" s="1"/>
  <c r="AV157" i="1"/>
  <c r="AO160" i="1"/>
  <c r="AN160" i="1" s="1"/>
  <c r="FI161" i="1" l="1"/>
  <c r="BD160" i="1"/>
  <c r="FB162" i="1"/>
  <c r="FI162" i="1" s="1"/>
  <c r="FH162" i="1"/>
  <c r="EY163" i="1"/>
  <c r="FC163" i="1"/>
  <c r="FG163" i="1"/>
  <c r="EZ163" i="1"/>
  <c r="FE163" i="1"/>
  <c r="EX164" i="1"/>
  <c r="FA163" i="1"/>
  <c r="FF163" i="1"/>
  <c r="FD163" i="1"/>
  <c r="BQ160" i="1"/>
  <c r="B186" i="3"/>
  <c r="BG186" i="3"/>
  <c r="AQ186" i="3"/>
  <c r="O186" i="3"/>
  <c r="AY186" i="3"/>
  <c r="W186" i="3"/>
  <c r="AG185" i="3"/>
  <c r="AS159" i="1"/>
  <c r="AT159" i="1"/>
  <c r="AU159" i="1"/>
  <c r="AR160" i="1" a="1"/>
  <c r="AR160" i="1" s="1"/>
  <c r="AV158" i="1"/>
  <c r="AO161" i="1"/>
  <c r="AN161" i="1" s="1"/>
  <c r="BD161" i="1" l="1"/>
  <c r="EY164" i="1"/>
  <c r="FC164" i="1"/>
  <c r="FG164" i="1"/>
  <c r="FD164" i="1"/>
  <c r="EZ164" i="1"/>
  <c r="FE164" i="1"/>
  <c r="EX165" i="1"/>
  <c r="FA164" i="1"/>
  <c r="FF164" i="1"/>
  <c r="FB163" i="1"/>
  <c r="FI163" i="1" s="1"/>
  <c r="FH163" i="1"/>
  <c r="BQ161" i="1"/>
  <c r="AG186" i="3"/>
  <c r="AT160" i="1"/>
  <c r="AU160" i="1"/>
  <c r="AS160" i="1"/>
  <c r="AR161" i="1" a="1"/>
  <c r="AR161" i="1" s="1"/>
  <c r="AV159" i="1"/>
  <c r="AO162" i="1"/>
  <c r="AN162" i="1" s="1"/>
  <c r="BD162" i="1" l="1"/>
  <c r="FH164" i="1"/>
  <c r="FB164" i="1"/>
  <c r="FI164" i="1" s="1"/>
  <c r="EY165" i="1"/>
  <c r="FC165" i="1"/>
  <c r="FG165" i="1"/>
  <c r="FD165" i="1"/>
  <c r="EZ165" i="1"/>
  <c r="FE165" i="1"/>
  <c r="EX166" i="1"/>
  <c r="FF165" i="1"/>
  <c r="FA165" i="1"/>
  <c r="D108" i="1"/>
  <c r="E108" i="1"/>
  <c r="BQ162" i="1"/>
  <c r="AU161" i="1"/>
  <c r="AS161" i="1"/>
  <c r="AT161" i="1"/>
  <c r="AR162" i="1" a="1"/>
  <c r="AR162" i="1" s="1"/>
  <c r="AV160" i="1"/>
  <c r="AO163" i="1"/>
  <c r="AN163" i="1" s="1"/>
  <c r="BD163" i="1" l="1"/>
  <c r="FB165" i="1"/>
  <c r="FI165" i="1" s="1"/>
  <c r="FH165" i="1"/>
  <c r="EY166" i="1"/>
  <c r="FC166" i="1"/>
  <c r="FG166" i="1"/>
  <c r="FA166" i="1"/>
  <c r="FF166" i="1"/>
  <c r="FD166" i="1"/>
  <c r="FE166" i="1"/>
  <c r="EZ166" i="1"/>
  <c r="EX167" i="1"/>
  <c r="AI42" i="1"/>
  <c r="AG35" i="1" s="1"/>
  <c r="B109" i="1" s="1"/>
  <c r="BQ163" i="1"/>
  <c r="AT162" i="1"/>
  <c r="AU162" i="1"/>
  <c r="AS162" i="1"/>
  <c r="AR163" i="1" a="1"/>
  <c r="AR163" i="1" s="1"/>
  <c r="AV161" i="1"/>
  <c r="AO164" i="1"/>
  <c r="AN164" i="1" s="1"/>
  <c r="BD164" i="1" l="1"/>
  <c r="EY167" i="1"/>
  <c r="FC167" i="1"/>
  <c r="FG167" i="1"/>
  <c r="EZ167" i="1"/>
  <c r="FE167" i="1"/>
  <c r="EX168" i="1"/>
  <c r="FA167" i="1"/>
  <c r="FF167" i="1"/>
  <c r="FD167" i="1"/>
  <c r="FB166" i="1"/>
  <c r="FI166" i="1" s="1"/>
  <c r="FH166" i="1"/>
  <c r="BQ164" i="1"/>
  <c r="AS163" i="1"/>
  <c r="AT163" i="1"/>
  <c r="AU163" i="1"/>
  <c r="AR164" i="1" a="1"/>
  <c r="AR164" i="1" s="1"/>
  <c r="AV162" i="1"/>
  <c r="AO165" i="1"/>
  <c r="AN165" i="1" s="1"/>
  <c r="BD165" i="1" l="1"/>
  <c r="FB167" i="1"/>
  <c r="FI167" i="1" s="1"/>
  <c r="FH167" i="1"/>
  <c r="EY168" i="1"/>
  <c r="FC168" i="1"/>
  <c r="FG168" i="1"/>
  <c r="FD168" i="1"/>
  <c r="EZ168" i="1"/>
  <c r="FE168" i="1"/>
  <c r="EX169" i="1"/>
  <c r="FA168" i="1"/>
  <c r="FF168" i="1"/>
  <c r="BQ165" i="1"/>
  <c r="AT164" i="1"/>
  <c r="AS164" i="1"/>
  <c r="AU164" i="1"/>
  <c r="AR165" i="1" a="1"/>
  <c r="AR165" i="1" s="1"/>
  <c r="AV163" i="1"/>
  <c r="AO166" i="1"/>
  <c r="AN166" i="1" s="1"/>
  <c r="BD166" i="1" l="1"/>
  <c r="FB168" i="1"/>
  <c r="FI168" i="1" s="1"/>
  <c r="FH168" i="1"/>
  <c r="EY169" i="1"/>
  <c r="FC169" i="1"/>
  <c r="FG169" i="1"/>
  <c r="FD169" i="1"/>
  <c r="EZ169" i="1"/>
  <c r="FE169" i="1"/>
  <c r="EX170" i="1"/>
  <c r="FA169" i="1"/>
  <c r="FF169" i="1"/>
  <c r="BQ166" i="1"/>
  <c r="AU165" i="1"/>
  <c r="AS165" i="1"/>
  <c r="AT165" i="1"/>
  <c r="AR166" i="1" a="1"/>
  <c r="AR166" i="1" s="1"/>
  <c r="AV164" i="1"/>
  <c r="AO167" i="1"/>
  <c r="AN167" i="1" s="1"/>
  <c r="BD167" i="1" l="1"/>
  <c r="FB169" i="1"/>
  <c r="FI169" i="1" s="1"/>
  <c r="FH169" i="1"/>
  <c r="EY170" i="1"/>
  <c r="FC170" i="1"/>
  <c r="FG170" i="1"/>
  <c r="FA170" i="1"/>
  <c r="FF170" i="1"/>
  <c r="FD170" i="1"/>
  <c r="EZ170" i="1"/>
  <c r="FE170" i="1"/>
  <c r="EX171" i="1"/>
  <c r="BQ167" i="1"/>
  <c r="AS166" i="1"/>
  <c r="AT166" i="1"/>
  <c r="AU166" i="1"/>
  <c r="AR167" i="1" a="1"/>
  <c r="AR167" i="1" s="1"/>
  <c r="AV165" i="1"/>
  <c r="AO168" i="1"/>
  <c r="AN168" i="1" s="1"/>
  <c r="BD168" i="1" l="1"/>
  <c r="EY171" i="1"/>
  <c r="FC171" i="1"/>
  <c r="FG171" i="1"/>
  <c r="EZ171" i="1"/>
  <c r="FE171" i="1"/>
  <c r="EX172" i="1"/>
  <c r="FA171" i="1"/>
  <c r="FF171" i="1"/>
  <c r="FD171" i="1"/>
  <c r="FB170" i="1"/>
  <c r="FI170" i="1" s="1"/>
  <c r="FH170" i="1"/>
  <c r="BQ168" i="1"/>
  <c r="AS167" i="1"/>
  <c r="AU167" i="1"/>
  <c r="AT167" i="1"/>
  <c r="AR168" i="1" a="1"/>
  <c r="AR168" i="1" s="1"/>
  <c r="AV166" i="1"/>
  <c r="AO169" i="1"/>
  <c r="AN169" i="1" s="1"/>
  <c r="BD169" i="1" l="1"/>
  <c r="FB171" i="1"/>
  <c r="FI171" i="1" s="1"/>
  <c r="FH171" i="1"/>
  <c r="EY172" i="1"/>
  <c r="FC172" i="1"/>
  <c r="FG172" i="1"/>
  <c r="FD172" i="1"/>
  <c r="EZ172" i="1"/>
  <c r="FE172" i="1"/>
  <c r="EX173" i="1"/>
  <c r="FA172" i="1"/>
  <c r="FF172" i="1"/>
  <c r="BQ169" i="1"/>
  <c r="AT168" i="1"/>
  <c r="AS168" i="1"/>
  <c r="AU168" i="1"/>
  <c r="AR169" i="1" a="1"/>
  <c r="AR169" i="1" s="1"/>
  <c r="AV167" i="1"/>
  <c r="AO170" i="1"/>
  <c r="AN170" i="1" s="1"/>
  <c r="BD170" i="1" l="1"/>
  <c r="FH172" i="1"/>
  <c r="FB172" i="1"/>
  <c r="FI172" i="1" s="1"/>
  <c r="EY173" i="1"/>
  <c r="FC173" i="1"/>
  <c r="FG173" i="1"/>
  <c r="FD173" i="1"/>
  <c r="EZ173" i="1"/>
  <c r="FE173" i="1"/>
  <c r="EX174" i="1"/>
  <c r="FF173" i="1"/>
  <c r="FA173" i="1"/>
  <c r="BQ170" i="1"/>
  <c r="AU169" i="1"/>
  <c r="AT169" i="1"/>
  <c r="AS169" i="1"/>
  <c r="AR170" i="1" a="1"/>
  <c r="AR170" i="1" s="1"/>
  <c r="AV168" i="1"/>
  <c r="AO171" i="1"/>
  <c r="AN171" i="1" s="1"/>
  <c r="BD171" i="1" l="1"/>
  <c r="FB173" i="1"/>
  <c r="FI173" i="1" s="1"/>
  <c r="FH173" i="1"/>
  <c r="EZ174" i="1"/>
  <c r="FD174" i="1"/>
  <c r="FA174" i="1"/>
  <c r="FE174" i="1"/>
  <c r="FF174" i="1"/>
  <c r="EX175" i="1"/>
  <c r="EY174" i="1"/>
  <c r="FC174" i="1"/>
  <c r="FG174" i="1"/>
  <c r="BQ171" i="1"/>
  <c r="AS170" i="1"/>
  <c r="AT170" i="1"/>
  <c r="AU170" i="1"/>
  <c r="AR171" i="1" a="1"/>
  <c r="AR171" i="1" s="1"/>
  <c r="AV169" i="1"/>
  <c r="AO172" i="1"/>
  <c r="AN172" i="1" s="1"/>
  <c r="BD172" i="1" l="1"/>
  <c r="EZ175" i="1"/>
  <c r="FD175" i="1"/>
  <c r="FA175" i="1"/>
  <c r="FE175" i="1"/>
  <c r="FF175" i="1"/>
  <c r="EX176" i="1"/>
  <c r="EY175" i="1"/>
  <c r="FC175" i="1"/>
  <c r="FG175" i="1"/>
  <c r="FH174" i="1"/>
  <c r="FB174" i="1"/>
  <c r="FI174" i="1" s="1"/>
  <c r="BQ172" i="1"/>
  <c r="AS171" i="1"/>
  <c r="AU171" i="1"/>
  <c r="AT171" i="1"/>
  <c r="AR172" i="1" a="1"/>
  <c r="AR172" i="1" s="1"/>
  <c r="AV170" i="1"/>
  <c r="AO173" i="1"/>
  <c r="AN173" i="1" s="1"/>
  <c r="BD173" i="1" l="1"/>
  <c r="FH175" i="1"/>
  <c r="FB175" i="1"/>
  <c r="FI175" i="1" s="1"/>
  <c r="EZ176" i="1"/>
  <c r="FD176" i="1"/>
  <c r="FA176" i="1"/>
  <c r="FE176" i="1"/>
  <c r="FF176" i="1"/>
  <c r="EX177" i="1"/>
  <c r="FC176" i="1"/>
  <c r="EY176" i="1"/>
  <c r="FG176" i="1"/>
  <c r="BQ173" i="1"/>
  <c r="AT172" i="1"/>
  <c r="AU172" i="1"/>
  <c r="AS172" i="1"/>
  <c r="AR173" i="1" a="1"/>
  <c r="AR173" i="1" s="1"/>
  <c r="AV171" i="1"/>
  <c r="AO174" i="1"/>
  <c r="AN174" i="1" s="1"/>
  <c r="BD174" i="1" l="1"/>
  <c r="EZ177" i="1"/>
  <c r="FD177" i="1"/>
  <c r="FA177" i="1"/>
  <c r="FE177" i="1"/>
  <c r="FF177" i="1"/>
  <c r="EX178" i="1"/>
  <c r="FG177" i="1"/>
  <c r="EY177" i="1"/>
  <c r="FC177" i="1"/>
  <c r="FH176" i="1"/>
  <c r="FB176" i="1"/>
  <c r="FI176" i="1" s="1"/>
  <c r="BQ174" i="1"/>
  <c r="AU173" i="1"/>
  <c r="AT173" i="1"/>
  <c r="AS173" i="1"/>
  <c r="AR174" i="1" a="1"/>
  <c r="AR174" i="1" s="1"/>
  <c r="AV172" i="1"/>
  <c r="AO175" i="1"/>
  <c r="AN175" i="1" s="1"/>
  <c r="BD175" i="1" l="1"/>
  <c r="FH177" i="1"/>
  <c r="FB177" i="1"/>
  <c r="FI177" i="1" s="1"/>
  <c r="EZ178" i="1"/>
  <c r="FD178" i="1"/>
  <c r="FA178" i="1"/>
  <c r="FE178" i="1"/>
  <c r="FF178" i="1"/>
  <c r="EX179" i="1"/>
  <c r="FC178" i="1"/>
  <c r="FG178" i="1"/>
  <c r="EY178" i="1"/>
  <c r="BQ175" i="1"/>
  <c r="AU174" i="1"/>
  <c r="AS174" i="1"/>
  <c r="AT174" i="1"/>
  <c r="AR175" i="1" a="1"/>
  <c r="AR175" i="1" s="1"/>
  <c r="AV173" i="1"/>
  <c r="AO176" i="1"/>
  <c r="AN176" i="1" s="1"/>
  <c r="BD176" i="1" l="1"/>
  <c r="EZ179" i="1"/>
  <c r="FD179" i="1"/>
  <c r="FA179" i="1"/>
  <c r="FE179" i="1"/>
  <c r="FF179" i="1"/>
  <c r="EX180" i="1"/>
  <c r="EY179" i="1"/>
  <c r="FC179" i="1"/>
  <c r="FG179" i="1"/>
  <c r="FH178" i="1"/>
  <c r="FB178" i="1"/>
  <c r="FI178" i="1" s="1"/>
  <c r="BQ176" i="1"/>
  <c r="AS175" i="1"/>
  <c r="AT175" i="1"/>
  <c r="AU175" i="1"/>
  <c r="AR176" i="1" a="1"/>
  <c r="AR176" i="1" s="1"/>
  <c r="AV174" i="1"/>
  <c r="AO177" i="1"/>
  <c r="AN177" i="1" s="1"/>
  <c r="BD177" i="1" l="1"/>
  <c r="FH179" i="1"/>
  <c r="FB179" i="1"/>
  <c r="FI179" i="1" s="1"/>
  <c r="EZ180" i="1"/>
  <c r="FD180" i="1"/>
  <c r="FA180" i="1"/>
  <c r="FE180" i="1"/>
  <c r="FF180" i="1"/>
  <c r="EX181" i="1"/>
  <c r="FC180" i="1"/>
  <c r="FG180" i="1"/>
  <c r="EY180" i="1"/>
  <c r="BQ177" i="1"/>
  <c r="AT176" i="1"/>
  <c r="AS176" i="1"/>
  <c r="AU176" i="1"/>
  <c r="AR177" i="1" a="1"/>
  <c r="AR177" i="1" s="1"/>
  <c r="AV175" i="1"/>
  <c r="AO178" i="1"/>
  <c r="AN178" i="1" s="1"/>
  <c r="BD178" i="1" l="1"/>
  <c r="EZ181" i="1"/>
  <c r="FD181" i="1"/>
  <c r="FA181" i="1"/>
  <c r="FE181" i="1"/>
  <c r="FF181" i="1"/>
  <c r="EX182" i="1"/>
  <c r="FG181" i="1"/>
  <c r="FC181" i="1"/>
  <c r="EY181" i="1"/>
  <c r="FH180" i="1"/>
  <c r="FB180" i="1"/>
  <c r="FI180" i="1" s="1"/>
  <c r="BQ178" i="1"/>
  <c r="AU177" i="1"/>
  <c r="AS177" i="1"/>
  <c r="AT177" i="1"/>
  <c r="AR178" i="1" a="1"/>
  <c r="AR178" i="1" s="1"/>
  <c r="AV176" i="1"/>
  <c r="AO179" i="1"/>
  <c r="AN179" i="1" s="1"/>
  <c r="BD179" i="1" l="1"/>
  <c r="FH181" i="1"/>
  <c r="FB181" i="1"/>
  <c r="FI181" i="1" s="1"/>
  <c r="EZ182" i="1"/>
  <c r="FD182" i="1"/>
  <c r="FA182" i="1"/>
  <c r="FE182" i="1"/>
  <c r="FF182" i="1"/>
  <c r="EX183" i="1"/>
  <c r="FC182" i="1"/>
  <c r="EY182" i="1"/>
  <c r="FG182" i="1"/>
  <c r="BQ179" i="1"/>
  <c r="AU178" i="1"/>
  <c r="AS178" i="1"/>
  <c r="AT178" i="1"/>
  <c r="AR179" i="1" a="1"/>
  <c r="AR179" i="1" s="1"/>
  <c r="AV177" i="1"/>
  <c r="AO180" i="1"/>
  <c r="AN180" i="1" s="1"/>
  <c r="BD180" i="1" l="1"/>
  <c r="EZ183" i="1"/>
  <c r="FD183" i="1"/>
  <c r="FA183" i="1"/>
  <c r="FE183" i="1"/>
  <c r="FF183" i="1"/>
  <c r="EX184" i="1"/>
  <c r="EY183" i="1"/>
  <c r="FC183" i="1"/>
  <c r="FG183" i="1"/>
  <c r="FH182" i="1"/>
  <c r="FB182" i="1"/>
  <c r="FI182" i="1" s="1"/>
  <c r="BQ180" i="1"/>
  <c r="AS179" i="1"/>
  <c r="AU179" i="1"/>
  <c r="AT179" i="1"/>
  <c r="AR180" i="1" a="1"/>
  <c r="AR180" i="1" s="1"/>
  <c r="AV178" i="1"/>
  <c r="AO181" i="1"/>
  <c r="AN181" i="1" s="1"/>
  <c r="BD181" i="1" l="1"/>
  <c r="FH183" i="1"/>
  <c r="FB183" i="1"/>
  <c r="FI183" i="1" s="1"/>
  <c r="EZ184" i="1"/>
  <c r="FD184" i="1"/>
  <c r="FA184" i="1"/>
  <c r="FE184" i="1"/>
  <c r="FF184" i="1"/>
  <c r="EX185" i="1"/>
  <c r="FC184" i="1"/>
  <c r="EY184" i="1"/>
  <c r="FG184" i="1"/>
  <c r="BQ181" i="1"/>
  <c r="AT180" i="1"/>
  <c r="AU180" i="1"/>
  <c r="AS180" i="1"/>
  <c r="AR181" i="1" a="1"/>
  <c r="AR181" i="1" s="1"/>
  <c r="AV179" i="1"/>
  <c r="AO182" i="1"/>
  <c r="AN182" i="1" s="1"/>
  <c r="BD182" i="1" l="1"/>
  <c r="FH184" i="1"/>
  <c r="FB184" i="1"/>
  <c r="FI184" i="1" s="1"/>
  <c r="EZ185" i="1"/>
  <c r="FD185" i="1"/>
  <c r="FA185" i="1"/>
  <c r="FE185" i="1"/>
  <c r="FF185" i="1"/>
  <c r="EX186" i="1"/>
  <c r="FG185" i="1"/>
  <c r="EY185" i="1"/>
  <c r="FC185" i="1"/>
  <c r="BQ182" i="1"/>
  <c r="AU181" i="1"/>
  <c r="AS181" i="1"/>
  <c r="AT181" i="1"/>
  <c r="AR182" i="1" a="1"/>
  <c r="AR182" i="1" s="1"/>
  <c r="AV180" i="1"/>
  <c r="AO183" i="1"/>
  <c r="AN183" i="1" s="1"/>
  <c r="BD183" i="1" l="1"/>
  <c r="FH185" i="1"/>
  <c r="FB185" i="1"/>
  <c r="FI185" i="1" s="1"/>
  <c r="EZ186" i="1"/>
  <c r="FD186" i="1"/>
  <c r="FA186" i="1"/>
  <c r="FE186" i="1"/>
  <c r="FF186" i="1"/>
  <c r="EX187" i="1"/>
  <c r="FG186" i="1"/>
  <c r="EY186" i="1"/>
  <c r="FC186" i="1"/>
  <c r="BQ183" i="1"/>
  <c r="AT182" i="1"/>
  <c r="AS182" i="1"/>
  <c r="AU182" i="1"/>
  <c r="AR183" i="1" a="1"/>
  <c r="AR183" i="1" s="1"/>
  <c r="AV181" i="1"/>
  <c r="AO184" i="1"/>
  <c r="AN184" i="1" s="1"/>
  <c r="BD184" i="1" l="1"/>
  <c r="EZ187" i="1"/>
  <c r="FD187" i="1"/>
  <c r="FA187" i="1"/>
  <c r="FE187" i="1"/>
  <c r="FF187" i="1"/>
  <c r="EX188" i="1"/>
  <c r="EY187" i="1"/>
  <c r="FG187" i="1"/>
  <c r="FC187" i="1"/>
  <c r="FH186" i="1"/>
  <c r="FB186" i="1"/>
  <c r="FI186" i="1" s="1"/>
  <c r="BQ184" i="1"/>
  <c r="AS183" i="1"/>
  <c r="AT183" i="1"/>
  <c r="AU183" i="1"/>
  <c r="AR184" i="1" a="1"/>
  <c r="AR184" i="1" s="1"/>
  <c r="AV182" i="1"/>
  <c r="AO185" i="1"/>
  <c r="AN185" i="1" s="1"/>
  <c r="BD185" i="1" l="1"/>
  <c r="FH187" i="1"/>
  <c r="FB187" i="1"/>
  <c r="FI187" i="1" s="1"/>
  <c r="EZ188" i="1"/>
  <c r="FD188" i="1"/>
  <c r="FA188" i="1"/>
  <c r="FE188" i="1"/>
  <c r="FF188" i="1"/>
  <c r="EX189" i="1"/>
  <c r="FC188" i="1"/>
  <c r="FG188" i="1"/>
  <c r="EY188" i="1"/>
  <c r="BQ185" i="1"/>
  <c r="AS184" i="1"/>
  <c r="AT184" i="1"/>
  <c r="AU184" i="1"/>
  <c r="AR185" i="1" a="1"/>
  <c r="AR185" i="1" s="1"/>
  <c r="AV183" i="1"/>
  <c r="AO186" i="1"/>
  <c r="AN186" i="1" s="1"/>
  <c r="BD186" i="1" l="1"/>
  <c r="EZ189" i="1"/>
  <c r="FD189" i="1"/>
  <c r="FA189" i="1"/>
  <c r="FE189" i="1"/>
  <c r="FF189" i="1"/>
  <c r="EX190" i="1"/>
  <c r="FG189" i="1"/>
  <c r="FC189" i="1"/>
  <c r="EY189" i="1"/>
  <c r="FH188" i="1"/>
  <c r="FB188" i="1"/>
  <c r="FI188" i="1" s="1"/>
  <c r="BQ186" i="1"/>
  <c r="AT185" i="1"/>
  <c r="AS185" i="1"/>
  <c r="AU185" i="1"/>
  <c r="AR186" i="1" a="1"/>
  <c r="AR186" i="1" s="1"/>
  <c r="AV184" i="1"/>
  <c r="AO187" i="1"/>
  <c r="AN187" i="1" s="1"/>
  <c r="BD187" i="1" l="1"/>
  <c r="FH189" i="1"/>
  <c r="FB189" i="1"/>
  <c r="FI189" i="1" s="1"/>
  <c r="EZ190" i="1"/>
  <c r="FD190" i="1"/>
  <c r="FA190" i="1"/>
  <c r="FE190" i="1"/>
  <c r="FF190" i="1"/>
  <c r="EX191" i="1"/>
  <c r="FC190" i="1"/>
  <c r="EY190" i="1"/>
  <c r="FG190" i="1"/>
  <c r="BQ187" i="1"/>
  <c r="AU186" i="1"/>
  <c r="AS186" i="1"/>
  <c r="AT186" i="1"/>
  <c r="AR187" i="1" a="1"/>
  <c r="AR187" i="1" s="1"/>
  <c r="AV185" i="1"/>
  <c r="AO188" i="1"/>
  <c r="AN188" i="1" s="1"/>
  <c r="BD188" i="1" l="1"/>
  <c r="EZ191" i="1"/>
  <c r="FD191" i="1"/>
  <c r="FA191" i="1"/>
  <c r="FE191" i="1"/>
  <c r="FF191" i="1"/>
  <c r="EX192" i="1"/>
  <c r="EY191" i="1"/>
  <c r="FC191" i="1"/>
  <c r="FG191" i="1"/>
  <c r="FH190" i="1"/>
  <c r="FB190" i="1"/>
  <c r="FI190" i="1" s="1"/>
  <c r="BQ188" i="1"/>
  <c r="AU187" i="1"/>
  <c r="AS187" i="1"/>
  <c r="AT187" i="1"/>
  <c r="AR188" i="1" a="1"/>
  <c r="AR188" i="1" s="1"/>
  <c r="AV186" i="1"/>
  <c r="AO189" i="1"/>
  <c r="AN189" i="1" s="1"/>
  <c r="BD189" i="1" l="1"/>
  <c r="FH191" i="1"/>
  <c r="FB191" i="1"/>
  <c r="FI191" i="1" s="1"/>
  <c r="EZ192" i="1"/>
  <c r="FD192" i="1"/>
  <c r="FA192" i="1"/>
  <c r="FE192" i="1"/>
  <c r="FF192" i="1"/>
  <c r="EX193" i="1"/>
  <c r="FC192" i="1"/>
  <c r="EY192" i="1"/>
  <c r="FG192" i="1"/>
  <c r="BQ189" i="1"/>
  <c r="AS188" i="1"/>
  <c r="AT188" i="1"/>
  <c r="AU188" i="1"/>
  <c r="AR189" i="1" a="1"/>
  <c r="AR189" i="1" s="1"/>
  <c r="AV187" i="1"/>
  <c r="AO190" i="1"/>
  <c r="AN190" i="1" s="1"/>
  <c r="BD190" i="1" l="1"/>
  <c r="EZ193" i="1"/>
  <c r="FD193" i="1"/>
  <c r="FA193" i="1"/>
  <c r="FE193" i="1"/>
  <c r="FF193" i="1"/>
  <c r="EX194" i="1"/>
  <c r="FG193" i="1"/>
  <c r="EY193" i="1"/>
  <c r="FC193" i="1"/>
  <c r="FH192" i="1"/>
  <c r="FB192" i="1"/>
  <c r="FI192" i="1" s="1"/>
  <c r="BQ190" i="1"/>
  <c r="AT189" i="1"/>
  <c r="AU189" i="1"/>
  <c r="AS189" i="1"/>
  <c r="AR190" i="1" a="1"/>
  <c r="AR190" i="1" s="1"/>
  <c r="AV188" i="1"/>
  <c r="AO191" i="1"/>
  <c r="AN191" i="1" s="1"/>
  <c r="BD191" i="1" l="1"/>
  <c r="FH193" i="1"/>
  <c r="FB193" i="1"/>
  <c r="FI193" i="1" s="1"/>
  <c r="EZ194" i="1"/>
  <c r="FD194" i="1"/>
  <c r="FA194" i="1"/>
  <c r="FE194" i="1"/>
  <c r="FF194" i="1"/>
  <c r="EX195" i="1"/>
  <c r="FG194" i="1"/>
  <c r="EY194" i="1"/>
  <c r="FC194" i="1"/>
  <c r="BQ191" i="1"/>
  <c r="AU190" i="1"/>
  <c r="AS190" i="1"/>
  <c r="AT190" i="1"/>
  <c r="AR191" i="1" a="1"/>
  <c r="AR191" i="1" s="1"/>
  <c r="AV189" i="1"/>
  <c r="AO192" i="1"/>
  <c r="AN192" i="1" s="1"/>
  <c r="BD192" i="1" l="1"/>
  <c r="EZ195" i="1"/>
  <c r="FD195" i="1"/>
  <c r="FA195" i="1"/>
  <c r="FE195" i="1"/>
  <c r="FF195" i="1"/>
  <c r="EX196" i="1"/>
  <c r="EY195" i="1"/>
  <c r="FG195" i="1"/>
  <c r="FC195" i="1"/>
  <c r="FH194" i="1"/>
  <c r="FB194" i="1"/>
  <c r="FI194" i="1" s="1"/>
  <c r="BQ192" i="1"/>
  <c r="AT191" i="1"/>
  <c r="AU191" i="1"/>
  <c r="AS191" i="1"/>
  <c r="AR192" i="1" a="1"/>
  <c r="AR192" i="1" s="1"/>
  <c r="AV190" i="1"/>
  <c r="AO193" i="1"/>
  <c r="AN193" i="1" s="1"/>
  <c r="BD193" i="1" l="1"/>
  <c r="FH195" i="1"/>
  <c r="FB195" i="1"/>
  <c r="FI195" i="1" s="1"/>
  <c r="EZ196" i="1"/>
  <c r="FD196" i="1"/>
  <c r="FA196" i="1"/>
  <c r="FE196" i="1"/>
  <c r="FF196" i="1"/>
  <c r="EX197" i="1"/>
  <c r="FC196" i="1"/>
  <c r="FG196" i="1"/>
  <c r="EY196" i="1"/>
  <c r="BQ193" i="1"/>
  <c r="AS192" i="1"/>
  <c r="AT192" i="1"/>
  <c r="AU192" i="1"/>
  <c r="AR193" i="1" a="1"/>
  <c r="AR193" i="1" s="1"/>
  <c r="AV191" i="1"/>
  <c r="AO194" i="1"/>
  <c r="AN194" i="1" s="1"/>
  <c r="BD194" i="1" l="1"/>
  <c r="EZ197" i="1"/>
  <c r="FD197" i="1"/>
  <c r="FA197" i="1"/>
  <c r="FE197" i="1"/>
  <c r="FF197" i="1"/>
  <c r="EX198" i="1"/>
  <c r="FG197" i="1"/>
  <c r="FC197" i="1"/>
  <c r="EY197" i="1"/>
  <c r="FH196" i="1"/>
  <c r="FB196" i="1"/>
  <c r="FI196" i="1" s="1"/>
  <c r="BQ194" i="1"/>
  <c r="AT193" i="1"/>
  <c r="AS193" i="1"/>
  <c r="AU193" i="1"/>
  <c r="AR194" i="1" a="1"/>
  <c r="AR194" i="1" s="1"/>
  <c r="AV192" i="1"/>
  <c r="AO195" i="1"/>
  <c r="AN195" i="1" s="1"/>
  <c r="BD195" i="1" l="1"/>
  <c r="FH197" i="1"/>
  <c r="FB197" i="1"/>
  <c r="FI197" i="1" s="1"/>
  <c r="EZ198" i="1"/>
  <c r="FD198" i="1"/>
  <c r="FA198" i="1"/>
  <c r="FE198" i="1"/>
  <c r="FF198" i="1"/>
  <c r="EX199" i="1"/>
  <c r="FC198" i="1"/>
  <c r="EY198" i="1"/>
  <c r="FG198" i="1"/>
  <c r="BQ195" i="1"/>
  <c r="AU194" i="1"/>
  <c r="AS194" i="1"/>
  <c r="AT194" i="1"/>
  <c r="AR195" i="1" a="1"/>
  <c r="AR195" i="1" s="1"/>
  <c r="AV193" i="1"/>
  <c r="AO196" i="1"/>
  <c r="AN196" i="1" s="1"/>
  <c r="BD196" i="1" l="1"/>
  <c r="EZ199" i="1"/>
  <c r="FD199" i="1"/>
  <c r="FA199" i="1"/>
  <c r="FE199" i="1"/>
  <c r="FF199" i="1"/>
  <c r="EX200" i="1"/>
  <c r="EY199" i="1"/>
  <c r="FC199" i="1"/>
  <c r="FG199" i="1"/>
  <c r="FH198" i="1"/>
  <c r="FB198" i="1"/>
  <c r="FI198" i="1" s="1"/>
  <c r="BQ196" i="1"/>
  <c r="AS195" i="1"/>
  <c r="AT195" i="1"/>
  <c r="AU195" i="1"/>
  <c r="AR196" i="1" a="1"/>
  <c r="AR196" i="1" s="1"/>
  <c r="AV194" i="1"/>
  <c r="AO197" i="1"/>
  <c r="AN197" i="1" s="1"/>
  <c r="BD197" i="1" l="1"/>
  <c r="FH199" i="1"/>
  <c r="FB199" i="1"/>
  <c r="FI199" i="1" s="1"/>
  <c r="EZ200" i="1"/>
  <c r="FD200" i="1"/>
  <c r="FA200" i="1"/>
  <c r="FE200" i="1"/>
  <c r="FF200" i="1"/>
  <c r="EX201" i="1"/>
  <c r="FC200" i="1"/>
  <c r="EY200" i="1"/>
  <c r="FG200" i="1"/>
  <c r="BQ197" i="1"/>
  <c r="AS196" i="1"/>
  <c r="AU196" i="1"/>
  <c r="AT196" i="1"/>
  <c r="AR197" i="1" a="1"/>
  <c r="AR197" i="1" s="1"/>
  <c r="AV195" i="1"/>
  <c r="AO198" i="1"/>
  <c r="AN198" i="1" s="1"/>
  <c r="BD198" i="1" l="1"/>
  <c r="EZ201" i="1"/>
  <c r="FD201" i="1"/>
  <c r="FA201" i="1"/>
  <c r="FE201" i="1"/>
  <c r="FF201" i="1"/>
  <c r="EX202" i="1"/>
  <c r="FG201" i="1"/>
  <c r="EY201" i="1"/>
  <c r="FC201" i="1"/>
  <c r="FH200" i="1"/>
  <c r="FB200" i="1"/>
  <c r="FI200" i="1" s="1"/>
  <c r="BQ198" i="1"/>
  <c r="AT197" i="1"/>
  <c r="AS197" i="1"/>
  <c r="AU197" i="1"/>
  <c r="AR198" i="1" a="1"/>
  <c r="AR198" i="1" s="1"/>
  <c r="AV196" i="1"/>
  <c r="AO199" i="1"/>
  <c r="AN199" i="1" s="1"/>
  <c r="BD199" i="1" l="1"/>
  <c r="FH201" i="1"/>
  <c r="FB201" i="1"/>
  <c r="FI201" i="1" s="1"/>
  <c r="EZ202" i="1"/>
  <c r="FD202" i="1"/>
  <c r="FA202" i="1"/>
  <c r="FE202" i="1"/>
  <c r="FF202" i="1"/>
  <c r="EX203" i="1"/>
  <c r="FG202" i="1"/>
  <c r="EY202" i="1"/>
  <c r="FC202" i="1"/>
  <c r="BQ199" i="1"/>
  <c r="AU198" i="1"/>
  <c r="AT198" i="1"/>
  <c r="AS198" i="1"/>
  <c r="AR199" i="1" a="1"/>
  <c r="AR199" i="1" s="1"/>
  <c r="AV197" i="1"/>
  <c r="AO200" i="1"/>
  <c r="AN200" i="1" s="1"/>
  <c r="BD200" i="1" l="1"/>
  <c r="EZ203" i="1"/>
  <c r="FD203" i="1"/>
  <c r="FA203" i="1"/>
  <c r="FF203" i="1"/>
  <c r="EX204" i="1"/>
  <c r="EY203" i="1"/>
  <c r="FE203" i="1"/>
  <c r="FC203" i="1"/>
  <c r="FG203" i="1"/>
  <c r="FH202" i="1"/>
  <c r="FB202" i="1"/>
  <c r="FI202" i="1" s="1"/>
  <c r="BQ200" i="1"/>
  <c r="AS199" i="1"/>
  <c r="AT199" i="1"/>
  <c r="AU199" i="1"/>
  <c r="AR200" i="1" a="1"/>
  <c r="AR200" i="1" s="1"/>
  <c r="AV198" i="1"/>
  <c r="AO201" i="1"/>
  <c r="AN201" i="1" s="1"/>
  <c r="BD201" i="1" l="1"/>
  <c r="FB203" i="1"/>
  <c r="FI203" i="1" s="1"/>
  <c r="FH203" i="1"/>
  <c r="FF204" i="1"/>
  <c r="EX205" i="1"/>
  <c r="FA204" i="1"/>
  <c r="FG204" i="1"/>
  <c r="FD204" i="1"/>
  <c r="EZ204" i="1"/>
  <c r="FC204" i="1"/>
  <c r="EY204" i="1"/>
  <c r="FE204" i="1"/>
  <c r="BQ201" i="1"/>
  <c r="AS200" i="1"/>
  <c r="AT200" i="1"/>
  <c r="AU200" i="1"/>
  <c r="AR201" i="1" a="1"/>
  <c r="AR201" i="1" s="1"/>
  <c r="AV199" i="1"/>
  <c r="AO202" i="1"/>
  <c r="AN202" i="1" s="1"/>
  <c r="BD202" i="1" l="1"/>
  <c r="FF205" i="1"/>
  <c r="EX206" i="1"/>
  <c r="EZ205" i="1"/>
  <c r="FE205" i="1"/>
  <c r="FC205" i="1"/>
  <c r="FD205" i="1"/>
  <c r="FA205" i="1"/>
  <c r="FG205" i="1"/>
  <c r="EY205" i="1"/>
  <c r="FB204" i="1"/>
  <c r="FI204" i="1" s="1"/>
  <c r="FH204" i="1"/>
  <c r="BQ202" i="1"/>
  <c r="AT201" i="1"/>
  <c r="AS201" i="1"/>
  <c r="AU201" i="1"/>
  <c r="AR202" i="1" a="1"/>
  <c r="AR202" i="1" s="1"/>
  <c r="AV200" i="1"/>
  <c r="AO203" i="1"/>
  <c r="AN203" i="1" s="1"/>
  <c r="BD203" i="1" l="1"/>
  <c r="FB205" i="1"/>
  <c r="FI205" i="1" s="1"/>
  <c r="FH205" i="1"/>
  <c r="FF206" i="1"/>
  <c r="EX207" i="1"/>
  <c r="EY206" i="1"/>
  <c r="FD206" i="1"/>
  <c r="FG206" i="1"/>
  <c r="FC206" i="1"/>
  <c r="EZ206" i="1"/>
  <c r="FE206" i="1"/>
  <c r="FA206" i="1"/>
  <c r="BQ203" i="1"/>
  <c r="AU202" i="1"/>
  <c r="AS202" i="1"/>
  <c r="AT202" i="1"/>
  <c r="AR203" i="1" a="1"/>
  <c r="AR203" i="1" s="1"/>
  <c r="AV201" i="1"/>
  <c r="AO204" i="1"/>
  <c r="AN204" i="1" s="1"/>
  <c r="BD204" i="1" l="1"/>
  <c r="FB206" i="1"/>
  <c r="FI206" i="1" s="1"/>
  <c r="FH206" i="1"/>
  <c r="FF207" i="1"/>
  <c r="EX208" i="1"/>
  <c r="FC207" i="1"/>
  <c r="FE207" i="1"/>
  <c r="EY207" i="1"/>
  <c r="FD207" i="1"/>
  <c r="EZ207" i="1"/>
  <c r="FA207" i="1"/>
  <c r="FG207" i="1"/>
  <c r="BQ204" i="1"/>
  <c r="AU203" i="1"/>
  <c r="AS203" i="1"/>
  <c r="AT203" i="1"/>
  <c r="AR204" i="1" a="1"/>
  <c r="AR204" i="1" s="1"/>
  <c r="AV202" i="1"/>
  <c r="AO205" i="1"/>
  <c r="AN205" i="1" s="1"/>
  <c r="BD205" i="1" l="1"/>
  <c r="FF208" i="1"/>
  <c r="EX209" i="1"/>
  <c r="FA208" i="1"/>
  <c r="FG208" i="1"/>
  <c r="FD208" i="1"/>
  <c r="EZ208" i="1"/>
  <c r="FC208" i="1"/>
  <c r="EY208" i="1"/>
  <c r="FE208" i="1"/>
  <c r="FB207" i="1"/>
  <c r="FI207" i="1" s="1"/>
  <c r="FH207" i="1"/>
  <c r="BQ205" i="1"/>
  <c r="AS204" i="1"/>
  <c r="AT204" i="1"/>
  <c r="AU204" i="1"/>
  <c r="AR205" i="1" a="1"/>
  <c r="AR205" i="1" s="1"/>
  <c r="AV203" i="1"/>
  <c r="AO206" i="1"/>
  <c r="AN206" i="1" s="1"/>
  <c r="BD206" i="1" l="1"/>
  <c r="FB208" i="1"/>
  <c r="FI208" i="1" s="1"/>
  <c r="FH208" i="1"/>
  <c r="FF209" i="1"/>
  <c r="EZ209" i="1"/>
  <c r="FE209" i="1"/>
  <c r="FC209" i="1"/>
  <c r="EY209" i="1"/>
  <c r="FA209" i="1"/>
  <c r="FG209" i="1"/>
  <c r="FD209" i="1"/>
  <c r="BQ206" i="1"/>
  <c r="AT205" i="1"/>
  <c r="AU205" i="1"/>
  <c r="AS205" i="1"/>
  <c r="AR206" i="1" a="1"/>
  <c r="AR206" i="1" s="1"/>
  <c r="AV204" i="1"/>
  <c r="AO207" i="1"/>
  <c r="AN207" i="1" s="1"/>
  <c r="BD207" i="1" l="1"/>
  <c r="FB209" i="1"/>
  <c r="FI209" i="1" s="1"/>
  <c r="FH209" i="1"/>
  <c r="BQ207" i="1"/>
  <c r="AU206" i="1"/>
  <c r="AS206" i="1"/>
  <c r="AT206" i="1"/>
  <c r="AR207" i="1" a="1"/>
  <c r="AR207" i="1" s="1"/>
  <c r="AV205" i="1"/>
  <c r="AO208" i="1"/>
  <c r="AN208" i="1" s="1"/>
  <c r="BD208" i="1" l="1"/>
  <c r="BQ208" i="1"/>
  <c r="AT207" i="1"/>
  <c r="AU207" i="1"/>
  <c r="AS207" i="1"/>
  <c r="AR208" i="1" a="1"/>
  <c r="AR208" i="1" s="1"/>
  <c r="AV206" i="1"/>
  <c r="AO209" i="1"/>
  <c r="AN209" i="1" s="1"/>
  <c r="BD209" i="1" l="1"/>
  <c r="BQ209" i="1"/>
  <c r="AG13" i="1"/>
  <c r="AS208" i="1"/>
  <c r="AT208" i="1"/>
  <c r="AU208" i="1"/>
  <c r="AR209" i="1" a="1"/>
  <c r="AR209" i="1" s="1"/>
  <c r="AV207" i="1"/>
  <c r="AO210" i="1"/>
  <c r="AN210" i="1" s="1"/>
  <c r="BD210" i="1" l="1"/>
  <c r="BQ210" i="1"/>
  <c r="AT209" i="1"/>
  <c r="AS209" i="1"/>
  <c r="AU209" i="1"/>
  <c r="AR210" i="1" a="1"/>
  <c r="AR210" i="1" s="1"/>
  <c r="AV208" i="1"/>
  <c r="AO211" i="1"/>
  <c r="AN211" i="1" s="1"/>
  <c r="BD211" i="1" l="1"/>
  <c r="BQ211" i="1"/>
  <c r="AU210" i="1"/>
  <c r="AS210" i="1"/>
  <c r="AT210" i="1"/>
  <c r="AR211" i="1" a="1"/>
  <c r="AR211" i="1" s="1"/>
  <c r="AV209" i="1"/>
  <c r="AO212" i="1"/>
  <c r="AN212" i="1" s="1"/>
  <c r="BD212" i="1" l="1"/>
  <c r="BQ212" i="1"/>
  <c r="AS211" i="1"/>
  <c r="AT211" i="1"/>
  <c r="AU211" i="1"/>
  <c r="AR212" i="1" a="1"/>
  <c r="AR212" i="1" s="1"/>
  <c r="AV210" i="1"/>
  <c r="AO213" i="1"/>
  <c r="AN213" i="1" s="1"/>
  <c r="BD213" i="1" l="1"/>
  <c r="BQ213" i="1"/>
  <c r="AS212" i="1"/>
  <c r="AU212" i="1"/>
  <c r="AT212" i="1"/>
  <c r="AR213" i="1" a="1"/>
  <c r="AR213" i="1" s="1"/>
  <c r="AV211" i="1"/>
  <c r="AO214" i="1"/>
  <c r="AN214" i="1" s="1"/>
  <c r="BD214" i="1" l="1"/>
  <c r="BQ214" i="1"/>
  <c r="AT213" i="1"/>
  <c r="AS213" i="1"/>
  <c r="AU213" i="1"/>
  <c r="AR214" i="1" a="1"/>
  <c r="AR214" i="1" s="1"/>
  <c r="AV212" i="1"/>
  <c r="AO215" i="1"/>
  <c r="AN215" i="1" s="1"/>
  <c r="BD215" i="1" l="1"/>
  <c r="BQ215" i="1"/>
  <c r="AU214" i="1"/>
  <c r="AT214" i="1"/>
  <c r="AS214" i="1"/>
  <c r="AR215" i="1" a="1"/>
  <c r="AR215" i="1" s="1"/>
  <c r="AV213" i="1"/>
  <c r="AO216" i="1"/>
  <c r="AN216" i="1" s="1"/>
  <c r="BD216" i="1" l="1"/>
  <c r="BQ216" i="1"/>
  <c r="AS215" i="1"/>
  <c r="AT215" i="1"/>
  <c r="AU215" i="1"/>
  <c r="AR216" i="1" a="1"/>
  <c r="AR216" i="1" s="1"/>
  <c r="AV214" i="1"/>
  <c r="AO217" i="1"/>
  <c r="AN217" i="1" s="1"/>
  <c r="BD217" i="1" l="1"/>
  <c r="BQ217" i="1"/>
  <c r="AS216" i="1"/>
  <c r="AT216" i="1"/>
  <c r="AU216" i="1"/>
  <c r="AR217" i="1" a="1"/>
  <c r="AR217" i="1" s="1"/>
  <c r="AV215" i="1"/>
  <c r="AO218" i="1"/>
  <c r="AN218" i="1" s="1"/>
  <c r="BD218" i="1" l="1"/>
  <c r="BQ218" i="1"/>
  <c r="AT217" i="1"/>
  <c r="AS217" i="1"/>
  <c r="AU217" i="1"/>
  <c r="AR218" i="1" a="1"/>
  <c r="AR218" i="1" s="1"/>
  <c r="AV216" i="1"/>
  <c r="AO219" i="1"/>
  <c r="AN219" i="1" s="1"/>
  <c r="BD219" i="1" l="1"/>
  <c r="BQ219" i="1"/>
  <c r="AU218" i="1"/>
  <c r="AS218" i="1"/>
  <c r="AT218" i="1"/>
  <c r="AR219" i="1" a="1"/>
  <c r="AR219" i="1" s="1"/>
  <c r="AV217" i="1"/>
  <c r="AO220" i="1"/>
  <c r="AN220" i="1" s="1"/>
  <c r="BD220" i="1" l="1"/>
  <c r="BQ220" i="1"/>
  <c r="AU219" i="1"/>
  <c r="AS219" i="1"/>
  <c r="AT219" i="1"/>
  <c r="AR220" i="1" a="1"/>
  <c r="AR220" i="1" s="1"/>
  <c r="AV218" i="1"/>
  <c r="AO221" i="1"/>
  <c r="AN221" i="1" s="1"/>
  <c r="BD221" i="1" l="1"/>
  <c r="BQ221" i="1"/>
  <c r="AS220" i="1"/>
  <c r="AT220" i="1"/>
  <c r="AU220" i="1"/>
  <c r="AR221" i="1" a="1"/>
  <c r="AR221" i="1" s="1"/>
  <c r="AV219" i="1"/>
  <c r="AO222" i="1"/>
  <c r="AN222" i="1" s="1"/>
  <c r="BD222" i="1" l="1"/>
  <c r="BQ222" i="1"/>
  <c r="AT221" i="1"/>
  <c r="AU221" i="1"/>
  <c r="AS221" i="1"/>
  <c r="AR222" i="1" a="1"/>
  <c r="AR222" i="1" s="1"/>
  <c r="AV220" i="1"/>
  <c r="AO223" i="1"/>
  <c r="AN223" i="1" s="1"/>
  <c r="BD223" i="1" l="1"/>
  <c r="BQ223" i="1"/>
  <c r="AU222" i="1"/>
  <c r="AS222" i="1"/>
  <c r="AT222" i="1"/>
  <c r="AR223" i="1" a="1"/>
  <c r="AR223" i="1" s="1"/>
  <c r="AV221" i="1"/>
  <c r="AO224" i="1"/>
  <c r="AN224" i="1" s="1"/>
  <c r="BD224" i="1" l="1"/>
  <c r="BQ224" i="1"/>
  <c r="AT223" i="1"/>
  <c r="AU223" i="1"/>
  <c r="AS223" i="1"/>
  <c r="AR224" i="1" a="1"/>
  <c r="AR224" i="1" s="1"/>
  <c r="AV222" i="1"/>
  <c r="AO225" i="1"/>
  <c r="AN225" i="1" s="1"/>
  <c r="BD225" i="1" l="1"/>
  <c r="BQ225" i="1"/>
  <c r="AS224" i="1"/>
  <c r="AT224" i="1"/>
  <c r="AU224" i="1"/>
  <c r="AR225" i="1" a="1"/>
  <c r="AR225" i="1" s="1"/>
  <c r="AV223" i="1"/>
  <c r="AO226" i="1"/>
  <c r="AN226" i="1" s="1"/>
  <c r="BD226" i="1" l="1"/>
  <c r="BQ226" i="1"/>
  <c r="AT225" i="1"/>
  <c r="AS225" i="1"/>
  <c r="AU225" i="1"/>
  <c r="AR226" i="1" a="1"/>
  <c r="AR226" i="1" s="1"/>
  <c r="AV224" i="1"/>
  <c r="AO227" i="1"/>
  <c r="AN227" i="1" s="1"/>
  <c r="BD227" i="1" l="1"/>
  <c r="BQ227" i="1"/>
  <c r="AU226" i="1"/>
  <c r="AS226" i="1"/>
  <c r="AT226" i="1"/>
  <c r="AR227" i="1" a="1"/>
  <c r="AR227" i="1" s="1"/>
  <c r="AV225" i="1"/>
  <c r="AO228" i="1"/>
  <c r="AN228" i="1" s="1"/>
  <c r="BD228" i="1" l="1"/>
  <c r="BQ228" i="1"/>
  <c r="AS227" i="1"/>
  <c r="AT227" i="1"/>
  <c r="AU227" i="1"/>
  <c r="AR228" i="1" a="1"/>
  <c r="AR228" i="1" s="1"/>
  <c r="AV226" i="1"/>
  <c r="AO229" i="1"/>
  <c r="AN229" i="1" s="1"/>
  <c r="BD229" i="1" l="1"/>
  <c r="BQ229" i="1"/>
  <c r="AS228" i="1"/>
  <c r="AU228" i="1"/>
  <c r="AT228" i="1"/>
  <c r="AR229" i="1" a="1"/>
  <c r="AR229" i="1" s="1"/>
  <c r="AV227" i="1"/>
  <c r="AO230" i="1"/>
  <c r="AN230" i="1" s="1"/>
  <c r="BD230" i="1" l="1"/>
  <c r="BQ230" i="1"/>
  <c r="AT229" i="1"/>
  <c r="AS229" i="1"/>
  <c r="AU229" i="1"/>
  <c r="AR230" i="1" a="1"/>
  <c r="AR230" i="1" s="1"/>
  <c r="AV228" i="1"/>
  <c r="AO231" i="1"/>
  <c r="AN231" i="1" s="1"/>
  <c r="BD231" i="1" l="1"/>
  <c r="BQ231" i="1"/>
  <c r="AU230" i="1"/>
  <c r="AT230" i="1"/>
  <c r="AS230" i="1"/>
  <c r="AR231" i="1" a="1"/>
  <c r="AR231" i="1" s="1"/>
  <c r="AV229" i="1"/>
  <c r="AO232" i="1"/>
  <c r="AN232" i="1" s="1"/>
  <c r="BD232" i="1" l="1"/>
  <c r="BQ232" i="1"/>
  <c r="AS231" i="1"/>
  <c r="AT231" i="1"/>
  <c r="AU231" i="1"/>
  <c r="AR232" i="1" a="1"/>
  <c r="AR232" i="1" s="1"/>
  <c r="AV230" i="1"/>
  <c r="AO233" i="1"/>
  <c r="AN233" i="1" s="1"/>
  <c r="BD233" i="1" l="1"/>
  <c r="BQ233" i="1"/>
  <c r="AS232" i="1"/>
  <c r="AT232" i="1"/>
  <c r="AU232" i="1"/>
  <c r="AR233" i="1" a="1"/>
  <c r="AR233" i="1" s="1"/>
  <c r="AV231" i="1"/>
  <c r="AO234" i="1"/>
  <c r="AN234" i="1" s="1"/>
  <c r="BD234" i="1" l="1"/>
  <c r="BQ234" i="1"/>
  <c r="AT233" i="1"/>
  <c r="AS233" i="1"/>
  <c r="AU233" i="1"/>
  <c r="AR234" i="1" a="1"/>
  <c r="AR234" i="1" s="1"/>
  <c r="AV232" i="1"/>
  <c r="AO235" i="1"/>
  <c r="AN235" i="1" s="1"/>
  <c r="BD235" i="1" l="1"/>
  <c r="BQ235" i="1"/>
  <c r="AU234" i="1"/>
  <c r="AS234" i="1"/>
  <c r="AT234" i="1"/>
  <c r="AR235" i="1" a="1"/>
  <c r="AR235" i="1" s="1"/>
  <c r="AV233" i="1"/>
  <c r="AO236" i="1"/>
  <c r="AN236" i="1" s="1"/>
  <c r="BD236" i="1" l="1"/>
  <c r="BQ236" i="1"/>
  <c r="AU235" i="1"/>
  <c r="AS235" i="1"/>
  <c r="AT235" i="1"/>
  <c r="AR236" i="1" a="1"/>
  <c r="AR236" i="1" s="1"/>
  <c r="AV234" i="1"/>
  <c r="AO237" i="1"/>
  <c r="AN237" i="1" s="1"/>
  <c r="BD237" i="1" l="1"/>
  <c r="BQ237" i="1"/>
  <c r="AS236" i="1"/>
  <c r="AT236" i="1"/>
  <c r="AU236" i="1"/>
  <c r="AR237" i="1" a="1"/>
  <c r="AR237" i="1" s="1"/>
  <c r="AV235" i="1"/>
  <c r="AO238" i="1"/>
  <c r="AN238" i="1" s="1"/>
  <c r="BD238" i="1" l="1"/>
  <c r="BQ238" i="1"/>
  <c r="AT237" i="1"/>
  <c r="AU237" i="1"/>
  <c r="AS237" i="1"/>
  <c r="AR238" i="1" a="1"/>
  <c r="AR238" i="1" s="1"/>
  <c r="AV236" i="1"/>
  <c r="AO239" i="1"/>
  <c r="AN239" i="1" s="1"/>
  <c r="BD239" i="1" l="1"/>
  <c r="BQ239" i="1"/>
  <c r="AU238" i="1"/>
  <c r="AS238" i="1"/>
  <c r="AT238" i="1"/>
  <c r="AR239" i="1" a="1"/>
  <c r="AR239" i="1" s="1"/>
  <c r="AV237" i="1"/>
  <c r="AO240" i="1"/>
  <c r="AN240" i="1" s="1"/>
  <c r="BD240" i="1" l="1"/>
  <c r="BQ240" i="1"/>
  <c r="AT239" i="1"/>
  <c r="AU239" i="1"/>
  <c r="AS239" i="1"/>
  <c r="AR240" i="1" a="1"/>
  <c r="AR240" i="1" s="1"/>
  <c r="AV238" i="1"/>
  <c r="AO241" i="1"/>
  <c r="AN241" i="1" s="1"/>
  <c r="BD241" i="1" l="1"/>
  <c r="BQ241" i="1"/>
  <c r="AS240" i="1"/>
  <c r="AT240" i="1"/>
  <c r="AU240" i="1"/>
  <c r="AR241" i="1" a="1"/>
  <c r="AR241" i="1" s="1"/>
  <c r="AV239" i="1"/>
  <c r="AO242" i="1"/>
  <c r="AN242" i="1" s="1"/>
  <c r="BD242" i="1" l="1"/>
  <c r="BQ242" i="1"/>
  <c r="AT241" i="1"/>
  <c r="AS241" i="1"/>
  <c r="AU241" i="1"/>
  <c r="AR242" i="1" a="1"/>
  <c r="AR242" i="1" s="1"/>
  <c r="AV240" i="1"/>
  <c r="AO243" i="1"/>
  <c r="AN243" i="1" s="1"/>
  <c r="BD243" i="1" l="1"/>
  <c r="BQ243" i="1"/>
  <c r="AU242" i="1"/>
  <c r="AS242" i="1"/>
  <c r="AT242" i="1"/>
  <c r="AR243" i="1" a="1"/>
  <c r="AR243" i="1" s="1"/>
  <c r="AV241" i="1"/>
  <c r="AO244" i="1"/>
  <c r="AN244" i="1" s="1"/>
  <c r="BD244" i="1" l="1"/>
  <c r="BQ244" i="1"/>
  <c r="AS243" i="1"/>
  <c r="AT243" i="1"/>
  <c r="AU243" i="1"/>
  <c r="AR244" i="1" a="1"/>
  <c r="AR244" i="1" s="1"/>
  <c r="AV242" i="1"/>
  <c r="AO245" i="1"/>
  <c r="AN245" i="1" s="1"/>
  <c r="BD245" i="1" l="1"/>
  <c r="BQ245" i="1"/>
  <c r="AS244" i="1"/>
  <c r="AU244" i="1"/>
  <c r="AT244" i="1"/>
  <c r="AR245" i="1" a="1"/>
  <c r="AR245" i="1" s="1"/>
  <c r="AV243" i="1"/>
  <c r="AO246" i="1"/>
  <c r="AN246" i="1" s="1"/>
  <c r="BD246" i="1" l="1"/>
  <c r="BQ246" i="1"/>
  <c r="AT245" i="1"/>
  <c r="AS245" i="1"/>
  <c r="AU245" i="1"/>
  <c r="AR246" i="1" a="1"/>
  <c r="AR246" i="1" s="1"/>
  <c r="AV244" i="1"/>
  <c r="AO247" i="1"/>
  <c r="AN247" i="1" s="1"/>
  <c r="BD247" i="1" l="1"/>
  <c r="BQ247" i="1"/>
  <c r="AU246" i="1"/>
  <c r="AT246" i="1"/>
  <c r="AS246" i="1"/>
  <c r="AR247" i="1" a="1"/>
  <c r="AR247" i="1" s="1"/>
  <c r="AV245" i="1"/>
  <c r="AO248" i="1"/>
  <c r="AN248" i="1" s="1"/>
  <c r="BD248" i="1" l="1"/>
  <c r="BQ248" i="1"/>
  <c r="AS247" i="1"/>
  <c r="AT247" i="1"/>
  <c r="AU247" i="1"/>
  <c r="AR248" i="1" a="1"/>
  <c r="AR248" i="1" s="1"/>
  <c r="AV246" i="1"/>
  <c r="AO249" i="1"/>
  <c r="AN249" i="1" s="1"/>
  <c r="BD249" i="1" l="1"/>
  <c r="BQ249" i="1"/>
  <c r="AS248" i="1"/>
  <c r="AT248" i="1"/>
  <c r="AU248" i="1"/>
  <c r="AR249" i="1" a="1"/>
  <c r="AR249" i="1" s="1"/>
  <c r="AV247" i="1"/>
  <c r="AO250" i="1"/>
  <c r="AN250" i="1" s="1"/>
  <c r="BD250" i="1" l="1"/>
  <c r="BQ250" i="1"/>
  <c r="AT249" i="1"/>
  <c r="AS249" i="1"/>
  <c r="AU249" i="1"/>
  <c r="AR250" i="1" a="1"/>
  <c r="AR250" i="1" s="1"/>
  <c r="AV248" i="1"/>
  <c r="AO251" i="1"/>
  <c r="AN251" i="1" s="1"/>
  <c r="BD251" i="1" l="1"/>
  <c r="BQ251" i="1"/>
  <c r="AU250" i="1"/>
  <c r="AS250" i="1"/>
  <c r="AT250" i="1"/>
  <c r="AR251" i="1" a="1"/>
  <c r="AR251" i="1" s="1"/>
  <c r="AV249" i="1"/>
  <c r="AO252" i="1"/>
  <c r="AN252" i="1" s="1"/>
  <c r="BD252" i="1" l="1"/>
  <c r="BQ252" i="1"/>
  <c r="AU251" i="1"/>
  <c r="AS251" i="1"/>
  <c r="AT251" i="1"/>
  <c r="AR252" i="1" a="1"/>
  <c r="AR252" i="1" s="1"/>
  <c r="AV250" i="1"/>
  <c r="AO253" i="1"/>
  <c r="AN253" i="1" s="1"/>
  <c r="BD253" i="1" l="1"/>
  <c r="BQ253" i="1"/>
  <c r="AS252" i="1"/>
  <c r="AT252" i="1"/>
  <c r="AU252" i="1"/>
  <c r="AR253" i="1" a="1"/>
  <c r="AR253" i="1" s="1"/>
  <c r="AV251" i="1"/>
  <c r="AO254" i="1"/>
  <c r="AN254" i="1" s="1"/>
  <c r="BD254" i="1" l="1"/>
  <c r="BQ254" i="1"/>
  <c r="AT253" i="1"/>
  <c r="AU253" i="1"/>
  <c r="AS253" i="1"/>
  <c r="AR254" i="1" a="1"/>
  <c r="AR254" i="1" s="1"/>
  <c r="AV252" i="1"/>
  <c r="AO255" i="1"/>
  <c r="AN255" i="1" s="1"/>
  <c r="BD255" i="1" l="1"/>
  <c r="BQ255" i="1"/>
  <c r="AU254" i="1"/>
  <c r="AS254" i="1"/>
  <c r="AT254" i="1"/>
  <c r="AR255" i="1" a="1"/>
  <c r="AR255" i="1" s="1"/>
  <c r="AV253" i="1"/>
  <c r="AO256" i="1"/>
  <c r="AN256" i="1" s="1"/>
  <c r="BD256" i="1" l="1"/>
  <c r="BQ256" i="1"/>
  <c r="AT255" i="1"/>
  <c r="AU255" i="1"/>
  <c r="AS255" i="1"/>
  <c r="AR256" i="1" a="1"/>
  <c r="AR256" i="1" s="1"/>
  <c r="AV254" i="1"/>
  <c r="AO257" i="1"/>
  <c r="AN257" i="1" s="1"/>
  <c r="BD257" i="1" l="1"/>
  <c r="BQ257" i="1"/>
  <c r="AS256" i="1"/>
  <c r="AT256" i="1"/>
  <c r="AU256" i="1"/>
  <c r="AR257" i="1" a="1"/>
  <c r="AR257" i="1" s="1"/>
  <c r="AV255" i="1"/>
  <c r="AO258" i="1"/>
  <c r="AN258" i="1" s="1"/>
  <c r="BD258" i="1" l="1"/>
  <c r="BQ258" i="1"/>
  <c r="AT257" i="1"/>
  <c r="AS257" i="1"/>
  <c r="AU257" i="1"/>
  <c r="AR258" i="1" a="1"/>
  <c r="AR258" i="1" s="1"/>
  <c r="AV256" i="1"/>
  <c r="AO259" i="1"/>
  <c r="AN259" i="1" s="1"/>
  <c r="BD259" i="1" l="1"/>
  <c r="BQ259" i="1"/>
  <c r="AU258" i="1"/>
  <c r="AS258" i="1"/>
  <c r="AT258" i="1"/>
  <c r="AR259" i="1" a="1"/>
  <c r="AR259" i="1" s="1"/>
  <c r="AV257" i="1"/>
  <c r="AO260" i="1"/>
  <c r="AN260" i="1" s="1"/>
  <c r="BD260" i="1" l="1"/>
  <c r="BQ260" i="1"/>
  <c r="AS259" i="1"/>
  <c r="AT259" i="1"/>
  <c r="AU259" i="1"/>
  <c r="AR260" i="1" a="1"/>
  <c r="AR260" i="1" s="1"/>
  <c r="AV258" i="1"/>
  <c r="AO261" i="1"/>
  <c r="AN261" i="1" s="1"/>
  <c r="BD261" i="1" l="1"/>
  <c r="BQ261" i="1"/>
  <c r="AS260" i="1"/>
  <c r="AU260" i="1"/>
  <c r="AT260" i="1"/>
  <c r="AR261" i="1" a="1"/>
  <c r="AR261" i="1" s="1"/>
  <c r="AV259" i="1"/>
  <c r="AO262" i="1"/>
  <c r="AN262" i="1" s="1"/>
  <c r="BD262" i="1" l="1"/>
  <c r="BQ262" i="1"/>
  <c r="AT261" i="1"/>
  <c r="AS261" i="1"/>
  <c r="AU261" i="1"/>
  <c r="AR262" i="1" a="1"/>
  <c r="AR262" i="1" s="1"/>
  <c r="AV260" i="1"/>
  <c r="AO263" i="1"/>
  <c r="AN263" i="1" s="1"/>
  <c r="BD263" i="1" l="1"/>
  <c r="BQ263" i="1"/>
  <c r="AU262" i="1"/>
  <c r="AT262" i="1"/>
  <c r="AS262" i="1"/>
  <c r="AR263" i="1" a="1"/>
  <c r="AR263" i="1" s="1"/>
  <c r="AV261" i="1"/>
  <c r="AO264" i="1"/>
  <c r="AN264" i="1" s="1"/>
  <c r="BD264" i="1" l="1"/>
  <c r="BQ264" i="1"/>
  <c r="AS263" i="1"/>
  <c r="AT263" i="1"/>
  <c r="AU263" i="1"/>
  <c r="AR264" i="1" a="1"/>
  <c r="AR264" i="1" s="1"/>
  <c r="AV262" i="1"/>
  <c r="AO265" i="1"/>
  <c r="AN265" i="1" s="1"/>
  <c r="BD265" i="1" l="1"/>
  <c r="BQ265" i="1"/>
  <c r="AS264" i="1"/>
  <c r="AT264" i="1"/>
  <c r="AU264" i="1"/>
  <c r="AR265" i="1" a="1"/>
  <c r="AR265" i="1" s="1"/>
  <c r="AV263" i="1"/>
  <c r="AO266" i="1"/>
  <c r="AN266" i="1" s="1"/>
  <c r="BD266" i="1" l="1"/>
  <c r="BQ266" i="1"/>
  <c r="AT265" i="1"/>
  <c r="AS265" i="1"/>
  <c r="AU265" i="1"/>
  <c r="AR266" i="1" a="1"/>
  <c r="AR266" i="1" s="1"/>
  <c r="AV264" i="1"/>
  <c r="AO267" i="1"/>
  <c r="AN267" i="1" s="1"/>
  <c r="BD267" i="1" l="1"/>
  <c r="BQ267" i="1"/>
  <c r="AU266" i="1"/>
  <c r="AS266" i="1"/>
  <c r="AT266" i="1"/>
  <c r="AR267" i="1" a="1"/>
  <c r="AR267" i="1" s="1"/>
  <c r="AV265" i="1"/>
  <c r="AO268" i="1"/>
  <c r="AN268" i="1" s="1"/>
  <c r="BD268" i="1" l="1"/>
  <c r="BQ268" i="1"/>
  <c r="AU267" i="1"/>
  <c r="AS267" i="1"/>
  <c r="AT267" i="1"/>
  <c r="AR268" i="1" a="1"/>
  <c r="AR268" i="1" s="1"/>
  <c r="AV266" i="1"/>
  <c r="AO269" i="1"/>
  <c r="AN269" i="1" s="1"/>
  <c r="BD269" i="1" l="1"/>
  <c r="BQ269" i="1"/>
  <c r="AS268" i="1"/>
  <c r="AT268" i="1"/>
  <c r="AU268" i="1"/>
  <c r="AR269" i="1" a="1"/>
  <c r="AR269" i="1" s="1"/>
  <c r="AV267" i="1"/>
  <c r="AO270" i="1"/>
  <c r="AN270" i="1" s="1"/>
  <c r="BD270" i="1" l="1"/>
  <c r="BQ270" i="1"/>
  <c r="AT269" i="1"/>
  <c r="AU269" i="1"/>
  <c r="AS269" i="1"/>
  <c r="AR270" i="1" a="1"/>
  <c r="AR270" i="1" s="1"/>
  <c r="AV268" i="1"/>
  <c r="AO271" i="1"/>
  <c r="AN271" i="1" s="1"/>
  <c r="BD271" i="1" l="1"/>
  <c r="BQ271" i="1"/>
  <c r="AU270" i="1"/>
  <c r="AS270" i="1"/>
  <c r="AT270" i="1"/>
  <c r="AR271" i="1" a="1"/>
  <c r="AR271" i="1" s="1"/>
  <c r="AV269" i="1"/>
  <c r="AO272" i="1"/>
  <c r="AN272" i="1" s="1"/>
  <c r="BD272" i="1" l="1"/>
  <c r="BQ272" i="1"/>
  <c r="AT271" i="1"/>
  <c r="AU271" i="1"/>
  <c r="AS271" i="1"/>
  <c r="AR272" i="1" a="1"/>
  <c r="AR272" i="1" s="1"/>
  <c r="AV270" i="1"/>
  <c r="AO273" i="1"/>
  <c r="AN273" i="1" s="1"/>
  <c r="BD273" i="1" l="1"/>
  <c r="BQ273" i="1"/>
  <c r="AS272" i="1"/>
  <c r="AT272" i="1"/>
  <c r="AU272" i="1"/>
  <c r="AR273" i="1" a="1"/>
  <c r="AR273" i="1" s="1"/>
  <c r="AV271" i="1"/>
  <c r="AO274" i="1"/>
  <c r="AN274" i="1" s="1"/>
  <c r="BD274" i="1" l="1"/>
  <c r="BQ274" i="1"/>
  <c r="AT273" i="1"/>
  <c r="AS273" i="1"/>
  <c r="AU273" i="1"/>
  <c r="AR274" i="1" a="1"/>
  <c r="AR274" i="1" s="1"/>
  <c r="AV272" i="1"/>
  <c r="AO275" i="1"/>
  <c r="AN275" i="1" s="1"/>
  <c r="BD275" i="1" l="1"/>
  <c r="BQ275" i="1"/>
  <c r="AU274" i="1"/>
  <c r="AS274" i="1"/>
  <c r="AT274" i="1"/>
  <c r="AR275" i="1" a="1"/>
  <c r="AR275" i="1" s="1"/>
  <c r="AV273" i="1"/>
  <c r="AO276" i="1"/>
  <c r="AN276" i="1" s="1"/>
  <c r="BD276" i="1" l="1"/>
  <c r="BQ276" i="1"/>
  <c r="AT275" i="1"/>
  <c r="AS275" i="1"/>
  <c r="AU275" i="1"/>
  <c r="AR276" i="1" a="1"/>
  <c r="AR276" i="1" s="1"/>
  <c r="AV274" i="1"/>
  <c r="AO277" i="1"/>
  <c r="AN277" i="1" s="1"/>
  <c r="BD277" i="1" l="1"/>
  <c r="BQ277" i="1"/>
  <c r="AS276" i="1"/>
  <c r="AT276" i="1"/>
  <c r="AU276" i="1"/>
  <c r="AR277" i="1" a="1"/>
  <c r="AR277" i="1" s="1"/>
  <c r="AV275" i="1"/>
  <c r="AO278" i="1"/>
  <c r="AN278" i="1" s="1"/>
  <c r="BD278" i="1" l="1"/>
  <c r="BQ278" i="1"/>
  <c r="AT277" i="1"/>
  <c r="AS277" i="1"/>
  <c r="AU277" i="1"/>
  <c r="AR278" i="1" a="1"/>
  <c r="AR278" i="1" s="1"/>
  <c r="AV276" i="1"/>
  <c r="AO279" i="1"/>
  <c r="AN279" i="1" s="1"/>
  <c r="BD279" i="1" l="1"/>
  <c r="BQ279" i="1"/>
  <c r="AU278" i="1"/>
  <c r="AT278" i="1"/>
  <c r="AS278" i="1"/>
  <c r="AR279" i="1" a="1"/>
  <c r="AR279" i="1" s="1"/>
  <c r="AV277" i="1"/>
  <c r="AO280" i="1"/>
  <c r="AN280" i="1" s="1"/>
  <c r="BD280" i="1" l="1"/>
  <c r="BQ280" i="1"/>
  <c r="AS279" i="1"/>
  <c r="AT279" i="1"/>
  <c r="AU279" i="1"/>
  <c r="AR280" i="1" a="1"/>
  <c r="AR280" i="1" s="1"/>
  <c r="AV278" i="1"/>
  <c r="AO281" i="1"/>
  <c r="AN281" i="1" s="1"/>
  <c r="BD281" i="1" l="1"/>
  <c r="BQ281" i="1"/>
  <c r="AS280" i="1"/>
  <c r="AU280" i="1"/>
  <c r="AT280" i="1"/>
  <c r="AR281" i="1" a="1"/>
  <c r="AR281" i="1" s="1"/>
  <c r="AV279" i="1"/>
  <c r="AO282" i="1"/>
  <c r="AN282" i="1" s="1"/>
  <c r="BD282" i="1" l="1"/>
  <c r="BQ282" i="1"/>
  <c r="AT281" i="1"/>
  <c r="AS281" i="1"/>
  <c r="AU281" i="1"/>
  <c r="AR282" i="1" a="1"/>
  <c r="AR282" i="1" s="1"/>
  <c r="AV280" i="1"/>
  <c r="AO283" i="1"/>
  <c r="AN283" i="1" s="1"/>
  <c r="BD283" i="1" l="1"/>
  <c r="BQ283" i="1"/>
  <c r="AU282" i="1"/>
  <c r="AT282" i="1"/>
  <c r="AS282" i="1"/>
  <c r="AR283" i="1" a="1"/>
  <c r="AR283" i="1" s="1"/>
  <c r="AV281" i="1"/>
  <c r="AO284" i="1"/>
  <c r="AN284" i="1" s="1"/>
  <c r="BD284" i="1" l="1"/>
  <c r="BQ284" i="1"/>
  <c r="AT283" i="1"/>
  <c r="AU283" i="1"/>
  <c r="AS283" i="1"/>
  <c r="AR284" i="1" a="1"/>
  <c r="AR284" i="1" s="1"/>
  <c r="AV282" i="1"/>
  <c r="AO285" i="1"/>
  <c r="AN285" i="1" s="1"/>
  <c r="BD285" i="1" l="1"/>
  <c r="BQ285" i="1"/>
  <c r="AS284" i="1"/>
  <c r="AT284" i="1"/>
  <c r="AU284" i="1"/>
  <c r="AR285" i="1" a="1"/>
  <c r="AR285" i="1" s="1"/>
  <c r="AV283" i="1"/>
  <c r="AO286" i="1"/>
  <c r="AN286" i="1" s="1"/>
  <c r="BD286" i="1" l="1"/>
  <c r="BQ286" i="1"/>
  <c r="AT285" i="1"/>
  <c r="AU285" i="1"/>
  <c r="AS285" i="1"/>
  <c r="AR286" i="1" a="1"/>
  <c r="AR286" i="1" s="1"/>
  <c r="AV284" i="1"/>
  <c r="AO287" i="1"/>
  <c r="AN287" i="1" s="1"/>
  <c r="BD287" i="1" l="1"/>
  <c r="BQ287" i="1"/>
  <c r="AU286" i="1"/>
  <c r="AS286" i="1"/>
  <c r="AT286" i="1"/>
  <c r="AR287" i="1" a="1"/>
  <c r="AR287" i="1" s="1"/>
  <c r="AV285" i="1"/>
  <c r="AO288" i="1"/>
  <c r="AN288" i="1" s="1"/>
  <c r="BD288" i="1" l="1"/>
  <c r="BQ288" i="1"/>
  <c r="AU287" i="1"/>
  <c r="AS287" i="1"/>
  <c r="AT287" i="1"/>
  <c r="AR288" i="1" a="1"/>
  <c r="AR288" i="1" s="1"/>
  <c r="AV286" i="1"/>
  <c r="AO289" i="1"/>
  <c r="AN289" i="1" s="1"/>
  <c r="BD289" i="1" l="1"/>
  <c r="BQ289" i="1"/>
  <c r="AS288" i="1"/>
  <c r="AT288" i="1"/>
  <c r="AU288" i="1"/>
  <c r="AR289" i="1" a="1"/>
  <c r="AR289" i="1" s="1"/>
  <c r="AV287" i="1"/>
  <c r="AO290" i="1"/>
  <c r="AN290" i="1" s="1"/>
  <c r="BD290" i="1" l="1"/>
  <c r="BQ290" i="1"/>
  <c r="AT289" i="1"/>
  <c r="AU289" i="1"/>
  <c r="AS289" i="1"/>
  <c r="AR290" i="1" a="1"/>
  <c r="AR290" i="1" s="1"/>
  <c r="AV288" i="1"/>
  <c r="AO291" i="1"/>
  <c r="AN291" i="1" s="1"/>
  <c r="BD291" i="1" l="1"/>
  <c r="BQ291" i="1"/>
  <c r="AU290" i="1"/>
  <c r="AT290" i="1"/>
  <c r="AS290" i="1"/>
  <c r="AR291" i="1" a="1"/>
  <c r="AR291" i="1" s="1"/>
  <c r="AV289" i="1"/>
  <c r="AO292" i="1"/>
  <c r="AN292" i="1" s="1"/>
  <c r="BD292" i="1" l="1"/>
  <c r="BQ292" i="1"/>
  <c r="AT291" i="1"/>
  <c r="AS291" i="1"/>
  <c r="AU291" i="1"/>
  <c r="AR292" i="1" a="1"/>
  <c r="AR292" i="1" s="1"/>
  <c r="AV290" i="1"/>
  <c r="AO293" i="1"/>
  <c r="AN293" i="1" s="1"/>
  <c r="BD293" i="1" l="1"/>
  <c r="BQ293" i="1"/>
  <c r="AS292" i="1"/>
  <c r="AU292" i="1"/>
  <c r="AT292" i="1"/>
  <c r="AR293" i="1" a="1"/>
  <c r="AR293" i="1" s="1"/>
  <c r="AV291" i="1"/>
  <c r="AO294" i="1"/>
  <c r="AN294" i="1" s="1"/>
  <c r="BD294" i="1" l="1"/>
  <c r="BQ294" i="1"/>
  <c r="AT293" i="1"/>
  <c r="AS293" i="1"/>
  <c r="AU293" i="1"/>
  <c r="AR294" i="1" a="1"/>
  <c r="AR294" i="1" s="1"/>
  <c r="AV292" i="1"/>
  <c r="AO295" i="1"/>
  <c r="AN295" i="1" s="1"/>
  <c r="BD295" i="1" l="1"/>
  <c r="BQ295" i="1"/>
  <c r="AU294" i="1"/>
  <c r="AS294" i="1"/>
  <c r="AT294" i="1"/>
  <c r="AR295" i="1" a="1"/>
  <c r="AR295" i="1" s="1"/>
  <c r="AV293" i="1"/>
  <c r="AO296" i="1"/>
  <c r="AN296" i="1" s="1"/>
  <c r="BD296" i="1" l="1"/>
  <c r="BQ296" i="1"/>
  <c r="AS295" i="1"/>
  <c r="AT295" i="1"/>
  <c r="AU295" i="1"/>
  <c r="AR296" i="1" a="1"/>
  <c r="AR296" i="1" s="1"/>
  <c r="AV294" i="1"/>
  <c r="AO297" i="1"/>
  <c r="AN297" i="1" s="1"/>
  <c r="BD297" i="1" l="1"/>
  <c r="BQ297" i="1"/>
  <c r="AS296" i="1"/>
  <c r="AU296" i="1"/>
  <c r="AT296" i="1"/>
  <c r="AR297" i="1" a="1"/>
  <c r="AR297" i="1" s="1"/>
  <c r="AV295" i="1"/>
  <c r="AO298" i="1"/>
  <c r="AN298" i="1" s="1"/>
  <c r="BD298" i="1" l="1"/>
  <c r="BQ298" i="1"/>
  <c r="AT297" i="1"/>
  <c r="AU297" i="1"/>
  <c r="AS297" i="1"/>
  <c r="AR298" i="1" a="1"/>
  <c r="AR298" i="1" s="1"/>
  <c r="AV296" i="1"/>
  <c r="AO299" i="1"/>
  <c r="AN299" i="1" s="1"/>
  <c r="BD299" i="1" l="1"/>
  <c r="BQ299" i="1"/>
  <c r="AU298" i="1"/>
  <c r="AT298" i="1"/>
  <c r="AS298" i="1"/>
  <c r="AR299" i="1" a="1"/>
  <c r="AR299" i="1" s="1"/>
  <c r="AV297" i="1"/>
  <c r="AO300" i="1"/>
  <c r="AN300" i="1" s="1"/>
  <c r="BD300" i="1" l="1"/>
  <c r="BQ300" i="1"/>
  <c r="AU299" i="1"/>
  <c r="AS299" i="1"/>
  <c r="AT299" i="1"/>
  <c r="AR300" i="1" a="1"/>
  <c r="AR300" i="1" s="1"/>
  <c r="AV298" i="1"/>
  <c r="AO301" i="1"/>
  <c r="AN301" i="1" s="1"/>
  <c r="BD301" i="1" l="1"/>
  <c r="BQ301" i="1"/>
  <c r="AS300" i="1"/>
  <c r="AT300" i="1"/>
  <c r="AU300" i="1"/>
  <c r="AR301" i="1" a="1"/>
  <c r="AR301" i="1" s="1"/>
  <c r="AV299" i="1"/>
  <c r="AO302" i="1"/>
  <c r="AN302" i="1" s="1"/>
  <c r="BD302" i="1" l="1"/>
  <c r="BQ302" i="1"/>
  <c r="AT301" i="1"/>
  <c r="AS301" i="1"/>
  <c r="AU301" i="1"/>
  <c r="AR302" i="1" a="1"/>
  <c r="AR302" i="1" s="1"/>
  <c r="AV300" i="1"/>
  <c r="AO303" i="1"/>
  <c r="AN303" i="1" s="1"/>
  <c r="BD303" i="1" l="1"/>
  <c r="BQ303" i="1"/>
  <c r="AU302" i="1"/>
  <c r="AS302" i="1"/>
  <c r="AT302" i="1"/>
  <c r="AR303" i="1" a="1"/>
  <c r="AR303" i="1" s="1"/>
  <c r="AV301" i="1"/>
  <c r="AO304" i="1"/>
  <c r="AN304" i="1" s="1"/>
  <c r="BD304" i="1" l="1"/>
  <c r="BQ304" i="1"/>
  <c r="AU303" i="1"/>
  <c r="AS303" i="1"/>
  <c r="AT303" i="1"/>
  <c r="AR304" i="1" a="1"/>
  <c r="AR304" i="1" s="1"/>
  <c r="AV302" i="1"/>
  <c r="AO305" i="1"/>
  <c r="AN305" i="1" s="1"/>
  <c r="BD305" i="1" l="1"/>
  <c r="BQ305" i="1"/>
  <c r="AS304" i="1"/>
  <c r="AU304" i="1"/>
  <c r="AT304" i="1"/>
  <c r="AR305" i="1" a="1"/>
  <c r="AR305" i="1" s="1"/>
  <c r="AV303" i="1"/>
  <c r="AO306" i="1"/>
  <c r="AN306" i="1" s="1"/>
  <c r="BD306" i="1" l="1"/>
  <c r="BQ306" i="1"/>
  <c r="AT305" i="1"/>
  <c r="AU305" i="1"/>
  <c r="AS305" i="1"/>
  <c r="AR306" i="1" a="1"/>
  <c r="AR306" i="1" s="1"/>
  <c r="AV304" i="1"/>
  <c r="AO307" i="1"/>
  <c r="AN307" i="1" s="1"/>
  <c r="BD307" i="1" l="1"/>
  <c r="BQ307" i="1"/>
  <c r="AU306" i="1"/>
  <c r="AS306" i="1"/>
  <c r="AT306" i="1"/>
  <c r="AR307" i="1" a="1"/>
  <c r="AR307" i="1" s="1"/>
  <c r="AV305" i="1"/>
  <c r="AO308" i="1"/>
  <c r="AN308" i="1" s="1"/>
  <c r="BD308" i="1" l="1"/>
  <c r="BQ308" i="1"/>
  <c r="AT307" i="1"/>
  <c r="AS307" i="1"/>
  <c r="AU307" i="1"/>
  <c r="AR308" i="1" a="1"/>
  <c r="AR308" i="1" s="1"/>
  <c r="AV306" i="1"/>
  <c r="AO309" i="1"/>
  <c r="AN309" i="1" s="1"/>
  <c r="BD309" i="1" l="1"/>
  <c r="BQ309" i="1"/>
  <c r="AS308" i="1"/>
  <c r="AT308" i="1"/>
  <c r="AU308" i="1"/>
  <c r="AR309" i="1" a="1"/>
  <c r="AR309" i="1" s="1"/>
  <c r="AV307" i="1"/>
  <c r="AO310" i="1"/>
  <c r="AN310" i="1" s="1"/>
  <c r="BD310" i="1" l="1"/>
  <c r="BQ310" i="1"/>
  <c r="AT309" i="1"/>
  <c r="AS309" i="1"/>
  <c r="AU309" i="1"/>
  <c r="AR310" i="1" a="1"/>
  <c r="AR310" i="1" s="1"/>
  <c r="AV308" i="1"/>
  <c r="AO311" i="1"/>
  <c r="AN311" i="1" s="1"/>
  <c r="BD311" i="1" l="1"/>
  <c r="BQ311" i="1"/>
  <c r="AU310" i="1"/>
  <c r="AS310" i="1"/>
  <c r="AT310" i="1"/>
  <c r="AR311" i="1" a="1"/>
  <c r="AR311" i="1" s="1"/>
  <c r="AV309" i="1"/>
  <c r="AO312" i="1"/>
  <c r="AN312" i="1" s="1"/>
  <c r="BD312" i="1" l="1"/>
  <c r="BQ312" i="1"/>
  <c r="AS311" i="1"/>
  <c r="AU311" i="1"/>
  <c r="AT311" i="1"/>
  <c r="AR312" i="1" a="1"/>
  <c r="AR312" i="1" s="1"/>
  <c r="AV310" i="1"/>
  <c r="AO313" i="1"/>
  <c r="AN313" i="1" s="1"/>
  <c r="BD313" i="1" l="1"/>
  <c r="BQ313" i="1"/>
  <c r="AS312" i="1"/>
  <c r="AU312" i="1"/>
  <c r="AT312" i="1"/>
  <c r="AR313" i="1" a="1"/>
  <c r="AR313" i="1" s="1"/>
  <c r="AV311" i="1"/>
  <c r="AO314" i="1"/>
  <c r="AN314" i="1" s="1"/>
  <c r="BD314" i="1" l="1"/>
  <c r="BQ314" i="1"/>
  <c r="AT313" i="1"/>
  <c r="AS313" i="1"/>
  <c r="AU313" i="1"/>
  <c r="AR314" i="1" a="1"/>
  <c r="AR314" i="1" s="1"/>
  <c r="AV312" i="1"/>
  <c r="AO315" i="1"/>
  <c r="AN315" i="1" s="1"/>
  <c r="BD315" i="1" l="1"/>
  <c r="BQ315" i="1"/>
  <c r="AU314" i="1"/>
  <c r="AT314" i="1"/>
  <c r="AS314" i="1"/>
  <c r="AR315" i="1" a="1"/>
  <c r="AR315" i="1" s="1"/>
  <c r="AV313" i="1"/>
  <c r="AO316" i="1"/>
  <c r="AN316" i="1" s="1"/>
  <c r="BD316" i="1" l="1"/>
  <c r="BQ316" i="1"/>
  <c r="AS315" i="1"/>
  <c r="AT315" i="1"/>
  <c r="AU315" i="1"/>
  <c r="AR316" i="1" a="1"/>
  <c r="AR316" i="1" s="1"/>
  <c r="AV314" i="1"/>
  <c r="AO317" i="1"/>
  <c r="AN317" i="1" s="1"/>
  <c r="BD317" i="1" l="1"/>
  <c r="BQ317" i="1"/>
  <c r="AS316" i="1"/>
  <c r="AT316" i="1"/>
  <c r="AU316" i="1"/>
  <c r="AR317" i="1" a="1"/>
  <c r="AR317" i="1" s="1"/>
  <c r="AV315" i="1"/>
  <c r="AO318" i="1"/>
  <c r="AN318" i="1" s="1"/>
  <c r="BD318" i="1" l="1"/>
  <c r="BQ318" i="1"/>
  <c r="AT317" i="1"/>
  <c r="AS317" i="1"/>
  <c r="AU317" i="1"/>
  <c r="AR318" i="1" a="1"/>
  <c r="AR318" i="1" s="1"/>
  <c r="AV316" i="1"/>
  <c r="AO319" i="1"/>
  <c r="AN319" i="1" s="1"/>
  <c r="BD319" i="1" l="1"/>
  <c r="BQ319" i="1"/>
  <c r="AU318" i="1"/>
  <c r="AS318" i="1"/>
  <c r="AT318" i="1"/>
  <c r="AR319" i="1" a="1"/>
  <c r="AR319" i="1" s="1"/>
  <c r="AV317" i="1"/>
  <c r="AO320" i="1"/>
  <c r="AN320" i="1" s="1"/>
  <c r="BD320" i="1" l="1"/>
  <c r="BQ320" i="1"/>
  <c r="AU319" i="1"/>
  <c r="AS319" i="1"/>
  <c r="AT319" i="1"/>
  <c r="AR320" i="1" a="1"/>
  <c r="AR320" i="1" s="1"/>
  <c r="AV318" i="1"/>
  <c r="AO321" i="1"/>
  <c r="AN321" i="1" s="1"/>
  <c r="BD321" i="1" l="1"/>
  <c r="BQ321" i="1"/>
  <c r="AS320" i="1"/>
  <c r="AT320" i="1"/>
  <c r="AU320" i="1"/>
  <c r="AR321" i="1" a="1"/>
  <c r="AR321" i="1" s="1"/>
  <c r="AV319" i="1"/>
  <c r="AO322" i="1"/>
  <c r="AN322" i="1" s="1"/>
  <c r="BD322" i="1" l="1"/>
  <c r="BQ322" i="1"/>
  <c r="AT321" i="1"/>
  <c r="AU321" i="1"/>
  <c r="AS321" i="1"/>
  <c r="AR322" i="1" a="1"/>
  <c r="AR322" i="1" s="1"/>
  <c r="AV320" i="1"/>
  <c r="AO323" i="1"/>
  <c r="AN323" i="1" s="1"/>
  <c r="BD323" i="1" l="1"/>
  <c r="BQ323" i="1"/>
  <c r="AU322" i="1"/>
  <c r="AS322" i="1"/>
  <c r="AT322" i="1"/>
  <c r="AR323" i="1" a="1"/>
  <c r="AR323" i="1" s="1"/>
  <c r="AV321" i="1"/>
  <c r="AO324" i="1"/>
  <c r="AN324" i="1" s="1"/>
  <c r="BD324" i="1" l="1"/>
  <c r="BQ324" i="1"/>
  <c r="AT323" i="1"/>
  <c r="AU323" i="1"/>
  <c r="AS323" i="1"/>
  <c r="AR324" i="1" a="1"/>
  <c r="AR324" i="1" s="1"/>
  <c r="AV322" i="1"/>
  <c r="AO325" i="1"/>
  <c r="AN325" i="1" s="1"/>
  <c r="BD325" i="1" l="1"/>
  <c r="BQ325" i="1"/>
  <c r="AS324" i="1"/>
  <c r="AT324" i="1"/>
  <c r="AU324" i="1"/>
  <c r="AR325" i="1" a="1"/>
  <c r="AR325" i="1" s="1"/>
  <c r="AV323" i="1"/>
  <c r="AO326" i="1"/>
  <c r="AN326" i="1" s="1"/>
  <c r="BD326" i="1" l="1"/>
  <c r="BQ326" i="1"/>
  <c r="AS325" i="1"/>
  <c r="AU325" i="1"/>
  <c r="AT325" i="1"/>
  <c r="AR326" i="1" a="1"/>
  <c r="AR326" i="1" s="1"/>
  <c r="AV324" i="1"/>
  <c r="AO327" i="1"/>
  <c r="AN327" i="1" s="1"/>
  <c r="BD327" i="1" l="1"/>
  <c r="BQ327" i="1"/>
  <c r="AT326" i="1"/>
  <c r="AS326" i="1"/>
  <c r="AU326" i="1"/>
  <c r="AR327" i="1" a="1"/>
  <c r="AR327" i="1" s="1"/>
  <c r="AV325" i="1"/>
  <c r="AO328" i="1"/>
  <c r="AN328" i="1" s="1"/>
  <c r="BD328" i="1" l="1"/>
  <c r="BQ328" i="1"/>
  <c r="AU327" i="1"/>
  <c r="AT327" i="1"/>
  <c r="AS327" i="1"/>
  <c r="AR328" i="1" a="1"/>
  <c r="AR328" i="1" s="1"/>
  <c r="AV326" i="1"/>
  <c r="AO329" i="1"/>
  <c r="AN329" i="1" s="1"/>
  <c r="BD329" i="1" l="1"/>
  <c r="BQ329" i="1"/>
  <c r="AS328" i="1"/>
  <c r="AT328" i="1"/>
  <c r="AU328" i="1"/>
  <c r="AR329" i="1" a="1"/>
  <c r="AR329" i="1" s="1"/>
  <c r="AV327" i="1"/>
  <c r="AO330" i="1"/>
  <c r="AN330" i="1" s="1"/>
  <c r="BD330" i="1" l="1"/>
  <c r="BQ330" i="1"/>
  <c r="AS329" i="1"/>
  <c r="AT329" i="1"/>
  <c r="AU329" i="1"/>
  <c r="AR330" i="1" a="1"/>
  <c r="AR330" i="1" s="1"/>
  <c r="AV328" i="1"/>
  <c r="AO331" i="1"/>
  <c r="AN331" i="1" s="1"/>
  <c r="BD331" i="1" l="1"/>
  <c r="BQ331" i="1"/>
  <c r="AT330" i="1"/>
  <c r="AS330" i="1"/>
  <c r="AU330" i="1"/>
  <c r="AR331" i="1" a="1"/>
  <c r="AR331" i="1" s="1"/>
  <c r="AV329" i="1"/>
  <c r="AO332" i="1"/>
  <c r="AN332" i="1" s="1"/>
  <c r="BD332" i="1" l="1"/>
  <c r="BQ332" i="1"/>
  <c r="AU331" i="1"/>
  <c r="AS331" i="1"/>
  <c r="AT331" i="1"/>
  <c r="AR332" i="1" a="1"/>
  <c r="AR332" i="1" s="1"/>
  <c r="AV330" i="1"/>
  <c r="AO333" i="1"/>
  <c r="AN333" i="1" s="1"/>
  <c r="BD333" i="1" l="1"/>
  <c r="BQ333" i="1"/>
  <c r="AU332" i="1"/>
  <c r="AS332" i="1"/>
  <c r="AT332" i="1"/>
  <c r="AR333" i="1" a="1"/>
  <c r="AR333" i="1" s="1"/>
  <c r="AV331" i="1"/>
  <c r="AO334" i="1"/>
  <c r="AN334" i="1" s="1"/>
  <c r="BD334" i="1" l="1"/>
  <c r="BQ334" i="1"/>
  <c r="AS333" i="1"/>
  <c r="AT333" i="1"/>
  <c r="AU333" i="1"/>
  <c r="AR334" i="1" a="1"/>
  <c r="AR334" i="1" s="1"/>
  <c r="AV332" i="1"/>
  <c r="AO335" i="1"/>
  <c r="AN335" i="1" s="1"/>
  <c r="BD335" i="1" l="1"/>
  <c r="BQ335" i="1"/>
  <c r="AT334" i="1"/>
  <c r="AU334" i="1"/>
  <c r="AS334" i="1"/>
  <c r="AR335" i="1" a="1"/>
  <c r="AR335" i="1" s="1"/>
  <c r="AV333" i="1"/>
  <c r="AO336" i="1"/>
  <c r="AN336" i="1" s="1"/>
  <c r="BD336" i="1" l="1"/>
  <c r="BQ336" i="1"/>
  <c r="AU335" i="1"/>
  <c r="AS335" i="1"/>
  <c r="AT335" i="1"/>
  <c r="AR336" i="1" a="1"/>
  <c r="AR336" i="1" s="1"/>
  <c r="AV334" i="1"/>
  <c r="AO337" i="1"/>
  <c r="AN337" i="1" s="1"/>
  <c r="BD337" i="1" l="1"/>
  <c r="BQ337" i="1"/>
  <c r="AT336" i="1"/>
  <c r="AU336" i="1"/>
  <c r="AS336" i="1"/>
  <c r="AR337" i="1" a="1"/>
  <c r="AR337" i="1" s="1"/>
  <c r="AV335" i="1"/>
  <c r="AO338" i="1"/>
  <c r="AN338" i="1" s="1"/>
  <c r="BD338" i="1" l="1"/>
  <c r="BQ338" i="1"/>
  <c r="AS337" i="1"/>
  <c r="AT337" i="1"/>
  <c r="AU337" i="1"/>
  <c r="AR338" i="1" a="1"/>
  <c r="AR338" i="1" s="1"/>
  <c r="AV336" i="1"/>
  <c r="AO339" i="1"/>
  <c r="AN339" i="1" s="1"/>
  <c r="BD339" i="1" l="1"/>
  <c r="BQ339" i="1"/>
  <c r="AT338" i="1"/>
  <c r="AS338" i="1"/>
  <c r="AU338" i="1"/>
  <c r="AR339" i="1" a="1"/>
  <c r="AR339" i="1" s="1"/>
  <c r="AV337" i="1"/>
  <c r="AO340" i="1"/>
  <c r="AN340" i="1" s="1"/>
  <c r="BD340" i="1" l="1"/>
  <c r="BQ340" i="1"/>
  <c r="AU339" i="1"/>
  <c r="AS339" i="1"/>
  <c r="AT339" i="1"/>
  <c r="AR340" i="1" a="1"/>
  <c r="AR340" i="1" s="1"/>
  <c r="AV338" i="1"/>
  <c r="AO341" i="1"/>
  <c r="AN341" i="1" s="1"/>
  <c r="BD341" i="1" l="1"/>
  <c r="BQ341" i="1"/>
  <c r="AS340" i="1"/>
  <c r="AT340" i="1"/>
  <c r="AU340" i="1"/>
  <c r="AR341" i="1" a="1"/>
  <c r="AR341" i="1" s="1"/>
  <c r="AV339" i="1"/>
  <c r="AO342" i="1"/>
  <c r="AN342" i="1" s="1"/>
  <c r="BD342" i="1" l="1"/>
  <c r="BQ342" i="1"/>
  <c r="AS341" i="1"/>
  <c r="AU341" i="1"/>
  <c r="AT341" i="1"/>
  <c r="AR342" i="1" a="1"/>
  <c r="AR342" i="1" s="1"/>
  <c r="AV340" i="1"/>
  <c r="AO343" i="1"/>
  <c r="AN343" i="1" s="1"/>
  <c r="BD343" i="1" l="1"/>
  <c r="BQ343" i="1"/>
  <c r="AT342" i="1"/>
  <c r="AS342" i="1"/>
  <c r="AU342" i="1"/>
  <c r="AR343" i="1" a="1"/>
  <c r="AR343" i="1" s="1"/>
  <c r="AV341" i="1"/>
  <c r="AO344" i="1"/>
  <c r="AN344" i="1" s="1"/>
  <c r="BD344" i="1" l="1"/>
  <c r="BQ344" i="1"/>
  <c r="AU343" i="1"/>
  <c r="AT343" i="1"/>
  <c r="AS343" i="1"/>
  <c r="AR344" i="1" a="1"/>
  <c r="AR344" i="1" s="1"/>
  <c r="AV342" i="1"/>
  <c r="AO345" i="1"/>
  <c r="AN345" i="1" s="1"/>
  <c r="BD345" i="1" l="1"/>
  <c r="BQ345" i="1"/>
  <c r="AS344" i="1"/>
  <c r="AT344" i="1"/>
  <c r="AU344" i="1"/>
  <c r="AR345" i="1" a="1"/>
  <c r="AR345" i="1" s="1"/>
  <c r="AV343" i="1"/>
  <c r="AO346" i="1"/>
  <c r="AN346" i="1" s="1"/>
  <c r="BD346" i="1" l="1"/>
  <c r="BQ346" i="1"/>
  <c r="AS345" i="1"/>
  <c r="AT345" i="1"/>
  <c r="AU345" i="1"/>
  <c r="AR346" i="1" a="1"/>
  <c r="AR346" i="1" s="1"/>
  <c r="AV344" i="1"/>
  <c r="AO347" i="1"/>
  <c r="AN347" i="1" s="1"/>
  <c r="BD347" i="1" l="1"/>
  <c r="BQ347" i="1"/>
  <c r="AT346" i="1"/>
  <c r="AS346" i="1"/>
  <c r="AU346" i="1"/>
  <c r="AR347" i="1" a="1"/>
  <c r="AR347" i="1" s="1"/>
  <c r="AV345" i="1"/>
  <c r="AO348" i="1"/>
  <c r="AN348" i="1" s="1"/>
  <c r="BD348" i="1" l="1"/>
  <c r="BQ348" i="1"/>
  <c r="AU347" i="1"/>
  <c r="AS347" i="1"/>
  <c r="AT347" i="1"/>
  <c r="AR348" i="1" a="1"/>
  <c r="AR348" i="1" s="1"/>
  <c r="AV346" i="1"/>
  <c r="AO349" i="1"/>
  <c r="AN349" i="1" s="1"/>
  <c r="BD349" i="1" l="1"/>
  <c r="BQ349" i="1"/>
  <c r="AU348" i="1"/>
  <c r="AS348" i="1"/>
  <c r="AT348" i="1"/>
  <c r="AR349" i="1" a="1"/>
  <c r="AR349" i="1" s="1"/>
  <c r="AV347" i="1"/>
  <c r="AO350" i="1"/>
  <c r="AN350" i="1" s="1"/>
  <c r="BD350" i="1" l="1"/>
  <c r="BQ350" i="1"/>
  <c r="AS349" i="1"/>
  <c r="AT349" i="1"/>
  <c r="AU349" i="1"/>
  <c r="AR350" i="1" a="1"/>
  <c r="AR350" i="1" s="1"/>
  <c r="AV348" i="1"/>
  <c r="AO351" i="1"/>
  <c r="AN351" i="1" s="1"/>
  <c r="BD351" i="1" l="1"/>
  <c r="BQ351" i="1"/>
  <c r="AT350" i="1"/>
  <c r="AU350" i="1"/>
  <c r="AS350" i="1"/>
  <c r="AR351" i="1" a="1"/>
  <c r="AR351" i="1" s="1"/>
  <c r="AV349" i="1"/>
  <c r="AO352" i="1"/>
  <c r="AN352" i="1" s="1"/>
  <c r="BD352" i="1" l="1"/>
  <c r="BQ352" i="1"/>
  <c r="AU351" i="1"/>
  <c r="AS351" i="1"/>
  <c r="AT351" i="1"/>
  <c r="AR352" i="1" a="1"/>
  <c r="AR352" i="1" s="1"/>
  <c r="AV350" i="1"/>
  <c r="AO353" i="1"/>
  <c r="AN353" i="1" s="1"/>
  <c r="BD353" i="1" l="1"/>
  <c r="BQ353" i="1"/>
  <c r="AT352" i="1"/>
  <c r="AU352" i="1"/>
  <c r="AS352" i="1"/>
  <c r="AR353" i="1" a="1"/>
  <c r="AR353" i="1" s="1"/>
  <c r="AV351" i="1"/>
  <c r="AO354" i="1"/>
  <c r="AN354" i="1" s="1"/>
  <c r="BD354" i="1" l="1"/>
  <c r="BQ354" i="1"/>
  <c r="AS353" i="1"/>
  <c r="AT353" i="1"/>
  <c r="AU353" i="1"/>
  <c r="AR354" i="1" a="1"/>
  <c r="AR354" i="1" s="1"/>
  <c r="AV352" i="1"/>
  <c r="AO355" i="1"/>
  <c r="AN355" i="1" s="1"/>
  <c r="BD355" i="1" l="1"/>
  <c r="BQ355" i="1"/>
  <c r="AT354" i="1"/>
  <c r="AS354" i="1"/>
  <c r="AU354" i="1"/>
  <c r="AR355" i="1" a="1"/>
  <c r="AR355" i="1" s="1"/>
  <c r="AV353" i="1"/>
  <c r="AO356" i="1"/>
  <c r="AN356" i="1" s="1"/>
  <c r="BD356" i="1" l="1"/>
  <c r="BQ356" i="1"/>
  <c r="AU355" i="1"/>
  <c r="AS355" i="1"/>
  <c r="AT355" i="1"/>
  <c r="AR356" i="1" a="1"/>
  <c r="AR356" i="1" s="1"/>
  <c r="AV354" i="1"/>
  <c r="AO357" i="1"/>
  <c r="AN357" i="1" s="1"/>
  <c r="BD357" i="1" l="1"/>
  <c r="BQ357" i="1"/>
  <c r="AS356" i="1"/>
  <c r="AT356" i="1"/>
  <c r="AU356" i="1"/>
  <c r="AR357" i="1" a="1"/>
  <c r="AR357" i="1" s="1"/>
  <c r="AV355" i="1"/>
  <c r="AO358" i="1"/>
  <c r="AN358" i="1" s="1"/>
  <c r="BD358" i="1" l="1"/>
  <c r="BQ358" i="1"/>
  <c r="AS357" i="1"/>
  <c r="AU357" i="1"/>
  <c r="AT357" i="1"/>
  <c r="AR358" i="1" a="1"/>
  <c r="AR358" i="1" s="1"/>
  <c r="AV356" i="1"/>
  <c r="AO359" i="1"/>
  <c r="AN359" i="1" s="1"/>
  <c r="BD359" i="1" l="1"/>
  <c r="BQ359" i="1"/>
  <c r="AT358" i="1"/>
  <c r="AS358" i="1"/>
  <c r="AU358" i="1"/>
  <c r="AR359" i="1" a="1"/>
  <c r="AR359" i="1" s="1"/>
  <c r="AV357" i="1"/>
  <c r="AO360" i="1"/>
  <c r="AN360" i="1" s="1"/>
  <c r="BD360" i="1" l="1"/>
  <c r="BQ360" i="1"/>
  <c r="AU359" i="1"/>
  <c r="AT359" i="1"/>
  <c r="AS359" i="1"/>
  <c r="AR360" i="1" a="1"/>
  <c r="AR360" i="1" s="1"/>
  <c r="AV358" i="1"/>
  <c r="AO361" i="1"/>
  <c r="AN361" i="1" s="1"/>
  <c r="BD361" i="1" l="1"/>
  <c r="BQ361" i="1"/>
  <c r="AS360" i="1"/>
  <c r="AT360" i="1"/>
  <c r="AU360" i="1"/>
  <c r="AR361" i="1" a="1"/>
  <c r="AR361" i="1" s="1"/>
  <c r="AV359" i="1"/>
  <c r="AO362" i="1"/>
  <c r="AN362" i="1" s="1"/>
  <c r="BD362" i="1" l="1"/>
  <c r="BQ362" i="1"/>
  <c r="AS361" i="1"/>
  <c r="AT361" i="1"/>
  <c r="AU361" i="1"/>
  <c r="AR362" i="1" a="1"/>
  <c r="AR362" i="1" s="1"/>
  <c r="AV360" i="1"/>
  <c r="AO363" i="1"/>
  <c r="AN363" i="1" s="1"/>
  <c r="BD363" i="1" l="1"/>
  <c r="BQ363" i="1"/>
  <c r="AT362" i="1"/>
  <c r="AS362" i="1"/>
  <c r="AU362" i="1"/>
  <c r="AR363" i="1" a="1"/>
  <c r="AR363" i="1" s="1"/>
  <c r="AV361" i="1"/>
  <c r="AO364" i="1"/>
  <c r="AN364" i="1" s="1"/>
  <c r="BD364" i="1" l="1"/>
  <c r="BQ364" i="1"/>
  <c r="AU363" i="1"/>
  <c r="AS363" i="1"/>
  <c r="AT363" i="1"/>
  <c r="AR364" i="1" a="1"/>
  <c r="AR364" i="1" s="1"/>
  <c r="AV362" i="1"/>
  <c r="AO365" i="1"/>
  <c r="AN365" i="1" s="1"/>
  <c r="BD365" i="1" l="1"/>
  <c r="BQ365" i="1"/>
  <c r="AU364" i="1"/>
  <c r="AS364" i="1"/>
  <c r="AT364" i="1"/>
  <c r="AR365" i="1" a="1"/>
  <c r="AR365" i="1" s="1"/>
  <c r="AV363" i="1"/>
  <c r="AO366" i="1"/>
  <c r="AN366" i="1" s="1"/>
  <c r="BD366" i="1" l="1"/>
  <c r="BQ366" i="1"/>
  <c r="AS365" i="1"/>
  <c r="AT365" i="1"/>
  <c r="AU365" i="1"/>
  <c r="AR366" i="1" a="1"/>
  <c r="AR366" i="1" s="1"/>
  <c r="AV364" i="1"/>
  <c r="AO367" i="1"/>
  <c r="AN367" i="1" s="1"/>
  <c r="BD367" i="1" l="1"/>
  <c r="BQ367" i="1"/>
  <c r="AT366" i="1"/>
  <c r="AU366" i="1"/>
  <c r="AS366" i="1"/>
  <c r="AR367" i="1" a="1"/>
  <c r="AR367" i="1" s="1"/>
  <c r="AV365" i="1"/>
  <c r="AO368" i="1"/>
  <c r="AN368" i="1" s="1"/>
  <c r="BD368" i="1" l="1"/>
  <c r="BQ368" i="1"/>
  <c r="AU367" i="1"/>
  <c r="AS367" i="1"/>
  <c r="AT367" i="1"/>
  <c r="AR368" i="1" a="1"/>
  <c r="AR368" i="1" s="1"/>
  <c r="AV366" i="1"/>
  <c r="AO369" i="1"/>
  <c r="AN369" i="1" s="1"/>
  <c r="BD369" i="1" l="1"/>
  <c r="BQ369" i="1"/>
  <c r="AT368" i="1"/>
  <c r="AU368" i="1"/>
  <c r="AS368" i="1"/>
  <c r="AR369" i="1" a="1"/>
  <c r="AR369" i="1" s="1"/>
  <c r="AV367" i="1"/>
  <c r="AO370" i="1"/>
  <c r="AN370" i="1" s="1"/>
  <c r="BD370" i="1" l="1"/>
  <c r="BQ370" i="1"/>
  <c r="AS369" i="1"/>
  <c r="AT369" i="1"/>
  <c r="AU369" i="1"/>
  <c r="AR370" i="1" a="1"/>
  <c r="AR370" i="1" s="1"/>
  <c r="AV368" i="1"/>
  <c r="AO371" i="1"/>
  <c r="AN371" i="1" s="1"/>
  <c r="BD371" i="1" l="1"/>
  <c r="BQ371" i="1"/>
  <c r="AT370" i="1"/>
  <c r="AS370" i="1"/>
  <c r="AU370" i="1"/>
  <c r="AR371" i="1" a="1"/>
  <c r="AR371" i="1" s="1"/>
  <c r="AV369" i="1"/>
  <c r="AO372" i="1"/>
  <c r="AN372" i="1" s="1"/>
  <c r="BD372" i="1" l="1"/>
  <c r="BQ372" i="1"/>
  <c r="AU371" i="1"/>
  <c r="AS371" i="1"/>
  <c r="AT371" i="1"/>
  <c r="AR372" i="1" a="1"/>
  <c r="AR372" i="1" s="1"/>
  <c r="AV370" i="1"/>
  <c r="AO373" i="1"/>
  <c r="AN373" i="1" s="1"/>
  <c r="BD373" i="1" l="1"/>
  <c r="BQ373" i="1"/>
  <c r="AS372" i="1"/>
  <c r="AT372" i="1"/>
  <c r="AU372" i="1"/>
  <c r="AR373" i="1" a="1"/>
  <c r="AR373" i="1" s="1"/>
  <c r="AV371" i="1"/>
  <c r="AO374" i="1"/>
  <c r="AN374" i="1" s="1"/>
  <c r="BD374" i="1" l="1"/>
  <c r="BQ374" i="1"/>
  <c r="AS373" i="1"/>
  <c r="AU373" i="1"/>
  <c r="AT373" i="1"/>
  <c r="AR374" i="1" a="1"/>
  <c r="AR374" i="1" s="1"/>
  <c r="AV372" i="1"/>
  <c r="AO375" i="1"/>
  <c r="AN375" i="1" s="1"/>
  <c r="BD375" i="1" l="1"/>
  <c r="BQ375" i="1"/>
  <c r="AT374" i="1"/>
  <c r="AS374" i="1"/>
  <c r="AU374" i="1"/>
  <c r="AR375" i="1" a="1"/>
  <c r="AR375" i="1" s="1"/>
  <c r="AV373" i="1"/>
  <c r="AO376" i="1"/>
  <c r="AN376" i="1" s="1"/>
  <c r="BD376" i="1" l="1"/>
  <c r="BQ376" i="1"/>
  <c r="AU375" i="1"/>
  <c r="AT375" i="1"/>
  <c r="AS375" i="1"/>
  <c r="AR376" i="1" a="1"/>
  <c r="AR376" i="1" s="1"/>
  <c r="AV374" i="1"/>
  <c r="AO377" i="1"/>
  <c r="AN377" i="1" s="1"/>
  <c r="BD377" i="1" l="1"/>
  <c r="BQ377" i="1"/>
  <c r="AS376" i="1"/>
  <c r="AT376" i="1"/>
  <c r="AU376" i="1"/>
  <c r="AR377" i="1" a="1"/>
  <c r="AR377" i="1" s="1"/>
  <c r="AV375" i="1"/>
  <c r="AO378" i="1"/>
  <c r="AN378" i="1" s="1"/>
  <c r="BD378" i="1" l="1"/>
  <c r="BQ378" i="1"/>
  <c r="AS377" i="1"/>
  <c r="AT377" i="1"/>
  <c r="AU377" i="1"/>
  <c r="AR378" i="1" a="1"/>
  <c r="AR378" i="1" s="1"/>
  <c r="AV376" i="1"/>
  <c r="AO379" i="1"/>
  <c r="AN379" i="1" s="1"/>
  <c r="BD379" i="1" l="1"/>
  <c r="BQ379" i="1"/>
  <c r="AT378" i="1"/>
  <c r="AS378" i="1"/>
  <c r="AU378" i="1"/>
  <c r="AR379" i="1" a="1"/>
  <c r="AR379" i="1" s="1"/>
  <c r="AV377" i="1"/>
  <c r="AO380" i="1"/>
  <c r="AN380" i="1" s="1"/>
  <c r="BD380" i="1" l="1"/>
  <c r="BQ380" i="1"/>
  <c r="AU379" i="1"/>
  <c r="AS379" i="1"/>
  <c r="AT379" i="1"/>
  <c r="AR380" i="1" a="1"/>
  <c r="AR380" i="1" s="1"/>
  <c r="AV378" i="1"/>
  <c r="AO381" i="1"/>
  <c r="AN381" i="1" s="1"/>
  <c r="BD381" i="1" l="1"/>
  <c r="BQ381" i="1"/>
  <c r="AU380" i="1"/>
  <c r="AS380" i="1"/>
  <c r="AT380" i="1"/>
  <c r="AR381" i="1" a="1"/>
  <c r="AR381" i="1" s="1"/>
  <c r="AV379" i="1"/>
  <c r="AO382" i="1"/>
  <c r="AN382" i="1" s="1"/>
  <c r="BD382" i="1" l="1"/>
  <c r="BQ382" i="1"/>
  <c r="AS381" i="1"/>
  <c r="AT381" i="1"/>
  <c r="AU381" i="1"/>
  <c r="AR382" i="1" a="1"/>
  <c r="AR382" i="1" s="1"/>
  <c r="AV380" i="1"/>
  <c r="AO383" i="1"/>
  <c r="AN383" i="1" s="1"/>
  <c r="BD383" i="1" l="1"/>
  <c r="BQ383" i="1"/>
  <c r="AT382" i="1"/>
  <c r="AU382" i="1"/>
  <c r="AS382" i="1"/>
  <c r="AR383" i="1" a="1"/>
  <c r="AR383" i="1" s="1"/>
  <c r="AV381" i="1"/>
  <c r="AO384" i="1"/>
  <c r="AN384" i="1" s="1"/>
  <c r="BD384" i="1" l="1"/>
  <c r="BQ384" i="1"/>
  <c r="AU383" i="1"/>
  <c r="AS383" i="1"/>
  <c r="AT383" i="1"/>
  <c r="AR384" i="1" a="1"/>
  <c r="AR384" i="1" s="1"/>
  <c r="AV382" i="1"/>
  <c r="AO385" i="1"/>
  <c r="AN385" i="1" s="1"/>
  <c r="BD385" i="1" l="1"/>
  <c r="BQ385" i="1"/>
  <c r="AT384" i="1"/>
  <c r="AU384" i="1"/>
  <c r="AS384" i="1"/>
  <c r="AR385" i="1" a="1"/>
  <c r="AR385" i="1" s="1"/>
  <c r="AV383" i="1"/>
  <c r="AO386" i="1"/>
  <c r="AN386" i="1" s="1"/>
  <c r="BD386" i="1" l="1"/>
  <c r="BQ386" i="1"/>
  <c r="AS385" i="1"/>
  <c r="AT385" i="1"/>
  <c r="AU385" i="1"/>
  <c r="AR386" i="1" a="1"/>
  <c r="AR386" i="1" s="1"/>
  <c r="AV384" i="1"/>
  <c r="AO387" i="1"/>
  <c r="AN387" i="1" s="1"/>
  <c r="BD387" i="1" l="1"/>
  <c r="BQ387" i="1"/>
  <c r="AT386" i="1"/>
  <c r="AS386" i="1"/>
  <c r="AU386" i="1"/>
  <c r="AR387" i="1" a="1"/>
  <c r="AR387" i="1" s="1"/>
  <c r="AV385" i="1"/>
  <c r="AO388" i="1"/>
  <c r="AN388" i="1" s="1"/>
  <c r="BD388" i="1" l="1"/>
  <c r="BQ388" i="1"/>
  <c r="AU387" i="1"/>
  <c r="AS387" i="1"/>
  <c r="AT387" i="1"/>
  <c r="AR388" i="1" a="1"/>
  <c r="AR388" i="1" s="1"/>
  <c r="AV386" i="1"/>
  <c r="AO389" i="1"/>
  <c r="AN389" i="1" s="1"/>
  <c r="BD389" i="1" l="1"/>
  <c r="BQ389" i="1"/>
  <c r="AS388" i="1"/>
  <c r="AT388" i="1"/>
  <c r="AU388" i="1"/>
  <c r="AR389" i="1" a="1"/>
  <c r="AR389" i="1" s="1"/>
  <c r="AV387" i="1"/>
  <c r="AO390" i="1"/>
  <c r="AN390" i="1" s="1"/>
  <c r="BD390" i="1" l="1"/>
  <c r="BQ390" i="1"/>
  <c r="AS389" i="1"/>
  <c r="AU389" i="1"/>
  <c r="AT389" i="1"/>
  <c r="AR390" i="1" a="1"/>
  <c r="AR390" i="1" s="1"/>
  <c r="AV388" i="1"/>
  <c r="AO391" i="1"/>
  <c r="AN391" i="1" s="1"/>
  <c r="BD391" i="1" l="1"/>
  <c r="BQ391" i="1"/>
  <c r="AT390" i="1"/>
  <c r="AS390" i="1"/>
  <c r="AU390" i="1"/>
  <c r="AR391" i="1" a="1"/>
  <c r="AR391" i="1" s="1"/>
  <c r="AV389" i="1"/>
  <c r="AO392" i="1"/>
  <c r="AN392" i="1" s="1"/>
  <c r="BD392" i="1" l="1"/>
  <c r="BQ392" i="1"/>
  <c r="AU391" i="1"/>
  <c r="AT391" i="1"/>
  <c r="AS391" i="1"/>
  <c r="AR392" i="1" a="1"/>
  <c r="AR392" i="1" s="1"/>
  <c r="AV390" i="1"/>
  <c r="AO393" i="1"/>
  <c r="AN393" i="1" s="1"/>
  <c r="BD393" i="1" l="1"/>
  <c r="BQ393" i="1"/>
  <c r="AS392" i="1"/>
  <c r="AT392" i="1"/>
  <c r="AU392" i="1"/>
  <c r="AR393" i="1" a="1"/>
  <c r="AR393" i="1" s="1"/>
  <c r="AV391" i="1"/>
  <c r="AO394" i="1"/>
  <c r="AN394" i="1" s="1"/>
  <c r="BD394" i="1" l="1"/>
  <c r="BQ394" i="1"/>
  <c r="AS393" i="1"/>
  <c r="AT393" i="1"/>
  <c r="AU393" i="1"/>
  <c r="AR394" i="1" a="1"/>
  <c r="AR394" i="1" s="1"/>
  <c r="AV392" i="1"/>
  <c r="AO395" i="1"/>
  <c r="AN395" i="1" s="1"/>
  <c r="BD395" i="1" l="1"/>
  <c r="BQ395" i="1"/>
  <c r="AT394" i="1"/>
  <c r="AS394" i="1"/>
  <c r="AU394" i="1"/>
  <c r="AR395" i="1" a="1"/>
  <c r="AR395" i="1" s="1"/>
  <c r="AV393" i="1"/>
  <c r="AO396" i="1"/>
  <c r="AN396" i="1" s="1"/>
  <c r="BD396" i="1" l="1"/>
  <c r="BQ396" i="1"/>
  <c r="AU395" i="1"/>
  <c r="AS395" i="1"/>
  <c r="AT395" i="1"/>
  <c r="AR396" i="1" a="1"/>
  <c r="AR396" i="1" s="1"/>
  <c r="AV394" i="1"/>
  <c r="AO397" i="1"/>
  <c r="AN397" i="1" s="1"/>
  <c r="BD397" i="1" l="1"/>
  <c r="BQ397" i="1"/>
  <c r="AU396" i="1"/>
  <c r="AT396" i="1"/>
  <c r="AS396" i="1"/>
  <c r="AR397" i="1" a="1"/>
  <c r="AR397" i="1" s="1"/>
  <c r="AV395" i="1"/>
  <c r="AO398" i="1"/>
  <c r="AN398" i="1" s="1"/>
  <c r="BD398" i="1" l="1"/>
  <c r="BQ398" i="1"/>
  <c r="AS397" i="1"/>
  <c r="AT397" i="1"/>
  <c r="AU397" i="1"/>
  <c r="AR398" i="1" a="1"/>
  <c r="AR398" i="1" s="1"/>
  <c r="AV396" i="1"/>
  <c r="AO399" i="1"/>
  <c r="AN399" i="1" s="1"/>
  <c r="BD399" i="1" l="1"/>
  <c r="BQ399" i="1"/>
  <c r="AT398" i="1"/>
  <c r="AU398" i="1"/>
  <c r="AS398" i="1"/>
  <c r="AR399" i="1" a="1"/>
  <c r="AR399" i="1" s="1"/>
  <c r="AV397" i="1"/>
  <c r="AO400" i="1"/>
  <c r="AN400" i="1" s="1"/>
  <c r="BD400" i="1" l="1"/>
  <c r="BQ400" i="1"/>
  <c r="AU399" i="1"/>
  <c r="AS399" i="1"/>
  <c r="AT399" i="1"/>
  <c r="AR400" i="1" a="1"/>
  <c r="AR400" i="1" s="1"/>
  <c r="AV398" i="1"/>
  <c r="AO401" i="1"/>
  <c r="AN401" i="1" s="1"/>
  <c r="BD401" i="1" l="1"/>
  <c r="BQ401" i="1"/>
  <c r="AT400" i="1"/>
  <c r="AU400" i="1"/>
  <c r="AS400" i="1"/>
  <c r="AR401" i="1" a="1"/>
  <c r="AR401" i="1" s="1"/>
  <c r="AV399" i="1"/>
  <c r="AO402" i="1"/>
  <c r="AN402" i="1" s="1"/>
  <c r="BD402" i="1" l="1"/>
  <c r="BQ402" i="1"/>
  <c r="AS401" i="1"/>
  <c r="AT401" i="1"/>
  <c r="AU401" i="1"/>
  <c r="AR402" i="1" a="1"/>
  <c r="AR402" i="1" s="1"/>
  <c r="AV400" i="1"/>
  <c r="AO403" i="1"/>
  <c r="AN403" i="1" s="1"/>
  <c r="BD403" i="1" l="1"/>
  <c r="BQ403" i="1"/>
  <c r="AT402" i="1"/>
  <c r="AS402" i="1"/>
  <c r="AU402" i="1"/>
  <c r="AR403" i="1" a="1"/>
  <c r="AR403" i="1" s="1"/>
  <c r="AV401" i="1"/>
  <c r="AO404" i="1"/>
  <c r="AN404" i="1" s="1"/>
  <c r="BD404" i="1" l="1"/>
  <c r="BQ404" i="1"/>
  <c r="AU403" i="1"/>
  <c r="AS403" i="1"/>
  <c r="AT403" i="1"/>
  <c r="AR404" i="1" a="1"/>
  <c r="AR404" i="1" s="1"/>
  <c r="AV402" i="1"/>
  <c r="AO405" i="1"/>
  <c r="AN405" i="1" s="1"/>
  <c r="BD405" i="1" l="1"/>
  <c r="BQ405" i="1"/>
  <c r="AS404" i="1"/>
  <c r="AT404" i="1"/>
  <c r="AU404" i="1"/>
  <c r="AR405" i="1" a="1"/>
  <c r="AR405" i="1" s="1"/>
  <c r="AV403" i="1"/>
  <c r="AO406" i="1"/>
  <c r="AN406" i="1" s="1"/>
  <c r="BD406" i="1" l="1"/>
  <c r="BQ406" i="1"/>
  <c r="AS405" i="1"/>
  <c r="AU405" i="1"/>
  <c r="AT405" i="1"/>
  <c r="AR406" i="1" a="1"/>
  <c r="AR406" i="1" s="1"/>
  <c r="AV404" i="1"/>
  <c r="AO407" i="1"/>
  <c r="AN407" i="1" s="1"/>
  <c r="BD407" i="1" l="1"/>
  <c r="BQ407" i="1"/>
  <c r="AT406" i="1"/>
  <c r="AS406" i="1"/>
  <c r="AU406" i="1"/>
  <c r="AR407" i="1" a="1"/>
  <c r="AR407" i="1" s="1"/>
  <c r="AV405" i="1"/>
  <c r="AO408" i="1"/>
  <c r="AN408" i="1" s="1"/>
  <c r="BD408" i="1" l="1"/>
  <c r="BQ408" i="1"/>
  <c r="AU407" i="1"/>
  <c r="AT407" i="1"/>
  <c r="AS407" i="1"/>
  <c r="AR408" i="1" a="1"/>
  <c r="AR408" i="1" s="1"/>
  <c r="AV406" i="1"/>
  <c r="AO409" i="1"/>
  <c r="AN409" i="1" s="1"/>
  <c r="BD409" i="1" l="1"/>
  <c r="BQ409" i="1"/>
  <c r="AS408" i="1"/>
  <c r="AT408" i="1"/>
  <c r="AU408" i="1"/>
  <c r="AR409" i="1" a="1"/>
  <c r="AR409" i="1" s="1"/>
  <c r="AV407" i="1"/>
  <c r="AO410" i="1"/>
  <c r="AN410" i="1" s="1"/>
  <c r="BD410" i="1" l="1"/>
  <c r="BQ410" i="1"/>
  <c r="AS409" i="1"/>
  <c r="AT409" i="1"/>
  <c r="AU409" i="1"/>
  <c r="AR410" i="1" a="1"/>
  <c r="AR410" i="1" s="1"/>
  <c r="AV408" i="1"/>
  <c r="AO411" i="1"/>
  <c r="AN411" i="1" s="1"/>
  <c r="BD411" i="1" l="1"/>
  <c r="BQ411" i="1"/>
  <c r="AT410" i="1"/>
  <c r="AS410" i="1"/>
  <c r="AU410" i="1"/>
  <c r="AR411" i="1" a="1"/>
  <c r="AR411" i="1" s="1"/>
  <c r="AV409" i="1"/>
  <c r="AO412" i="1"/>
  <c r="AN412" i="1" s="1"/>
  <c r="BD412" i="1" l="1"/>
  <c r="BQ412" i="1"/>
  <c r="AU411" i="1"/>
  <c r="AS411" i="1"/>
  <c r="AT411" i="1"/>
  <c r="AR412" i="1" a="1"/>
  <c r="AR412" i="1" s="1"/>
  <c r="AV410" i="1"/>
  <c r="AO413" i="1"/>
  <c r="AN413" i="1" s="1"/>
  <c r="BD413" i="1" l="1"/>
  <c r="BQ413" i="1"/>
  <c r="AU412" i="1"/>
  <c r="AS412" i="1"/>
  <c r="AT412" i="1"/>
  <c r="AR413" i="1" a="1"/>
  <c r="AR413" i="1" s="1"/>
  <c r="AV411" i="1"/>
  <c r="AO414" i="1"/>
  <c r="AN414" i="1" s="1"/>
  <c r="BD414" i="1" l="1"/>
  <c r="BQ414" i="1"/>
  <c r="AS413" i="1"/>
  <c r="AT413" i="1"/>
  <c r="AU413" i="1"/>
  <c r="AR414" i="1" a="1"/>
  <c r="AR414" i="1" s="1"/>
  <c r="AV412" i="1"/>
  <c r="AO415" i="1"/>
  <c r="AN415" i="1" s="1"/>
  <c r="BD415" i="1" l="1"/>
  <c r="BQ415" i="1"/>
  <c r="AT414" i="1"/>
  <c r="AU414" i="1"/>
  <c r="AS414" i="1"/>
  <c r="AR415" i="1" a="1"/>
  <c r="AR415" i="1" s="1"/>
  <c r="AV413" i="1"/>
  <c r="AO416" i="1"/>
  <c r="AN416" i="1" s="1"/>
  <c r="BD416" i="1" l="1"/>
  <c r="BQ416" i="1"/>
  <c r="AU415" i="1"/>
  <c r="AS415" i="1"/>
  <c r="AT415" i="1"/>
  <c r="AR416" i="1" a="1"/>
  <c r="AR416" i="1" s="1"/>
  <c r="AV414" i="1"/>
  <c r="AO417" i="1"/>
  <c r="AN417" i="1" s="1"/>
  <c r="BD417" i="1" l="1"/>
  <c r="BQ417" i="1"/>
  <c r="AT416" i="1"/>
  <c r="AU416" i="1"/>
  <c r="AS416" i="1"/>
  <c r="AR417" i="1" a="1"/>
  <c r="AR417" i="1" s="1"/>
  <c r="AV415" i="1"/>
  <c r="AO418" i="1"/>
  <c r="AN418" i="1" s="1"/>
  <c r="BD418" i="1" l="1"/>
  <c r="BQ418" i="1"/>
  <c r="AS417" i="1"/>
  <c r="AT417" i="1"/>
  <c r="AU417" i="1"/>
  <c r="AR418" i="1" a="1"/>
  <c r="AR418" i="1" s="1"/>
  <c r="AV416" i="1"/>
  <c r="AO419" i="1"/>
  <c r="AN419" i="1" s="1"/>
  <c r="BD419" i="1" l="1"/>
  <c r="BQ419" i="1"/>
  <c r="AT418" i="1"/>
  <c r="AS418" i="1"/>
  <c r="AU418" i="1"/>
  <c r="AR419" i="1" a="1"/>
  <c r="AR419" i="1" s="1"/>
  <c r="AV417" i="1"/>
  <c r="AO420" i="1"/>
  <c r="AN420" i="1" s="1"/>
  <c r="BD420" i="1" l="1"/>
  <c r="BQ420" i="1"/>
  <c r="AU419" i="1"/>
  <c r="AS419" i="1"/>
  <c r="AT419" i="1"/>
  <c r="AR420" i="1" a="1"/>
  <c r="AR420" i="1" s="1"/>
  <c r="AV418" i="1"/>
  <c r="AO421" i="1"/>
  <c r="AN421" i="1" s="1"/>
  <c r="BD421" i="1" l="1"/>
  <c r="BQ421" i="1"/>
  <c r="AS420" i="1"/>
  <c r="AT420" i="1"/>
  <c r="AU420" i="1"/>
  <c r="AR421" i="1" a="1"/>
  <c r="AR421" i="1" s="1"/>
  <c r="AV419" i="1"/>
  <c r="AO422" i="1"/>
  <c r="AN422" i="1" s="1"/>
  <c r="BD422" i="1" l="1"/>
  <c r="BQ422" i="1"/>
  <c r="AS421" i="1"/>
  <c r="AU421" i="1"/>
  <c r="AT421" i="1"/>
  <c r="AR422" i="1" a="1"/>
  <c r="AR422" i="1" s="1"/>
  <c r="AV420" i="1"/>
  <c r="AO423" i="1"/>
  <c r="AN423" i="1" s="1"/>
  <c r="BD423" i="1" l="1"/>
  <c r="BQ423" i="1"/>
  <c r="AT422" i="1"/>
  <c r="AS422" i="1"/>
  <c r="AU422" i="1"/>
  <c r="AR423" i="1" a="1"/>
  <c r="AR423" i="1" s="1"/>
  <c r="AV421" i="1"/>
  <c r="AO424" i="1"/>
  <c r="AN424" i="1" s="1"/>
  <c r="BD424" i="1" l="1"/>
  <c r="BQ424" i="1"/>
  <c r="AU423" i="1"/>
  <c r="AT423" i="1"/>
  <c r="AS423" i="1"/>
  <c r="AR424" i="1" a="1"/>
  <c r="AR424" i="1" s="1"/>
  <c r="AV422" i="1"/>
  <c r="AO425" i="1"/>
  <c r="AN425" i="1" s="1"/>
  <c r="BD425" i="1" l="1"/>
  <c r="BQ425" i="1"/>
  <c r="AS424" i="1"/>
  <c r="AT424" i="1"/>
  <c r="AU424" i="1"/>
  <c r="AR425" i="1" a="1"/>
  <c r="AR425" i="1" s="1"/>
  <c r="AV423" i="1"/>
  <c r="AO426" i="1"/>
  <c r="AN426" i="1" s="1"/>
  <c r="BD426" i="1" l="1"/>
  <c r="BQ426" i="1"/>
  <c r="AS425" i="1"/>
  <c r="AT425" i="1"/>
  <c r="AU425" i="1"/>
  <c r="AR426" i="1" a="1"/>
  <c r="AR426" i="1" s="1"/>
  <c r="AV424" i="1"/>
  <c r="AO427" i="1"/>
  <c r="AN427" i="1" s="1"/>
  <c r="BD427" i="1" l="1"/>
  <c r="BQ427" i="1"/>
  <c r="AT426" i="1"/>
  <c r="AS426" i="1"/>
  <c r="AU426" i="1"/>
  <c r="AR427" i="1" a="1"/>
  <c r="AR427" i="1" s="1"/>
  <c r="AV425" i="1"/>
  <c r="AO428" i="1"/>
  <c r="AN428" i="1" s="1"/>
  <c r="BD428" i="1" l="1"/>
  <c r="BQ428" i="1"/>
  <c r="AU427" i="1"/>
  <c r="AS427" i="1"/>
  <c r="AT427" i="1"/>
  <c r="AR428" i="1" a="1"/>
  <c r="AR428" i="1" s="1"/>
  <c r="AV426" i="1"/>
  <c r="AO429" i="1"/>
  <c r="AN429" i="1" s="1"/>
  <c r="BD429" i="1" l="1"/>
  <c r="BQ429" i="1"/>
  <c r="AU428" i="1"/>
  <c r="AS428" i="1"/>
  <c r="AT428" i="1"/>
  <c r="AR429" i="1" a="1"/>
  <c r="AR429" i="1" s="1"/>
  <c r="AV427" i="1"/>
  <c r="AO430" i="1"/>
  <c r="AN430" i="1" s="1"/>
  <c r="BD430" i="1" l="1"/>
  <c r="BQ430" i="1"/>
  <c r="AS429" i="1"/>
  <c r="AT429" i="1"/>
  <c r="AU429" i="1"/>
  <c r="AR430" i="1" a="1"/>
  <c r="AR430" i="1" s="1"/>
  <c r="AV428" i="1"/>
  <c r="AO431" i="1"/>
  <c r="AN431" i="1" s="1"/>
  <c r="BD431" i="1" l="1"/>
  <c r="BQ431" i="1"/>
  <c r="AT430" i="1"/>
  <c r="AU430" i="1"/>
  <c r="AS430" i="1"/>
  <c r="AR431" i="1" a="1"/>
  <c r="AR431" i="1" s="1"/>
  <c r="AV429" i="1"/>
  <c r="AO432" i="1"/>
  <c r="AN432" i="1" s="1"/>
  <c r="BD432" i="1" l="1"/>
  <c r="BQ432" i="1"/>
  <c r="AU431" i="1"/>
  <c r="AS431" i="1"/>
  <c r="AT431" i="1"/>
  <c r="AR432" i="1" a="1"/>
  <c r="AR432" i="1" s="1"/>
  <c r="AV430" i="1"/>
  <c r="AO433" i="1"/>
  <c r="AN433" i="1" s="1"/>
  <c r="BD433" i="1" l="1"/>
  <c r="BQ433" i="1"/>
  <c r="AT432" i="1"/>
  <c r="AU432" i="1"/>
  <c r="AS432" i="1"/>
  <c r="AR433" i="1" a="1"/>
  <c r="AR433" i="1" s="1"/>
  <c r="AV431" i="1"/>
  <c r="AO434" i="1"/>
  <c r="AN434" i="1" s="1"/>
  <c r="BD434" i="1" l="1"/>
  <c r="BQ434" i="1"/>
  <c r="AS433" i="1"/>
  <c r="AT433" i="1"/>
  <c r="AU433" i="1"/>
  <c r="AR434" i="1" a="1"/>
  <c r="AR434" i="1" s="1"/>
  <c r="AV432" i="1"/>
  <c r="AO435" i="1"/>
  <c r="AN435" i="1" s="1"/>
  <c r="BD435" i="1" l="1"/>
  <c r="BQ435" i="1"/>
  <c r="AT434" i="1"/>
  <c r="AS434" i="1"/>
  <c r="AU434" i="1"/>
  <c r="AR435" i="1" a="1"/>
  <c r="AR435" i="1" s="1"/>
  <c r="AV433" i="1"/>
  <c r="AO436" i="1"/>
  <c r="AN436" i="1" s="1"/>
  <c r="BD436" i="1" l="1"/>
  <c r="BQ436" i="1"/>
  <c r="AU435" i="1"/>
  <c r="AS435" i="1"/>
  <c r="AT435" i="1"/>
  <c r="AR436" i="1" a="1"/>
  <c r="AR436" i="1" s="1"/>
  <c r="AV434" i="1"/>
  <c r="AO437" i="1"/>
  <c r="AN437" i="1" s="1"/>
  <c r="BD437" i="1" l="1"/>
  <c r="BQ437" i="1"/>
  <c r="AS436" i="1"/>
  <c r="AT436" i="1"/>
  <c r="AU436" i="1"/>
  <c r="AR437" i="1" a="1"/>
  <c r="AR437" i="1" s="1"/>
  <c r="AV435" i="1"/>
  <c r="AO438" i="1"/>
  <c r="AN438" i="1" s="1"/>
  <c r="BD438" i="1" l="1"/>
  <c r="BQ438" i="1"/>
  <c r="AS437" i="1"/>
  <c r="AU437" i="1"/>
  <c r="AT437" i="1"/>
  <c r="AR438" i="1" a="1"/>
  <c r="AR438" i="1" s="1"/>
  <c r="AV436" i="1"/>
  <c r="AO439" i="1"/>
  <c r="AN439" i="1" s="1"/>
  <c r="BD439" i="1" l="1"/>
  <c r="BQ439" i="1"/>
  <c r="AT438" i="1"/>
  <c r="AS438" i="1"/>
  <c r="AU438" i="1"/>
  <c r="AR439" i="1" a="1"/>
  <c r="AR439" i="1" s="1"/>
  <c r="AV437" i="1"/>
  <c r="AO440" i="1"/>
  <c r="AN440" i="1" s="1"/>
  <c r="BD440" i="1" l="1"/>
  <c r="BQ440" i="1"/>
  <c r="AU439" i="1"/>
  <c r="AT439" i="1"/>
  <c r="AS439" i="1"/>
  <c r="AR440" i="1" a="1"/>
  <c r="AR440" i="1" s="1"/>
  <c r="AV438" i="1"/>
  <c r="AO441" i="1"/>
  <c r="AN441" i="1" s="1"/>
  <c r="BD441" i="1" l="1"/>
  <c r="BQ441" i="1"/>
  <c r="AS440" i="1"/>
  <c r="AT440" i="1"/>
  <c r="AU440" i="1"/>
  <c r="AR441" i="1" a="1"/>
  <c r="AR441" i="1" s="1"/>
  <c r="AV439" i="1"/>
  <c r="AO442" i="1"/>
  <c r="AN442" i="1" s="1"/>
  <c r="BD442" i="1" l="1"/>
  <c r="BQ442" i="1"/>
  <c r="AS441" i="1"/>
  <c r="AT441" i="1"/>
  <c r="AU441" i="1"/>
  <c r="AR442" i="1" a="1"/>
  <c r="AR442" i="1" s="1"/>
  <c r="AV440" i="1"/>
  <c r="AO443" i="1"/>
  <c r="AN443" i="1" s="1"/>
  <c r="BD443" i="1" l="1"/>
  <c r="BQ443" i="1"/>
  <c r="AT442" i="1"/>
  <c r="AS442" i="1"/>
  <c r="AU442" i="1"/>
  <c r="AR443" i="1" a="1"/>
  <c r="AR443" i="1" s="1"/>
  <c r="AV441" i="1"/>
  <c r="AO444" i="1"/>
  <c r="AN444" i="1" s="1"/>
  <c r="BD444" i="1" l="1"/>
  <c r="BQ444" i="1"/>
  <c r="AU443" i="1"/>
  <c r="AS443" i="1"/>
  <c r="AT443" i="1"/>
  <c r="AR444" i="1" a="1"/>
  <c r="AR444" i="1" s="1"/>
  <c r="AV442" i="1"/>
  <c r="AO445" i="1"/>
  <c r="AN445" i="1" s="1"/>
  <c r="BD445" i="1" l="1"/>
  <c r="BQ445" i="1"/>
  <c r="AU444" i="1"/>
  <c r="AS444" i="1"/>
  <c r="AT444" i="1"/>
  <c r="AR445" i="1" a="1"/>
  <c r="AR445" i="1" s="1"/>
  <c r="AV443" i="1"/>
  <c r="AO446" i="1"/>
  <c r="AN446" i="1" s="1"/>
  <c r="BD446" i="1" l="1"/>
  <c r="BQ446" i="1"/>
  <c r="AS445" i="1"/>
  <c r="AT445" i="1"/>
  <c r="AU445" i="1"/>
  <c r="AR446" i="1" a="1"/>
  <c r="AR446" i="1" s="1"/>
  <c r="AV444" i="1"/>
  <c r="AO447" i="1"/>
  <c r="AN447" i="1" s="1"/>
  <c r="BD447" i="1" l="1"/>
  <c r="BQ447" i="1"/>
  <c r="AT446" i="1"/>
  <c r="AU446" i="1"/>
  <c r="AS446" i="1"/>
  <c r="AR447" i="1" a="1"/>
  <c r="AR447" i="1" s="1"/>
  <c r="AV445" i="1"/>
  <c r="AO448" i="1"/>
  <c r="AN448" i="1" s="1"/>
  <c r="BD448" i="1" l="1"/>
  <c r="BQ448" i="1"/>
  <c r="AU447" i="1"/>
  <c r="AS447" i="1"/>
  <c r="AT447" i="1"/>
  <c r="AR448" i="1" a="1"/>
  <c r="AR448" i="1" s="1"/>
  <c r="AV446" i="1"/>
  <c r="AO449" i="1"/>
  <c r="AN449" i="1" s="1"/>
  <c r="BD449" i="1" l="1"/>
  <c r="BQ449" i="1"/>
  <c r="AT448" i="1"/>
  <c r="AU448" i="1"/>
  <c r="AS448" i="1"/>
  <c r="AR449" i="1" a="1"/>
  <c r="AR449" i="1" s="1"/>
  <c r="AV447" i="1"/>
  <c r="AO450" i="1"/>
  <c r="AN450" i="1" s="1"/>
  <c r="BD450" i="1" l="1"/>
  <c r="BQ450" i="1"/>
  <c r="AS449" i="1"/>
  <c r="AT449" i="1"/>
  <c r="AU449" i="1"/>
  <c r="AR450" i="1" a="1"/>
  <c r="AR450" i="1" s="1"/>
  <c r="AV448" i="1"/>
  <c r="AO451" i="1"/>
  <c r="AN451" i="1" s="1"/>
  <c r="BD451" i="1" l="1"/>
  <c r="BQ451" i="1"/>
  <c r="AT450" i="1"/>
  <c r="AS450" i="1"/>
  <c r="AU450" i="1"/>
  <c r="AR451" i="1" a="1"/>
  <c r="AR451" i="1" s="1"/>
  <c r="AV449" i="1"/>
  <c r="AO452" i="1"/>
  <c r="AN452" i="1" s="1"/>
  <c r="BD452" i="1" l="1"/>
  <c r="BQ452" i="1"/>
  <c r="AU451" i="1"/>
  <c r="AS451" i="1"/>
  <c r="AT451" i="1"/>
  <c r="AR452" i="1" a="1"/>
  <c r="AR452" i="1" s="1"/>
  <c r="AV450" i="1"/>
  <c r="AO453" i="1"/>
  <c r="AN453" i="1" s="1"/>
  <c r="BD453" i="1" l="1"/>
  <c r="BQ453" i="1"/>
  <c r="AS452" i="1"/>
  <c r="AT452" i="1"/>
  <c r="AU452" i="1"/>
  <c r="AR453" i="1" a="1"/>
  <c r="AR453" i="1" s="1"/>
  <c r="AV451" i="1"/>
  <c r="AO454" i="1"/>
  <c r="AN454" i="1" s="1"/>
  <c r="BD454" i="1" l="1"/>
  <c r="BQ454" i="1"/>
  <c r="AS453" i="1"/>
  <c r="AU453" i="1"/>
  <c r="AT453" i="1"/>
  <c r="AR454" i="1" a="1"/>
  <c r="AR454" i="1" s="1"/>
  <c r="AV452" i="1"/>
  <c r="AO455" i="1"/>
  <c r="AN455" i="1" s="1"/>
  <c r="BD455" i="1" l="1"/>
  <c r="BQ455" i="1"/>
  <c r="AT454" i="1"/>
  <c r="AS454" i="1"/>
  <c r="AU454" i="1"/>
  <c r="AR455" i="1" a="1"/>
  <c r="AR455" i="1" s="1"/>
  <c r="AV453" i="1"/>
  <c r="AO456" i="1"/>
  <c r="AN456" i="1" s="1"/>
  <c r="BD456" i="1" l="1"/>
  <c r="BQ456" i="1"/>
  <c r="AU455" i="1"/>
  <c r="AT455" i="1"/>
  <c r="AS455" i="1"/>
  <c r="AR456" i="1" a="1"/>
  <c r="AR456" i="1" s="1"/>
  <c r="AV454" i="1"/>
  <c r="AO457" i="1"/>
  <c r="AN457" i="1" s="1"/>
  <c r="BD457" i="1" l="1"/>
  <c r="BQ457" i="1"/>
  <c r="AS456" i="1"/>
  <c r="AT456" i="1"/>
  <c r="AU456" i="1"/>
  <c r="AR457" i="1" a="1"/>
  <c r="AR457" i="1" s="1"/>
  <c r="AV455" i="1"/>
  <c r="AO458" i="1"/>
  <c r="AN458" i="1" s="1"/>
  <c r="BD458" i="1" l="1"/>
  <c r="BQ458" i="1"/>
  <c r="AS457" i="1"/>
  <c r="AT457" i="1"/>
  <c r="AU457" i="1"/>
  <c r="AR458" i="1" a="1"/>
  <c r="AR458" i="1" s="1"/>
  <c r="AV456" i="1"/>
  <c r="AO459" i="1"/>
  <c r="AN459" i="1" s="1"/>
  <c r="BD459" i="1" l="1"/>
  <c r="BQ459" i="1"/>
  <c r="AT458" i="1"/>
  <c r="AS458" i="1"/>
  <c r="AU458" i="1"/>
  <c r="AR459" i="1" a="1"/>
  <c r="AR459" i="1" s="1"/>
  <c r="AV457" i="1"/>
  <c r="AO460" i="1"/>
  <c r="AN460" i="1" s="1"/>
  <c r="BD460" i="1" l="1"/>
  <c r="BQ460" i="1"/>
  <c r="AU459" i="1"/>
  <c r="AS459" i="1"/>
  <c r="AT459" i="1"/>
  <c r="AR460" i="1" a="1"/>
  <c r="AR460" i="1" s="1"/>
  <c r="AV458" i="1"/>
  <c r="AO461" i="1"/>
  <c r="AN461" i="1" s="1"/>
  <c r="BD461" i="1" l="1"/>
  <c r="BQ461" i="1"/>
  <c r="AU460" i="1"/>
  <c r="AS460" i="1"/>
  <c r="AT460" i="1"/>
  <c r="AR461" i="1" a="1"/>
  <c r="AR461" i="1" s="1"/>
  <c r="AV459" i="1"/>
  <c r="AO462" i="1"/>
  <c r="AN462" i="1" s="1"/>
  <c r="BD462" i="1" l="1"/>
  <c r="BQ462" i="1"/>
  <c r="AS461" i="1"/>
  <c r="AT461" i="1"/>
  <c r="AU461" i="1"/>
  <c r="AR462" i="1" a="1"/>
  <c r="AR462" i="1" s="1"/>
  <c r="AV460" i="1"/>
  <c r="AO463" i="1"/>
  <c r="AN463" i="1" s="1"/>
  <c r="BD463" i="1" l="1"/>
  <c r="BQ463" i="1"/>
  <c r="AT462" i="1"/>
  <c r="AU462" i="1"/>
  <c r="AS462" i="1"/>
  <c r="AR463" i="1" a="1"/>
  <c r="AR463" i="1" s="1"/>
  <c r="AV461" i="1"/>
  <c r="AO464" i="1"/>
  <c r="AN464" i="1" s="1"/>
  <c r="BD464" i="1" l="1"/>
  <c r="BQ464" i="1"/>
  <c r="AU463" i="1"/>
  <c r="AS463" i="1"/>
  <c r="AT463" i="1"/>
  <c r="AR464" i="1" a="1"/>
  <c r="AR464" i="1" s="1"/>
  <c r="AV462" i="1"/>
  <c r="AO465" i="1"/>
  <c r="AN465" i="1" s="1"/>
  <c r="BD465" i="1" l="1"/>
  <c r="BQ465" i="1"/>
  <c r="AT464" i="1"/>
  <c r="AU464" i="1"/>
  <c r="AS464" i="1"/>
  <c r="AR465" i="1" a="1"/>
  <c r="AR465" i="1" s="1"/>
  <c r="AV463" i="1"/>
  <c r="AO466" i="1"/>
  <c r="AN466" i="1" s="1"/>
  <c r="BD466" i="1" l="1"/>
  <c r="BQ466" i="1"/>
  <c r="AS465" i="1"/>
  <c r="AT465" i="1"/>
  <c r="AU465" i="1"/>
  <c r="AR466" i="1" a="1"/>
  <c r="AR466" i="1" s="1"/>
  <c r="AV464" i="1"/>
  <c r="AO467" i="1"/>
  <c r="AN467" i="1" s="1"/>
  <c r="BD467" i="1" l="1"/>
  <c r="BQ467" i="1"/>
  <c r="AT466" i="1"/>
  <c r="AS466" i="1"/>
  <c r="AU466" i="1"/>
  <c r="AR467" i="1" a="1"/>
  <c r="AR467" i="1" s="1"/>
  <c r="AV465" i="1"/>
  <c r="AO468" i="1"/>
  <c r="AN468" i="1" s="1"/>
  <c r="BD468" i="1" l="1"/>
  <c r="BQ468" i="1"/>
  <c r="AU467" i="1"/>
  <c r="AS467" i="1"/>
  <c r="AT467" i="1"/>
  <c r="AR468" i="1" a="1"/>
  <c r="AR468" i="1" s="1"/>
  <c r="AV466" i="1"/>
  <c r="AO469" i="1"/>
  <c r="AN469" i="1" s="1"/>
  <c r="BD469" i="1" l="1"/>
  <c r="BQ469" i="1"/>
  <c r="AS468" i="1"/>
  <c r="AT468" i="1"/>
  <c r="AU468" i="1"/>
  <c r="AR469" i="1" a="1"/>
  <c r="AR469" i="1" s="1"/>
  <c r="AV467" i="1"/>
  <c r="AO470" i="1"/>
  <c r="AN470" i="1" s="1"/>
  <c r="BD470" i="1" l="1"/>
  <c r="BQ470" i="1"/>
  <c r="AS469" i="1"/>
  <c r="AU469" i="1"/>
  <c r="AT469" i="1"/>
  <c r="AR470" i="1" a="1"/>
  <c r="AR470" i="1" s="1"/>
  <c r="AV468" i="1"/>
  <c r="AO471" i="1"/>
  <c r="AN471" i="1" s="1"/>
  <c r="BD471" i="1" l="1"/>
  <c r="BQ471" i="1"/>
  <c r="AT470" i="1"/>
  <c r="AS470" i="1"/>
  <c r="AU470" i="1"/>
  <c r="AR471" i="1" a="1"/>
  <c r="AR471" i="1" s="1"/>
  <c r="AV469" i="1"/>
  <c r="AO472" i="1"/>
  <c r="AN472" i="1" s="1"/>
  <c r="BD472" i="1" l="1"/>
  <c r="BQ472" i="1"/>
  <c r="AU471" i="1"/>
  <c r="AT471" i="1"/>
  <c r="AS471" i="1"/>
  <c r="AR472" i="1" a="1"/>
  <c r="AR472" i="1" s="1"/>
  <c r="AV470" i="1"/>
  <c r="AO473" i="1"/>
  <c r="AN473" i="1" s="1"/>
  <c r="BD473" i="1" l="1"/>
  <c r="BQ473" i="1"/>
  <c r="AS472" i="1"/>
  <c r="AT472" i="1"/>
  <c r="AU472" i="1"/>
  <c r="AR473" i="1" a="1"/>
  <c r="AR473" i="1" s="1"/>
  <c r="AV471" i="1"/>
  <c r="AO474" i="1"/>
  <c r="AN474" i="1" s="1"/>
  <c r="BD474" i="1" l="1"/>
  <c r="BQ474" i="1"/>
  <c r="AS473" i="1"/>
  <c r="AT473" i="1"/>
  <c r="AU473" i="1"/>
  <c r="AR474" i="1" a="1"/>
  <c r="AR474" i="1" s="1"/>
  <c r="AV472" i="1"/>
  <c r="AO475" i="1"/>
  <c r="AN475" i="1" s="1"/>
  <c r="BD475" i="1" l="1"/>
  <c r="BQ475" i="1"/>
  <c r="AT474" i="1"/>
  <c r="AS474" i="1"/>
  <c r="AU474" i="1"/>
  <c r="AR475" i="1" a="1"/>
  <c r="AR475" i="1" s="1"/>
  <c r="AV473" i="1"/>
  <c r="AO476" i="1"/>
  <c r="AN476" i="1" s="1"/>
  <c r="BD476" i="1" l="1"/>
  <c r="BQ476" i="1"/>
  <c r="AU475" i="1"/>
  <c r="AS475" i="1"/>
  <c r="AT475" i="1"/>
  <c r="AR476" i="1" a="1"/>
  <c r="AR476" i="1" s="1"/>
  <c r="AV474" i="1"/>
  <c r="AO477" i="1"/>
  <c r="AN477" i="1" s="1"/>
  <c r="BD477" i="1" l="1"/>
  <c r="BQ477" i="1"/>
  <c r="AU476" i="1"/>
  <c r="AS476" i="1"/>
  <c r="AT476" i="1"/>
  <c r="AR477" i="1" a="1"/>
  <c r="AR477" i="1" s="1"/>
  <c r="AV475" i="1"/>
  <c r="AO478" i="1"/>
  <c r="AN478" i="1" s="1"/>
  <c r="BD478" i="1" l="1"/>
  <c r="BQ478" i="1"/>
  <c r="AS477" i="1"/>
  <c r="AT477" i="1"/>
  <c r="AU477" i="1"/>
  <c r="AR478" i="1" a="1"/>
  <c r="AR478" i="1" s="1"/>
  <c r="AV476" i="1"/>
  <c r="AO479" i="1"/>
  <c r="AN479" i="1" s="1"/>
  <c r="BD479" i="1" l="1"/>
  <c r="BQ479" i="1"/>
  <c r="AT478" i="1"/>
  <c r="AU478" i="1"/>
  <c r="AS478" i="1"/>
  <c r="AR479" i="1" a="1"/>
  <c r="AR479" i="1" s="1"/>
  <c r="AV477" i="1"/>
  <c r="AO480" i="1"/>
  <c r="AN480" i="1" s="1"/>
  <c r="BD480" i="1" l="1"/>
  <c r="BQ480" i="1"/>
  <c r="AU479" i="1"/>
  <c r="AS479" i="1"/>
  <c r="AT479" i="1"/>
  <c r="AR480" i="1" a="1"/>
  <c r="AR480" i="1" s="1"/>
  <c r="AV478" i="1"/>
  <c r="AO481" i="1"/>
  <c r="AN481" i="1" s="1"/>
  <c r="BD481" i="1" l="1"/>
  <c r="BQ481" i="1"/>
  <c r="AT480" i="1"/>
  <c r="AU480" i="1"/>
  <c r="AS480" i="1"/>
  <c r="AR481" i="1" a="1"/>
  <c r="AR481" i="1" s="1"/>
  <c r="AV479" i="1"/>
  <c r="AO482" i="1"/>
  <c r="AN482" i="1" s="1"/>
  <c r="BD482" i="1" l="1"/>
  <c r="BQ482" i="1"/>
  <c r="AS481" i="1"/>
  <c r="AU481" i="1"/>
  <c r="AT481" i="1"/>
  <c r="AR482" i="1" a="1"/>
  <c r="AR482" i="1" s="1"/>
  <c r="AV480" i="1"/>
  <c r="AO483" i="1"/>
  <c r="AN483" i="1" s="1"/>
  <c r="BD483" i="1" l="1"/>
  <c r="BQ483" i="1"/>
  <c r="AS482" i="1"/>
  <c r="AT482" i="1"/>
  <c r="AU482" i="1"/>
  <c r="AR483" i="1" a="1"/>
  <c r="AR483" i="1" s="1"/>
  <c r="AV481" i="1"/>
  <c r="AO484" i="1"/>
  <c r="AN484" i="1" s="1"/>
  <c r="BD484" i="1" l="1"/>
  <c r="BQ484" i="1"/>
  <c r="AT483" i="1"/>
  <c r="AU483" i="1"/>
  <c r="AS483" i="1"/>
  <c r="AR484" i="1" a="1"/>
  <c r="AR484" i="1" s="1"/>
  <c r="AV482" i="1"/>
  <c r="AO485" i="1"/>
  <c r="AN485" i="1" s="1"/>
  <c r="BD485" i="1" l="1"/>
  <c r="BQ485" i="1"/>
  <c r="AU484" i="1"/>
  <c r="AS484" i="1"/>
  <c r="AT484" i="1"/>
  <c r="AR485" i="1" a="1"/>
  <c r="AR485" i="1" s="1"/>
  <c r="AV483" i="1"/>
  <c r="AO486" i="1"/>
  <c r="AN486" i="1" s="1"/>
  <c r="BD486" i="1" l="1"/>
  <c r="BQ486" i="1"/>
  <c r="AS485" i="1"/>
  <c r="AT485" i="1"/>
  <c r="AU485" i="1"/>
  <c r="AR486" i="1" a="1"/>
  <c r="AR486" i="1" s="1"/>
  <c r="AV484" i="1"/>
  <c r="AO487" i="1"/>
  <c r="AN487" i="1" s="1"/>
  <c r="BD487" i="1" l="1"/>
  <c r="BQ487" i="1"/>
  <c r="AS486" i="1"/>
  <c r="AT486" i="1"/>
  <c r="AU486" i="1"/>
  <c r="AR487" i="1" a="1"/>
  <c r="AR487" i="1" s="1"/>
  <c r="AV485" i="1"/>
  <c r="AO488" i="1"/>
  <c r="AN488" i="1" s="1"/>
  <c r="BD488" i="1" l="1"/>
  <c r="BQ488" i="1"/>
  <c r="AT487" i="1"/>
  <c r="AU487" i="1"/>
  <c r="AS487" i="1"/>
  <c r="AR488" i="1" a="1"/>
  <c r="AR488" i="1" s="1"/>
  <c r="AV486" i="1"/>
  <c r="AO489" i="1"/>
  <c r="AN489" i="1" s="1"/>
  <c r="BD489" i="1" l="1"/>
  <c r="BQ489" i="1"/>
  <c r="AU488" i="1"/>
  <c r="AS488" i="1"/>
  <c r="AT488" i="1"/>
  <c r="AR489" i="1" a="1"/>
  <c r="AR489" i="1" s="1"/>
  <c r="AV487" i="1"/>
  <c r="AO490" i="1"/>
  <c r="AN490" i="1" s="1"/>
  <c r="BD490" i="1" l="1"/>
  <c r="BQ490" i="1"/>
  <c r="AS489" i="1"/>
  <c r="AT489" i="1"/>
  <c r="AU489" i="1"/>
  <c r="AR490" i="1" a="1"/>
  <c r="AR490" i="1" s="1"/>
  <c r="AV488" i="1"/>
  <c r="AO491" i="1"/>
  <c r="AN491" i="1" s="1"/>
  <c r="BD491" i="1" l="1"/>
  <c r="BQ491" i="1"/>
  <c r="AS490" i="1"/>
  <c r="AT490" i="1"/>
  <c r="AU490" i="1"/>
  <c r="AR491" i="1" a="1"/>
  <c r="AR491" i="1" s="1"/>
  <c r="AV489" i="1"/>
  <c r="AO492" i="1"/>
  <c r="AN492" i="1" s="1"/>
  <c r="BD492" i="1" l="1"/>
  <c r="BQ492" i="1"/>
  <c r="AT491" i="1"/>
  <c r="AU491" i="1"/>
  <c r="AS491" i="1"/>
  <c r="AR492" i="1" a="1"/>
  <c r="AR492" i="1" s="1"/>
  <c r="AV490" i="1"/>
  <c r="AO493" i="1"/>
  <c r="AN493" i="1" s="1"/>
  <c r="BD493" i="1" l="1"/>
  <c r="BQ493" i="1"/>
  <c r="AU492" i="1"/>
  <c r="AS492" i="1"/>
  <c r="AT492" i="1"/>
  <c r="AR493" i="1" a="1"/>
  <c r="AR493" i="1" s="1"/>
  <c r="AV491" i="1"/>
  <c r="AO494" i="1"/>
  <c r="AN494" i="1" s="1"/>
  <c r="BD494" i="1" l="1"/>
  <c r="BQ494" i="1"/>
  <c r="AS493" i="1"/>
  <c r="AT493" i="1"/>
  <c r="AU493" i="1"/>
  <c r="AR494" i="1" a="1"/>
  <c r="AR494" i="1" s="1"/>
  <c r="AV492" i="1"/>
  <c r="AO495" i="1"/>
  <c r="AN495" i="1" s="1"/>
  <c r="BD495" i="1" l="1"/>
  <c r="BQ495" i="1"/>
  <c r="AS494" i="1"/>
  <c r="AT494" i="1"/>
  <c r="AU494" i="1"/>
  <c r="AR495" i="1" a="1"/>
  <c r="AR495" i="1" s="1"/>
  <c r="AV493" i="1"/>
  <c r="AO496" i="1"/>
  <c r="AN496" i="1" s="1"/>
  <c r="BD496" i="1" l="1"/>
  <c r="BQ496" i="1"/>
  <c r="AT495" i="1"/>
  <c r="AU495" i="1"/>
  <c r="AS495" i="1"/>
  <c r="AR496" i="1" a="1"/>
  <c r="AR496" i="1" s="1"/>
  <c r="AV494" i="1"/>
  <c r="AO497" i="1"/>
  <c r="AN497" i="1" s="1"/>
  <c r="BD497" i="1" l="1"/>
  <c r="BQ497" i="1"/>
  <c r="AU496" i="1"/>
  <c r="AS496" i="1"/>
  <c r="AT496" i="1"/>
  <c r="AR497" i="1" a="1"/>
  <c r="AR497" i="1" s="1"/>
  <c r="AV495" i="1"/>
  <c r="AO498" i="1"/>
  <c r="AN498" i="1" s="1"/>
  <c r="BD498" i="1" l="1"/>
  <c r="BQ498" i="1"/>
  <c r="AS497" i="1"/>
  <c r="AT497" i="1"/>
  <c r="AU497" i="1"/>
  <c r="AR498" i="1" a="1"/>
  <c r="AR498" i="1" s="1"/>
  <c r="AV496" i="1"/>
  <c r="AO499" i="1"/>
  <c r="AN499" i="1" s="1"/>
  <c r="BD499" i="1" l="1"/>
  <c r="BQ499" i="1"/>
  <c r="AS498" i="1"/>
  <c r="AT498" i="1"/>
  <c r="AU498" i="1"/>
  <c r="AR499" i="1" a="1"/>
  <c r="AR499" i="1" s="1"/>
  <c r="AV497" i="1"/>
  <c r="AO500" i="1"/>
  <c r="AN500" i="1" s="1"/>
  <c r="BD500" i="1" l="1"/>
  <c r="BQ500" i="1"/>
  <c r="AT499" i="1"/>
  <c r="AU499" i="1"/>
  <c r="AS499" i="1"/>
  <c r="AR500" i="1" a="1"/>
  <c r="AR500" i="1" s="1"/>
  <c r="AV498" i="1"/>
  <c r="AO501" i="1"/>
  <c r="AN501" i="1" s="1"/>
  <c r="BD501" i="1" l="1"/>
  <c r="BQ501" i="1"/>
  <c r="AU500" i="1"/>
  <c r="AS500" i="1"/>
  <c r="AT500" i="1"/>
  <c r="AR501" i="1" a="1"/>
  <c r="AR501" i="1" s="1"/>
  <c r="AV499" i="1"/>
  <c r="AO502" i="1"/>
  <c r="AN502" i="1" s="1"/>
  <c r="BD502" i="1" l="1"/>
  <c r="BQ502" i="1"/>
  <c r="AS501" i="1"/>
  <c r="AT501" i="1"/>
  <c r="AU501" i="1"/>
  <c r="AR502" i="1" a="1"/>
  <c r="AR502" i="1" s="1"/>
  <c r="AV500" i="1"/>
  <c r="AO503" i="1"/>
  <c r="AN503" i="1" s="1"/>
  <c r="BD503" i="1" l="1"/>
  <c r="BQ503" i="1"/>
  <c r="AS502" i="1"/>
  <c r="AT502" i="1"/>
  <c r="AU502" i="1"/>
  <c r="AR503" i="1" a="1"/>
  <c r="AR503" i="1" s="1"/>
  <c r="AV501" i="1"/>
  <c r="AO504" i="1"/>
  <c r="AN504" i="1" s="1"/>
  <c r="BD504" i="1" l="1"/>
  <c r="BQ504" i="1"/>
  <c r="AT503" i="1"/>
  <c r="AU503" i="1"/>
  <c r="AS503" i="1"/>
  <c r="AR504" i="1" a="1"/>
  <c r="AR504" i="1" s="1"/>
  <c r="AV502" i="1"/>
  <c r="AO505" i="1"/>
  <c r="AN505" i="1" s="1"/>
  <c r="BD505" i="1" l="1"/>
  <c r="BQ505" i="1"/>
  <c r="AU504" i="1"/>
  <c r="AS504" i="1"/>
  <c r="AT504" i="1"/>
  <c r="AR505" i="1" a="1"/>
  <c r="AR505" i="1" s="1"/>
  <c r="AV503" i="1"/>
  <c r="AO506" i="1"/>
  <c r="AN506" i="1" s="1"/>
  <c r="BD506" i="1" l="1"/>
  <c r="BQ506" i="1"/>
  <c r="AS505" i="1"/>
  <c r="AT505" i="1"/>
  <c r="AU505" i="1"/>
  <c r="AR506" i="1" a="1"/>
  <c r="AR506" i="1" s="1"/>
  <c r="AV504" i="1"/>
  <c r="AO507" i="1"/>
  <c r="AN507" i="1" s="1"/>
  <c r="BD507" i="1" l="1"/>
  <c r="BQ507" i="1"/>
  <c r="AT506" i="1"/>
  <c r="AS506" i="1"/>
  <c r="AU506" i="1"/>
  <c r="AR507" i="1" a="1"/>
  <c r="AR507" i="1" s="1"/>
  <c r="AV505" i="1"/>
  <c r="AO508" i="1"/>
  <c r="AN508" i="1" s="1"/>
  <c r="BD508" i="1" l="1"/>
  <c r="BQ508" i="1"/>
  <c r="AU507" i="1"/>
  <c r="AS507" i="1"/>
  <c r="AT507" i="1"/>
  <c r="AR508" i="1" a="1"/>
  <c r="AR508" i="1" s="1"/>
  <c r="AV506" i="1"/>
  <c r="AO509" i="1"/>
  <c r="AN509" i="1" s="1"/>
  <c r="BD509" i="1" l="1"/>
  <c r="BQ509" i="1"/>
  <c r="AS508" i="1"/>
  <c r="AT508" i="1"/>
  <c r="AU508" i="1"/>
  <c r="AR509" i="1" a="1"/>
  <c r="AR509" i="1" s="1"/>
  <c r="AV507" i="1"/>
  <c r="AO510" i="1"/>
  <c r="AN510" i="1" s="1"/>
  <c r="BD510" i="1" l="1"/>
  <c r="BQ510" i="1"/>
  <c r="AS509" i="1"/>
  <c r="AU509" i="1"/>
  <c r="AT509" i="1"/>
  <c r="AR510" i="1" a="1"/>
  <c r="AR510" i="1" s="1"/>
  <c r="AV508" i="1"/>
  <c r="AO511" i="1"/>
  <c r="AN511" i="1" s="1"/>
  <c r="BD511" i="1" l="1"/>
  <c r="BQ511" i="1"/>
  <c r="AT510" i="1"/>
  <c r="AS510" i="1"/>
  <c r="AU510" i="1"/>
  <c r="AR511" i="1" a="1"/>
  <c r="AR511" i="1" s="1"/>
  <c r="AV509" i="1"/>
  <c r="AO512" i="1"/>
  <c r="AN512" i="1" s="1"/>
  <c r="BD512" i="1" l="1"/>
  <c r="BQ512" i="1"/>
  <c r="AU511" i="1"/>
  <c r="AT511" i="1"/>
  <c r="AS511" i="1"/>
  <c r="AR512" i="1" a="1"/>
  <c r="AR512" i="1" s="1"/>
  <c r="AV510" i="1"/>
  <c r="AO513" i="1"/>
  <c r="AN513" i="1" s="1"/>
  <c r="BD513" i="1" l="1"/>
  <c r="BQ513" i="1"/>
  <c r="AS512" i="1"/>
  <c r="AT512" i="1"/>
  <c r="AU512" i="1"/>
  <c r="AR513" i="1" a="1"/>
  <c r="AR513" i="1" s="1"/>
  <c r="AV511" i="1"/>
  <c r="AO514" i="1"/>
  <c r="AN514" i="1" s="1"/>
  <c r="BD514" i="1" l="1"/>
  <c r="BQ514" i="1"/>
  <c r="AS513" i="1"/>
  <c r="AT513" i="1"/>
  <c r="AU513" i="1"/>
  <c r="AR514" i="1" a="1"/>
  <c r="AR514" i="1" s="1"/>
  <c r="AV512" i="1"/>
  <c r="AO515" i="1"/>
  <c r="AN515" i="1" s="1"/>
  <c r="BD515" i="1" l="1"/>
  <c r="BQ515" i="1"/>
  <c r="AT514" i="1"/>
  <c r="AS514" i="1"/>
  <c r="AU514" i="1"/>
  <c r="AR515" i="1" a="1"/>
  <c r="AR515" i="1" s="1"/>
  <c r="AV513" i="1"/>
  <c r="AO516" i="1"/>
  <c r="AN516" i="1" s="1"/>
  <c r="BD516" i="1" l="1"/>
  <c r="BQ516" i="1"/>
  <c r="AU515" i="1"/>
  <c r="AS515" i="1"/>
  <c r="AT515" i="1"/>
  <c r="AR516" i="1" a="1"/>
  <c r="AR516" i="1" s="1"/>
  <c r="AV514" i="1"/>
  <c r="AO517" i="1"/>
  <c r="AN517" i="1" s="1"/>
  <c r="BD517" i="1" l="1"/>
  <c r="BQ517" i="1"/>
  <c r="AU516" i="1"/>
  <c r="AS516" i="1"/>
  <c r="AT516" i="1"/>
  <c r="AR517" i="1" a="1"/>
  <c r="AR517" i="1" s="1"/>
  <c r="AV515" i="1"/>
  <c r="AO518" i="1"/>
  <c r="AN518" i="1" s="1"/>
  <c r="BD518" i="1" l="1"/>
  <c r="BQ518" i="1"/>
  <c r="AS517" i="1"/>
  <c r="AT517" i="1"/>
  <c r="AU517" i="1"/>
  <c r="AR518" i="1" a="1"/>
  <c r="AR518" i="1" s="1"/>
  <c r="AV516" i="1"/>
  <c r="AO519" i="1"/>
  <c r="AN519" i="1" s="1"/>
  <c r="BD519" i="1" l="1"/>
  <c r="BQ519" i="1"/>
  <c r="AT518" i="1"/>
  <c r="AU518" i="1"/>
  <c r="AS518" i="1"/>
  <c r="AR519" i="1" a="1"/>
  <c r="AR519" i="1" s="1"/>
  <c r="AV517" i="1"/>
  <c r="AO520" i="1"/>
  <c r="AN520" i="1" s="1"/>
  <c r="BD520" i="1" l="1"/>
  <c r="BQ520" i="1"/>
  <c r="AU519" i="1"/>
  <c r="AS519" i="1"/>
  <c r="AT519" i="1"/>
  <c r="AR520" i="1" a="1"/>
  <c r="AR520" i="1" s="1"/>
  <c r="AV518" i="1"/>
  <c r="AO521" i="1"/>
  <c r="AN521" i="1" s="1"/>
  <c r="BD521" i="1" l="1"/>
  <c r="BQ521" i="1"/>
  <c r="AT520" i="1"/>
  <c r="AU520" i="1"/>
  <c r="AS520" i="1"/>
  <c r="AR521" i="1" a="1"/>
  <c r="AR521" i="1" s="1"/>
  <c r="AV519" i="1"/>
  <c r="AO522" i="1"/>
  <c r="AN522" i="1" s="1"/>
  <c r="BD522" i="1" l="1"/>
  <c r="BQ522" i="1"/>
  <c r="AS521" i="1"/>
  <c r="AT521" i="1"/>
  <c r="AU521" i="1"/>
  <c r="AR522" i="1" a="1"/>
  <c r="AR522" i="1" s="1"/>
  <c r="AV520" i="1"/>
  <c r="AO523" i="1"/>
  <c r="AN523" i="1" s="1"/>
  <c r="BD523" i="1" l="1"/>
  <c r="BQ523" i="1"/>
  <c r="AT522" i="1"/>
  <c r="AS522" i="1"/>
  <c r="AU522" i="1"/>
  <c r="AR523" i="1" a="1"/>
  <c r="AR523" i="1" s="1"/>
  <c r="AV521" i="1"/>
  <c r="AO524" i="1"/>
  <c r="AN524" i="1" s="1"/>
  <c r="BD524" i="1" l="1"/>
  <c r="BQ524" i="1"/>
  <c r="AU523" i="1"/>
  <c r="AS523" i="1"/>
  <c r="AT523" i="1"/>
  <c r="AR524" i="1" a="1"/>
  <c r="AR524" i="1" s="1"/>
  <c r="AV522" i="1"/>
  <c r="AO525" i="1"/>
  <c r="AN525" i="1" s="1"/>
  <c r="BD525" i="1" l="1"/>
  <c r="BQ525" i="1"/>
  <c r="AS524" i="1"/>
  <c r="AT524" i="1"/>
  <c r="AU524" i="1"/>
  <c r="AR525" i="1" a="1"/>
  <c r="AR525" i="1" s="1"/>
  <c r="AV523" i="1"/>
  <c r="AO526" i="1"/>
  <c r="AN526" i="1" s="1"/>
  <c r="BD526" i="1" l="1"/>
  <c r="BQ526" i="1"/>
  <c r="AS525" i="1"/>
  <c r="AU525" i="1"/>
  <c r="AT525" i="1"/>
  <c r="AR526" i="1" a="1"/>
  <c r="AR526" i="1" s="1"/>
  <c r="AV524" i="1"/>
  <c r="AO527" i="1"/>
  <c r="AN527" i="1" s="1"/>
  <c r="BD527" i="1" l="1"/>
  <c r="BQ527" i="1"/>
  <c r="AT526" i="1"/>
  <c r="AS526" i="1"/>
  <c r="AU526" i="1"/>
  <c r="AR527" i="1" a="1"/>
  <c r="AR527" i="1" s="1"/>
  <c r="AV525" i="1"/>
  <c r="AO528" i="1"/>
  <c r="AN528" i="1" s="1"/>
  <c r="BD528" i="1" l="1"/>
  <c r="BQ528" i="1"/>
  <c r="AU527" i="1"/>
  <c r="AT527" i="1"/>
  <c r="AS527" i="1"/>
  <c r="AR528" i="1" a="1"/>
  <c r="AR528" i="1" s="1"/>
  <c r="AV526" i="1"/>
  <c r="AO529" i="1"/>
  <c r="AN529" i="1" s="1"/>
  <c r="BD529" i="1" l="1"/>
  <c r="BQ529" i="1"/>
  <c r="AS528" i="1"/>
  <c r="AT528" i="1"/>
  <c r="AU528" i="1"/>
  <c r="AR529" i="1" a="1"/>
  <c r="AR529" i="1" s="1"/>
  <c r="AV527" i="1"/>
  <c r="AO530" i="1"/>
  <c r="AN530" i="1" s="1"/>
  <c r="BD530" i="1" l="1"/>
  <c r="BQ530" i="1"/>
  <c r="AS529" i="1"/>
  <c r="AT529" i="1"/>
  <c r="AU529" i="1"/>
  <c r="AR530" i="1" a="1"/>
  <c r="AR530" i="1" s="1"/>
  <c r="AV528" i="1"/>
  <c r="AO531" i="1"/>
  <c r="AN531" i="1" s="1"/>
  <c r="BD531" i="1" l="1"/>
  <c r="BQ531" i="1"/>
  <c r="AT530" i="1"/>
  <c r="AS530" i="1"/>
  <c r="AU530" i="1"/>
  <c r="AR531" i="1" a="1"/>
  <c r="AR531" i="1" s="1"/>
  <c r="AV529" i="1"/>
  <c r="AO532" i="1"/>
  <c r="AN532" i="1" s="1"/>
  <c r="BD532" i="1" l="1"/>
  <c r="BQ532" i="1"/>
  <c r="AU531" i="1"/>
  <c r="AS531" i="1"/>
  <c r="AT531" i="1"/>
  <c r="AR532" i="1" a="1"/>
  <c r="AR532" i="1" s="1"/>
  <c r="AV530" i="1"/>
  <c r="AO533" i="1"/>
  <c r="AN533" i="1" s="1"/>
  <c r="BD533" i="1" l="1"/>
  <c r="BQ533" i="1"/>
  <c r="AU532" i="1"/>
  <c r="AS532" i="1"/>
  <c r="AT532" i="1"/>
  <c r="AR533" i="1" a="1"/>
  <c r="AR533" i="1" s="1"/>
  <c r="AV531" i="1"/>
  <c r="AO534" i="1"/>
  <c r="AN534" i="1" s="1"/>
  <c r="BD534" i="1" l="1"/>
  <c r="BQ534" i="1"/>
  <c r="AS533" i="1"/>
  <c r="AT533" i="1"/>
  <c r="AU533" i="1"/>
  <c r="AR534" i="1" a="1"/>
  <c r="AR534" i="1" s="1"/>
  <c r="AV532" i="1"/>
  <c r="AO535" i="1"/>
  <c r="AN535" i="1" s="1"/>
  <c r="BD535" i="1" l="1"/>
  <c r="BQ535" i="1"/>
  <c r="AT534" i="1"/>
  <c r="AU534" i="1"/>
  <c r="AS534" i="1"/>
  <c r="AR535" i="1" a="1"/>
  <c r="AR535" i="1" s="1"/>
  <c r="AV533" i="1"/>
  <c r="AO536" i="1"/>
  <c r="AN536" i="1" s="1"/>
  <c r="BD536" i="1" l="1"/>
  <c r="BQ536" i="1"/>
  <c r="AU535" i="1"/>
  <c r="AS535" i="1"/>
  <c r="AT535" i="1"/>
  <c r="AR536" i="1" a="1"/>
  <c r="AR536" i="1" s="1"/>
  <c r="AV534" i="1"/>
  <c r="AO537" i="1"/>
  <c r="AN537" i="1" s="1"/>
  <c r="BD537" i="1" l="1"/>
  <c r="BQ537" i="1"/>
  <c r="AT536" i="1"/>
  <c r="AU536" i="1"/>
  <c r="AS536" i="1"/>
  <c r="AR537" i="1" a="1"/>
  <c r="AR537" i="1" s="1"/>
  <c r="AV535" i="1"/>
  <c r="AO538" i="1"/>
  <c r="AN538" i="1" s="1"/>
  <c r="BD538" i="1" l="1"/>
  <c r="BQ538" i="1"/>
  <c r="AS537" i="1"/>
  <c r="AT537" i="1"/>
  <c r="AU537" i="1"/>
  <c r="AR538" i="1" a="1"/>
  <c r="AR538" i="1" s="1"/>
  <c r="AV536" i="1"/>
  <c r="AO539" i="1"/>
  <c r="AN539" i="1" s="1"/>
  <c r="BD539" i="1" l="1"/>
  <c r="BQ539" i="1"/>
  <c r="AT538" i="1"/>
  <c r="AS538" i="1"/>
  <c r="AU538" i="1"/>
  <c r="AR539" i="1" a="1"/>
  <c r="AR539" i="1" s="1"/>
  <c r="AV537" i="1"/>
  <c r="AO540" i="1"/>
  <c r="AN540" i="1" s="1"/>
  <c r="BD540" i="1" l="1"/>
  <c r="BQ540" i="1"/>
  <c r="AU539" i="1"/>
  <c r="AT539" i="1"/>
  <c r="AS539" i="1"/>
  <c r="AR540" i="1" a="1"/>
  <c r="AR540" i="1" s="1"/>
  <c r="AV538" i="1"/>
  <c r="AO541" i="1"/>
  <c r="AN541" i="1" s="1"/>
  <c r="BD541" i="1" l="1"/>
  <c r="BQ541" i="1"/>
  <c r="AS540" i="1"/>
  <c r="AT540" i="1"/>
  <c r="AU540" i="1"/>
  <c r="AR541" i="1" a="1"/>
  <c r="AR541" i="1" s="1"/>
  <c r="AV539" i="1"/>
  <c r="AO542" i="1"/>
  <c r="AN542" i="1" s="1"/>
  <c r="BD542" i="1" l="1"/>
  <c r="BQ542" i="1"/>
  <c r="AS541" i="1"/>
  <c r="AU541" i="1"/>
  <c r="AT541" i="1"/>
  <c r="AR542" i="1" a="1"/>
  <c r="AR542" i="1" s="1"/>
  <c r="AV540" i="1"/>
  <c r="AO543" i="1"/>
  <c r="AN543" i="1" s="1"/>
  <c r="BD543" i="1" l="1"/>
  <c r="BQ543" i="1"/>
  <c r="AT542" i="1"/>
  <c r="AS542" i="1"/>
  <c r="AU542" i="1"/>
  <c r="AR543" i="1" a="1"/>
  <c r="AR543" i="1" s="1"/>
  <c r="AV541" i="1"/>
  <c r="AO544" i="1"/>
  <c r="AN544" i="1" s="1"/>
  <c r="BD544" i="1" l="1"/>
  <c r="BQ544" i="1"/>
  <c r="AU543" i="1"/>
  <c r="AT543" i="1"/>
  <c r="AS543" i="1"/>
  <c r="AR544" i="1" a="1"/>
  <c r="AR544" i="1" s="1"/>
  <c r="AV542" i="1"/>
  <c r="AO545" i="1"/>
  <c r="AN545" i="1" s="1"/>
  <c r="BD545" i="1" l="1"/>
  <c r="BQ545" i="1"/>
  <c r="AS544" i="1"/>
  <c r="AT544" i="1"/>
  <c r="AU544" i="1"/>
  <c r="AR545" i="1" a="1"/>
  <c r="AR545" i="1" s="1"/>
  <c r="AV543" i="1"/>
  <c r="AO546" i="1"/>
  <c r="AN546" i="1" s="1"/>
  <c r="BD546" i="1" l="1"/>
  <c r="BQ546" i="1"/>
  <c r="AS545" i="1"/>
  <c r="AT545" i="1"/>
  <c r="AU545" i="1"/>
  <c r="AR546" i="1" a="1"/>
  <c r="AR546" i="1" s="1"/>
  <c r="AV544" i="1"/>
  <c r="AO547" i="1"/>
  <c r="AN547" i="1" s="1"/>
  <c r="BD547" i="1" l="1"/>
  <c r="BQ547" i="1"/>
  <c r="AT546" i="1"/>
  <c r="AS546" i="1"/>
  <c r="AU546" i="1"/>
  <c r="AR547" i="1" a="1"/>
  <c r="AR547" i="1" s="1"/>
  <c r="AV545" i="1"/>
  <c r="AO548" i="1"/>
  <c r="AN548" i="1" s="1"/>
  <c r="BD548" i="1" l="1"/>
  <c r="BQ548" i="1"/>
  <c r="AU547" i="1"/>
  <c r="AS547" i="1"/>
  <c r="AT547" i="1"/>
  <c r="AR548" i="1" a="1"/>
  <c r="AR548" i="1" s="1"/>
  <c r="AV546" i="1"/>
  <c r="AO549" i="1"/>
  <c r="AN549" i="1" s="1"/>
  <c r="BD549" i="1" l="1"/>
  <c r="BQ549" i="1"/>
  <c r="AU548" i="1"/>
  <c r="AS548" i="1"/>
  <c r="AT548" i="1"/>
  <c r="AR549" i="1" a="1"/>
  <c r="AR549" i="1" s="1"/>
  <c r="AV547" i="1"/>
  <c r="AO550" i="1"/>
  <c r="AN550" i="1" s="1"/>
  <c r="BD550" i="1" l="1"/>
  <c r="BQ550" i="1"/>
  <c r="AS549" i="1"/>
  <c r="AT549" i="1"/>
  <c r="AU549" i="1"/>
  <c r="AR550" i="1" a="1"/>
  <c r="AR550" i="1" s="1"/>
  <c r="AV548" i="1"/>
  <c r="AO551" i="1"/>
  <c r="AN551" i="1" s="1"/>
  <c r="BD551" i="1" l="1"/>
  <c r="BQ551" i="1"/>
  <c r="AT550" i="1"/>
  <c r="AU550" i="1"/>
  <c r="AS550" i="1"/>
  <c r="AR551" i="1" a="1"/>
  <c r="AR551" i="1" s="1"/>
  <c r="AV549" i="1"/>
  <c r="AO552" i="1"/>
  <c r="AN552" i="1" s="1"/>
  <c r="BD552" i="1" l="1"/>
  <c r="BQ552" i="1"/>
  <c r="AU551" i="1"/>
  <c r="AS551" i="1"/>
  <c r="AT551" i="1"/>
  <c r="AR552" i="1" a="1"/>
  <c r="AR552" i="1" s="1"/>
  <c r="AV550" i="1"/>
  <c r="AO553" i="1"/>
  <c r="AN553" i="1" s="1"/>
  <c r="BD553" i="1" l="1"/>
  <c r="BQ553" i="1"/>
  <c r="AT552" i="1"/>
  <c r="AU552" i="1"/>
  <c r="AS552" i="1"/>
  <c r="AR553" i="1" a="1"/>
  <c r="AR553" i="1" s="1"/>
  <c r="AV551" i="1"/>
  <c r="AO554" i="1"/>
  <c r="AN554" i="1" s="1"/>
  <c r="BD554" i="1" l="1"/>
  <c r="BQ554" i="1"/>
  <c r="AS553" i="1"/>
  <c r="AU553" i="1"/>
  <c r="AT553" i="1"/>
  <c r="AR554" i="1" a="1"/>
  <c r="AR554" i="1" s="1"/>
  <c r="AV552" i="1"/>
  <c r="AO555" i="1"/>
  <c r="AN555" i="1" s="1"/>
  <c r="BD555" i="1" l="1"/>
  <c r="BQ555" i="1"/>
  <c r="AT554" i="1"/>
  <c r="AS554" i="1"/>
  <c r="AU554" i="1"/>
  <c r="AR555" i="1" a="1"/>
  <c r="AR555" i="1" s="1"/>
  <c r="AV553" i="1"/>
  <c r="AO556" i="1"/>
  <c r="AN556" i="1" s="1"/>
  <c r="BD556" i="1" l="1"/>
  <c r="BQ556" i="1"/>
  <c r="AU555" i="1"/>
  <c r="AS555" i="1"/>
  <c r="AT555" i="1"/>
  <c r="AR556" i="1" a="1"/>
  <c r="AR556" i="1" s="1"/>
  <c r="AV554" i="1"/>
  <c r="AO557" i="1"/>
  <c r="AN557" i="1" s="1"/>
  <c r="BD557" i="1" l="1"/>
  <c r="BQ557" i="1"/>
  <c r="AS556" i="1"/>
  <c r="AT556" i="1"/>
  <c r="AU556" i="1"/>
  <c r="AR557" i="1" a="1"/>
  <c r="AR557" i="1" s="1"/>
  <c r="AV555" i="1"/>
  <c r="AO558" i="1"/>
  <c r="AN558" i="1" s="1"/>
  <c r="BD558" i="1" l="1"/>
  <c r="BQ558" i="1"/>
  <c r="AS557" i="1"/>
  <c r="AU557" i="1"/>
  <c r="AT557" i="1"/>
  <c r="AR558" i="1" a="1"/>
  <c r="AR558" i="1" s="1"/>
  <c r="AV556" i="1"/>
  <c r="AO559" i="1"/>
  <c r="AN559" i="1" s="1"/>
  <c r="BD559" i="1" l="1"/>
  <c r="BQ559" i="1"/>
  <c r="AT558" i="1"/>
  <c r="AS558" i="1"/>
  <c r="AU558" i="1"/>
  <c r="AR559" i="1" a="1"/>
  <c r="AR559" i="1" s="1"/>
  <c r="AV557" i="1"/>
  <c r="AO560" i="1"/>
  <c r="AN560" i="1" s="1"/>
  <c r="BD560" i="1" l="1"/>
  <c r="BQ560" i="1"/>
  <c r="AU559" i="1"/>
  <c r="AT559" i="1"/>
  <c r="AS559" i="1"/>
  <c r="AR560" i="1" a="1"/>
  <c r="AR560" i="1" s="1"/>
  <c r="AV558" i="1"/>
  <c r="AO561" i="1"/>
  <c r="AN561" i="1" s="1"/>
  <c r="BD561" i="1" l="1"/>
  <c r="BQ561" i="1"/>
  <c r="AS560" i="1"/>
  <c r="AT560" i="1"/>
  <c r="AU560" i="1"/>
  <c r="AR561" i="1" a="1"/>
  <c r="AR561" i="1" s="1"/>
  <c r="AV559" i="1"/>
  <c r="AO562" i="1"/>
  <c r="AN562" i="1" s="1"/>
  <c r="BD562" i="1" l="1"/>
  <c r="BQ562" i="1"/>
  <c r="AS561" i="1"/>
  <c r="AT561" i="1"/>
  <c r="AU561" i="1"/>
  <c r="AR562" i="1" a="1"/>
  <c r="AR562" i="1" s="1"/>
  <c r="AV560" i="1"/>
  <c r="AO563" i="1"/>
  <c r="AN563" i="1" s="1"/>
  <c r="BD563" i="1" l="1"/>
  <c r="BQ563" i="1"/>
  <c r="AT562" i="1"/>
  <c r="AS562" i="1"/>
  <c r="AU562" i="1"/>
  <c r="AR563" i="1" a="1"/>
  <c r="AR563" i="1" s="1"/>
  <c r="AV561" i="1"/>
  <c r="AO564" i="1"/>
  <c r="AN564" i="1" s="1"/>
  <c r="BD564" i="1" l="1"/>
  <c r="BQ564" i="1"/>
  <c r="AU563" i="1"/>
  <c r="AS563" i="1"/>
  <c r="AT563" i="1"/>
  <c r="AR564" i="1" a="1"/>
  <c r="AR564" i="1" s="1"/>
  <c r="AV562" i="1"/>
  <c r="AO565" i="1"/>
  <c r="AN565" i="1" s="1"/>
  <c r="BD565" i="1" l="1"/>
  <c r="BQ565" i="1"/>
  <c r="AU564" i="1"/>
  <c r="AS564" i="1"/>
  <c r="AT564" i="1"/>
  <c r="AR565" i="1" a="1"/>
  <c r="AR565" i="1" s="1"/>
  <c r="AV563" i="1"/>
  <c r="AO566" i="1"/>
  <c r="AN566" i="1" s="1"/>
  <c r="BD566" i="1" l="1"/>
  <c r="BQ566" i="1"/>
  <c r="AS565" i="1"/>
  <c r="AT565" i="1"/>
  <c r="AU565" i="1"/>
  <c r="AR566" i="1" a="1"/>
  <c r="AR566" i="1" s="1"/>
  <c r="AV564" i="1"/>
  <c r="AO567" i="1"/>
  <c r="AN567" i="1" s="1"/>
  <c r="BD567" i="1" l="1"/>
  <c r="BQ567" i="1"/>
  <c r="AT566" i="1"/>
  <c r="AU566" i="1"/>
  <c r="AS566" i="1"/>
  <c r="AR567" i="1" a="1"/>
  <c r="AR567" i="1" s="1"/>
  <c r="AV565" i="1"/>
  <c r="AO568" i="1"/>
  <c r="AN568" i="1" s="1"/>
  <c r="BD568" i="1" l="1"/>
  <c r="BQ568" i="1"/>
  <c r="AU567" i="1"/>
  <c r="AS567" i="1"/>
  <c r="AT567" i="1"/>
  <c r="AR568" i="1" a="1"/>
  <c r="AR568" i="1" s="1"/>
  <c r="AV566" i="1"/>
  <c r="AO569" i="1"/>
  <c r="AN569" i="1" s="1"/>
  <c r="BD569" i="1" l="1"/>
  <c r="BQ569" i="1"/>
  <c r="AT568" i="1"/>
  <c r="AU568" i="1"/>
  <c r="AS568" i="1"/>
  <c r="AR569" i="1" a="1"/>
  <c r="AR569" i="1" s="1"/>
  <c r="AV567" i="1"/>
  <c r="AO570" i="1"/>
  <c r="AN570" i="1" s="1"/>
  <c r="BD570" i="1" l="1"/>
  <c r="BQ570" i="1"/>
  <c r="AS569" i="1"/>
  <c r="AT569" i="1"/>
  <c r="AU569" i="1"/>
  <c r="AR570" i="1" a="1"/>
  <c r="AR570" i="1" s="1"/>
  <c r="AV568" i="1"/>
  <c r="AO571" i="1"/>
  <c r="AN571" i="1" s="1"/>
  <c r="BD571" i="1" l="1"/>
  <c r="BQ571" i="1"/>
  <c r="AT570" i="1"/>
  <c r="AS570" i="1"/>
  <c r="AU570" i="1"/>
  <c r="AR571" i="1" a="1"/>
  <c r="AR571" i="1" s="1"/>
  <c r="AV569" i="1"/>
  <c r="AO572" i="1"/>
  <c r="AN572" i="1" s="1"/>
  <c r="BD572" i="1" l="1"/>
  <c r="BQ572" i="1"/>
  <c r="AU571" i="1"/>
  <c r="AS571" i="1"/>
  <c r="AT571" i="1"/>
  <c r="AR572" i="1" a="1"/>
  <c r="AR572" i="1" s="1"/>
  <c r="AV570" i="1"/>
  <c r="AO573" i="1"/>
  <c r="AN573" i="1" s="1"/>
  <c r="BD573" i="1" l="1"/>
  <c r="BQ573" i="1"/>
  <c r="AS572" i="1"/>
  <c r="AT572" i="1"/>
  <c r="AU572" i="1"/>
  <c r="AR573" i="1" a="1"/>
  <c r="AR573" i="1" s="1"/>
  <c r="AV571" i="1"/>
  <c r="AO574" i="1"/>
  <c r="AN574" i="1" s="1"/>
  <c r="BD574" i="1" l="1"/>
  <c r="BQ574" i="1"/>
  <c r="AS573" i="1"/>
  <c r="AU573" i="1"/>
  <c r="AT573" i="1"/>
  <c r="AR574" i="1" a="1"/>
  <c r="AR574" i="1" s="1"/>
  <c r="AV572" i="1"/>
  <c r="AO575" i="1"/>
  <c r="AN575" i="1" s="1"/>
  <c r="BD575" i="1" l="1"/>
  <c r="BQ575" i="1"/>
  <c r="AT574" i="1"/>
  <c r="AS574" i="1"/>
  <c r="AU574" i="1"/>
  <c r="AR575" i="1" a="1"/>
  <c r="AR575" i="1" s="1"/>
  <c r="AV573" i="1"/>
  <c r="AO576" i="1"/>
  <c r="AN576" i="1" s="1"/>
  <c r="BD576" i="1" l="1"/>
  <c r="BQ576" i="1"/>
  <c r="AU575" i="1"/>
  <c r="AT575" i="1"/>
  <c r="AS575" i="1"/>
  <c r="AR576" i="1" a="1"/>
  <c r="AR576" i="1" s="1"/>
  <c r="AV574" i="1"/>
  <c r="AO577" i="1"/>
  <c r="AN577" i="1" s="1"/>
  <c r="BD577" i="1" l="1"/>
  <c r="BQ577" i="1"/>
  <c r="AS576" i="1"/>
  <c r="AT576" i="1"/>
  <c r="AU576" i="1"/>
  <c r="AR577" i="1" a="1"/>
  <c r="AR577" i="1" s="1"/>
  <c r="AV575" i="1"/>
  <c r="AO578" i="1"/>
  <c r="AN578" i="1" s="1"/>
  <c r="BD578" i="1" l="1"/>
  <c r="BQ578" i="1"/>
  <c r="AS577" i="1"/>
  <c r="AT577" i="1"/>
  <c r="AU577" i="1"/>
  <c r="AR578" i="1" a="1"/>
  <c r="AR578" i="1" s="1"/>
  <c r="AV576" i="1"/>
  <c r="AO579" i="1"/>
  <c r="AN579" i="1" s="1"/>
  <c r="BD579" i="1" l="1"/>
  <c r="BQ579" i="1"/>
  <c r="AT578" i="1"/>
  <c r="AS578" i="1"/>
  <c r="AU578" i="1"/>
  <c r="AR579" i="1" a="1"/>
  <c r="AR579" i="1" s="1"/>
  <c r="AV577" i="1"/>
  <c r="AO580" i="1"/>
  <c r="AN580" i="1" s="1"/>
  <c r="BD580" i="1" l="1"/>
  <c r="BQ580" i="1"/>
  <c r="AU579" i="1"/>
  <c r="AS579" i="1"/>
  <c r="AT579" i="1"/>
  <c r="AR580" i="1" a="1"/>
  <c r="AR580" i="1" s="1"/>
  <c r="AV578" i="1"/>
  <c r="AO581" i="1"/>
  <c r="AN581" i="1" s="1"/>
  <c r="BD581" i="1" l="1"/>
  <c r="BQ581" i="1"/>
  <c r="AU580" i="1"/>
  <c r="AS580" i="1"/>
  <c r="AT580" i="1"/>
  <c r="AR581" i="1" a="1"/>
  <c r="AR581" i="1" s="1"/>
  <c r="AV579" i="1"/>
  <c r="AO582" i="1"/>
  <c r="AN582" i="1" s="1"/>
  <c r="BD582" i="1" l="1"/>
  <c r="BQ582" i="1"/>
  <c r="AS581" i="1"/>
  <c r="AT581" i="1"/>
  <c r="AU581" i="1"/>
  <c r="AR582" i="1" a="1"/>
  <c r="AR582" i="1" s="1"/>
  <c r="AV580" i="1"/>
  <c r="AO583" i="1"/>
  <c r="AN583" i="1" s="1"/>
  <c r="BD583" i="1" l="1"/>
  <c r="BQ583" i="1"/>
  <c r="AT582" i="1"/>
  <c r="AU582" i="1"/>
  <c r="AS582" i="1"/>
  <c r="AR583" i="1" a="1"/>
  <c r="AR583" i="1" s="1"/>
  <c r="AV581" i="1"/>
  <c r="AO584" i="1"/>
  <c r="AN584" i="1" s="1"/>
  <c r="BD584" i="1" l="1"/>
  <c r="BQ584" i="1"/>
  <c r="AU583" i="1"/>
  <c r="AS583" i="1"/>
  <c r="AT583" i="1"/>
  <c r="AR584" i="1" a="1"/>
  <c r="AR584" i="1" s="1"/>
  <c r="AV582" i="1"/>
  <c r="AO585" i="1"/>
  <c r="AN585" i="1" s="1"/>
  <c r="BD585" i="1" l="1"/>
  <c r="BQ585" i="1"/>
  <c r="AT584" i="1"/>
  <c r="AU584" i="1"/>
  <c r="AS584" i="1"/>
  <c r="AR585" i="1" a="1"/>
  <c r="AR585" i="1" s="1"/>
  <c r="AV583" i="1"/>
  <c r="AO586" i="1"/>
  <c r="AN586" i="1" s="1"/>
  <c r="BD586" i="1" l="1"/>
  <c r="BQ586" i="1"/>
  <c r="AS585" i="1"/>
  <c r="AT585" i="1"/>
  <c r="AU585" i="1"/>
  <c r="AR586" i="1" a="1"/>
  <c r="AR586" i="1" s="1"/>
  <c r="AV584" i="1"/>
  <c r="AO587" i="1"/>
  <c r="AN587" i="1" s="1"/>
  <c r="BD587" i="1" l="1"/>
  <c r="BQ587" i="1"/>
  <c r="AT586" i="1"/>
  <c r="AS586" i="1"/>
  <c r="AU586" i="1"/>
  <c r="AR587" i="1" a="1"/>
  <c r="AR587" i="1" s="1"/>
  <c r="AV585" i="1"/>
  <c r="AO588" i="1"/>
  <c r="AN588" i="1" s="1"/>
  <c r="BD588" i="1" l="1"/>
  <c r="BQ588" i="1"/>
  <c r="AU587" i="1"/>
  <c r="AS587" i="1"/>
  <c r="AT587" i="1"/>
  <c r="AR588" i="1" a="1"/>
  <c r="AR588" i="1" s="1"/>
  <c r="AV586" i="1"/>
  <c r="AO589" i="1"/>
  <c r="AN589" i="1" s="1"/>
  <c r="BD589" i="1" l="1"/>
  <c r="BQ589" i="1"/>
  <c r="AS588" i="1"/>
  <c r="AT588" i="1"/>
  <c r="AU588" i="1"/>
  <c r="AR589" i="1" a="1"/>
  <c r="AR589" i="1" s="1"/>
  <c r="AV587" i="1"/>
  <c r="AO590" i="1"/>
  <c r="AN590" i="1" s="1"/>
  <c r="BD590" i="1" l="1"/>
  <c r="BQ590" i="1"/>
  <c r="AS589" i="1"/>
  <c r="AU589" i="1"/>
  <c r="AT589" i="1"/>
  <c r="AR590" i="1" a="1"/>
  <c r="AR590" i="1" s="1"/>
  <c r="AV588" i="1"/>
  <c r="AO591" i="1"/>
  <c r="AN591" i="1" s="1"/>
  <c r="BD591" i="1" l="1"/>
  <c r="BQ591" i="1"/>
  <c r="AT590" i="1"/>
  <c r="AS590" i="1"/>
  <c r="AU590" i="1"/>
  <c r="AR591" i="1" a="1"/>
  <c r="AR591" i="1" s="1"/>
  <c r="AV589" i="1"/>
  <c r="AO592" i="1"/>
  <c r="AN592" i="1" s="1"/>
  <c r="BD592" i="1" l="1"/>
  <c r="BQ592" i="1"/>
  <c r="AU591" i="1"/>
  <c r="AT591" i="1"/>
  <c r="AS591" i="1"/>
  <c r="AR592" i="1" a="1"/>
  <c r="AR592" i="1" s="1"/>
  <c r="AV590" i="1"/>
  <c r="AO593" i="1"/>
  <c r="AN593" i="1" s="1"/>
  <c r="BD593" i="1" l="1"/>
  <c r="BQ593" i="1"/>
  <c r="AS592" i="1"/>
  <c r="AT592" i="1"/>
  <c r="AU592" i="1"/>
  <c r="AR593" i="1" a="1"/>
  <c r="AR593" i="1" s="1"/>
  <c r="AV591" i="1"/>
  <c r="AO594" i="1"/>
  <c r="AN594" i="1" s="1"/>
  <c r="BD594" i="1" l="1"/>
  <c r="BQ594" i="1"/>
  <c r="AS593" i="1"/>
  <c r="AT593" i="1"/>
  <c r="AU593" i="1"/>
  <c r="AR594" i="1" a="1"/>
  <c r="AR594" i="1" s="1"/>
  <c r="AV592" i="1"/>
  <c r="AO595" i="1"/>
  <c r="AN595" i="1" s="1"/>
  <c r="BD595" i="1" l="1"/>
  <c r="BQ595" i="1"/>
  <c r="AT594" i="1"/>
  <c r="AS594" i="1"/>
  <c r="AU594" i="1"/>
  <c r="AR595" i="1" a="1"/>
  <c r="AR595" i="1" s="1"/>
  <c r="AV593" i="1"/>
  <c r="AO596" i="1"/>
  <c r="AN596" i="1" s="1"/>
  <c r="BD596" i="1" l="1"/>
  <c r="BQ596" i="1"/>
  <c r="AU595" i="1"/>
  <c r="AS595" i="1"/>
  <c r="AT595" i="1"/>
  <c r="AR596" i="1" a="1"/>
  <c r="AR596" i="1" s="1"/>
  <c r="AV594" i="1"/>
  <c r="AO597" i="1"/>
  <c r="AN597" i="1" s="1"/>
  <c r="BD597" i="1" l="1"/>
  <c r="BQ597" i="1"/>
  <c r="AU596" i="1"/>
  <c r="AS596" i="1"/>
  <c r="AT596" i="1"/>
  <c r="AR597" i="1" a="1"/>
  <c r="AR597" i="1" s="1"/>
  <c r="AV595" i="1"/>
  <c r="AO598" i="1"/>
  <c r="AN598" i="1" s="1"/>
  <c r="BD598" i="1" l="1"/>
  <c r="BQ598" i="1"/>
  <c r="AS597" i="1"/>
  <c r="AT597" i="1"/>
  <c r="AU597" i="1"/>
  <c r="AR598" i="1" a="1"/>
  <c r="AR598" i="1" s="1"/>
  <c r="AV596" i="1"/>
  <c r="AO599" i="1"/>
  <c r="AN599" i="1" s="1"/>
  <c r="BD599" i="1" l="1"/>
  <c r="BQ599" i="1"/>
  <c r="AT598" i="1"/>
  <c r="AU598" i="1"/>
  <c r="AS598" i="1"/>
  <c r="AR599" i="1" a="1"/>
  <c r="AR599" i="1" s="1"/>
  <c r="AV597" i="1"/>
  <c r="AO600" i="1"/>
  <c r="AN600" i="1" s="1"/>
  <c r="BD600" i="1" l="1"/>
  <c r="BQ600" i="1"/>
  <c r="AU599" i="1"/>
  <c r="AS599" i="1"/>
  <c r="AT599" i="1"/>
  <c r="AR600" i="1" a="1"/>
  <c r="AR600" i="1" s="1"/>
  <c r="AV598" i="1"/>
  <c r="AO601" i="1"/>
  <c r="AN601" i="1" s="1"/>
  <c r="BD601" i="1" l="1"/>
  <c r="BQ601" i="1"/>
  <c r="AT600" i="1"/>
  <c r="AU600" i="1"/>
  <c r="AS600" i="1"/>
  <c r="AR601" i="1" a="1"/>
  <c r="AR601" i="1" s="1"/>
  <c r="AV599" i="1"/>
  <c r="AO602" i="1"/>
  <c r="AN602" i="1" s="1"/>
  <c r="BD602" i="1" l="1"/>
  <c r="BQ602" i="1"/>
  <c r="AS601" i="1"/>
  <c r="AT601" i="1"/>
  <c r="AU601" i="1"/>
  <c r="AR602" i="1" a="1"/>
  <c r="AR602" i="1" s="1"/>
  <c r="AV600" i="1"/>
  <c r="AO603" i="1"/>
  <c r="AN603" i="1" s="1"/>
  <c r="BD603" i="1" l="1"/>
  <c r="BQ603" i="1"/>
  <c r="AT602" i="1"/>
  <c r="AS602" i="1"/>
  <c r="AU602" i="1"/>
  <c r="AR603" i="1" a="1"/>
  <c r="AR603" i="1" s="1"/>
  <c r="AV601" i="1"/>
  <c r="AO604" i="1"/>
  <c r="AN604" i="1" s="1"/>
  <c r="BD604" i="1" l="1"/>
  <c r="BQ604" i="1"/>
  <c r="AU603" i="1"/>
  <c r="AT603" i="1"/>
  <c r="AS603" i="1"/>
  <c r="AR604" i="1" a="1"/>
  <c r="AR604" i="1" s="1"/>
  <c r="AV602" i="1"/>
  <c r="AO605" i="1"/>
  <c r="AN605" i="1" s="1"/>
  <c r="BD605" i="1" l="1"/>
  <c r="BQ605" i="1"/>
  <c r="AS604" i="1"/>
  <c r="AT604" i="1"/>
  <c r="AU604" i="1"/>
  <c r="AR605" i="1" a="1"/>
  <c r="AR605" i="1" s="1"/>
  <c r="AV603" i="1"/>
  <c r="AO606" i="1"/>
  <c r="AN606" i="1" s="1"/>
  <c r="BD606" i="1" l="1"/>
  <c r="BQ606" i="1"/>
  <c r="AS605" i="1"/>
  <c r="AU605" i="1"/>
  <c r="AT605" i="1"/>
  <c r="AR606" i="1" a="1"/>
  <c r="AR606" i="1" s="1"/>
  <c r="AV604" i="1"/>
  <c r="AO607" i="1"/>
  <c r="AN607" i="1" s="1"/>
  <c r="BD607" i="1" l="1"/>
  <c r="BQ607" i="1"/>
  <c r="AT606" i="1"/>
  <c r="AS606" i="1"/>
  <c r="AU606" i="1"/>
  <c r="AR607" i="1" a="1"/>
  <c r="AR607" i="1" s="1"/>
  <c r="AV605" i="1"/>
  <c r="AO608" i="1"/>
  <c r="AN608" i="1" s="1"/>
  <c r="BD608" i="1" l="1"/>
  <c r="BQ608" i="1"/>
  <c r="AU607" i="1"/>
  <c r="AT607" i="1"/>
  <c r="AS607" i="1"/>
  <c r="AR608" i="1" a="1"/>
  <c r="AR608" i="1" s="1"/>
  <c r="AV606" i="1"/>
  <c r="AO609" i="1"/>
  <c r="AN609" i="1" s="1"/>
  <c r="BD609" i="1" l="1"/>
  <c r="BQ609" i="1"/>
  <c r="AS608" i="1"/>
  <c r="AT608" i="1"/>
  <c r="AU608" i="1"/>
  <c r="AR609" i="1" a="1"/>
  <c r="AR609" i="1" s="1"/>
  <c r="AV607" i="1"/>
  <c r="AO610" i="1"/>
  <c r="AN610" i="1" s="1"/>
  <c r="BD610" i="1" l="1"/>
  <c r="BQ610" i="1"/>
  <c r="AS609" i="1"/>
  <c r="AT609" i="1"/>
  <c r="AU609" i="1"/>
  <c r="AR610" i="1" a="1"/>
  <c r="AR610" i="1" s="1"/>
  <c r="AV608" i="1"/>
  <c r="AO611" i="1"/>
  <c r="AN611" i="1" s="1"/>
  <c r="BD611" i="1" l="1"/>
  <c r="BQ611" i="1"/>
  <c r="AT610" i="1"/>
  <c r="AS610" i="1"/>
  <c r="AU610" i="1"/>
  <c r="AR611" i="1" a="1"/>
  <c r="AR611" i="1" s="1"/>
  <c r="AV609" i="1"/>
  <c r="AO612" i="1"/>
  <c r="AN612" i="1" s="1"/>
  <c r="BD612" i="1" l="1"/>
  <c r="BQ612" i="1"/>
  <c r="AU611" i="1"/>
  <c r="AS611" i="1"/>
  <c r="AT611" i="1"/>
  <c r="AR612" i="1" a="1"/>
  <c r="AR612" i="1" s="1"/>
  <c r="AV610" i="1"/>
  <c r="AO613" i="1"/>
  <c r="AN613" i="1" s="1"/>
  <c r="BD613" i="1" l="1"/>
  <c r="BQ613" i="1"/>
  <c r="AU612" i="1"/>
  <c r="AS612" i="1"/>
  <c r="AT612" i="1"/>
  <c r="AR613" i="1" a="1"/>
  <c r="AR613" i="1" s="1"/>
  <c r="AV611" i="1"/>
  <c r="AO614" i="1"/>
  <c r="AN614" i="1" s="1"/>
  <c r="BD614" i="1" l="1"/>
  <c r="BQ614" i="1"/>
  <c r="AS613" i="1"/>
  <c r="AT613" i="1"/>
  <c r="AU613" i="1"/>
  <c r="AR614" i="1" a="1"/>
  <c r="AR614" i="1" s="1"/>
  <c r="AV612" i="1"/>
  <c r="AO615" i="1"/>
  <c r="AN615" i="1" s="1"/>
  <c r="BD615" i="1" l="1"/>
  <c r="BQ615" i="1"/>
  <c r="AT614" i="1"/>
  <c r="AU614" i="1"/>
  <c r="AS614" i="1"/>
  <c r="AR615" i="1" a="1"/>
  <c r="AR615" i="1" s="1"/>
  <c r="AV613" i="1"/>
  <c r="AO616" i="1"/>
  <c r="AN616" i="1" s="1"/>
  <c r="BD616" i="1" l="1"/>
  <c r="BQ616" i="1"/>
  <c r="AU615" i="1"/>
  <c r="AS615" i="1"/>
  <c r="AT615" i="1"/>
  <c r="AR616" i="1" a="1"/>
  <c r="AR616" i="1" s="1"/>
  <c r="AV614" i="1"/>
  <c r="AO617" i="1"/>
  <c r="AN617" i="1" s="1"/>
  <c r="BD617" i="1" l="1"/>
  <c r="BQ617" i="1"/>
  <c r="AT616" i="1"/>
  <c r="AU616" i="1"/>
  <c r="AS616" i="1"/>
  <c r="AR617" i="1" a="1"/>
  <c r="AR617" i="1" s="1"/>
  <c r="AV615" i="1"/>
  <c r="AO618" i="1"/>
  <c r="AN618" i="1" s="1"/>
  <c r="BD618" i="1" l="1"/>
  <c r="BQ618" i="1"/>
  <c r="AS617" i="1"/>
  <c r="AU617" i="1"/>
  <c r="AT617" i="1"/>
  <c r="AR618" i="1" a="1"/>
  <c r="AR618" i="1" s="1"/>
  <c r="AV616" i="1"/>
  <c r="AO619" i="1"/>
  <c r="AN619" i="1" s="1"/>
  <c r="BD619" i="1" l="1"/>
  <c r="BQ619" i="1"/>
  <c r="AT618" i="1"/>
  <c r="AS618" i="1"/>
  <c r="AU618" i="1"/>
  <c r="AR619" i="1" a="1"/>
  <c r="AR619" i="1" s="1"/>
  <c r="AV617" i="1"/>
  <c r="AO620" i="1"/>
  <c r="AN620" i="1" s="1"/>
  <c r="BD620" i="1" l="1"/>
  <c r="BQ620" i="1"/>
  <c r="AU619" i="1"/>
  <c r="AS619" i="1"/>
  <c r="AT619" i="1"/>
  <c r="AR620" i="1" a="1"/>
  <c r="AR620" i="1" s="1"/>
  <c r="AV618" i="1"/>
  <c r="AO621" i="1"/>
  <c r="AN621" i="1" s="1"/>
  <c r="BD621" i="1" l="1"/>
  <c r="BQ621" i="1"/>
  <c r="AS620" i="1"/>
  <c r="AT620" i="1"/>
  <c r="AU620" i="1"/>
  <c r="AR621" i="1" a="1"/>
  <c r="AR621" i="1" s="1"/>
  <c r="AV619" i="1"/>
  <c r="AO622" i="1"/>
  <c r="AN622" i="1" s="1"/>
  <c r="BD622" i="1" l="1"/>
  <c r="BQ622" i="1"/>
  <c r="AS621" i="1"/>
  <c r="AU621" i="1"/>
  <c r="AT621" i="1"/>
  <c r="AR622" i="1" a="1"/>
  <c r="AR622" i="1" s="1"/>
  <c r="AV620" i="1"/>
  <c r="AO623" i="1"/>
  <c r="AN623" i="1" s="1"/>
  <c r="BD623" i="1" l="1"/>
  <c r="BQ623" i="1"/>
  <c r="AT622" i="1"/>
  <c r="AS622" i="1"/>
  <c r="AU622" i="1"/>
  <c r="AR623" i="1" a="1"/>
  <c r="AR623" i="1" s="1"/>
  <c r="AV621" i="1"/>
  <c r="AO624" i="1"/>
  <c r="AN624" i="1" s="1"/>
  <c r="BD624" i="1" l="1"/>
  <c r="BQ624" i="1"/>
  <c r="AU623" i="1"/>
  <c r="AT623" i="1"/>
  <c r="AS623" i="1"/>
  <c r="AR624" i="1" a="1"/>
  <c r="AR624" i="1" s="1"/>
  <c r="AV622" i="1"/>
  <c r="AO625" i="1"/>
  <c r="AN625" i="1" s="1"/>
  <c r="BD625" i="1" l="1"/>
  <c r="BQ625" i="1"/>
  <c r="AS624" i="1"/>
  <c r="AT624" i="1"/>
  <c r="AU624" i="1"/>
  <c r="AR625" i="1" a="1"/>
  <c r="AR625" i="1" s="1"/>
  <c r="AV623" i="1"/>
  <c r="AO626" i="1"/>
  <c r="AN626" i="1" s="1"/>
  <c r="BD626" i="1" l="1"/>
  <c r="BQ626" i="1"/>
  <c r="AS625" i="1"/>
  <c r="AT625" i="1"/>
  <c r="AU625" i="1"/>
  <c r="AR626" i="1" a="1"/>
  <c r="AR626" i="1" s="1"/>
  <c r="AV624" i="1"/>
  <c r="AO627" i="1"/>
  <c r="AN627" i="1" s="1"/>
  <c r="BD627" i="1" l="1"/>
  <c r="BQ627" i="1"/>
  <c r="AT626" i="1"/>
  <c r="AS626" i="1"/>
  <c r="AU626" i="1"/>
  <c r="AR627" i="1" a="1"/>
  <c r="AR627" i="1" s="1"/>
  <c r="AV625" i="1"/>
  <c r="AO628" i="1"/>
  <c r="AN628" i="1" s="1"/>
  <c r="BD628" i="1" l="1"/>
  <c r="BQ628" i="1"/>
  <c r="AU627" i="1"/>
  <c r="AS627" i="1"/>
  <c r="AT627" i="1"/>
  <c r="AR628" i="1" a="1"/>
  <c r="AR628" i="1" s="1"/>
  <c r="AV626" i="1"/>
  <c r="AO629" i="1"/>
  <c r="AN629" i="1" s="1"/>
  <c r="BD629" i="1" l="1"/>
  <c r="BQ629" i="1"/>
  <c r="AU628" i="1"/>
  <c r="AS628" i="1"/>
  <c r="AT628" i="1"/>
  <c r="AR629" i="1" a="1"/>
  <c r="AR629" i="1" s="1"/>
  <c r="AV627" i="1"/>
  <c r="AO630" i="1"/>
  <c r="AN630" i="1" s="1"/>
  <c r="BD630" i="1" l="1"/>
  <c r="BQ630" i="1"/>
  <c r="AS629" i="1"/>
  <c r="AT629" i="1"/>
  <c r="AU629" i="1"/>
  <c r="AR630" i="1" a="1"/>
  <c r="AR630" i="1" s="1"/>
  <c r="AV628" i="1"/>
  <c r="AO631" i="1"/>
  <c r="AN631" i="1" s="1"/>
  <c r="BD631" i="1" l="1"/>
  <c r="BQ631" i="1"/>
  <c r="AT630" i="1"/>
  <c r="AU630" i="1"/>
  <c r="AS630" i="1"/>
  <c r="AR631" i="1" a="1"/>
  <c r="AR631" i="1" s="1"/>
  <c r="AV629" i="1"/>
  <c r="AO632" i="1"/>
  <c r="AN632" i="1" s="1"/>
  <c r="BD632" i="1" l="1"/>
  <c r="BQ632" i="1"/>
  <c r="AU631" i="1"/>
  <c r="AS631" i="1"/>
  <c r="AT631" i="1"/>
  <c r="AR632" i="1" a="1"/>
  <c r="AR632" i="1" s="1"/>
  <c r="AV630" i="1"/>
  <c r="AO633" i="1"/>
  <c r="AN633" i="1" s="1"/>
  <c r="BD633" i="1" l="1"/>
  <c r="BQ633" i="1"/>
  <c r="AT632" i="1"/>
  <c r="AU632" i="1"/>
  <c r="AS632" i="1"/>
  <c r="AR633" i="1" a="1"/>
  <c r="AR633" i="1" s="1"/>
  <c r="AV631" i="1"/>
  <c r="AO634" i="1"/>
  <c r="AN634" i="1" s="1"/>
  <c r="BD634" i="1" l="1"/>
  <c r="BQ634" i="1"/>
  <c r="AS633" i="1"/>
  <c r="AT633" i="1"/>
  <c r="AU633" i="1"/>
  <c r="AR634" i="1" a="1"/>
  <c r="AR634" i="1" s="1"/>
  <c r="AV632" i="1"/>
  <c r="AO635" i="1"/>
  <c r="AN635" i="1" s="1"/>
  <c r="BD635" i="1" l="1"/>
  <c r="BQ635" i="1"/>
  <c r="AT634" i="1"/>
  <c r="AS634" i="1"/>
  <c r="AU634" i="1"/>
  <c r="AR635" i="1" a="1"/>
  <c r="AR635" i="1" s="1"/>
  <c r="AV633" i="1"/>
  <c r="AO636" i="1"/>
  <c r="AN636" i="1" s="1"/>
  <c r="BD636" i="1" l="1"/>
  <c r="BQ636" i="1"/>
  <c r="AU635" i="1"/>
  <c r="AS635" i="1"/>
  <c r="AT635" i="1"/>
  <c r="AR636" i="1" a="1"/>
  <c r="AR636" i="1" s="1"/>
  <c r="AV634" i="1"/>
  <c r="AO637" i="1"/>
  <c r="AN637" i="1" s="1"/>
  <c r="BD637" i="1" l="1"/>
  <c r="BQ637" i="1"/>
  <c r="AS636" i="1"/>
  <c r="AT636" i="1"/>
  <c r="AU636" i="1"/>
  <c r="AR637" i="1" a="1"/>
  <c r="AR637" i="1" s="1"/>
  <c r="AV635" i="1"/>
  <c r="AO638" i="1"/>
  <c r="AN638" i="1" s="1"/>
  <c r="BD638" i="1" l="1"/>
  <c r="BQ638" i="1"/>
  <c r="AS637" i="1"/>
  <c r="AU637" i="1"/>
  <c r="AT637" i="1"/>
  <c r="AR638" i="1" a="1"/>
  <c r="AR638" i="1" s="1"/>
  <c r="AV636" i="1"/>
  <c r="AO639" i="1"/>
  <c r="AN639" i="1" s="1"/>
  <c r="BD639" i="1" l="1"/>
  <c r="BQ639" i="1"/>
  <c r="AT638" i="1"/>
  <c r="AS638" i="1"/>
  <c r="AU638" i="1"/>
  <c r="AR639" i="1" a="1"/>
  <c r="AR639" i="1" s="1"/>
  <c r="AV637" i="1"/>
  <c r="AO640" i="1"/>
  <c r="AN640" i="1" s="1"/>
  <c r="BD640" i="1" l="1"/>
  <c r="BQ640" i="1"/>
  <c r="AU639" i="1"/>
  <c r="AT639" i="1"/>
  <c r="AS639" i="1"/>
  <c r="AR640" i="1" a="1"/>
  <c r="AR640" i="1" s="1"/>
  <c r="AV638" i="1"/>
  <c r="AO641" i="1"/>
  <c r="AN641" i="1" s="1"/>
  <c r="BD641" i="1" l="1"/>
  <c r="BQ641" i="1"/>
  <c r="AS640" i="1"/>
  <c r="AT640" i="1"/>
  <c r="AU640" i="1"/>
  <c r="AR641" i="1" a="1"/>
  <c r="AR641" i="1" s="1"/>
  <c r="AV639" i="1"/>
  <c r="AO642" i="1"/>
  <c r="AN642" i="1" s="1"/>
  <c r="BD642" i="1" l="1"/>
  <c r="BQ642" i="1"/>
  <c r="AS641" i="1"/>
  <c r="AT641" i="1"/>
  <c r="AU641" i="1"/>
  <c r="AR642" i="1" a="1"/>
  <c r="AR642" i="1" s="1"/>
  <c r="AV640" i="1"/>
  <c r="AO643" i="1"/>
  <c r="AN643" i="1" s="1"/>
  <c r="BD643" i="1" l="1"/>
  <c r="BQ643" i="1"/>
  <c r="AT642" i="1"/>
  <c r="AS642" i="1"/>
  <c r="AU642" i="1"/>
  <c r="AR643" i="1" a="1"/>
  <c r="AR643" i="1" s="1"/>
  <c r="AV641" i="1"/>
  <c r="AO644" i="1"/>
  <c r="AN644" i="1" s="1"/>
  <c r="BD644" i="1" l="1"/>
  <c r="BQ644" i="1"/>
  <c r="AU643" i="1"/>
  <c r="AS643" i="1"/>
  <c r="AT643" i="1"/>
  <c r="AR644" i="1" a="1"/>
  <c r="AR644" i="1" s="1"/>
  <c r="AV642" i="1"/>
  <c r="AO645" i="1"/>
  <c r="AN645" i="1" s="1"/>
  <c r="BD645" i="1" l="1"/>
  <c r="BQ645" i="1"/>
  <c r="AU644" i="1"/>
  <c r="AS644" i="1"/>
  <c r="AT644" i="1"/>
  <c r="AR645" i="1" a="1"/>
  <c r="AR645" i="1" s="1"/>
  <c r="AV643" i="1"/>
  <c r="AO646" i="1"/>
  <c r="AN646" i="1" s="1"/>
  <c r="BD646" i="1" l="1"/>
  <c r="BQ646" i="1"/>
  <c r="AS645" i="1"/>
  <c r="AT645" i="1"/>
  <c r="AU645" i="1"/>
  <c r="AR646" i="1" a="1"/>
  <c r="AR646" i="1" s="1"/>
  <c r="AV644" i="1"/>
  <c r="AO647" i="1"/>
  <c r="AN647" i="1" s="1"/>
  <c r="BD647" i="1" l="1"/>
  <c r="BQ647" i="1"/>
  <c r="AT646" i="1"/>
  <c r="AU646" i="1"/>
  <c r="AS646" i="1"/>
  <c r="AR647" i="1" a="1"/>
  <c r="AR647" i="1" s="1"/>
  <c r="AV645" i="1"/>
  <c r="AO648" i="1"/>
  <c r="AN648" i="1" s="1"/>
  <c r="BD648" i="1" l="1"/>
  <c r="BQ648" i="1"/>
  <c r="AU647" i="1"/>
  <c r="AS647" i="1"/>
  <c r="AT647" i="1"/>
  <c r="AR648" i="1" a="1"/>
  <c r="AR648" i="1" s="1"/>
  <c r="AV646" i="1"/>
  <c r="AO649" i="1"/>
  <c r="AN649" i="1" s="1"/>
  <c r="BD649" i="1" l="1"/>
  <c r="BQ649" i="1"/>
  <c r="AT648" i="1"/>
  <c r="AU648" i="1"/>
  <c r="AS648" i="1"/>
  <c r="AR649" i="1" a="1"/>
  <c r="AR649" i="1" s="1"/>
  <c r="AV647" i="1"/>
  <c r="AO650" i="1"/>
  <c r="AN650" i="1" s="1"/>
  <c r="BD650" i="1" l="1"/>
  <c r="BQ650" i="1"/>
  <c r="AS649" i="1"/>
  <c r="AT649" i="1"/>
  <c r="AU649" i="1"/>
  <c r="AR650" i="1" a="1"/>
  <c r="AR650" i="1" s="1"/>
  <c r="AV648" i="1"/>
  <c r="AO651" i="1"/>
  <c r="AN651" i="1" s="1"/>
  <c r="BD651" i="1" l="1"/>
  <c r="BQ651" i="1"/>
  <c r="AT650" i="1"/>
  <c r="AS650" i="1"/>
  <c r="AU650" i="1"/>
  <c r="AR651" i="1" a="1"/>
  <c r="AR651" i="1" s="1"/>
  <c r="AV649" i="1"/>
  <c r="AO652" i="1"/>
  <c r="AN652" i="1" s="1"/>
  <c r="BD652" i="1" l="1"/>
  <c r="BQ652" i="1"/>
  <c r="AU651" i="1"/>
  <c r="AS651" i="1"/>
  <c r="AT651" i="1"/>
  <c r="AR652" i="1" a="1"/>
  <c r="AR652" i="1" s="1"/>
  <c r="AV650" i="1"/>
  <c r="AO653" i="1"/>
  <c r="AN653" i="1" s="1"/>
  <c r="BD653" i="1" l="1"/>
  <c r="BQ653" i="1"/>
  <c r="AS652" i="1"/>
  <c r="AT652" i="1"/>
  <c r="AU652" i="1"/>
  <c r="AR653" i="1" a="1"/>
  <c r="AR653" i="1" s="1"/>
  <c r="AV651" i="1"/>
  <c r="AO654" i="1"/>
  <c r="AN654" i="1" s="1"/>
  <c r="BD654" i="1" l="1"/>
  <c r="BQ654" i="1"/>
  <c r="AS653" i="1"/>
  <c r="AU653" i="1"/>
  <c r="AT653" i="1"/>
  <c r="AR654" i="1" a="1"/>
  <c r="AR654" i="1" s="1"/>
  <c r="AV652" i="1"/>
  <c r="AO655" i="1"/>
  <c r="AN655" i="1" s="1"/>
  <c r="BD655" i="1" l="1"/>
  <c r="BQ655" i="1"/>
  <c r="AT654" i="1"/>
  <c r="AS654" i="1"/>
  <c r="AU654" i="1"/>
  <c r="AR655" i="1" a="1"/>
  <c r="AR655" i="1" s="1"/>
  <c r="AV653" i="1"/>
  <c r="AO656" i="1"/>
  <c r="AN656" i="1" s="1"/>
  <c r="BD656" i="1" l="1"/>
  <c r="BQ656" i="1"/>
  <c r="AU655" i="1"/>
  <c r="AT655" i="1"/>
  <c r="AS655" i="1"/>
  <c r="AR656" i="1" a="1"/>
  <c r="AR656" i="1" s="1"/>
  <c r="AV654" i="1"/>
  <c r="AO657" i="1"/>
  <c r="AN657" i="1" s="1"/>
  <c r="BD657" i="1" l="1"/>
  <c r="BQ657" i="1"/>
  <c r="AS656" i="1"/>
  <c r="AT656" i="1"/>
  <c r="AU656" i="1"/>
  <c r="AR657" i="1" a="1"/>
  <c r="AR657" i="1" s="1"/>
  <c r="AV655" i="1"/>
  <c r="AO658" i="1"/>
  <c r="AN658" i="1" s="1"/>
  <c r="BD658" i="1" l="1"/>
  <c r="BQ658" i="1"/>
  <c r="AS657" i="1"/>
  <c r="AT657" i="1"/>
  <c r="AU657" i="1"/>
  <c r="AR658" i="1" a="1"/>
  <c r="AR658" i="1" s="1"/>
  <c r="AV656" i="1"/>
  <c r="AO659" i="1"/>
  <c r="AN659" i="1" s="1"/>
  <c r="BD659" i="1" l="1"/>
  <c r="BQ659" i="1"/>
  <c r="AT658" i="1"/>
  <c r="AS658" i="1"/>
  <c r="AU658" i="1"/>
  <c r="AR659" i="1" a="1"/>
  <c r="AR659" i="1" s="1"/>
  <c r="AV657" i="1"/>
  <c r="AO660" i="1"/>
  <c r="AN660" i="1" s="1"/>
  <c r="BD660" i="1" l="1"/>
  <c r="BQ660" i="1"/>
  <c r="AU659" i="1"/>
  <c r="AS659" i="1"/>
  <c r="AT659" i="1"/>
  <c r="AR660" i="1" a="1"/>
  <c r="AR660" i="1" s="1"/>
  <c r="AV658" i="1"/>
  <c r="AO661" i="1"/>
  <c r="AN661" i="1" s="1"/>
  <c r="BD661" i="1" l="1"/>
  <c r="BQ661" i="1"/>
  <c r="AU660" i="1"/>
  <c r="AT660" i="1"/>
  <c r="AS660" i="1"/>
  <c r="AR661" i="1" a="1"/>
  <c r="AR661" i="1" s="1"/>
  <c r="AV659" i="1"/>
  <c r="AO662" i="1"/>
  <c r="AN662" i="1" s="1"/>
  <c r="BD662" i="1" l="1"/>
  <c r="BQ662" i="1"/>
  <c r="AS661" i="1"/>
  <c r="AT661" i="1"/>
  <c r="AU661" i="1"/>
  <c r="AR662" i="1" a="1"/>
  <c r="AR662" i="1" s="1"/>
  <c r="AV660" i="1"/>
  <c r="AO663" i="1"/>
  <c r="AN663" i="1" s="1"/>
  <c r="BD663" i="1" l="1"/>
  <c r="BQ663" i="1"/>
  <c r="AT662" i="1"/>
  <c r="AU662" i="1"/>
  <c r="AS662" i="1"/>
  <c r="AR663" i="1" a="1"/>
  <c r="AR663" i="1" s="1"/>
  <c r="AV661" i="1"/>
  <c r="AO664" i="1"/>
  <c r="AN664" i="1" s="1"/>
  <c r="BD664" i="1" l="1"/>
  <c r="BQ664" i="1"/>
  <c r="AU663" i="1"/>
  <c r="AS663" i="1"/>
  <c r="AT663" i="1"/>
  <c r="AR664" i="1" a="1"/>
  <c r="AR664" i="1" s="1"/>
  <c r="AV662" i="1"/>
  <c r="AO665" i="1"/>
  <c r="AN665" i="1" s="1"/>
  <c r="BD665" i="1" l="1"/>
  <c r="BQ665" i="1"/>
  <c r="AT664" i="1"/>
  <c r="AU664" i="1"/>
  <c r="AS664" i="1"/>
  <c r="AR665" i="1" a="1"/>
  <c r="AR665" i="1" s="1"/>
  <c r="AV663" i="1"/>
  <c r="AO666" i="1"/>
  <c r="AN666" i="1" s="1"/>
  <c r="BD666" i="1" l="1"/>
  <c r="BQ666" i="1"/>
  <c r="AS665" i="1"/>
  <c r="AT665" i="1"/>
  <c r="AU665" i="1"/>
  <c r="AR666" i="1" a="1"/>
  <c r="AR666" i="1" s="1"/>
  <c r="AV664" i="1"/>
  <c r="AO667" i="1"/>
  <c r="AN667" i="1" s="1"/>
  <c r="BD667" i="1" l="1"/>
  <c r="BQ667" i="1"/>
  <c r="AT666" i="1"/>
  <c r="AS666" i="1"/>
  <c r="AU666" i="1"/>
  <c r="AR667" i="1" a="1"/>
  <c r="AR667" i="1" s="1"/>
  <c r="AV665" i="1"/>
  <c r="AO668" i="1"/>
  <c r="AN668" i="1" s="1"/>
  <c r="BD668" i="1" l="1"/>
  <c r="BQ668" i="1"/>
  <c r="AU667" i="1"/>
  <c r="AT667" i="1"/>
  <c r="AS667" i="1"/>
  <c r="AR668" i="1" a="1"/>
  <c r="AR668" i="1" s="1"/>
  <c r="AV666" i="1"/>
  <c r="AO669" i="1"/>
  <c r="AN669" i="1" s="1"/>
  <c r="BD669" i="1" l="1"/>
  <c r="BQ669" i="1"/>
  <c r="AS668" i="1"/>
  <c r="AT668" i="1"/>
  <c r="AU668" i="1"/>
  <c r="AR669" i="1" a="1"/>
  <c r="AR669" i="1" s="1"/>
  <c r="AV667" i="1"/>
  <c r="AO670" i="1"/>
  <c r="AN670" i="1" s="1"/>
  <c r="BD670" i="1" l="1"/>
  <c r="BQ670" i="1"/>
  <c r="AS669" i="1"/>
  <c r="AU669" i="1"/>
  <c r="AT669" i="1"/>
  <c r="AR670" i="1" a="1"/>
  <c r="AR670" i="1" s="1"/>
  <c r="AV668" i="1"/>
  <c r="AO671" i="1"/>
  <c r="AN671" i="1" s="1"/>
  <c r="BD671" i="1" l="1"/>
  <c r="BQ671" i="1"/>
  <c r="AT670" i="1"/>
  <c r="AS670" i="1"/>
  <c r="AU670" i="1"/>
  <c r="AR671" i="1" a="1"/>
  <c r="AR671" i="1" s="1"/>
  <c r="AV669" i="1"/>
  <c r="AO672" i="1"/>
  <c r="AN672" i="1" s="1"/>
  <c r="BD672" i="1" l="1"/>
  <c r="BQ672" i="1"/>
  <c r="AU671" i="1"/>
  <c r="AT671" i="1"/>
  <c r="AS671" i="1"/>
  <c r="AR672" i="1" a="1"/>
  <c r="AR672" i="1" s="1"/>
  <c r="AV670" i="1"/>
  <c r="AO673" i="1"/>
  <c r="AN673" i="1" s="1"/>
  <c r="BD673" i="1" l="1"/>
  <c r="BQ673" i="1"/>
  <c r="AS672" i="1"/>
  <c r="AT672" i="1"/>
  <c r="AU672" i="1"/>
  <c r="AR673" i="1" a="1"/>
  <c r="AR673" i="1" s="1"/>
  <c r="AV671" i="1"/>
  <c r="AO674" i="1"/>
  <c r="AN674" i="1" s="1"/>
  <c r="BD674" i="1" l="1"/>
  <c r="BQ674" i="1"/>
  <c r="AS673" i="1"/>
  <c r="AT673" i="1"/>
  <c r="AU673" i="1"/>
  <c r="AR674" i="1" a="1"/>
  <c r="AR674" i="1" s="1"/>
  <c r="AV672" i="1"/>
  <c r="AO675" i="1"/>
  <c r="AN675" i="1" s="1"/>
  <c r="BD675" i="1" l="1"/>
  <c r="BQ675" i="1"/>
  <c r="AT674" i="1"/>
  <c r="AS674" i="1"/>
  <c r="AU674" i="1"/>
  <c r="AR675" i="1" a="1"/>
  <c r="AR675" i="1" s="1"/>
  <c r="AV673" i="1"/>
  <c r="AO676" i="1"/>
  <c r="AN676" i="1" s="1"/>
  <c r="BD676" i="1" l="1"/>
  <c r="BQ676" i="1"/>
  <c r="AU675" i="1"/>
  <c r="AS675" i="1"/>
  <c r="AT675" i="1"/>
  <c r="AR676" i="1" a="1"/>
  <c r="AR676" i="1" s="1"/>
  <c r="AV674" i="1"/>
  <c r="AO677" i="1"/>
  <c r="AN677" i="1" s="1"/>
  <c r="BD677" i="1" l="1"/>
  <c r="BQ677" i="1"/>
  <c r="AU676" i="1"/>
  <c r="AS676" i="1"/>
  <c r="AT676" i="1"/>
  <c r="AR677" i="1" a="1"/>
  <c r="AR677" i="1" s="1"/>
  <c r="AV675" i="1"/>
  <c r="AO678" i="1"/>
  <c r="AN678" i="1" s="1"/>
  <c r="BD678" i="1" l="1"/>
  <c r="BQ678" i="1"/>
  <c r="AS677" i="1"/>
  <c r="AT677" i="1"/>
  <c r="AU677" i="1"/>
  <c r="AR678" i="1" a="1"/>
  <c r="AR678" i="1" s="1"/>
  <c r="AV676" i="1"/>
  <c r="AO679" i="1"/>
  <c r="AN679" i="1" s="1"/>
  <c r="BD679" i="1" l="1"/>
  <c r="BQ679" i="1"/>
  <c r="AS678" i="1"/>
  <c r="AT678" i="1"/>
  <c r="AU678" i="1"/>
  <c r="AR679" i="1" a="1"/>
  <c r="AR679" i="1" s="1"/>
  <c r="AV677" i="1"/>
  <c r="AO680" i="1"/>
  <c r="AN680" i="1" s="1"/>
  <c r="BD680" i="1" l="1"/>
  <c r="BQ680" i="1"/>
  <c r="AT679" i="1"/>
  <c r="AU679" i="1"/>
  <c r="AS679" i="1"/>
  <c r="AR680" i="1" a="1"/>
  <c r="AR680" i="1" s="1"/>
  <c r="AV678" i="1"/>
  <c r="AO681" i="1"/>
  <c r="AN681" i="1" s="1"/>
  <c r="BD681" i="1" l="1"/>
  <c r="BQ681" i="1"/>
  <c r="AU680" i="1"/>
  <c r="AT680" i="1"/>
  <c r="AS680" i="1"/>
  <c r="AR681" i="1" a="1"/>
  <c r="AR681" i="1" s="1"/>
  <c r="AV679" i="1"/>
  <c r="AO682" i="1"/>
  <c r="AN682" i="1" s="1"/>
  <c r="BD682" i="1" l="1"/>
  <c r="BQ682" i="1"/>
  <c r="AS681" i="1"/>
  <c r="AT681" i="1"/>
  <c r="AU681" i="1"/>
  <c r="AR682" i="1" a="1"/>
  <c r="AR682" i="1" s="1"/>
  <c r="AV680" i="1"/>
  <c r="AO683" i="1"/>
  <c r="AN683" i="1" s="1"/>
  <c r="BD683" i="1" l="1"/>
  <c r="BQ683" i="1"/>
  <c r="AS682" i="1"/>
  <c r="AT682" i="1"/>
  <c r="AU682" i="1"/>
  <c r="AR683" i="1" a="1"/>
  <c r="AR683" i="1" s="1"/>
  <c r="AV681" i="1"/>
  <c r="AO684" i="1"/>
  <c r="AN684" i="1" s="1"/>
  <c r="BD684" i="1" l="1"/>
  <c r="BQ684" i="1"/>
  <c r="AT683" i="1"/>
  <c r="AU683" i="1"/>
  <c r="AS683" i="1"/>
  <c r="AR684" i="1" a="1"/>
  <c r="AR684" i="1" s="1"/>
  <c r="AV682" i="1"/>
  <c r="AO685" i="1"/>
  <c r="AN685" i="1" s="1"/>
  <c r="BD685" i="1" l="1"/>
  <c r="BQ685" i="1"/>
  <c r="AU684" i="1"/>
  <c r="AS684" i="1"/>
  <c r="AT684" i="1"/>
  <c r="AR685" i="1" a="1"/>
  <c r="AR685" i="1" s="1"/>
  <c r="AV683" i="1"/>
  <c r="AO686" i="1"/>
  <c r="AN686" i="1" s="1"/>
  <c r="BD686" i="1" l="1"/>
  <c r="BQ686" i="1"/>
  <c r="AS685" i="1"/>
  <c r="AT685" i="1"/>
  <c r="AU685" i="1"/>
  <c r="AR686" i="1" a="1"/>
  <c r="AR686" i="1" s="1"/>
  <c r="AV684" i="1"/>
  <c r="AO687" i="1"/>
  <c r="AN687" i="1" s="1"/>
  <c r="BD687" i="1" l="1"/>
  <c r="BQ687" i="1"/>
  <c r="AS686" i="1"/>
  <c r="AT686" i="1"/>
  <c r="AU686" i="1"/>
  <c r="AR687" i="1" a="1"/>
  <c r="AR687" i="1" s="1"/>
  <c r="AV685" i="1"/>
  <c r="AO688" i="1"/>
  <c r="AN688" i="1" s="1"/>
  <c r="BD688" i="1" l="1"/>
  <c r="BQ688" i="1"/>
  <c r="AT687" i="1"/>
  <c r="AU687" i="1"/>
  <c r="AS687" i="1"/>
  <c r="AR688" i="1" a="1"/>
  <c r="AR688" i="1" s="1"/>
  <c r="AV686" i="1"/>
  <c r="AO689" i="1"/>
  <c r="AN689" i="1" s="1"/>
  <c r="BD689" i="1" l="1"/>
  <c r="BQ689" i="1"/>
  <c r="AU688" i="1"/>
  <c r="AS688" i="1"/>
  <c r="AT688" i="1"/>
  <c r="AR689" i="1" a="1"/>
  <c r="AR689" i="1" s="1"/>
  <c r="AV687" i="1"/>
  <c r="AO690" i="1"/>
  <c r="AN690" i="1" s="1"/>
  <c r="BD690" i="1" l="1"/>
  <c r="BQ690" i="1"/>
  <c r="AS689" i="1"/>
  <c r="AT689" i="1"/>
  <c r="AU689" i="1"/>
  <c r="AR690" i="1" a="1"/>
  <c r="AR690" i="1" s="1"/>
  <c r="AV688" i="1"/>
  <c r="AO691" i="1"/>
  <c r="AN691" i="1" s="1"/>
  <c r="BD691" i="1" l="1"/>
  <c r="BQ691" i="1"/>
  <c r="AS690" i="1"/>
  <c r="AT690" i="1"/>
  <c r="AU690" i="1"/>
  <c r="AR691" i="1" a="1"/>
  <c r="AR691" i="1" s="1"/>
  <c r="AV689" i="1"/>
  <c r="AO692" i="1"/>
  <c r="AN692" i="1" s="1"/>
  <c r="BD692" i="1" l="1"/>
  <c r="BQ692" i="1"/>
  <c r="AT691" i="1"/>
  <c r="AU691" i="1"/>
  <c r="AS691" i="1"/>
  <c r="AR692" i="1" a="1"/>
  <c r="AR692" i="1" s="1"/>
  <c r="AV690" i="1"/>
  <c r="AO693" i="1"/>
  <c r="AN693" i="1" s="1"/>
  <c r="BD693" i="1" l="1"/>
  <c r="BQ693" i="1"/>
  <c r="AU692" i="1"/>
  <c r="AS692" i="1"/>
  <c r="AT692" i="1"/>
  <c r="AR693" i="1" a="1"/>
  <c r="AR693" i="1" s="1"/>
  <c r="AV691" i="1"/>
  <c r="AO694" i="1"/>
  <c r="AN694" i="1" s="1"/>
  <c r="BD694" i="1" l="1"/>
  <c r="BQ694" i="1"/>
  <c r="AS693" i="1"/>
  <c r="AT693" i="1"/>
  <c r="AU693" i="1"/>
  <c r="AR694" i="1" a="1"/>
  <c r="AR694" i="1" s="1"/>
  <c r="AV692" i="1"/>
  <c r="AO695" i="1"/>
  <c r="AN695" i="1" s="1"/>
  <c r="BD695" i="1" l="1"/>
  <c r="BQ695" i="1"/>
  <c r="AT694" i="1"/>
  <c r="AS694" i="1"/>
  <c r="AU694" i="1"/>
  <c r="AR695" i="1" a="1"/>
  <c r="AR695" i="1" s="1"/>
  <c r="AV693" i="1"/>
  <c r="AO696" i="1"/>
  <c r="AN696" i="1" s="1"/>
  <c r="BD696" i="1" l="1"/>
  <c r="BQ696" i="1"/>
  <c r="AU695" i="1"/>
  <c r="AS695" i="1"/>
  <c r="AT695" i="1"/>
  <c r="AR696" i="1" a="1"/>
  <c r="AR696" i="1" s="1"/>
  <c r="AV694" i="1"/>
  <c r="AO697" i="1"/>
  <c r="AN697" i="1" s="1"/>
  <c r="BD697" i="1" l="1"/>
  <c r="BQ697" i="1"/>
  <c r="AS696" i="1"/>
  <c r="AT696" i="1"/>
  <c r="AU696" i="1"/>
  <c r="AR697" i="1" a="1"/>
  <c r="AR697" i="1" s="1"/>
  <c r="AV695" i="1"/>
  <c r="AO698" i="1"/>
  <c r="AN698" i="1" s="1"/>
  <c r="BD698" i="1" l="1"/>
  <c r="BQ698" i="1"/>
  <c r="AS697" i="1"/>
  <c r="AU697" i="1"/>
  <c r="AT697" i="1"/>
  <c r="AR698" i="1" a="1"/>
  <c r="AR698" i="1" s="1"/>
  <c r="AV696" i="1"/>
  <c r="AO699" i="1"/>
  <c r="AN699" i="1" s="1"/>
  <c r="BD699" i="1" l="1"/>
  <c r="BQ699" i="1"/>
  <c r="AT698" i="1"/>
  <c r="AS698" i="1"/>
  <c r="AU698" i="1"/>
  <c r="AR699" i="1" a="1"/>
  <c r="AR699" i="1" s="1"/>
  <c r="AV697" i="1"/>
  <c r="AO700" i="1"/>
  <c r="AN700" i="1" s="1"/>
  <c r="BD700" i="1" l="1"/>
  <c r="BQ700" i="1"/>
  <c r="AU699" i="1"/>
  <c r="AT699" i="1"/>
  <c r="AS699" i="1"/>
  <c r="AR700" i="1" a="1"/>
  <c r="AR700" i="1" s="1"/>
  <c r="AV698" i="1"/>
  <c r="AO701" i="1"/>
  <c r="AN701" i="1" s="1"/>
  <c r="BD701" i="1" l="1"/>
  <c r="BQ701" i="1"/>
  <c r="AS700" i="1"/>
  <c r="AT700" i="1"/>
  <c r="AU700" i="1"/>
  <c r="AR701" i="1" a="1"/>
  <c r="AR701" i="1" s="1"/>
  <c r="AV699" i="1"/>
  <c r="AO702" i="1"/>
  <c r="AN702" i="1" s="1"/>
  <c r="BD702" i="1" l="1"/>
  <c r="BQ702" i="1"/>
  <c r="AS701" i="1"/>
  <c r="AT701" i="1"/>
  <c r="AU701" i="1"/>
  <c r="AR702" i="1" a="1"/>
  <c r="AR702" i="1" s="1"/>
  <c r="AV700" i="1"/>
  <c r="AO703" i="1"/>
  <c r="AN703" i="1" s="1"/>
  <c r="BD703" i="1" l="1"/>
  <c r="BQ703" i="1"/>
  <c r="AT702" i="1"/>
  <c r="AS702" i="1"/>
  <c r="AU702" i="1"/>
  <c r="AR703" i="1" a="1"/>
  <c r="AR703" i="1" s="1"/>
  <c r="AV701" i="1"/>
  <c r="AO704" i="1"/>
  <c r="AN704" i="1" s="1"/>
  <c r="BD704" i="1" l="1"/>
  <c r="BQ704" i="1"/>
  <c r="AU703" i="1"/>
  <c r="AS703" i="1"/>
  <c r="AT703" i="1"/>
  <c r="AR704" i="1" a="1"/>
  <c r="AR704" i="1" s="1"/>
  <c r="AV702" i="1"/>
  <c r="AO705" i="1"/>
  <c r="AN705" i="1" s="1"/>
  <c r="BD705" i="1" l="1"/>
  <c r="BQ705" i="1"/>
  <c r="AU704" i="1"/>
  <c r="AS704" i="1"/>
  <c r="AT704" i="1"/>
  <c r="AR705" i="1" a="1"/>
  <c r="AR705" i="1" s="1"/>
  <c r="AV703" i="1"/>
  <c r="AO706" i="1"/>
  <c r="AN706" i="1" s="1"/>
  <c r="BD706" i="1" l="1"/>
  <c r="BQ706" i="1"/>
  <c r="AS705" i="1"/>
  <c r="AT705" i="1"/>
  <c r="AU705" i="1"/>
  <c r="AR706" i="1" a="1"/>
  <c r="AR706" i="1" s="1"/>
  <c r="AV704" i="1"/>
  <c r="AO707" i="1"/>
  <c r="AN707" i="1" s="1"/>
  <c r="BD707" i="1" l="1"/>
  <c r="BQ707" i="1"/>
  <c r="AT706" i="1"/>
  <c r="AU706" i="1"/>
  <c r="AS706" i="1"/>
  <c r="AR707" i="1" a="1"/>
  <c r="AR707" i="1" s="1"/>
  <c r="AV705" i="1"/>
  <c r="AO708" i="1"/>
  <c r="AN708" i="1" s="1"/>
  <c r="BD708" i="1" l="1"/>
  <c r="BQ708" i="1"/>
  <c r="AU707" i="1"/>
  <c r="AS707" i="1"/>
  <c r="AT707" i="1"/>
  <c r="AR708" i="1" a="1"/>
  <c r="AR708" i="1" s="1"/>
  <c r="AV706" i="1"/>
  <c r="AO709" i="1"/>
  <c r="AN709" i="1" s="1"/>
  <c r="BD709" i="1" l="1"/>
  <c r="BQ709" i="1"/>
  <c r="AT708" i="1"/>
  <c r="AU708" i="1"/>
  <c r="AS708" i="1"/>
  <c r="AR709" i="1" a="1"/>
  <c r="AR709" i="1" s="1"/>
  <c r="AV707" i="1"/>
  <c r="AO710" i="1"/>
  <c r="AN710" i="1" s="1"/>
  <c r="BD710" i="1" l="1"/>
  <c r="BQ710" i="1"/>
  <c r="AS709" i="1"/>
  <c r="AT709" i="1"/>
  <c r="AU709" i="1"/>
  <c r="AR710" i="1" a="1"/>
  <c r="AR710" i="1" s="1"/>
  <c r="AV708" i="1"/>
  <c r="AO711" i="1"/>
  <c r="AN711" i="1" s="1"/>
  <c r="BD711" i="1" l="1"/>
  <c r="BQ711" i="1"/>
  <c r="AT710" i="1"/>
  <c r="AS710" i="1"/>
  <c r="AU710" i="1"/>
  <c r="AR711" i="1" a="1"/>
  <c r="AR711" i="1" s="1"/>
  <c r="AV709" i="1"/>
  <c r="AO712" i="1"/>
  <c r="AN712" i="1" s="1"/>
  <c r="BD712" i="1" l="1"/>
  <c r="BQ712" i="1"/>
  <c r="AU711" i="1"/>
  <c r="AS711" i="1"/>
  <c r="AT711" i="1"/>
  <c r="AR712" i="1" a="1"/>
  <c r="AR712" i="1" s="1"/>
  <c r="AV710" i="1"/>
  <c r="AO713" i="1"/>
  <c r="AN713" i="1" s="1"/>
  <c r="BD713" i="1" l="1"/>
  <c r="BQ713" i="1"/>
  <c r="AS712" i="1"/>
  <c r="AT712" i="1"/>
  <c r="AU712" i="1"/>
  <c r="AR713" i="1" a="1"/>
  <c r="AR713" i="1" s="1"/>
  <c r="AV711" i="1"/>
  <c r="AO714" i="1"/>
  <c r="AN714" i="1" s="1"/>
  <c r="BD714" i="1" l="1"/>
  <c r="BQ714" i="1"/>
  <c r="AS713" i="1"/>
  <c r="AU713" i="1"/>
  <c r="AT713" i="1"/>
  <c r="AR714" i="1" a="1"/>
  <c r="AR714" i="1" s="1"/>
  <c r="AV712" i="1"/>
  <c r="AO715" i="1"/>
  <c r="AN715" i="1" s="1"/>
  <c r="BD715" i="1" l="1"/>
  <c r="BQ715" i="1"/>
  <c r="AT714" i="1"/>
  <c r="AS714" i="1"/>
  <c r="AU714" i="1"/>
  <c r="AR715" i="1" a="1"/>
  <c r="AR715" i="1" s="1"/>
  <c r="AV713" i="1"/>
  <c r="AO716" i="1"/>
  <c r="AN716" i="1" s="1"/>
  <c r="BD716" i="1" l="1"/>
  <c r="BQ716" i="1"/>
  <c r="AU715" i="1"/>
  <c r="AT715" i="1"/>
  <c r="AS715" i="1"/>
  <c r="AR716" i="1" a="1"/>
  <c r="AR716" i="1" s="1"/>
  <c r="AV714" i="1"/>
  <c r="AO717" i="1"/>
  <c r="AN717" i="1" s="1"/>
  <c r="BD717" i="1" l="1"/>
  <c r="BQ717" i="1"/>
  <c r="AS716" i="1"/>
  <c r="AT716" i="1"/>
  <c r="AU716" i="1"/>
  <c r="AR717" i="1" a="1"/>
  <c r="AR717" i="1" s="1"/>
  <c r="AV715" i="1"/>
  <c r="AO718" i="1"/>
  <c r="AN718" i="1" s="1"/>
  <c r="BD718" i="1" l="1"/>
  <c r="BQ718" i="1"/>
  <c r="AS717" i="1"/>
  <c r="AT717" i="1"/>
  <c r="AU717" i="1"/>
  <c r="AR718" i="1" a="1"/>
  <c r="AR718" i="1" s="1"/>
  <c r="AV716" i="1"/>
  <c r="AO719" i="1"/>
  <c r="AN719" i="1" s="1"/>
  <c r="BD719" i="1" l="1"/>
  <c r="BQ719" i="1"/>
  <c r="AT718" i="1"/>
  <c r="AS718" i="1"/>
  <c r="AU718" i="1"/>
  <c r="AR719" i="1" a="1"/>
  <c r="AR719" i="1" s="1"/>
  <c r="AV717" i="1"/>
  <c r="AO720" i="1"/>
  <c r="AN720" i="1" s="1"/>
  <c r="BD720" i="1" l="1"/>
  <c r="BQ720" i="1"/>
  <c r="AU719" i="1"/>
  <c r="AS719" i="1"/>
  <c r="AT719" i="1"/>
  <c r="AR720" i="1" a="1"/>
  <c r="AR720" i="1" s="1"/>
  <c r="AV718" i="1"/>
  <c r="AO721" i="1"/>
  <c r="AN721" i="1" s="1"/>
  <c r="BD721" i="1" l="1"/>
  <c r="BQ721" i="1"/>
  <c r="AU720" i="1"/>
  <c r="AT720" i="1"/>
  <c r="AS720" i="1"/>
  <c r="AR721" i="1" a="1"/>
  <c r="AR721" i="1" s="1"/>
  <c r="AV719" i="1"/>
  <c r="AO722" i="1"/>
  <c r="AN722" i="1" s="1"/>
  <c r="BD722" i="1" l="1"/>
  <c r="BQ722" i="1"/>
  <c r="AS721" i="1"/>
  <c r="AT721" i="1"/>
  <c r="AU721" i="1"/>
  <c r="AR722" i="1" a="1"/>
  <c r="AR722" i="1" s="1"/>
  <c r="AV720" i="1"/>
  <c r="AO723" i="1"/>
  <c r="AN723" i="1" s="1"/>
  <c r="BD723" i="1" l="1"/>
  <c r="BQ723" i="1"/>
  <c r="AT722" i="1"/>
  <c r="AU722" i="1"/>
  <c r="AS722" i="1"/>
  <c r="AR723" i="1" a="1"/>
  <c r="AR723" i="1" s="1"/>
  <c r="AV721" i="1"/>
  <c r="AO724" i="1"/>
  <c r="AN724" i="1" s="1"/>
  <c r="BD724" i="1" l="1"/>
  <c r="BQ724" i="1"/>
  <c r="AU723" i="1"/>
  <c r="AS723" i="1"/>
  <c r="AT723" i="1"/>
  <c r="AR724" i="1" a="1"/>
  <c r="AR724" i="1" s="1"/>
  <c r="AV722" i="1"/>
  <c r="AO725" i="1"/>
  <c r="AN725" i="1" s="1"/>
  <c r="BD725" i="1" l="1"/>
  <c r="BQ725" i="1"/>
  <c r="AT724" i="1"/>
  <c r="AU724" i="1"/>
  <c r="AS724" i="1"/>
  <c r="AR725" i="1" a="1"/>
  <c r="AR725" i="1" s="1"/>
  <c r="AV723" i="1"/>
  <c r="AO726" i="1"/>
  <c r="AN726" i="1" s="1"/>
  <c r="BD726" i="1" l="1"/>
  <c r="BQ726" i="1"/>
  <c r="AS725" i="1"/>
  <c r="AT725" i="1"/>
  <c r="AU725" i="1"/>
  <c r="AR726" i="1" a="1"/>
  <c r="AR726" i="1" s="1"/>
  <c r="AV724" i="1"/>
  <c r="AO727" i="1"/>
  <c r="AN727" i="1" s="1"/>
  <c r="BD727" i="1" l="1"/>
  <c r="BQ727" i="1"/>
  <c r="AT726" i="1"/>
  <c r="AS726" i="1"/>
  <c r="AU726" i="1"/>
  <c r="AR727" i="1" a="1"/>
  <c r="AR727" i="1" s="1"/>
  <c r="AV725" i="1"/>
  <c r="AO728" i="1"/>
  <c r="AN728" i="1" s="1"/>
  <c r="BD728" i="1" l="1"/>
  <c r="BQ728" i="1"/>
  <c r="AU727" i="1"/>
  <c r="AT727" i="1"/>
  <c r="AS727" i="1"/>
  <c r="AR728" i="1" a="1"/>
  <c r="AR728" i="1" s="1"/>
  <c r="AV726" i="1"/>
  <c r="AO729" i="1"/>
  <c r="AN729" i="1" s="1"/>
  <c r="BD729" i="1" l="1"/>
  <c r="BQ729" i="1"/>
  <c r="AS728" i="1"/>
  <c r="AT728" i="1"/>
  <c r="AU728" i="1"/>
  <c r="AR729" i="1" a="1"/>
  <c r="AR729" i="1" s="1"/>
  <c r="AV727" i="1"/>
  <c r="AO730" i="1"/>
  <c r="AN730" i="1" s="1"/>
  <c r="BD730" i="1" l="1"/>
  <c r="BQ730" i="1"/>
  <c r="AS729" i="1"/>
  <c r="AU729" i="1"/>
  <c r="AT729" i="1"/>
  <c r="AR730" i="1" a="1"/>
  <c r="AR730" i="1" s="1"/>
  <c r="AV728" i="1"/>
  <c r="AO731" i="1"/>
  <c r="AN731" i="1" s="1"/>
  <c r="BD731" i="1" l="1"/>
  <c r="BQ731" i="1"/>
  <c r="AT730" i="1"/>
  <c r="AS730" i="1"/>
  <c r="AU730" i="1"/>
  <c r="AR731" i="1" a="1"/>
  <c r="AR731" i="1" s="1"/>
  <c r="AV729" i="1"/>
  <c r="AO732" i="1"/>
  <c r="AN732" i="1" s="1"/>
  <c r="BD732" i="1" l="1"/>
  <c r="BQ732" i="1"/>
  <c r="AU731" i="1"/>
  <c r="AT731" i="1"/>
  <c r="AS731" i="1"/>
  <c r="AR732" i="1" a="1"/>
  <c r="AR732" i="1" s="1"/>
  <c r="AV730" i="1"/>
  <c r="AO733" i="1"/>
  <c r="AN733" i="1" s="1"/>
  <c r="BD733" i="1" l="1"/>
  <c r="BQ733" i="1"/>
  <c r="AS732" i="1"/>
  <c r="AT732" i="1"/>
  <c r="AU732" i="1"/>
  <c r="AR733" i="1" a="1"/>
  <c r="AR733" i="1" s="1"/>
  <c r="AV731" i="1"/>
  <c r="AO734" i="1"/>
  <c r="AN734" i="1" s="1"/>
  <c r="BD734" i="1" l="1"/>
  <c r="BQ734" i="1"/>
  <c r="AS733" i="1"/>
  <c r="AT733" i="1"/>
  <c r="AU733" i="1"/>
  <c r="AR734" i="1" a="1"/>
  <c r="AR734" i="1" s="1"/>
  <c r="AV732" i="1"/>
  <c r="AO735" i="1"/>
  <c r="AN735" i="1" s="1"/>
  <c r="BD735" i="1" l="1"/>
  <c r="BQ735" i="1"/>
  <c r="AT734" i="1"/>
  <c r="AS734" i="1"/>
  <c r="AU734" i="1"/>
  <c r="AR735" i="1" a="1"/>
  <c r="AR735" i="1" s="1"/>
  <c r="AV733" i="1"/>
  <c r="AO736" i="1"/>
  <c r="AN736" i="1" s="1"/>
  <c r="BD736" i="1" l="1"/>
  <c r="BQ736" i="1"/>
  <c r="AU735" i="1"/>
  <c r="AS735" i="1"/>
  <c r="AT735" i="1"/>
  <c r="AR736" i="1" a="1"/>
  <c r="AR736" i="1" s="1"/>
  <c r="AV734" i="1"/>
  <c r="AO737" i="1"/>
  <c r="AN737" i="1" s="1"/>
  <c r="BD737" i="1" l="1"/>
  <c r="BQ737" i="1"/>
  <c r="AU736" i="1"/>
  <c r="AS736" i="1"/>
  <c r="AT736" i="1"/>
  <c r="AR737" i="1" a="1"/>
  <c r="AR737" i="1" s="1"/>
  <c r="AV735" i="1"/>
  <c r="AO738" i="1"/>
  <c r="AN738" i="1" s="1"/>
  <c r="BD738" i="1" l="1"/>
  <c r="BQ738" i="1"/>
  <c r="AS737" i="1"/>
  <c r="AT737" i="1"/>
  <c r="AU737" i="1"/>
  <c r="AR738" i="1" a="1"/>
  <c r="AR738" i="1" s="1"/>
  <c r="AV736" i="1"/>
  <c r="AO739" i="1"/>
  <c r="AN739" i="1" s="1"/>
  <c r="BD739" i="1" l="1"/>
  <c r="BQ739" i="1"/>
  <c r="AT738" i="1"/>
  <c r="AU738" i="1"/>
  <c r="AS738" i="1"/>
  <c r="AR739" i="1" a="1"/>
  <c r="AR739" i="1" s="1"/>
  <c r="AV737" i="1"/>
  <c r="AO740" i="1"/>
  <c r="AN740" i="1" s="1"/>
  <c r="BD740" i="1" l="1"/>
  <c r="BQ740" i="1"/>
  <c r="AU739" i="1"/>
  <c r="AS739" i="1"/>
  <c r="AT739" i="1"/>
  <c r="AR740" i="1" a="1"/>
  <c r="AR740" i="1" s="1"/>
  <c r="AV738" i="1"/>
  <c r="AO741" i="1"/>
  <c r="AN741" i="1" s="1"/>
  <c r="BD741" i="1" l="1"/>
  <c r="BQ741" i="1"/>
  <c r="AT740" i="1"/>
  <c r="AU740" i="1"/>
  <c r="AS740" i="1"/>
  <c r="AR741" i="1" a="1"/>
  <c r="AR741" i="1" s="1"/>
  <c r="AV739" i="1"/>
  <c r="AO742" i="1"/>
  <c r="AN742" i="1" s="1"/>
  <c r="BD742" i="1" l="1"/>
  <c r="BQ742" i="1"/>
  <c r="AS741" i="1"/>
  <c r="AT741" i="1"/>
  <c r="AU741" i="1"/>
  <c r="AR742" i="1" a="1"/>
  <c r="AR742" i="1" s="1"/>
  <c r="AV740" i="1"/>
  <c r="AO743" i="1"/>
  <c r="AN743" i="1" s="1"/>
  <c r="BD743" i="1" l="1"/>
  <c r="BQ743" i="1"/>
  <c r="AT742" i="1"/>
  <c r="AS742" i="1"/>
  <c r="AU742" i="1"/>
  <c r="AR743" i="1" a="1"/>
  <c r="AR743" i="1" s="1"/>
  <c r="AV741" i="1"/>
  <c r="AO744" i="1"/>
  <c r="AN744" i="1" s="1"/>
  <c r="BD744" i="1" l="1"/>
  <c r="BQ744" i="1"/>
  <c r="AU743" i="1"/>
  <c r="AS743" i="1"/>
  <c r="AT743" i="1"/>
  <c r="AR744" i="1" a="1"/>
  <c r="AR744" i="1" s="1"/>
  <c r="AV742" i="1"/>
  <c r="AO745" i="1"/>
  <c r="AN745" i="1" s="1"/>
  <c r="BD745" i="1" l="1"/>
  <c r="BQ745" i="1"/>
  <c r="AS744" i="1"/>
  <c r="AT744" i="1"/>
  <c r="AU744" i="1"/>
  <c r="AR745" i="1" a="1"/>
  <c r="AR745" i="1" s="1"/>
  <c r="AV743" i="1"/>
  <c r="AO746" i="1"/>
  <c r="AN746" i="1" s="1"/>
  <c r="BD746" i="1" l="1"/>
  <c r="BQ746" i="1"/>
  <c r="AS745" i="1"/>
  <c r="AU745" i="1"/>
  <c r="AT745" i="1"/>
  <c r="AR746" i="1" a="1"/>
  <c r="AR746" i="1" s="1"/>
  <c r="AV744" i="1"/>
  <c r="AO747" i="1"/>
  <c r="AN747" i="1" s="1"/>
  <c r="BD747" i="1" l="1"/>
  <c r="BQ747" i="1"/>
  <c r="AT746" i="1"/>
  <c r="AS746" i="1"/>
  <c r="AU746" i="1"/>
  <c r="AR747" i="1" a="1"/>
  <c r="AR747" i="1" s="1"/>
  <c r="AV745" i="1"/>
  <c r="AO748" i="1"/>
  <c r="AN748" i="1" s="1"/>
  <c r="BD748" i="1" l="1"/>
  <c r="BQ748" i="1"/>
  <c r="AU747" i="1"/>
  <c r="AT747" i="1"/>
  <c r="AS747" i="1"/>
  <c r="AR748" i="1" a="1"/>
  <c r="AR748" i="1" s="1"/>
  <c r="AV746" i="1"/>
  <c r="AO749" i="1"/>
  <c r="AN749" i="1" s="1"/>
  <c r="BD749" i="1" l="1"/>
  <c r="BQ749" i="1"/>
  <c r="AS748" i="1"/>
  <c r="AT748" i="1"/>
  <c r="AU748" i="1"/>
  <c r="AR749" i="1" a="1"/>
  <c r="AR749" i="1" s="1"/>
  <c r="AV747" i="1"/>
  <c r="AO750" i="1"/>
  <c r="AN750" i="1" s="1"/>
  <c r="BD750" i="1" l="1"/>
  <c r="BQ750" i="1"/>
  <c r="AS749" i="1"/>
  <c r="AT749" i="1"/>
  <c r="AU749" i="1"/>
  <c r="AR750" i="1" a="1"/>
  <c r="AR750" i="1" s="1"/>
  <c r="AV748" i="1"/>
  <c r="AO751" i="1"/>
  <c r="AN751" i="1" s="1"/>
  <c r="BD751" i="1" l="1"/>
  <c r="BQ751" i="1"/>
  <c r="AT750" i="1"/>
  <c r="AS750" i="1"/>
  <c r="AU750" i="1"/>
  <c r="AR751" i="1" a="1"/>
  <c r="AR751" i="1" s="1"/>
  <c r="AV749" i="1"/>
  <c r="AO752" i="1"/>
  <c r="AN752" i="1" s="1"/>
  <c r="BD752" i="1" l="1"/>
  <c r="BQ752" i="1"/>
  <c r="AU751" i="1"/>
  <c r="AS751" i="1"/>
  <c r="AT751" i="1"/>
  <c r="AR752" i="1" a="1"/>
  <c r="AR752" i="1" s="1"/>
  <c r="AV750" i="1"/>
  <c r="AO753" i="1"/>
  <c r="AN753" i="1" s="1"/>
  <c r="BD753" i="1" l="1"/>
  <c r="BQ753" i="1"/>
  <c r="AU752" i="1"/>
  <c r="AT752" i="1"/>
  <c r="AS752" i="1"/>
  <c r="AR753" i="1" a="1"/>
  <c r="AR753" i="1" s="1"/>
  <c r="AV751" i="1"/>
  <c r="AO754" i="1"/>
  <c r="AN754" i="1" s="1"/>
  <c r="BD754" i="1" l="1"/>
  <c r="BQ754" i="1"/>
  <c r="AS753" i="1"/>
  <c r="AT753" i="1"/>
  <c r="AU753" i="1"/>
  <c r="AR754" i="1" a="1"/>
  <c r="AR754" i="1" s="1"/>
  <c r="AV752" i="1"/>
  <c r="AO755" i="1"/>
  <c r="AN755" i="1" s="1"/>
  <c r="BD755" i="1" l="1"/>
  <c r="BQ755" i="1"/>
  <c r="AT754" i="1"/>
  <c r="AU754" i="1"/>
  <c r="AS754" i="1"/>
  <c r="AR755" i="1" a="1"/>
  <c r="AR755" i="1" s="1"/>
  <c r="AV753" i="1"/>
  <c r="AO756" i="1"/>
  <c r="AN756" i="1" s="1"/>
  <c r="BD756" i="1" l="1"/>
  <c r="BQ756" i="1"/>
  <c r="AU755" i="1"/>
  <c r="AS755" i="1"/>
  <c r="AT755" i="1"/>
  <c r="AR756" i="1" a="1"/>
  <c r="AR756" i="1" s="1"/>
  <c r="AV754" i="1"/>
  <c r="AO757" i="1"/>
  <c r="AN757" i="1" s="1"/>
  <c r="BD757" i="1" l="1"/>
  <c r="BQ757" i="1"/>
  <c r="AT756" i="1"/>
  <c r="AU756" i="1"/>
  <c r="AS756" i="1"/>
  <c r="AR757" i="1" a="1"/>
  <c r="AR757" i="1" s="1"/>
  <c r="AV755" i="1"/>
  <c r="AO758" i="1"/>
  <c r="AN758" i="1" s="1"/>
  <c r="BD758" i="1" l="1"/>
  <c r="BQ758" i="1"/>
  <c r="AS757" i="1"/>
  <c r="AT757" i="1"/>
  <c r="AU757" i="1"/>
  <c r="AR758" i="1" a="1"/>
  <c r="AR758" i="1" s="1"/>
  <c r="AV756" i="1"/>
  <c r="AO759" i="1"/>
  <c r="AN759" i="1" s="1"/>
  <c r="BD759" i="1" l="1"/>
  <c r="BQ759" i="1"/>
  <c r="AT758" i="1"/>
  <c r="AS758" i="1"/>
  <c r="AU758" i="1"/>
  <c r="AR759" i="1" a="1"/>
  <c r="AR759" i="1" s="1"/>
  <c r="AV757" i="1"/>
  <c r="AO760" i="1"/>
  <c r="AN760" i="1" s="1"/>
  <c r="BD760" i="1" l="1"/>
  <c r="BQ760" i="1"/>
  <c r="AU759" i="1"/>
  <c r="AT759" i="1"/>
  <c r="AS759" i="1"/>
  <c r="AR760" i="1" a="1"/>
  <c r="AR760" i="1" s="1"/>
  <c r="AV758" i="1"/>
  <c r="AO761" i="1"/>
  <c r="AN761" i="1" s="1"/>
  <c r="BD761" i="1" l="1"/>
  <c r="BQ761" i="1"/>
  <c r="AS760" i="1"/>
  <c r="AT760" i="1"/>
  <c r="AU760" i="1"/>
  <c r="AR761" i="1" a="1"/>
  <c r="AR761" i="1" s="1"/>
  <c r="AV759" i="1"/>
  <c r="AO762" i="1"/>
  <c r="AN762" i="1" s="1"/>
  <c r="BD762" i="1" l="1"/>
  <c r="BQ762" i="1"/>
  <c r="AS761" i="1"/>
  <c r="AU761" i="1"/>
  <c r="AT761" i="1"/>
  <c r="AR762" i="1" a="1"/>
  <c r="AR762" i="1" s="1"/>
  <c r="AV760" i="1"/>
  <c r="AO763" i="1"/>
  <c r="AN763" i="1" s="1"/>
  <c r="BD763" i="1" l="1"/>
  <c r="BQ763" i="1"/>
  <c r="AT762" i="1"/>
  <c r="AS762" i="1"/>
  <c r="AU762" i="1"/>
  <c r="AR763" i="1" a="1"/>
  <c r="AR763" i="1" s="1"/>
  <c r="AV761" i="1"/>
  <c r="AO764" i="1"/>
  <c r="AN764" i="1" s="1"/>
  <c r="BD764" i="1" l="1"/>
  <c r="BQ764" i="1"/>
  <c r="AU763" i="1"/>
  <c r="AT763" i="1"/>
  <c r="AS763" i="1"/>
  <c r="AR764" i="1" a="1"/>
  <c r="AR764" i="1" s="1"/>
  <c r="AV762" i="1"/>
  <c r="AO765" i="1"/>
  <c r="AN765" i="1" s="1"/>
  <c r="BD765" i="1" l="1"/>
  <c r="BQ765" i="1"/>
  <c r="AS764" i="1"/>
  <c r="AT764" i="1"/>
  <c r="AU764" i="1"/>
  <c r="AR765" i="1" a="1"/>
  <c r="AR765" i="1" s="1"/>
  <c r="AV763" i="1"/>
  <c r="AO766" i="1"/>
  <c r="AN766" i="1" s="1"/>
  <c r="BD766" i="1" l="1"/>
  <c r="BQ766" i="1"/>
  <c r="AS765" i="1"/>
  <c r="AT765" i="1"/>
  <c r="AU765" i="1"/>
  <c r="AR766" i="1" a="1"/>
  <c r="AR766" i="1" s="1"/>
  <c r="AV764" i="1"/>
  <c r="AO767" i="1"/>
  <c r="AN767" i="1" s="1"/>
  <c r="BD767" i="1" l="1"/>
  <c r="BQ767" i="1"/>
  <c r="AT766" i="1"/>
  <c r="AU766" i="1"/>
  <c r="AS766" i="1"/>
  <c r="AR767" i="1" a="1"/>
  <c r="AR767" i="1" s="1"/>
  <c r="AV765" i="1"/>
  <c r="AO768" i="1"/>
  <c r="AN768" i="1" s="1"/>
  <c r="BD768" i="1" l="1"/>
  <c r="BQ768" i="1"/>
  <c r="AU767" i="1"/>
  <c r="AS767" i="1"/>
  <c r="AT767" i="1"/>
  <c r="AR768" i="1" a="1"/>
  <c r="AR768" i="1" s="1"/>
  <c r="AV766" i="1"/>
  <c r="AO769" i="1"/>
  <c r="AN769" i="1" s="1"/>
  <c r="BD769" i="1" l="1"/>
  <c r="BQ769" i="1"/>
  <c r="AU768" i="1"/>
  <c r="AS768" i="1"/>
  <c r="AT768" i="1"/>
  <c r="AR769" i="1" a="1"/>
  <c r="AR769" i="1" s="1"/>
  <c r="AV767" i="1"/>
  <c r="AO770" i="1"/>
  <c r="AN770" i="1" s="1"/>
  <c r="BD770" i="1" l="1"/>
  <c r="BQ770" i="1"/>
  <c r="AS769" i="1"/>
  <c r="AT769" i="1"/>
  <c r="AU769" i="1"/>
  <c r="AR770" i="1" a="1"/>
  <c r="AR770" i="1" s="1"/>
  <c r="AV768" i="1"/>
  <c r="AO771" i="1"/>
  <c r="AN771" i="1" s="1"/>
  <c r="BD771" i="1" l="1"/>
  <c r="BQ771" i="1"/>
  <c r="AT770" i="1"/>
  <c r="AU770" i="1"/>
  <c r="AS770" i="1"/>
  <c r="AR771" i="1" a="1"/>
  <c r="AR771" i="1" s="1"/>
  <c r="AV769" i="1"/>
  <c r="AO772" i="1"/>
  <c r="AN772" i="1" s="1"/>
  <c r="BD772" i="1" l="1"/>
  <c r="BQ772" i="1"/>
  <c r="AU771" i="1"/>
  <c r="AS771" i="1"/>
  <c r="AT771" i="1"/>
  <c r="AR772" i="1" a="1"/>
  <c r="AR772" i="1" s="1"/>
  <c r="AV770" i="1"/>
  <c r="AO773" i="1"/>
  <c r="AN773" i="1" s="1"/>
  <c r="BD773" i="1" l="1"/>
  <c r="BQ773" i="1"/>
  <c r="AT772" i="1"/>
  <c r="AU772" i="1"/>
  <c r="AS772" i="1"/>
  <c r="AR773" i="1" a="1"/>
  <c r="AR773" i="1" s="1"/>
  <c r="AV771" i="1"/>
  <c r="AO774" i="1"/>
  <c r="AN774" i="1" s="1"/>
  <c r="BD774" i="1" l="1"/>
  <c r="BQ774" i="1"/>
  <c r="AS773" i="1"/>
  <c r="AU773" i="1"/>
  <c r="AT773" i="1"/>
  <c r="AR774" i="1" a="1"/>
  <c r="AR774" i="1" s="1"/>
  <c r="AV772" i="1"/>
  <c r="AO775" i="1"/>
  <c r="AN775" i="1" s="1"/>
  <c r="BD775" i="1" l="1"/>
  <c r="BQ775" i="1"/>
  <c r="AT774" i="1"/>
  <c r="AS774" i="1"/>
  <c r="AU774" i="1"/>
  <c r="AR775" i="1" a="1"/>
  <c r="AR775" i="1" s="1"/>
  <c r="AV773" i="1"/>
  <c r="AO776" i="1"/>
  <c r="AN776" i="1" s="1"/>
  <c r="BD776" i="1" l="1"/>
  <c r="BQ776" i="1"/>
  <c r="AU775" i="1"/>
  <c r="AS775" i="1"/>
  <c r="AT775" i="1"/>
  <c r="AR776" i="1" a="1"/>
  <c r="AR776" i="1" s="1"/>
  <c r="AV774" i="1"/>
  <c r="AO777" i="1"/>
  <c r="AN777" i="1" s="1"/>
  <c r="BD777" i="1" l="1"/>
  <c r="BQ777" i="1"/>
  <c r="AS776" i="1"/>
  <c r="AT776" i="1"/>
  <c r="AU776" i="1"/>
  <c r="AR777" i="1" a="1"/>
  <c r="AR777" i="1" s="1"/>
  <c r="AV775" i="1"/>
  <c r="AO778" i="1"/>
  <c r="AN778" i="1" s="1"/>
  <c r="BD778" i="1" l="1"/>
  <c r="BQ778" i="1"/>
  <c r="AS777" i="1"/>
  <c r="AU777" i="1"/>
  <c r="AT777" i="1"/>
  <c r="AR778" i="1" a="1"/>
  <c r="AR778" i="1" s="1"/>
  <c r="AV776" i="1"/>
  <c r="AO779" i="1"/>
  <c r="AN779" i="1" s="1"/>
  <c r="BD779" i="1" l="1"/>
  <c r="BQ779" i="1"/>
  <c r="AT778" i="1"/>
  <c r="AS778" i="1"/>
  <c r="AU778" i="1"/>
  <c r="AR779" i="1" a="1"/>
  <c r="AR779" i="1" s="1"/>
  <c r="AV777" i="1"/>
  <c r="AO780" i="1"/>
  <c r="AN780" i="1" s="1"/>
  <c r="BD780" i="1" l="1"/>
  <c r="BQ780" i="1"/>
  <c r="AU779" i="1"/>
  <c r="AT779" i="1"/>
  <c r="AS779" i="1"/>
  <c r="AR780" i="1" a="1"/>
  <c r="AR780" i="1" s="1"/>
  <c r="AV778" i="1"/>
  <c r="AO781" i="1"/>
  <c r="AN781" i="1" s="1"/>
  <c r="BD781" i="1" l="1"/>
  <c r="BQ781" i="1"/>
  <c r="AS780" i="1"/>
  <c r="AU780" i="1"/>
  <c r="AT780" i="1"/>
  <c r="AR781" i="1" a="1"/>
  <c r="AR781" i="1" s="1"/>
  <c r="AV779" i="1"/>
  <c r="AO782" i="1"/>
  <c r="AN782" i="1" s="1"/>
  <c r="BD782" i="1" l="1"/>
  <c r="BQ782" i="1"/>
  <c r="AS781" i="1"/>
  <c r="AT781" i="1"/>
  <c r="AU781" i="1"/>
  <c r="AR782" i="1" a="1"/>
  <c r="AR782" i="1" s="1"/>
  <c r="AV780" i="1"/>
  <c r="AO783" i="1"/>
  <c r="AN783" i="1" s="1"/>
  <c r="BD783" i="1" l="1"/>
  <c r="BQ783" i="1"/>
  <c r="AT782" i="1"/>
  <c r="AS782" i="1"/>
  <c r="AU782" i="1"/>
  <c r="AR783" i="1" a="1"/>
  <c r="AR783" i="1" s="1"/>
  <c r="AV781" i="1"/>
  <c r="AO784" i="1"/>
  <c r="AN784" i="1" s="1"/>
  <c r="BD784" i="1" l="1"/>
  <c r="BQ784" i="1"/>
  <c r="AU783" i="1"/>
  <c r="AS783" i="1"/>
  <c r="AT783" i="1"/>
  <c r="AR784" i="1" a="1"/>
  <c r="AR784" i="1" s="1"/>
  <c r="AV782" i="1"/>
  <c r="AO785" i="1"/>
  <c r="AN785" i="1" s="1"/>
  <c r="BD785" i="1" l="1"/>
  <c r="BQ785" i="1"/>
  <c r="AU784" i="1"/>
  <c r="AS784" i="1"/>
  <c r="AT784" i="1"/>
  <c r="AR785" i="1" a="1"/>
  <c r="AR785" i="1" s="1"/>
  <c r="AV783" i="1"/>
  <c r="AO786" i="1"/>
  <c r="AN786" i="1" s="1"/>
  <c r="BD786" i="1" l="1"/>
  <c r="BQ786" i="1"/>
  <c r="AS785" i="1"/>
  <c r="AT785" i="1"/>
  <c r="AU785" i="1"/>
  <c r="AR786" i="1" a="1"/>
  <c r="AR786" i="1" s="1"/>
  <c r="AV784" i="1"/>
  <c r="AO787" i="1"/>
  <c r="AN787" i="1" s="1"/>
  <c r="BD787" i="1" l="1"/>
  <c r="BQ787" i="1"/>
  <c r="AT786" i="1"/>
  <c r="AU786" i="1"/>
  <c r="AS786" i="1"/>
  <c r="AR787" i="1" a="1"/>
  <c r="AR787" i="1" s="1"/>
  <c r="AV785" i="1"/>
  <c r="AO788" i="1"/>
  <c r="AN788" i="1" s="1"/>
  <c r="BD788" i="1" l="1"/>
  <c r="BQ788" i="1"/>
  <c r="AU787" i="1"/>
  <c r="AS787" i="1"/>
  <c r="AT787" i="1"/>
  <c r="AR788" i="1" a="1"/>
  <c r="AR788" i="1" s="1"/>
  <c r="AV786" i="1"/>
  <c r="AO789" i="1"/>
  <c r="AN789" i="1" s="1"/>
  <c r="BD789" i="1" l="1"/>
  <c r="BQ789" i="1"/>
  <c r="AT788" i="1"/>
  <c r="AU788" i="1"/>
  <c r="AS788" i="1"/>
  <c r="AR789" i="1" a="1"/>
  <c r="AR789" i="1" s="1"/>
  <c r="AV787" i="1"/>
  <c r="AO790" i="1"/>
  <c r="AN790" i="1" s="1"/>
  <c r="BD790" i="1" l="1"/>
  <c r="BQ790" i="1"/>
  <c r="AS789" i="1"/>
  <c r="AT789" i="1"/>
  <c r="AU789" i="1"/>
  <c r="AR790" i="1" a="1"/>
  <c r="AR790" i="1" s="1"/>
  <c r="AV788" i="1"/>
  <c r="AO791" i="1"/>
  <c r="AN791" i="1" s="1"/>
  <c r="BD791" i="1" l="1"/>
  <c r="BQ791" i="1"/>
  <c r="AT790" i="1"/>
  <c r="AS790" i="1"/>
  <c r="AU790" i="1"/>
  <c r="AR791" i="1" a="1"/>
  <c r="AR791" i="1" s="1"/>
  <c r="AV789" i="1"/>
  <c r="AO792" i="1"/>
  <c r="AN792" i="1" s="1"/>
  <c r="BD792" i="1" l="1"/>
  <c r="BQ792" i="1"/>
  <c r="AU791" i="1"/>
  <c r="AT791" i="1"/>
  <c r="AS791" i="1"/>
  <c r="AR792" i="1" a="1"/>
  <c r="AR792" i="1" s="1"/>
  <c r="AV790" i="1"/>
  <c r="AO793" i="1"/>
  <c r="AN793" i="1" s="1"/>
  <c r="BD793" i="1" l="1"/>
  <c r="BQ793" i="1"/>
  <c r="AS792" i="1"/>
  <c r="AT792" i="1"/>
  <c r="AU792" i="1"/>
  <c r="AR793" i="1" a="1"/>
  <c r="AR793" i="1" s="1"/>
  <c r="AV791" i="1"/>
  <c r="AO794" i="1"/>
  <c r="AN794" i="1" s="1"/>
  <c r="BD794" i="1" l="1"/>
  <c r="BQ794" i="1"/>
  <c r="AS793" i="1"/>
  <c r="AU793" i="1"/>
  <c r="AT793" i="1"/>
  <c r="AR794" i="1" a="1"/>
  <c r="AR794" i="1" s="1"/>
  <c r="AV792" i="1"/>
  <c r="AO795" i="1"/>
  <c r="AN795" i="1" s="1"/>
  <c r="BD795" i="1" l="1"/>
  <c r="BQ795" i="1"/>
  <c r="AT794" i="1"/>
  <c r="AS794" i="1"/>
  <c r="AU794" i="1"/>
  <c r="AR795" i="1" a="1"/>
  <c r="AR795" i="1" s="1"/>
  <c r="AV793" i="1"/>
  <c r="AO796" i="1"/>
  <c r="AN796" i="1" s="1"/>
  <c r="BD796" i="1" l="1"/>
  <c r="BQ796" i="1"/>
  <c r="AU795" i="1"/>
  <c r="AT795" i="1"/>
  <c r="AS795" i="1"/>
  <c r="AR796" i="1" a="1"/>
  <c r="AR796" i="1" s="1"/>
  <c r="AV794" i="1"/>
  <c r="AO797" i="1"/>
  <c r="AN797" i="1" s="1"/>
  <c r="BD797" i="1" l="1"/>
  <c r="BQ797" i="1"/>
  <c r="AS796" i="1"/>
  <c r="AT796" i="1"/>
  <c r="AU796" i="1"/>
  <c r="AR797" i="1" a="1"/>
  <c r="AR797" i="1" s="1"/>
  <c r="AV795" i="1"/>
  <c r="AO798" i="1"/>
  <c r="AN798" i="1" s="1"/>
  <c r="BD798" i="1" l="1"/>
  <c r="BQ798" i="1"/>
  <c r="AS797" i="1"/>
  <c r="AT797" i="1"/>
  <c r="AU797" i="1"/>
  <c r="AR798" i="1" a="1"/>
  <c r="AR798" i="1" s="1"/>
  <c r="AV796" i="1"/>
  <c r="AO799" i="1"/>
  <c r="AN799" i="1" s="1"/>
  <c r="BD799" i="1" l="1"/>
  <c r="BQ799" i="1"/>
  <c r="AT798" i="1"/>
  <c r="AU798" i="1"/>
  <c r="AS798" i="1"/>
  <c r="AR799" i="1" a="1"/>
  <c r="AR799" i="1" s="1"/>
  <c r="AV797" i="1"/>
  <c r="AO800" i="1"/>
  <c r="AN800" i="1" s="1"/>
  <c r="BD800" i="1" l="1"/>
  <c r="BQ800" i="1"/>
  <c r="AU799" i="1"/>
  <c r="AS799" i="1"/>
  <c r="AT799" i="1"/>
  <c r="AR800" i="1" a="1"/>
  <c r="AR800" i="1" s="1"/>
  <c r="AV798" i="1"/>
  <c r="AO801" i="1"/>
  <c r="AN801" i="1" s="1"/>
  <c r="BD801" i="1" l="1"/>
  <c r="BQ801" i="1"/>
  <c r="AU800" i="1"/>
  <c r="AS800" i="1"/>
  <c r="AT800" i="1"/>
  <c r="AR801" i="1" a="1"/>
  <c r="AR801" i="1" s="1"/>
  <c r="AV799" i="1"/>
  <c r="AO802" i="1"/>
  <c r="AN802" i="1" s="1"/>
  <c r="BD802" i="1" l="1"/>
  <c r="BQ802" i="1"/>
  <c r="AS801" i="1"/>
  <c r="AT801" i="1"/>
  <c r="AU801" i="1"/>
  <c r="AR802" i="1" a="1"/>
  <c r="AR802" i="1" s="1"/>
  <c r="AV800" i="1"/>
  <c r="AO803" i="1"/>
  <c r="AN803" i="1" s="1"/>
  <c r="BD803" i="1" l="1"/>
  <c r="BQ803" i="1"/>
  <c r="AT802" i="1"/>
  <c r="AU802" i="1"/>
  <c r="AS802" i="1"/>
  <c r="AR803" i="1" a="1"/>
  <c r="AR803" i="1" s="1"/>
  <c r="AV801" i="1"/>
  <c r="AO804" i="1"/>
  <c r="AN804" i="1" s="1"/>
  <c r="BD804" i="1" l="1"/>
  <c r="BQ804" i="1"/>
  <c r="AU803" i="1"/>
  <c r="AS803" i="1"/>
  <c r="AT803" i="1"/>
  <c r="AR804" i="1" a="1"/>
  <c r="AR804" i="1" s="1"/>
  <c r="AV802" i="1"/>
  <c r="AO805" i="1"/>
  <c r="AN805" i="1" s="1"/>
  <c r="BD805" i="1" l="1"/>
  <c r="BQ805" i="1"/>
  <c r="AT804" i="1"/>
  <c r="AU804" i="1"/>
  <c r="AS804" i="1"/>
  <c r="AR805" i="1" a="1"/>
  <c r="AR805" i="1" s="1"/>
  <c r="AV803" i="1"/>
  <c r="AO806" i="1"/>
  <c r="AN806" i="1" s="1"/>
  <c r="BD806" i="1" l="1"/>
  <c r="BQ806" i="1"/>
  <c r="AS805" i="1"/>
  <c r="AU805" i="1"/>
  <c r="AT805" i="1"/>
  <c r="AR806" i="1" a="1"/>
  <c r="AR806" i="1" s="1"/>
  <c r="AV804" i="1"/>
  <c r="AO807" i="1"/>
  <c r="AN807" i="1" s="1"/>
  <c r="BD807" i="1" l="1"/>
  <c r="BQ807" i="1"/>
  <c r="AT806" i="1"/>
  <c r="AS806" i="1"/>
  <c r="AU806" i="1"/>
  <c r="AR807" i="1" a="1"/>
  <c r="AR807" i="1" s="1"/>
  <c r="AV805" i="1"/>
  <c r="AO808" i="1"/>
  <c r="AN808" i="1" s="1"/>
  <c r="BD808" i="1" l="1"/>
  <c r="BQ808" i="1"/>
  <c r="AU807" i="1"/>
  <c r="AS807" i="1"/>
  <c r="AT807" i="1"/>
  <c r="AR808" i="1" a="1"/>
  <c r="AR808" i="1" s="1"/>
  <c r="AV806" i="1"/>
  <c r="AO809" i="1"/>
  <c r="AN809" i="1" s="1"/>
  <c r="BD809" i="1" l="1"/>
  <c r="BQ809" i="1"/>
  <c r="AS808" i="1"/>
  <c r="AT808" i="1"/>
  <c r="AU808" i="1"/>
  <c r="AR809" i="1" a="1"/>
  <c r="AR809" i="1" s="1"/>
  <c r="AV807" i="1"/>
  <c r="AO810" i="1"/>
  <c r="AN810" i="1" s="1"/>
  <c r="BD810" i="1" l="1"/>
  <c r="BQ810" i="1"/>
  <c r="AS809" i="1"/>
  <c r="AU809" i="1"/>
  <c r="AT809" i="1"/>
  <c r="AR810" i="1" a="1"/>
  <c r="AR810" i="1" s="1"/>
  <c r="AV808" i="1"/>
  <c r="AO811" i="1"/>
  <c r="AN811" i="1" s="1"/>
  <c r="BD811" i="1" l="1"/>
  <c r="BQ811" i="1"/>
  <c r="AT810" i="1"/>
  <c r="AS810" i="1"/>
  <c r="AU810" i="1"/>
  <c r="AR811" i="1" a="1"/>
  <c r="AR811" i="1" s="1"/>
  <c r="AV809" i="1"/>
  <c r="AO812" i="1"/>
  <c r="AN812" i="1" s="1"/>
  <c r="BD812" i="1" l="1"/>
  <c r="BQ812" i="1"/>
  <c r="AU811" i="1"/>
  <c r="AT811" i="1"/>
  <c r="AS811" i="1"/>
  <c r="AR812" i="1" a="1"/>
  <c r="AR812" i="1" s="1"/>
  <c r="AV810" i="1"/>
  <c r="AO813" i="1"/>
  <c r="AN813" i="1" s="1"/>
  <c r="BD813" i="1" l="1"/>
  <c r="BQ813" i="1"/>
  <c r="AS812" i="1"/>
  <c r="AU812" i="1"/>
  <c r="AT812" i="1"/>
  <c r="AR813" i="1" a="1"/>
  <c r="AR813" i="1" s="1"/>
  <c r="AV811" i="1"/>
  <c r="AO814" i="1"/>
  <c r="AN814" i="1" s="1"/>
  <c r="BD814" i="1" l="1"/>
  <c r="BQ814" i="1"/>
  <c r="AS813" i="1"/>
  <c r="AT813" i="1"/>
  <c r="AU813" i="1"/>
  <c r="AR814" i="1" a="1"/>
  <c r="AR814" i="1" s="1"/>
  <c r="AV812" i="1"/>
  <c r="AO815" i="1"/>
  <c r="AN815" i="1" s="1"/>
  <c r="BD815" i="1" l="1"/>
  <c r="BQ815" i="1"/>
  <c r="AT814" i="1"/>
  <c r="AS814" i="1"/>
  <c r="AU814" i="1"/>
  <c r="AR815" i="1" a="1"/>
  <c r="AR815" i="1" s="1"/>
  <c r="AV813" i="1"/>
  <c r="AO816" i="1"/>
  <c r="AN816" i="1" s="1"/>
  <c r="BD816" i="1" l="1"/>
  <c r="BQ816" i="1"/>
  <c r="AU815" i="1"/>
  <c r="AS815" i="1"/>
  <c r="AT815" i="1"/>
  <c r="AR816" i="1" a="1"/>
  <c r="AR816" i="1" s="1"/>
  <c r="AV814" i="1"/>
  <c r="AO817" i="1"/>
  <c r="AN817" i="1" s="1"/>
  <c r="BD817" i="1" l="1"/>
  <c r="BQ817" i="1"/>
  <c r="AU816" i="1"/>
  <c r="AS816" i="1"/>
  <c r="AT816" i="1"/>
  <c r="AR817" i="1" a="1"/>
  <c r="AR817" i="1" s="1"/>
  <c r="AV815" i="1"/>
  <c r="AO818" i="1"/>
  <c r="AN818" i="1" s="1"/>
  <c r="BD818" i="1" l="1"/>
  <c r="BQ818" i="1"/>
  <c r="AS817" i="1"/>
  <c r="AT817" i="1"/>
  <c r="AU817" i="1"/>
  <c r="AR818" i="1" a="1"/>
  <c r="AR818" i="1" s="1"/>
  <c r="AV816" i="1"/>
  <c r="AO819" i="1"/>
  <c r="AN819" i="1" s="1"/>
  <c r="BD819" i="1" l="1"/>
  <c r="BQ819" i="1"/>
  <c r="AT818" i="1"/>
  <c r="AU818" i="1"/>
  <c r="AS818" i="1"/>
  <c r="AR819" i="1" a="1"/>
  <c r="AR819" i="1" s="1"/>
  <c r="AV817" i="1"/>
  <c r="AO820" i="1"/>
  <c r="AN820" i="1" s="1"/>
  <c r="BD820" i="1" l="1"/>
  <c r="BQ820" i="1"/>
  <c r="AU819" i="1"/>
  <c r="AS819" i="1"/>
  <c r="AT819" i="1"/>
  <c r="AR820" i="1" a="1"/>
  <c r="AR820" i="1" s="1"/>
  <c r="AV818" i="1"/>
  <c r="AO821" i="1"/>
  <c r="AN821" i="1" s="1"/>
  <c r="BD821" i="1" l="1"/>
  <c r="BQ821" i="1"/>
  <c r="AT820" i="1"/>
  <c r="AU820" i="1"/>
  <c r="AS820" i="1"/>
  <c r="AR821" i="1" a="1"/>
  <c r="AR821" i="1" s="1"/>
  <c r="AV819" i="1"/>
  <c r="AO822" i="1"/>
  <c r="AN822" i="1" s="1"/>
  <c r="BD822" i="1" l="1"/>
  <c r="BQ822" i="1"/>
  <c r="AS821" i="1"/>
  <c r="AT821" i="1"/>
  <c r="AU821" i="1"/>
  <c r="AR822" i="1" a="1"/>
  <c r="AR822" i="1" s="1"/>
  <c r="AV820" i="1"/>
  <c r="AO823" i="1"/>
  <c r="AN823" i="1" s="1"/>
  <c r="BD823" i="1" l="1"/>
  <c r="BQ823" i="1"/>
  <c r="AT822" i="1"/>
  <c r="AS822" i="1"/>
  <c r="AU822" i="1"/>
  <c r="AR823" i="1" a="1"/>
  <c r="AR823" i="1" s="1"/>
  <c r="AV821" i="1"/>
  <c r="AO824" i="1"/>
  <c r="AN824" i="1" s="1"/>
  <c r="BD824" i="1" l="1"/>
  <c r="BQ824" i="1"/>
  <c r="AU823" i="1"/>
  <c r="AT823" i="1"/>
  <c r="AS823" i="1"/>
  <c r="AR824" i="1" a="1"/>
  <c r="AR824" i="1" s="1"/>
  <c r="AV822" i="1"/>
  <c r="AO825" i="1"/>
  <c r="AN825" i="1" s="1"/>
  <c r="BD825" i="1" l="1"/>
  <c r="BQ825" i="1"/>
  <c r="AS824" i="1"/>
  <c r="AT824" i="1"/>
  <c r="AU824" i="1"/>
  <c r="AR825" i="1" a="1"/>
  <c r="AR825" i="1" s="1"/>
  <c r="AV823" i="1"/>
  <c r="AO826" i="1"/>
  <c r="AN826" i="1" s="1"/>
  <c r="BD826" i="1" l="1"/>
  <c r="BQ826" i="1"/>
  <c r="AS825" i="1"/>
  <c r="AU825" i="1"/>
  <c r="AT825" i="1"/>
  <c r="AR826" i="1" a="1"/>
  <c r="AR826" i="1" s="1"/>
  <c r="AV824" i="1"/>
  <c r="AO827" i="1"/>
  <c r="AN827" i="1" s="1"/>
  <c r="BD827" i="1" l="1"/>
  <c r="BQ827" i="1"/>
  <c r="AT826" i="1"/>
  <c r="AS826" i="1"/>
  <c r="AU826" i="1"/>
  <c r="AR827" i="1" a="1"/>
  <c r="AR827" i="1" s="1"/>
  <c r="AV825" i="1"/>
  <c r="AO828" i="1"/>
  <c r="AN828" i="1" s="1"/>
  <c r="BD828" i="1" l="1"/>
  <c r="BQ828" i="1"/>
  <c r="AU827" i="1"/>
  <c r="AT827" i="1"/>
  <c r="AS827" i="1"/>
  <c r="AR828" i="1" a="1"/>
  <c r="AR828" i="1" s="1"/>
  <c r="AV826" i="1"/>
  <c r="AO829" i="1"/>
  <c r="AN829" i="1" s="1"/>
  <c r="BD829" i="1" l="1"/>
  <c r="BQ829" i="1"/>
  <c r="AS828" i="1"/>
  <c r="AT828" i="1"/>
  <c r="AU828" i="1"/>
  <c r="AR829" i="1" a="1"/>
  <c r="AR829" i="1" s="1"/>
  <c r="AV827" i="1"/>
  <c r="AO830" i="1"/>
  <c r="AN830" i="1" s="1"/>
  <c r="BD830" i="1" l="1"/>
  <c r="BQ830" i="1"/>
  <c r="AS829" i="1"/>
  <c r="AT829" i="1"/>
  <c r="AU829" i="1"/>
  <c r="AR830" i="1" a="1"/>
  <c r="AR830" i="1" s="1"/>
  <c r="AV828" i="1"/>
  <c r="AO831" i="1"/>
  <c r="AN831" i="1" s="1"/>
  <c r="BD831" i="1" l="1"/>
  <c r="BQ831" i="1"/>
  <c r="AT830" i="1"/>
  <c r="AU830" i="1"/>
  <c r="AS830" i="1"/>
  <c r="AR831" i="1" a="1"/>
  <c r="AR831" i="1" s="1"/>
  <c r="AV829" i="1"/>
  <c r="AO832" i="1"/>
  <c r="AN832" i="1" s="1"/>
  <c r="BD832" i="1" l="1"/>
  <c r="BQ832" i="1"/>
  <c r="AU831" i="1"/>
  <c r="AS831" i="1"/>
  <c r="AT831" i="1"/>
  <c r="AR832" i="1" a="1"/>
  <c r="AR832" i="1" s="1"/>
  <c r="AV830" i="1"/>
  <c r="AO833" i="1"/>
  <c r="AN833" i="1" s="1"/>
  <c r="BD833" i="1" l="1"/>
  <c r="BQ833" i="1"/>
  <c r="AU832" i="1"/>
  <c r="AS832" i="1"/>
  <c r="AT832" i="1"/>
  <c r="AR833" i="1" a="1"/>
  <c r="AR833" i="1" s="1"/>
  <c r="AV831" i="1"/>
  <c r="AO834" i="1"/>
  <c r="AN834" i="1" s="1"/>
  <c r="BD834" i="1" l="1"/>
  <c r="BQ834" i="1"/>
  <c r="AS833" i="1"/>
  <c r="AT833" i="1"/>
  <c r="AU833" i="1"/>
  <c r="AR834" i="1" a="1"/>
  <c r="AR834" i="1" s="1"/>
  <c r="AV832" i="1"/>
  <c r="AO835" i="1"/>
  <c r="AN835" i="1" s="1"/>
  <c r="BD835" i="1" l="1"/>
  <c r="BQ835" i="1"/>
  <c r="AT834" i="1"/>
  <c r="AU834" i="1"/>
  <c r="AS834" i="1"/>
  <c r="AR835" i="1" a="1"/>
  <c r="AR835" i="1" s="1"/>
  <c r="AV833" i="1"/>
  <c r="AO836" i="1"/>
  <c r="AN836" i="1" s="1"/>
  <c r="BD836" i="1" l="1"/>
  <c r="BQ836" i="1"/>
  <c r="AU835" i="1"/>
  <c r="AS835" i="1"/>
  <c r="AT835" i="1"/>
  <c r="AR836" i="1" a="1"/>
  <c r="AR836" i="1" s="1"/>
  <c r="AV834" i="1"/>
  <c r="AO837" i="1"/>
  <c r="AN837" i="1" s="1"/>
  <c r="BD837" i="1" l="1"/>
  <c r="BQ837" i="1"/>
  <c r="AT836" i="1"/>
  <c r="AU836" i="1"/>
  <c r="AS836" i="1"/>
  <c r="AR837" i="1" a="1"/>
  <c r="AR837" i="1" s="1"/>
  <c r="AV835" i="1"/>
  <c r="AO838" i="1"/>
  <c r="AN838" i="1" s="1"/>
  <c r="BD838" i="1" l="1"/>
  <c r="BQ838" i="1"/>
  <c r="AS837" i="1"/>
  <c r="AU837" i="1"/>
  <c r="AT837" i="1"/>
  <c r="AR838" i="1" a="1"/>
  <c r="AR838" i="1" s="1"/>
  <c r="AV836" i="1"/>
  <c r="AO839" i="1"/>
  <c r="AN839" i="1" s="1"/>
  <c r="BD839" i="1" l="1"/>
  <c r="BQ839" i="1"/>
  <c r="AT838" i="1"/>
  <c r="AS838" i="1"/>
  <c r="AU838" i="1"/>
  <c r="AR839" i="1" a="1"/>
  <c r="AR839" i="1" s="1"/>
  <c r="AV837" i="1"/>
  <c r="AO840" i="1"/>
  <c r="AN840" i="1" s="1"/>
  <c r="BD840" i="1" l="1"/>
  <c r="BQ840" i="1"/>
  <c r="AU839" i="1"/>
  <c r="AS839" i="1"/>
  <c r="AT839" i="1"/>
  <c r="AR840" i="1" a="1"/>
  <c r="AR840" i="1" s="1"/>
  <c r="AV838" i="1"/>
  <c r="AO841" i="1"/>
  <c r="AN841" i="1" s="1"/>
  <c r="BD841" i="1" l="1"/>
  <c r="BQ841" i="1"/>
  <c r="AS840" i="1"/>
  <c r="AT840" i="1"/>
  <c r="AU840" i="1"/>
  <c r="AR841" i="1" a="1"/>
  <c r="AR841" i="1" s="1"/>
  <c r="AV839" i="1"/>
  <c r="AO842" i="1"/>
  <c r="AN842" i="1" s="1"/>
  <c r="BD842" i="1" l="1"/>
  <c r="BQ842" i="1"/>
  <c r="AS841" i="1"/>
  <c r="AU841" i="1"/>
  <c r="AT841" i="1"/>
  <c r="AR842" i="1" a="1"/>
  <c r="AR842" i="1" s="1"/>
  <c r="AV840" i="1"/>
  <c r="AO843" i="1"/>
  <c r="AN843" i="1" s="1"/>
  <c r="BD843" i="1" l="1"/>
  <c r="BQ843" i="1"/>
  <c r="AT842" i="1"/>
  <c r="AS842" i="1"/>
  <c r="AU842" i="1"/>
  <c r="AR843" i="1" a="1"/>
  <c r="AR843" i="1" s="1"/>
  <c r="AV841" i="1"/>
  <c r="AO844" i="1"/>
  <c r="AN844" i="1" s="1"/>
  <c r="BD844" i="1" l="1"/>
  <c r="BQ844" i="1"/>
  <c r="AU843" i="1"/>
  <c r="AT843" i="1"/>
  <c r="AS843" i="1"/>
  <c r="AR844" i="1" a="1"/>
  <c r="AR844" i="1" s="1"/>
  <c r="AV842" i="1"/>
  <c r="AO845" i="1"/>
  <c r="AN845" i="1" s="1"/>
  <c r="BD845" i="1" l="1"/>
  <c r="BQ845" i="1"/>
  <c r="AS844" i="1"/>
  <c r="AU844" i="1"/>
  <c r="AT844" i="1"/>
  <c r="AR845" i="1" a="1"/>
  <c r="AR845" i="1" s="1"/>
  <c r="AV843" i="1"/>
  <c r="AO846" i="1"/>
  <c r="AN846" i="1" s="1"/>
  <c r="BD846" i="1" l="1"/>
  <c r="BQ846" i="1"/>
  <c r="AS845" i="1"/>
  <c r="AT845" i="1"/>
  <c r="AU845" i="1"/>
  <c r="AR846" i="1" a="1"/>
  <c r="AR846" i="1" s="1"/>
  <c r="AV844" i="1"/>
  <c r="AO847" i="1"/>
  <c r="AN847" i="1" s="1"/>
  <c r="BD847" i="1" l="1"/>
  <c r="BQ847" i="1"/>
  <c r="AT846" i="1"/>
  <c r="AS846" i="1"/>
  <c r="AU846" i="1"/>
  <c r="AR847" i="1" a="1"/>
  <c r="AR847" i="1" s="1"/>
  <c r="AV845" i="1"/>
  <c r="AO848" i="1"/>
  <c r="AN848" i="1" s="1"/>
  <c r="BD848" i="1" l="1"/>
  <c r="BQ848" i="1"/>
  <c r="AU847" i="1"/>
  <c r="AS847" i="1"/>
  <c r="AT847" i="1"/>
  <c r="AR848" i="1" a="1"/>
  <c r="AR848" i="1" s="1"/>
  <c r="AV846" i="1"/>
  <c r="AO849" i="1"/>
  <c r="AN849" i="1" s="1"/>
  <c r="BD849" i="1" l="1"/>
  <c r="BQ849" i="1"/>
  <c r="AU848" i="1"/>
  <c r="AS848" i="1"/>
  <c r="AT848" i="1"/>
  <c r="AR849" i="1" a="1"/>
  <c r="AR849" i="1" s="1"/>
  <c r="AV847" i="1"/>
  <c r="AO850" i="1"/>
  <c r="AN850" i="1" s="1"/>
  <c r="BD850" i="1" l="1"/>
  <c r="BQ850" i="1"/>
  <c r="AS849" i="1"/>
  <c r="AT849" i="1"/>
  <c r="AU849" i="1"/>
  <c r="AR850" i="1" a="1"/>
  <c r="AR850" i="1" s="1"/>
  <c r="AV848" i="1"/>
  <c r="AO851" i="1"/>
  <c r="AN851" i="1" s="1"/>
  <c r="BD851" i="1" l="1"/>
  <c r="BQ851" i="1"/>
  <c r="AT850" i="1"/>
  <c r="AU850" i="1"/>
  <c r="AS850" i="1"/>
  <c r="AR851" i="1" a="1"/>
  <c r="AR851" i="1" s="1"/>
  <c r="AV849" i="1"/>
  <c r="AO852" i="1"/>
  <c r="AN852" i="1" s="1"/>
  <c r="BD852" i="1" l="1"/>
  <c r="BQ852" i="1"/>
  <c r="AU851" i="1"/>
  <c r="AS851" i="1"/>
  <c r="AT851" i="1"/>
  <c r="AR852" i="1" a="1"/>
  <c r="AR852" i="1" s="1"/>
  <c r="AV850" i="1"/>
  <c r="AO853" i="1"/>
  <c r="AN853" i="1" s="1"/>
  <c r="BD853" i="1" l="1"/>
  <c r="BQ853" i="1"/>
  <c r="AT852" i="1"/>
  <c r="AU852" i="1"/>
  <c r="AS852" i="1"/>
  <c r="AR853" i="1" a="1"/>
  <c r="AR853" i="1" s="1"/>
  <c r="AV851" i="1"/>
  <c r="AO854" i="1"/>
  <c r="AN854" i="1" s="1"/>
  <c r="BD854" i="1" l="1"/>
  <c r="BQ854" i="1"/>
  <c r="AS853" i="1"/>
  <c r="AT853" i="1"/>
  <c r="AU853" i="1"/>
  <c r="AR854" i="1" a="1"/>
  <c r="AR854" i="1" s="1"/>
  <c r="AV852" i="1"/>
  <c r="AO855" i="1"/>
  <c r="AN855" i="1" s="1"/>
  <c r="BD855" i="1" l="1"/>
  <c r="BQ855" i="1"/>
  <c r="AT854" i="1"/>
  <c r="AS854" i="1"/>
  <c r="AU854" i="1"/>
  <c r="AR855" i="1" a="1"/>
  <c r="AR855" i="1" s="1"/>
  <c r="AV853" i="1"/>
  <c r="AO856" i="1"/>
  <c r="AN856" i="1" s="1"/>
  <c r="BD856" i="1" l="1"/>
  <c r="BQ856" i="1"/>
  <c r="AU855" i="1"/>
  <c r="AT855" i="1"/>
  <c r="AS855" i="1"/>
  <c r="AR856" i="1" a="1"/>
  <c r="AR856" i="1" s="1"/>
  <c r="AV854" i="1"/>
  <c r="AO857" i="1"/>
  <c r="AN857" i="1" s="1"/>
  <c r="BD857" i="1" l="1"/>
  <c r="BQ857" i="1"/>
  <c r="AS856" i="1"/>
  <c r="AT856" i="1"/>
  <c r="AU856" i="1"/>
  <c r="AR857" i="1" a="1"/>
  <c r="AR857" i="1" s="1"/>
  <c r="AV855" i="1"/>
  <c r="AO858" i="1"/>
  <c r="AN858" i="1" s="1"/>
  <c r="BD858" i="1" l="1"/>
  <c r="BQ858" i="1"/>
  <c r="AS857" i="1"/>
  <c r="AU857" i="1"/>
  <c r="AT857" i="1"/>
  <c r="AR858" i="1" a="1"/>
  <c r="AR858" i="1" s="1"/>
  <c r="AV856" i="1"/>
  <c r="AO859" i="1"/>
  <c r="AN859" i="1" s="1"/>
  <c r="BD859" i="1" l="1"/>
  <c r="BQ859" i="1"/>
  <c r="AT858" i="1"/>
  <c r="AS858" i="1"/>
  <c r="AU858" i="1"/>
  <c r="AR859" i="1" a="1"/>
  <c r="AR859" i="1" s="1"/>
  <c r="AV857" i="1"/>
  <c r="AO860" i="1"/>
  <c r="AN860" i="1" s="1"/>
  <c r="BD860" i="1" l="1"/>
  <c r="BQ860" i="1"/>
  <c r="AU859" i="1"/>
  <c r="AT859" i="1"/>
  <c r="AS859" i="1"/>
  <c r="AR860" i="1" a="1"/>
  <c r="AR860" i="1" s="1"/>
  <c r="AV858" i="1"/>
  <c r="AO861" i="1"/>
  <c r="AN861" i="1" s="1"/>
  <c r="BD861" i="1" l="1"/>
  <c r="BQ861" i="1"/>
  <c r="AS860" i="1"/>
  <c r="AT860" i="1"/>
  <c r="AU860" i="1"/>
  <c r="AR861" i="1" a="1"/>
  <c r="AR861" i="1" s="1"/>
  <c r="AV859" i="1"/>
  <c r="AO862" i="1"/>
  <c r="AN862" i="1" s="1"/>
  <c r="BD862" i="1" l="1"/>
  <c r="BQ862" i="1"/>
  <c r="AS861" i="1"/>
  <c r="AT861" i="1"/>
  <c r="AU861" i="1"/>
  <c r="AR862" i="1" a="1"/>
  <c r="AR862" i="1" s="1"/>
  <c r="AV860" i="1"/>
  <c r="AO863" i="1"/>
  <c r="AN863" i="1" s="1"/>
  <c r="BD863" i="1" l="1"/>
  <c r="BQ863" i="1"/>
  <c r="AT862" i="1"/>
  <c r="AU862" i="1"/>
  <c r="AS862" i="1"/>
  <c r="AR863" i="1" a="1"/>
  <c r="AR863" i="1" s="1"/>
  <c r="AV861" i="1"/>
  <c r="AO864" i="1"/>
  <c r="AN864" i="1" s="1"/>
  <c r="BD864" i="1" l="1"/>
  <c r="BQ864" i="1"/>
  <c r="AU863" i="1"/>
  <c r="AS863" i="1"/>
  <c r="AT863" i="1"/>
  <c r="AR864" i="1" a="1"/>
  <c r="AR864" i="1" s="1"/>
  <c r="AV862" i="1"/>
  <c r="AO865" i="1"/>
  <c r="AN865" i="1" s="1"/>
  <c r="BD865" i="1" l="1"/>
  <c r="BQ865" i="1"/>
  <c r="AU864" i="1"/>
  <c r="AS864" i="1"/>
  <c r="AT864" i="1"/>
  <c r="AR865" i="1" a="1"/>
  <c r="AR865" i="1" s="1"/>
  <c r="AV863" i="1"/>
  <c r="AO866" i="1"/>
  <c r="AN866" i="1" s="1"/>
  <c r="BD866" i="1" l="1"/>
  <c r="BQ866" i="1"/>
  <c r="AS865" i="1"/>
  <c r="AT865" i="1"/>
  <c r="AU865" i="1"/>
  <c r="AR866" i="1" a="1"/>
  <c r="AR866" i="1" s="1"/>
  <c r="AV864" i="1"/>
  <c r="AO867" i="1"/>
  <c r="AN867" i="1" s="1"/>
  <c r="BD867" i="1" l="1"/>
  <c r="BQ867" i="1"/>
  <c r="AT866" i="1"/>
  <c r="AU866" i="1"/>
  <c r="AS866" i="1"/>
  <c r="AR867" i="1" a="1"/>
  <c r="AR867" i="1" s="1"/>
  <c r="AV865" i="1"/>
  <c r="AO868" i="1"/>
  <c r="AN868" i="1" s="1"/>
  <c r="BD868" i="1" l="1"/>
  <c r="BQ868" i="1"/>
  <c r="AU867" i="1"/>
  <c r="AS867" i="1"/>
  <c r="AT867" i="1"/>
  <c r="AR868" i="1" a="1"/>
  <c r="AR868" i="1" s="1"/>
  <c r="AV866" i="1"/>
  <c r="AO869" i="1"/>
  <c r="AN869" i="1" s="1"/>
  <c r="BD869" i="1" l="1"/>
  <c r="BQ869" i="1"/>
  <c r="AT868" i="1"/>
  <c r="AU868" i="1"/>
  <c r="AS868" i="1"/>
  <c r="AR869" i="1" a="1"/>
  <c r="AR869" i="1" s="1"/>
  <c r="AV867" i="1"/>
  <c r="AO870" i="1"/>
  <c r="AN870" i="1" s="1"/>
  <c r="BD870" i="1" l="1"/>
  <c r="BQ870" i="1"/>
  <c r="AS869" i="1"/>
  <c r="AU869" i="1"/>
  <c r="AT869" i="1"/>
  <c r="AR870" i="1" a="1"/>
  <c r="AR870" i="1" s="1"/>
  <c r="AV868" i="1"/>
  <c r="AO871" i="1"/>
  <c r="AN871" i="1" s="1"/>
  <c r="BD871" i="1" l="1"/>
  <c r="BQ871" i="1"/>
  <c r="AT870" i="1"/>
  <c r="AS870" i="1"/>
  <c r="AU870" i="1"/>
  <c r="AR871" i="1" a="1"/>
  <c r="AR871" i="1" s="1"/>
  <c r="AV869" i="1"/>
  <c r="AO872" i="1"/>
  <c r="AN872" i="1" s="1"/>
  <c r="BD872" i="1" l="1"/>
  <c r="BQ872" i="1"/>
  <c r="AU871" i="1"/>
  <c r="AS871" i="1"/>
  <c r="AT871" i="1"/>
  <c r="AR872" i="1" a="1"/>
  <c r="AR872" i="1" s="1"/>
  <c r="AV870" i="1"/>
  <c r="AO873" i="1"/>
  <c r="AN873" i="1" s="1"/>
  <c r="BD873" i="1" l="1"/>
  <c r="BQ873" i="1"/>
  <c r="AS872" i="1"/>
  <c r="AT872" i="1"/>
  <c r="AU872" i="1"/>
  <c r="AR873" i="1" a="1"/>
  <c r="AR873" i="1" s="1"/>
  <c r="AV871" i="1"/>
  <c r="AO874" i="1"/>
  <c r="AN874" i="1" s="1"/>
  <c r="BD874" i="1" l="1"/>
  <c r="BQ874" i="1"/>
  <c r="AS873" i="1"/>
  <c r="AU873" i="1"/>
  <c r="AT873" i="1"/>
  <c r="AR874" i="1" a="1"/>
  <c r="AR874" i="1" s="1"/>
  <c r="AV872" i="1"/>
  <c r="AO875" i="1"/>
  <c r="AN875" i="1" s="1"/>
  <c r="BD875" i="1" l="1"/>
  <c r="BQ875" i="1"/>
  <c r="AT874" i="1"/>
  <c r="AS874" i="1"/>
  <c r="AU874" i="1"/>
  <c r="AR875" i="1" a="1"/>
  <c r="AR875" i="1" s="1"/>
  <c r="AV873" i="1"/>
  <c r="AO876" i="1"/>
  <c r="AN876" i="1" s="1"/>
  <c r="BD876" i="1" l="1"/>
  <c r="BQ876" i="1"/>
  <c r="AU875" i="1"/>
  <c r="AT875" i="1"/>
  <c r="AS875" i="1"/>
  <c r="AR876" i="1" a="1"/>
  <c r="AR876" i="1" s="1"/>
  <c r="AV874" i="1"/>
  <c r="AO877" i="1"/>
  <c r="AN877" i="1" s="1"/>
  <c r="BD877" i="1" l="1"/>
  <c r="BQ877" i="1"/>
  <c r="AS876" i="1"/>
  <c r="AU876" i="1"/>
  <c r="AT876" i="1"/>
  <c r="AR877" i="1" a="1"/>
  <c r="AR877" i="1" s="1"/>
  <c r="AV875" i="1"/>
  <c r="AO878" i="1"/>
  <c r="AN878" i="1" s="1"/>
  <c r="BD878" i="1" l="1"/>
  <c r="BQ878" i="1"/>
  <c r="AS877" i="1"/>
  <c r="AT877" i="1"/>
  <c r="AU877" i="1"/>
  <c r="AR878" i="1" a="1"/>
  <c r="AR878" i="1" s="1"/>
  <c r="AV876" i="1"/>
  <c r="AO879" i="1"/>
  <c r="AN879" i="1" s="1"/>
  <c r="BD879" i="1" l="1"/>
  <c r="BQ879" i="1"/>
  <c r="AT878" i="1"/>
  <c r="AS878" i="1"/>
  <c r="AU878" i="1"/>
  <c r="AR879" i="1" a="1"/>
  <c r="AR879" i="1" s="1"/>
  <c r="AV877" i="1"/>
  <c r="AO880" i="1"/>
  <c r="AN880" i="1" s="1"/>
  <c r="BD880" i="1" l="1"/>
  <c r="BQ880" i="1"/>
  <c r="AU879" i="1"/>
  <c r="AS879" i="1"/>
  <c r="AT879" i="1"/>
  <c r="AR880" i="1" a="1"/>
  <c r="AR880" i="1" s="1"/>
  <c r="AV878" i="1"/>
  <c r="AO881" i="1"/>
  <c r="AN881" i="1" s="1"/>
  <c r="BD881" i="1" l="1"/>
  <c r="BQ881" i="1"/>
  <c r="AU880" i="1"/>
  <c r="AS880" i="1"/>
  <c r="AT880" i="1"/>
  <c r="AR881" i="1" a="1"/>
  <c r="AR881" i="1" s="1"/>
  <c r="AV879" i="1"/>
  <c r="AO882" i="1"/>
  <c r="AN882" i="1" s="1"/>
  <c r="BD882" i="1" l="1"/>
  <c r="BQ882" i="1"/>
  <c r="AS881" i="1"/>
  <c r="AT881" i="1"/>
  <c r="AU881" i="1"/>
  <c r="AR882" i="1" a="1"/>
  <c r="AR882" i="1" s="1"/>
  <c r="AV880" i="1"/>
  <c r="AO883" i="1"/>
  <c r="AN883" i="1" s="1"/>
  <c r="BD883" i="1" l="1"/>
  <c r="BQ883" i="1"/>
  <c r="AT882" i="1"/>
  <c r="AU882" i="1"/>
  <c r="AS882" i="1"/>
  <c r="AR883" i="1" a="1"/>
  <c r="AR883" i="1" s="1"/>
  <c r="AV881" i="1"/>
  <c r="AO884" i="1"/>
  <c r="AN884" i="1" s="1"/>
  <c r="BD884" i="1" l="1"/>
  <c r="BQ884" i="1"/>
  <c r="AU883" i="1"/>
  <c r="AS883" i="1"/>
  <c r="AT883" i="1"/>
  <c r="AR884" i="1" a="1"/>
  <c r="AR884" i="1" s="1"/>
  <c r="AV882" i="1"/>
  <c r="AO885" i="1"/>
  <c r="AN885" i="1" s="1"/>
  <c r="BD885" i="1" l="1"/>
  <c r="BQ885" i="1"/>
  <c r="AT884" i="1"/>
  <c r="AU884" i="1"/>
  <c r="AS884" i="1"/>
  <c r="AR885" i="1" a="1"/>
  <c r="AR885" i="1" s="1"/>
  <c r="AV883" i="1"/>
  <c r="AO886" i="1"/>
  <c r="AN886" i="1" s="1"/>
  <c r="BD886" i="1" l="1"/>
  <c r="BQ886" i="1"/>
  <c r="AS885" i="1"/>
  <c r="AT885" i="1"/>
  <c r="AU885" i="1"/>
  <c r="AR886" i="1" a="1"/>
  <c r="AR886" i="1" s="1"/>
  <c r="AV884" i="1"/>
  <c r="AO887" i="1"/>
  <c r="AN887" i="1" s="1"/>
  <c r="BD887" i="1" l="1"/>
  <c r="BQ887" i="1"/>
  <c r="AT886" i="1"/>
  <c r="AS886" i="1"/>
  <c r="AU886" i="1"/>
  <c r="AR887" i="1" a="1"/>
  <c r="AR887" i="1" s="1"/>
  <c r="AV885" i="1"/>
  <c r="AO888" i="1"/>
  <c r="AN888" i="1" s="1"/>
  <c r="BD888" i="1" l="1"/>
  <c r="BQ888" i="1"/>
  <c r="AU887" i="1"/>
  <c r="AS887" i="1"/>
  <c r="AT887" i="1"/>
  <c r="AR888" i="1" a="1"/>
  <c r="AR888" i="1" s="1"/>
  <c r="AV886" i="1"/>
  <c r="AO889" i="1"/>
  <c r="AN889" i="1" s="1"/>
  <c r="BD889" i="1" l="1"/>
  <c r="BQ889" i="1"/>
  <c r="AS888" i="1"/>
  <c r="AT888" i="1"/>
  <c r="AU888" i="1"/>
  <c r="AR889" i="1" a="1"/>
  <c r="AR889" i="1" s="1"/>
  <c r="AV887" i="1"/>
  <c r="AO890" i="1"/>
  <c r="AN890" i="1" s="1"/>
  <c r="BD890" i="1" l="1"/>
  <c r="BQ890" i="1"/>
  <c r="AS889" i="1"/>
  <c r="AU889" i="1"/>
  <c r="AT889" i="1"/>
  <c r="AR890" i="1" a="1"/>
  <c r="AR890" i="1" s="1"/>
  <c r="AV888" i="1"/>
  <c r="AO891" i="1"/>
  <c r="AN891" i="1" s="1"/>
  <c r="BD891" i="1" l="1"/>
  <c r="BQ891" i="1"/>
  <c r="AS890" i="1"/>
  <c r="AU890" i="1"/>
  <c r="AT890" i="1"/>
  <c r="AR891" i="1" a="1"/>
  <c r="AR891" i="1" s="1"/>
  <c r="AV889" i="1"/>
  <c r="AO892" i="1"/>
  <c r="AN892" i="1" s="1"/>
  <c r="BD892" i="1" l="1"/>
  <c r="BQ892" i="1"/>
  <c r="AS891" i="1"/>
  <c r="AT891" i="1"/>
  <c r="AU891" i="1"/>
  <c r="AR892" i="1" a="1"/>
  <c r="AR892" i="1" s="1"/>
  <c r="AV890" i="1"/>
  <c r="AO893" i="1"/>
  <c r="AN893" i="1" s="1"/>
  <c r="BD893" i="1" l="1"/>
  <c r="BQ893" i="1"/>
  <c r="AT892" i="1"/>
  <c r="AU892" i="1"/>
  <c r="AS892" i="1"/>
  <c r="AR893" i="1" a="1"/>
  <c r="AR893" i="1" s="1"/>
  <c r="AV891" i="1"/>
  <c r="AO894" i="1"/>
  <c r="AN894" i="1" s="1"/>
  <c r="BD894" i="1" l="1"/>
  <c r="BQ894" i="1"/>
  <c r="AU893" i="1"/>
  <c r="AS893" i="1"/>
  <c r="AT893" i="1"/>
  <c r="AR894" i="1" a="1"/>
  <c r="AR894" i="1" s="1"/>
  <c r="AV892" i="1"/>
  <c r="AO895" i="1"/>
  <c r="AN895" i="1" s="1"/>
  <c r="BD895" i="1" l="1"/>
  <c r="BQ895" i="1"/>
  <c r="AS894" i="1"/>
  <c r="AT894" i="1"/>
  <c r="AU894" i="1"/>
  <c r="AR895" i="1" a="1"/>
  <c r="AR895" i="1" s="1"/>
  <c r="AV893" i="1"/>
  <c r="AO896" i="1"/>
  <c r="AN896" i="1" s="1"/>
  <c r="BD896" i="1" l="1"/>
  <c r="BQ896" i="1"/>
  <c r="AS895" i="1"/>
  <c r="AT895" i="1"/>
  <c r="AU895" i="1"/>
  <c r="AR896" i="1" a="1"/>
  <c r="AR896" i="1" s="1"/>
  <c r="AV894" i="1"/>
  <c r="AO897" i="1"/>
  <c r="AN897" i="1" s="1"/>
  <c r="BD897" i="1" l="1"/>
  <c r="BQ897" i="1"/>
  <c r="AT896" i="1"/>
  <c r="AU896" i="1"/>
  <c r="AS896" i="1"/>
  <c r="AR897" i="1" a="1"/>
  <c r="AR897" i="1" s="1"/>
  <c r="AV895" i="1"/>
  <c r="AO898" i="1"/>
  <c r="AN898" i="1" s="1"/>
  <c r="BD898" i="1" l="1"/>
  <c r="BQ898" i="1"/>
  <c r="AU897" i="1"/>
  <c r="AS897" i="1"/>
  <c r="AT897" i="1"/>
  <c r="AR898" i="1" a="1"/>
  <c r="AR898" i="1" s="1"/>
  <c r="AV896" i="1"/>
  <c r="AO899" i="1"/>
  <c r="AN899" i="1" s="1"/>
  <c r="BD899" i="1" l="1"/>
  <c r="BQ899" i="1"/>
  <c r="AS898" i="1"/>
  <c r="AT898" i="1"/>
  <c r="AU898" i="1"/>
  <c r="AR899" i="1" a="1"/>
  <c r="AR899" i="1" s="1"/>
  <c r="AV897" i="1"/>
  <c r="AO900" i="1"/>
  <c r="AN900" i="1" s="1"/>
  <c r="BD900" i="1" l="1"/>
  <c r="BQ900" i="1"/>
  <c r="AS899" i="1"/>
  <c r="AT899" i="1"/>
  <c r="AU899" i="1"/>
  <c r="AR900" i="1" a="1"/>
  <c r="AR900" i="1" s="1"/>
  <c r="AV898" i="1"/>
  <c r="AO901" i="1"/>
  <c r="AN901" i="1" s="1"/>
  <c r="BD901" i="1" l="1"/>
  <c r="BQ901" i="1"/>
  <c r="AT900" i="1"/>
  <c r="AU900" i="1"/>
  <c r="AS900" i="1"/>
  <c r="AR901" i="1" a="1"/>
  <c r="AR901" i="1" s="1"/>
  <c r="AV899" i="1"/>
  <c r="AO902" i="1"/>
  <c r="AN902" i="1" s="1"/>
  <c r="BD902" i="1" l="1"/>
  <c r="BQ902" i="1"/>
  <c r="AU901" i="1"/>
  <c r="AT901" i="1"/>
  <c r="AS901" i="1"/>
  <c r="AR902" i="1" a="1"/>
  <c r="AR902" i="1" s="1"/>
  <c r="AV900" i="1"/>
  <c r="AO903" i="1"/>
  <c r="AN903" i="1" s="1"/>
  <c r="BD903" i="1" l="1"/>
  <c r="BQ903" i="1"/>
  <c r="AS902" i="1"/>
  <c r="AT902" i="1"/>
  <c r="AU902" i="1"/>
  <c r="AR903" i="1" a="1"/>
  <c r="AR903" i="1" s="1"/>
  <c r="AV901" i="1"/>
  <c r="AO904" i="1"/>
  <c r="AN904" i="1" s="1"/>
  <c r="BD904" i="1" l="1"/>
  <c r="BQ904" i="1"/>
  <c r="AS903" i="1"/>
  <c r="AT903" i="1"/>
  <c r="AU903" i="1"/>
  <c r="AR904" i="1" a="1"/>
  <c r="AR904" i="1" s="1"/>
  <c r="AV902" i="1"/>
  <c r="AO905" i="1"/>
  <c r="AN905" i="1" s="1"/>
  <c r="BD905" i="1" l="1"/>
  <c r="BQ905" i="1"/>
  <c r="AT904" i="1"/>
  <c r="AU904" i="1"/>
  <c r="AS904" i="1"/>
  <c r="AR905" i="1" a="1"/>
  <c r="AR905" i="1" s="1"/>
  <c r="AV903" i="1"/>
  <c r="AO906" i="1"/>
  <c r="AN906" i="1" s="1"/>
  <c r="BD906" i="1" l="1"/>
  <c r="BQ906" i="1"/>
  <c r="AU905" i="1"/>
  <c r="AS905" i="1"/>
  <c r="AT905" i="1"/>
  <c r="AR906" i="1" a="1"/>
  <c r="AR906" i="1" s="1"/>
  <c r="AV904" i="1"/>
  <c r="AO907" i="1"/>
  <c r="AN907" i="1" s="1"/>
  <c r="BD907" i="1" l="1"/>
  <c r="BQ907" i="1"/>
  <c r="AS906" i="1"/>
  <c r="AU906" i="1"/>
  <c r="AT906" i="1"/>
  <c r="AR907" i="1" a="1"/>
  <c r="AR907" i="1" s="1"/>
  <c r="AV905" i="1"/>
  <c r="AO908" i="1"/>
  <c r="AN908" i="1" s="1"/>
  <c r="BD908" i="1" l="1"/>
  <c r="BQ908" i="1"/>
  <c r="AS907" i="1"/>
  <c r="AT907" i="1"/>
  <c r="AU907" i="1"/>
  <c r="AR908" i="1" a="1"/>
  <c r="AR908" i="1" s="1"/>
  <c r="AV906" i="1"/>
  <c r="AO909" i="1"/>
  <c r="AN909" i="1" s="1"/>
  <c r="BD909" i="1" l="1"/>
  <c r="BQ909" i="1"/>
  <c r="AT908" i="1"/>
  <c r="AU908" i="1"/>
  <c r="AS908" i="1"/>
  <c r="AR909" i="1" a="1"/>
  <c r="AR909" i="1" s="1"/>
  <c r="AV907" i="1"/>
  <c r="AO910" i="1"/>
  <c r="AN910" i="1" s="1"/>
  <c r="BD910" i="1" l="1"/>
  <c r="BQ910" i="1"/>
  <c r="AU909" i="1"/>
  <c r="AS909" i="1"/>
  <c r="AT909" i="1"/>
  <c r="AR910" i="1" a="1"/>
  <c r="AR910" i="1" s="1"/>
  <c r="AV908" i="1"/>
  <c r="AO911" i="1"/>
  <c r="AN911" i="1" s="1"/>
  <c r="BD911" i="1" l="1"/>
  <c r="BQ911" i="1"/>
  <c r="AS910" i="1"/>
  <c r="AT910" i="1"/>
  <c r="AU910" i="1"/>
  <c r="AR911" i="1" a="1"/>
  <c r="AR911" i="1" s="1"/>
  <c r="AV909" i="1"/>
  <c r="AO912" i="1"/>
  <c r="AN912" i="1" s="1"/>
  <c r="BD912" i="1" l="1"/>
  <c r="BQ912" i="1"/>
  <c r="AS911" i="1"/>
  <c r="AT911" i="1"/>
  <c r="AU911" i="1"/>
  <c r="AR912" i="1" a="1"/>
  <c r="AR912" i="1" s="1"/>
  <c r="AV910" i="1"/>
  <c r="AO913" i="1"/>
  <c r="AN913" i="1" s="1"/>
  <c r="BD913" i="1" l="1"/>
  <c r="BQ913" i="1"/>
  <c r="AT912" i="1"/>
  <c r="AU912" i="1"/>
  <c r="AS912" i="1"/>
  <c r="AR913" i="1" a="1"/>
  <c r="AR913" i="1" s="1"/>
  <c r="AV911" i="1"/>
  <c r="AO914" i="1"/>
  <c r="AN914" i="1" s="1"/>
  <c r="BD914" i="1" l="1"/>
  <c r="BQ914" i="1"/>
  <c r="AU913" i="1"/>
  <c r="AS913" i="1"/>
  <c r="AT913" i="1"/>
  <c r="AR914" i="1" a="1"/>
  <c r="AR914" i="1" s="1"/>
  <c r="AV912" i="1"/>
  <c r="AO915" i="1"/>
  <c r="AN915" i="1" s="1"/>
  <c r="BD915" i="1" l="1"/>
  <c r="BQ915" i="1"/>
  <c r="AS914" i="1"/>
  <c r="AT914" i="1"/>
  <c r="AU914" i="1"/>
  <c r="AR915" i="1" a="1"/>
  <c r="AR915" i="1" s="1"/>
  <c r="AV913" i="1"/>
  <c r="AO916" i="1"/>
  <c r="AN916" i="1" s="1"/>
  <c r="BD916" i="1" l="1"/>
  <c r="BQ916" i="1"/>
  <c r="AS915" i="1"/>
  <c r="AT915" i="1"/>
  <c r="AU915" i="1"/>
  <c r="AR916" i="1" a="1"/>
  <c r="AR916" i="1" s="1"/>
  <c r="AV914" i="1"/>
  <c r="AO917" i="1"/>
  <c r="AN917" i="1" s="1"/>
  <c r="BD917" i="1" l="1"/>
  <c r="BQ917" i="1"/>
  <c r="AT916" i="1"/>
  <c r="AU916" i="1"/>
  <c r="AS916" i="1"/>
  <c r="AR917" i="1" a="1"/>
  <c r="AR917" i="1" s="1"/>
  <c r="AV915" i="1"/>
  <c r="AO918" i="1"/>
  <c r="AN918" i="1" s="1"/>
  <c r="BD918" i="1" l="1"/>
  <c r="BQ918" i="1"/>
  <c r="AU917" i="1"/>
  <c r="AS917" i="1"/>
  <c r="AT917" i="1"/>
  <c r="AR918" i="1" a="1"/>
  <c r="AR918" i="1" s="1"/>
  <c r="AV916" i="1"/>
  <c r="AO919" i="1"/>
  <c r="AN919" i="1" s="1"/>
  <c r="BD919" i="1" l="1"/>
  <c r="BQ919" i="1"/>
  <c r="AS918" i="1"/>
  <c r="AT918" i="1"/>
  <c r="AU918" i="1"/>
  <c r="AR919" i="1" a="1"/>
  <c r="AR919" i="1" s="1"/>
  <c r="AV917" i="1"/>
  <c r="AO920" i="1"/>
  <c r="AN920" i="1" s="1"/>
  <c r="BD920" i="1" l="1"/>
  <c r="BQ920" i="1"/>
  <c r="AS919" i="1"/>
  <c r="AT919" i="1"/>
  <c r="AU919" i="1"/>
  <c r="AR920" i="1" a="1"/>
  <c r="AR920" i="1" s="1"/>
  <c r="AV918" i="1"/>
  <c r="AO921" i="1"/>
  <c r="AN921" i="1" s="1"/>
  <c r="BD921" i="1" l="1"/>
  <c r="BQ921" i="1"/>
  <c r="AT920" i="1"/>
  <c r="AU920" i="1"/>
  <c r="AS920" i="1"/>
  <c r="AR921" i="1" a="1"/>
  <c r="AR921" i="1" s="1"/>
  <c r="AV919" i="1"/>
  <c r="AO922" i="1"/>
  <c r="AN922" i="1" s="1"/>
  <c r="BD922" i="1" l="1"/>
  <c r="BQ922" i="1"/>
  <c r="AU921" i="1"/>
  <c r="AS921" i="1"/>
  <c r="AT921" i="1"/>
  <c r="AR922" i="1" a="1"/>
  <c r="AR922" i="1" s="1"/>
  <c r="AV920" i="1"/>
  <c r="AO923" i="1"/>
  <c r="AN923" i="1" s="1"/>
  <c r="BD923" i="1" l="1"/>
  <c r="BQ923" i="1"/>
  <c r="AS922" i="1"/>
  <c r="AT922" i="1"/>
  <c r="AU922" i="1"/>
  <c r="AR923" i="1" a="1"/>
  <c r="AR923" i="1" s="1"/>
  <c r="AV921" i="1"/>
  <c r="AO924" i="1"/>
  <c r="AN924" i="1" s="1"/>
  <c r="BD924" i="1" l="1"/>
  <c r="BQ924" i="1"/>
  <c r="AS923" i="1"/>
  <c r="AT923" i="1"/>
  <c r="AU923" i="1"/>
  <c r="AR924" i="1" a="1"/>
  <c r="AR924" i="1" s="1"/>
  <c r="AV922" i="1"/>
  <c r="AO925" i="1"/>
  <c r="AN925" i="1" s="1"/>
  <c r="BD925" i="1" l="1"/>
  <c r="BQ925" i="1"/>
  <c r="AT924" i="1"/>
  <c r="AU924" i="1"/>
  <c r="AS924" i="1"/>
  <c r="AR925" i="1" a="1"/>
  <c r="AR925" i="1" s="1"/>
  <c r="AV923" i="1"/>
  <c r="AO926" i="1"/>
  <c r="AN926" i="1" s="1"/>
  <c r="BD926" i="1" l="1"/>
  <c r="BQ926" i="1"/>
  <c r="AU925" i="1"/>
  <c r="AT925" i="1"/>
  <c r="AS925" i="1"/>
  <c r="AR926" i="1" a="1"/>
  <c r="AR926" i="1" s="1"/>
  <c r="AV924" i="1"/>
  <c r="AO927" i="1"/>
  <c r="AN927" i="1" s="1"/>
  <c r="BD927" i="1" l="1"/>
  <c r="BQ927" i="1"/>
  <c r="AS926" i="1"/>
  <c r="AT926" i="1"/>
  <c r="AU926" i="1"/>
  <c r="AR927" i="1" a="1"/>
  <c r="AR927" i="1" s="1"/>
  <c r="AV925" i="1"/>
  <c r="AO928" i="1"/>
  <c r="AN928" i="1" s="1"/>
  <c r="BD928" i="1" l="1"/>
  <c r="BQ928" i="1"/>
  <c r="AS927" i="1"/>
  <c r="AT927" i="1"/>
  <c r="AU927" i="1"/>
  <c r="AR928" i="1" a="1"/>
  <c r="AR928" i="1" s="1"/>
  <c r="AV926" i="1"/>
  <c r="AO929" i="1"/>
  <c r="AN929" i="1" s="1"/>
  <c r="BD929" i="1" l="1"/>
  <c r="BQ929" i="1"/>
  <c r="AT928" i="1"/>
  <c r="AU928" i="1"/>
  <c r="AS928" i="1"/>
  <c r="AR929" i="1" a="1"/>
  <c r="AR929" i="1" s="1"/>
  <c r="AV927" i="1"/>
  <c r="AO930" i="1"/>
  <c r="AN930" i="1" s="1"/>
  <c r="BD930" i="1" l="1"/>
  <c r="BQ930" i="1"/>
  <c r="AU929" i="1"/>
  <c r="AS929" i="1"/>
  <c r="AT929" i="1"/>
  <c r="AR930" i="1" a="1"/>
  <c r="AR930" i="1" s="1"/>
  <c r="AV928" i="1"/>
  <c r="AO931" i="1"/>
  <c r="AN931" i="1" s="1"/>
  <c r="BD931" i="1" l="1"/>
  <c r="BQ931" i="1"/>
  <c r="AS930" i="1"/>
  <c r="AU930" i="1"/>
  <c r="AT930" i="1"/>
  <c r="AR931" i="1" a="1"/>
  <c r="AR931" i="1" s="1"/>
  <c r="AV929" i="1"/>
  <c r="AO932" i="1"/>
  <c r="AN932" i="1" s="1"/>
  <c r="BD932" i="1" l="1"/>
  <c r="BQ932" i="1"/>
  <c r="AS931" i="1"/>
  <c r="AT931" i="1"/>
  <c r="AU931" i="1"/>
  <c r="AR932" i="1" a="1"/>
  <c r="AR932" i="1" s="1"/>
  <c r="AV930" i="1"/>
  <c r="AO933" i="1"/>
  <c r="AN933" i="1" s="1"/>
  <c r="BD933" i="1" l="1"/>
  <c r="BQ933" i="1"/>
  <c r="AT932" i="1"/>
  <c r="AU932" i="1"/>
  <c r="AS932" i="1"/>
  <c r="AR933" i="1" a="1"/>
  <c r="AR933" i="1" s="1"/>
  <c r="AV931" i="1"/>
  <c r="AO934" i="1"/>
  <c r="AN934" i="1" s="1"/>
  <c r="BD934" i="1" l="1"/>
  <c r="BQ934" i="1"/>
  <c r="AU933" i="1"/>
  <c r="AS933" i="1"/>
  <c r="AT933" i="1"/>
  <c r="AR934" i="1" a="1"/>
  <c r="AR934" i="1" s="1"/>
  <c r="AV932" i="1"/>
  <c r="AO935" i="1"/>
  <c r="AN935" i="1" s="1"/>
  <c r="BD935" i="1" l="1"/>
  <c r="BQ935" i="1"/>
  <c r="AS934" i="1"/>
  <c r="AT934" i="1"/>
  <c r="AU934" i="1"/>
  <c r="AR935" i="1" a="1"/>
  <c r="AR935" i="1" s="1"/>
  <c r="AV933" i="1"/>
  <c r="AO936" i="1"/>
  <c r="AN936" i="1" s="1"/>
  <c r="BD936" i="1" l="1"/>
  <c r="BQ936" i="1"/>
  <c r="AS935" i="1"/>
  <c r="AT935" i="1"/>
  <c r="AU935" i="1"/>
  <c r="AR936" i="1" a="1"/>
  <c r="AR936" i="1" s="1"/>
  <c r="AV934" i="1"/>
  <c r="AO937" i="1"/>
  <c r="AN937" i="1" s="1"/>
  <c r="BD937" i="1" l="1"/>
  <c r="BQ937" i="1"/>
  <c r="AT936" i="1"/>
  <c r="AU936" i="1"/>
  <c r="AS936" i="1"/>
  <c r="AR937" i="1" a="1"/>
  <c r="AR937" i="1" s="1"/>
  <c r="AV935" i="1"/>
  <c r="AO938" i="1"/>
  <c r="AN938" i="1" s="1"/>
  <c r="BD938" i="1" l="1"/>
  <c r="BQ938" i="1"/>
  <c r="AU937" i="1"/>
  <c r="AS937" i="1"/>
  <c r="AT937" i="1"/>
  <c r="AR938" i="1" a="1"/>
  <c r="AR938" i="1" s="1"/>
  <c r="AV936" i="1"/>
  <c r="AO939" i="1"/>
  <c r="AN939" i="1" s="1"/>
  <c r="BD939" i="1" l="1"/>
  <c r="BQ939" i="1"/>
  <c r="AS938" i="1"/>
  <c r="AU938" i="1"/>
  <c r="AT938" i="1"/>
  <c r="AR939" i="1" a="1"/>
  <c r="AR939" i="1" s="1"/>
  <c r="AV937" i="1"/>
  <c r="AO940" i="1"/>
  <c r="AN940" i="1" s="1"/>
  <c r="BD940" i="1" l="1"/>
  <c r="BQ940" i="1"/>
  <c r="AS939" i="1"/>
  <c r="AT939" i="1"/>
  <c r="AU939" i="1"/>
  <c r="AR940" i="1" a="1"/>
  <c r="AR940" i="1" s="1"/>
  <c r="AV938" i="1"/>
  <c r="AO941" i="1"/>
  <c r="AN941" i="1" s="1"/>
  <c r="BD941" i="1" l="1"/>
  <c r="BQ941" i="1"/>
  <c r="AT940" i="1"/>
  <c r="AU940" i="1"/>
  <c r="AS940" i="1"/>
  <c r="AR941" i="1" a="1"/>
  <c r="AR941" i="1" s="1"/>
  <c r="AV939" i="1"/>
  <c r="AO942" i="1"/>
  <c r="AN942" i="1" s="1"/>
  <c r="BD942" i="1" l="1"/>
  <c r="BQ942" i="1"/>
  <c r="AU941" i="1"/>
  <c r="AS941" i="1"/>
  <c r="AT941" i="1"/>
  <c r="AR942" i="1" a="1"/>
  <c r="AR942" i="1" s="1"/>
  <c r="AV940" i="1"/>
  <c r="AO943" i="1"/>
  <c r="AN943" i="1" s="1"/>
  <c r="BD943" i="1" l="1"/>
  <c r="BQ943" i="1"/>
  <c r="AS942" i="1"/>
  <c r="AT942" i="1"/>
  <c r="AU942" i="1"/>
  <c r="AR943" i="1" a="1"/>
  <c r="AR943" i="1" s="1"/>
  <c r="AV941" i="1"/>
  <c r="AO944" i="1"/>
  <c r="AN944" i="1" s="1"/>
  <c r="BD944" i="1" l="1"/>
  <c r="BQ944" i="1"/>
  <c r="AS943" i="1"/>
  <c r="AT943" i="1"/>
  <c r="AU943" i="1"/>
  <c r="AR944" i="1" a="1"/>
  <c r="AR944" i="1" s="1"/>
  <c r="AV942" i="1"/>
  <c r="AO945" i="1"/>
  <c r="AN945" i="1" s="1"/>
  <c r="BD945" i="1" l="1"/>
  <c r="BQ945" i="1"/>
  <c r="AT944" i="1"/>
  <c r="AU944" i="1"/>
  <c r="AS944" i="1"/>
  <c r="AR945" i="1" a="1"/>
  <c r="AR945" i="1" s="1"/>
  <c r="AV943" i="1"/>
  <c r="AO946" i="1"/>
  <c r="AN946" i="1" s="1"/>
  <c r="BD946" i="1" l="1"/>
  <c r="BQ946" i="1"/>
  <c r="AU945" i="1"/>
  <c r="AS945" i="1"/>
  <c r="AT945" i="1"/>
  <c r="AR946" i="1" a="1"/>
  <c r="AR946" i="1" s="1"/>
  <c r="AV944" i="1"/>
  <c r="AO947" i="1"/>
  <c r="AN947" i="1" s="1"/>
  <c r="BD947" i="1" l="1"/>
  <c r="BQ947" i="1"/>
  <c r="AS946" i="1"/>
  <c r="AT946" i="1"/>
  <c r="AU946" i="1"/>
  <c r="AR947" i="1" a="1"/>
  <c r="AR947" i="1" s="1"/>
  <c r="AV945" i="1"/>
  <c r="AO948" i="1"/>
  <c r="AN948" i="1" s="1"/>
  <c r="BD948" i="1" l="1"/>
  <c r="BQ948" i="1"/>
  <c r="AS947" i="1"/>
  <c r="AT947" i="1"/>
  <c r="AU947" i="1"/>
  <c r="AR948" i="1" a="1"/>
  <c r="AR948" i="1" s="1"/>
  <c r="AV946" i="1"/>
  <c r="AO949" i="1"/>
  <c r="AN949" i="1" s="1"/>
  <c r="BD949" i="1" l="1"/>
  <c r="BQ949" i="1"/>
  <c r="AT948" i="1"/>
  <c r="AU948" i="1"/>
  <c r="AS948" i="1"/>
  <c r="AR949" i="1" a="1"/>
  <c r="AR949" i="1" s="1"/>
  <c r="AV947" i="1"/>
  <c r="AO950" i="1"/>
  <c r="AN950" i="1" s="1"/>
  <c r="BD950" i="1" l="1"/>
  <c r="BQ950" i="1"/>
  <c r="AU949" i="1"/>
  <c r="AT949" i="1"/>
  <c r="AS949" i="1"/>
  <c r="AR950" i="1" a="1"/>
  <c r="AR950" i="1" s="1"/>
  <c r="AV948" i="1"/>
  <c r="AO951" i="1"/>
  <c r="AN951" i="1" s="1"/>
  <c r="BD951" i="1" l="1"/>
  <c r="BQ951" i="1"/>
  <c r="AS950" i="1"/>
  <c r="AT950" i="1"/>
  <c r="AU950" i="1"/>
  <c r="AR951" i="1" a="1"/>
  <c r="AR951" i="1" s="1"/>
  <c r="AV949" i="1"/>
  <c r="AO952" i="1"/>
  <c r="AN952" i="1" s="1"/>
  <c r="BD952" i="1" l="1"/>
  <c r="BQ952" i="1"/>
  <c r="AS951" i="1"/>
  <c r="AT951" i="1"/>
  <c r="AU951" i="1"/>
  <c r="AR952" i="1" a="1"/>
  <c r="AR952" i="1" s="1"/>
  <c r="AV950" i="1"/>
  <c r="AO953" i="1"/>
  <c r="AN953" i="1" s="1"/>
  <c r="BD953" i="1" l="1"/>
  <c r="BQ953" i="1"/>
  <c r="AT952" i="1"/>
  <c r="AU952" i="1"/>
  <c r="AS952" i="1"/>
  <c r="AR953" i="1" a="1"/>
  <c r="AR953" i="1" s="1"/>
  <c r="AV951" i="1"/>
  <c r="AO954" i="1"/>
  <c r="AN954" i="1" s="1"/>
  <c r="BD954" i="1" l="1"/>
  <c r="BQ954" i="1"/>
  <c r="AU953" i="1"/>
  <c r="AS953" i="1"/>
  <c r="AT953" i="1"/>
  <c r="AR954" i="1" a="1"/>
  <c r="AR954" i="1" s="1"/>
  <c r="AV952" i="1"/>
  <c r="AO955" i="1"/>
  <c r="AN955" i="1" s="1"/>
  <c r="BD955" i="1" l="1"/>
  <c r="BQ955" i="1"/>
  <c r="AS954" i="1"/>
  <c r="AT954" i="1"/>
  <c r="AU954" i="1"/>
  <c r="AR955" i="1" a="1"/>
  <c r="AR955" i="1" s="1"/>
  <c r="AV953" i="1"/>
  <c r="AO956" i="1"/>
  <c r="AN956" i="1" s="1"/>
  <c r="BD956" i="1" l="1"/>
  <c r="BQ956" i="1"/>
  <c r="AS955" i="1"/>
  <c r="AT955" i="1"/>
  <c r="AU955" i="1"/>
  <c r="AR956" i="1" a="1"/>
  <c r="AR956" i="1" s="1"/>
  <c r="AV954" i="1"/>
  <c r="AO957" i="1"/>
  <c r="AN957" i="1" s="1"/>
  <c r="BD957" i="1" l="1"/>
  <c r="BQ957" i="1"/>
  <c r="AT956" i="1"/>
  <c r="AU956" i="1"/>
  <c r="AS956" i="1"/>
  <c r="AR957" i="1" a="1"/>
  <c r="AR957" i="1" s="1"/>
  <c r="AV955" i="1"/>
  <c r="AO958" i="1"/>
  <c r="AN958" i="1" s="1"/>
  <c r="BD958" i="1" l="1"/>
  <c r="BQ958" i="1"/>
  <c r="AU957" i="1"/>
  <c r="AT957" i="1"/>
  <c r="AS957" i="1"/>
  <c r="AR958" i="1" a="1"/>
  <c r="AR958" i="1" s="1"/>
  <c r="AV956" i="1"/>
  <c r="AO959" i="1"/>
  <c r="AN959" i="1" s="1"/>
  <c r="BD959" i="1" l="1"/>
  <c r="BQ959" i="1"/>
  <c r="AS958" i="1"/>
  <c r="AT958" i="1"/>
  <c r="AU958" i="1"/>
  <c r="AR959" i="1" a="1"/>
  <c r="AR959" i="1" s="1"/>
  <c r="AV957" i="1"/>
  <c r="AO960" i="1"/>
  <c r="AN960" i="1" s="1"/>
  <c r="BD960" i="1" l="1"/>
  <c r="BQ960" i="1"/>
  <c r="AS959" i="1"/>
  <c r="AT959" i="1"/>
  <c r="AU959" i="1"/>
  <c r="AR960" i="1" a="1"/>
  <c r="AR960" i="1" s="1"/>
  <c r="AV958" i="1"/>
  <c r="AO961" i="1"/>
  <c r="AN961" i="1" s="1"/>
  <c r="BD961" i="1" l="1"/>
  <c r="BQ961" i="1"/>
  <c r="AT960" i="1"/>
  <c r="AU960" i="1"/>
  <c r="AS960" i="1"/>
  <c r="AR961" i="1" a="1"/>
  <c r="AR961" i="1" s="1"/>
  <c r="AV959" i="1"/>
  <c r="AO962" i="1"/>
  <c r="AN962" i="1" s="1"/>
  <c r="BD962" i="1" l="1"/>
  <c r="BQ962" i="1"/>
  <c r="AU961" i="1"/>
  <c r="AS961" i="1"/>
  <c r="AT961" i="1"/>
  <c r="AR962" i="1" a="1"/>
  <c r="AR962" i="1" s="1"/>
  <c r="AV960" i="1"/>
  <c r="AO963" i="1"/>
  <c r="AN963" i="1" s="1"/>
  <c r="BD963" i="1" l="1"/>
  <c r="BQ963" i="1"/>
  <c r="AS962" i="1"/>
  <c r="AU962" i="1"/>
  <c r="AT962" i="1"/>
  <c r="AR963" i="1" a="1"/>
  <c r="AR963" i="1" s="1"/>
  <c r="AV961" i="1"/>
  <c r="AO964" i="1"/>
  <c r="AN964" i="1" s="1"/>
  <c r="BD964" i="1" l="1"/>
  <c r="BQ964" i="1"/>
  <c r="AS963" i="1"/>
  <c r="AT963" i="1"/>
  <c r="AU963" i="1"/>
  <c r="AR964" i="1" a="1"/>
  <c r="AR964" i="1" s="1"/>
  <c r="AV962" i="1"/>
  <c r="AO965" i="1"/>
  <c r="AN965" i="1" s="1"/>
  <c r="BD965" i="1" l="1"/>
  <c r="BQ965" i="1"/>
  <c r="AT964" i="1"/>
  <c r="AU964" i="1"/>
  <c r="AS964" i="1"/>
  <c r="AR965" i="1" a="1"/>
  <c r="AR965" i="1" s="1"/>
  <c r="AV963" i="1"/>
  <c r="AO966" i="1"/>
  <c r="AN966" i="1" s="1"/>
  <c r="BD966" i="1" l="1"/>
  <c r="BQ966" i="1"/>
  <c r="AU965" i="1"/>
  <c r="AS965" i="1"/>
  <c r="AT965" i="1"/>
  <c r="AR966" i="1" a="1"/>
  <c r="AR966" i="1" s="1"/>
  <c r="AV964" i="1"/>
  <c r="AO967" i="1"/>
  <c r="AN967" i="1" s="1"/>
  <c r="BD967" i="1" l="1"/>
  <c r="BQ967" i="1"/>
  <c r="AS966" i="1"/>
  <c r="AT966" i="1"/>
  <c r="AU966" i="1"/>
  <c r="AR967" i="1" a="1"/>
  <c r="AR967" i="1" s="1"/>
  <c r="AV965" i="1"/>
  <c r="AO968" i="1"/>
  <c r="AN968" i="1" s="1"/>
  <c r="BD968" i="1" l="1"/>
  <c r="BQ968" i="1"/>
  <c r="AS967" i="1"/>
  <c r="AT967" i="1"/>
  <c r="AU967" i="1"/>
  <c r="AR968" i="1" a="1"/>
  <c r="AR968" i="1" s="1"/>
  <c r="AV966" i="1"/>
  <c r="AO969" i="1"/>
  <c r="AN969" i="1" s="1"/>
  <c r="BD969" i="1" l="1"/>
  <c r="BQ969" i="1"/>
  <c r="AT968" i="1"/>
  <c r="AU968" i="1"/>
  <c r="AS968" i="1"/>
  <c r="AR969" i="1" a="1"/>
  <c r="AR969" i="1" s="1"/>
  <c r="AV967" i="1"/>
  <c r="AO970" i="1"/>
  <c r="AN970" i="1" s="1"/>
  <c r="BD970" i="1" l="1"/>
  <c r="BQ970" i="1"/>
  <c r="AU969" i="1"/>
  <c r="AS969" i="1"/>
  <c r="AT969" i="1"/>
  <c r="AR970" i="1" a="1"/>
  <c r="AR970" i="1" s="1"/>
  <c r="AV968" i="1"/>
  <c r="AO971" i="1"/>
  <c r="AN971" i="1" s="1"/>
  <c r="BD971" i="1" l="1"/>
  <c r="BQ971" i="1"/>
  <c r="AS970" i="1"/>
  <c r="AT970" i="1"/>
  <c r="AU970" i="1"/>
  <c r="AR971" i="1" a="1"/>
  <c r="AR971" i="1" s="1"/>
  <c r="AV969" i="1"/>
  <c r="AO972" i="1"/>
  <c r="AN972" i="1" s="1"/>
  <c r="BD972" i="1" l="1"/>
  <c r="BQ972" i="1"/>
  <c r="AS971" i="1"/>
  <c r="AT971" i="1"/>
  <c r="AU971" i="1"/>
  <c r="AR972" i="1" a="1"/>
  <c r="AR972" i="1" s="1"/>
  <c r="AV970" i="1"/>
  <c r="AO973" i="1"/>
  <c r="AN973" i="1" s="1"/>
  <c r="BD973" i="1" l="1"/>
  <c r="BQ973" i="1"/>
  <c r="AT972" i="1"/>
  <c r="AU972" i="1"/>
  <c r="AS972" i="1"/>
  <c r="AR973" i="1" a="1"/>
  <c r="AR973" i="1" s="1"/>
  <c r="AV971" i="1"/>
  <c r="AO974" i="1"/>
  <c r="AN974" i="1" s="1"/>
  <c r="BD974" i="1" l="1"/>
  <c r="BQ974" i="1"/>
  <c r="AU973" i="1"/>
  <c r="AT973" i="1"/>
  <c r="AS973" i="1"/>
  <c r="AR974" i="1" a="1"/>
  <c r="AR974" i="1" s="1"/>
  <c r="AV972" i="1"/>
  <c r="AO975" i="1"/>
  <c r="AN975" i="1" s="1"/>
  <c r="BD975" i="1" l="1"/>
  <c r="BQ975" i="1"/>
  <c r="AS974" i="1"/>
  <c r="AT974" i="1"/>
  <c r="AU974" i="1"/>
  <c r="AR975" i="1" a="1"/>
  <c r="AR975" i="1" s="1"/>
  <c r="AV973" i="1"/>
  <c r="AO976" i="1"/>
  <c r="AN976" i="1" s="1"/>
  <c r="BD976" i="1" l="1"/>
  <c r="BQ976" i="1"/>
  <c r="AS975" i="1"/>
  <c r="AT975" i="1"/>
  <c r="AU975" i="1"/>
  <c r="AR976" i="1" a="1"/>
  <c r="AR976" i="1" s="1"/>
  <c r="AV974" i="1"/>
  <c r="AO977" i="1"/>
  <c r="AN977" i="1" s="1"/>
  <c r="BD977" i="1" l="1"/>
  <c r="BQ977" i="1"/>
  <c r="AT976" i="1"/>
  <c r="AU976" i="1"/>
  <c r="AS976" i="1"/>
  <c r="AR977" i="1" a="1"/>
  <c r="AR977" i="1" s="1"/>
  <c r="AV975" i="1"/>
  <c r="AO978" i="1"/>
  <c r="AN978" i="1" s="1"/>
  <c r="BD978" i="1" l="1"/>
  <c r="BQ978" i="1"/>
  <c r="AU977" i="1"/>
  <c r="AS977" i="1"/>
  <c r="AT977" i="1"/>
  <c r="AR978" i="1" a="1"/>
  <c r="AR978" i="1" s="1"/>
  <c r="AV976" i="1"/>
  <c r="AO979" i="1"/>
  <c r="AN979" i="1" s="1"/>
  <c r="BD979" i="1" l="1"/>
  <c r="BQ979" i="1"/>
  <c r="AS978" i="1"/>
  <c r="AT978" i="1"/>
  <c r="AU978" i="1"/>
  <c r="AR979" i="1" a="1"/>
  <c r="AR979" i="1" s="1"/>
  <c r="AV977" i="1"/>
  <c r="AO980" i="1"/>
  <c r="AN980" i="1" s="1"/>
  <c r="BD980" i="1" l="1"/>
  <c r="BQ980" i="1"/>
  <c r="AS979" i="1"/>
  <c r="AT979" i="1"/>
  <c r="AU979" i="1"/>
  <c r="AR980" i="1" a="1"/>
  <c r="AR980" i="1" s="1"/>
  <c r="AV978" i="1"/>
  <c r="AO981" i="1"/>
  <c r="AN981" i="1" s="1"/>
  <c r="BD981" i="1" l="1"/>
  <c r="BQ981" i="1"/>
  <c r="AT980" i="1"/>
  <c r="AU980" i="1"/>
  <c r="AS980" i="1"/>
  <c r="AR981" i="1" a="1"/>
  <c r="AR981" i="1" s="1"/>
  <c r="AV979" i="1"/>
  <c r="AO982" i="1"/>
  <c r="AN982" i="1" s="1"/>
  <c r="BD982" i="1" l="1"/>
  <c r="BQ982" i="1"/>
  <c r="AU981" i="1"/>
  <c r="AT981" i="1"/>
  <c r="AS981" i="1"/>
  <c r="AR982" i="1" a="1"/>
  <c r="AR982" i="1" s="1"/>
  <c r="AV980" i="1"/>
  <c r="AO983" i="1"/>
  <c r="AN983" i="1" s="1"/>
  <c r="BD983" i="1" l="1"/>
  <c r="BQ983" i="1"/>
  <c r="AS982" i="1"/>
  <c r="AT982" i="1"/>
  <c r="AU982" i="1"/>
  <c r="AR983" i="1" a="1"/>
  <c r="AR983" i="1" s="1"/>
  <c r="AV981" i="1"/>
  <c r="AO984" i="1"/>
  <c r="AN984" i="1" s="1"/>
  <c r="BD984" i="1" l="1"/>
  <c r="BQ984" i="1"/>
  <c r="AS983" i="1"/>
  <c r="AT983" i="1"/>
  <c r="AU983" i="1"/>
  <c r="AR984" i="1" a="1"/>
  <c r="AR984" i="1" s="1"/>
  <c r="AV982" i="1"/>
  <c r="AO985" i="1"/>
  <c r="AN985" i="1" s="1"/>
  <c r="BD985" i="1" l="1"/>
  <c r="BQ985" i="1"/>
  <c r="AT984" i="1"/>
  <c r="AU984" i="1"/>
  <c r="AS984" i="1"/>
  <c r="AR985" i="1" a="1"/>
  <c r="AR985" i="1" s="1"/>
  <c r="AV983" i="1"/>
  <c r="AO986" i="1"/>
  <c r="AN986" i="1" s="1"/>
  <c r="BD986" i="1" l="1"/>
  <c r="BQ986" i="1"/>
  <c r="AU985" i="1"/>
  <c r="AS985" i="1"/>
  <c r="AT985" i="1"/>
  <c r="AR986" i="1" a="1"/>
  <c r="AR986" i="1" s="1"/>
  <c r="AV984" i="1"/>
  <c r="AO987" i="1"/>
  <c r="AN987" i="1" s="1"/>
  <c r="BD987" i="1" l="1"/>
  <c r="BQ987" i="1"/>
  <c r="AS986" i="1"/>
  <c r="AU986" i="1"/>
  <c r="AT986" i="1"/>
  <c r="AR987" i="1" a="1"/>
  <c r="AR987" i="1" s="1"/>
  <c r="AV985" i="1"/>
  <c r="AO988" i="1"/>
  <c r="AN988" i="1" s="1"/>
  <c r="BD988" i="1" l="1"/>
  <c r="BQ988" i="1"/>
  <c r="AS987" i="1"/>
  <c r="AT987" i="1"/>
  <c r="AU987" i="1"/>
  <c r="AR988" i="1" a="1"/>
  <c r="AR988" i="1" s="1"/>
  <c r="AV986" i="1"/>
  <c r="AO989" i="1"/>
  <c r="AN989" i="1" s="1"/>
  <c r="BD989" i="1" l="1"/>
  <c r="BQ989" i="1"/>
  <c r="AT988" i="1"/>
  <c r="AU988" i="1"/>
  <c r="AS988" i="1"/>
  <c r="AR989" i="1" a="1"/>
  <c r="AR989" i="1" s="1"/>
  <c r="AV987" i="1"/>
  <c r="AO990" i="1"/>
  <c r="AN990" i="1" s="1"/>
  <c r="BD990" i="1" l="1"/>
  <c r="BQ990" i="1"/>
  <c r="AU989" i="1"/>
  <c r="AS989" i="1"/>
  <c r="AT989" i="1"/>
  <c r="AR990" i="1" a="1"/>
  <c r="AR990" i="1" s="1"/>
  <c r="AV988" i="1"/>
  <c r="AO991" i="1"/>
  <c r="AN991" i="1" s="1"/>
  <c r="BD991" i="1" l="1"/>
  <c r="BQ991" i="1"/>
  <c r="AS990" i="1"/>
  <c r="AT990" i="1"/>
  <c r="AU990" i="1"/>
  <c r="AR991" i="1" a="1"/>
  <c r="AR991" i="1" s="1"/>
  <c r="AV989" i="1"/>
  <c r="AO992" i="1"/>
  <c r="AN992" i="1" s="1"/>
  <c r="BD992" i="1" l="1"/>
  <c r="BQ992" i="1"/>
  <c r="AS991" i="1"/>
  <c r="AT991" i="1"/>
  <c r="AU991" i="1"/>
  <c r="AR992" i="1" a="1"/>
  <c r="AR992" i="1" s="1"/>
  <c r="AV990" i="1"/>
  <c r="AO993" i="1"/>
  <c r="AN993" i="1" s="1"/>
  <c r="BD993" i="1" l="1"/>
  <c r="BQ993" i="1"/>
  <c r="AT992" i="1"/>
  <c r="AU992" i="1"/>
  <c r="AS992" i="1"/>
  <c r="AR993" i="1" a="1"/>
  <c r="AR993" i="1" s="1"/>
  <c r="AV991" i="1"/>
  <c r="AO994" i="1"/>
  <c r="AN994" i="1" s="1"/>
  <c r="BD994" i="1" l="1"/>
  <c r="BQ994" i="1"/>
  <c r="AU993" i="1"/>
  <c r="AS993" i="1"/>
  <c r="AT993" i="1"/>
  <c r="AR994" i="1" a="1"/>
  <c r="AR994" i="1" s="1"/>
  <c r="AV992" i="1"/>
  <c r="AO995" i="1"/>
  <c r="AN995" i="1" s="1"/>
  <c r="BD995" i="1" l="1"/>
  <c r="BQ995" i="1"/>
  <c r="AS994" i="1"/>
  <c r="AT994" i="1"/>
  <c r="AU994" i="1"/>
  <c r="AR995" i="1" a="1"/>
  <c r="AR995" i="1" s="1"/>
  <c r="AV993" i="1"/>
  <c r="AO996" i="1"/>
  <c r="AN996" i="1" s="1"/>
  <c r="BD996" i="1" l="1"/>
  <c r="BQ996" i="1"/>
  <c r="AS995" i="1"/>
  <c r="AT995" i="1"/>
  <c r="AU995" i="1"/>
  <c r="AR996" i="1" a="1"/>
  <c r="AR996" i="1" s="1"/>
  <c r="AV994" i="1"/>
  <c r="AO997" i="1"/>
  <c r="AN997" i="1" s="1"/>
  <c r="BD997" i="1" l="1"/>
  <c r="BQ997" i="1"/>
  <c r="AT996" i="1"/>
  <c r="AU996" i="1"/>
  <c r="AS996" i="1"/>
  <c r="AR997" i="1" a="1"/>
  <c r="AR997" i="1" s="1"/>
  <c r="AV995" i="1"/>
  <c r="AO998" i="1"/>
  <c r="AN998" i="1" s="1"/>
  <c r="BD998" i="1" l="1"/>
  <c r="BQ998" i="1"/>
  <c r="AU997" i="1"/>
  <c r="AT997" i="1"/>
  <c r="AS997" i="1"/>
  <c r="AR998" i="1" a="1"/>
  <c r="AR998" i="1" s="1"/>
  <c r="AV996" i="1"/>
  <c r="AO999" i="1"/>
  <c r="AN999" i="1" s="1"/>
  <c r="BD999" i="1" l="1"/>
  <c r="BQ999" i="1"/>
  <c r="AS998" i="1"/>
  <c r="AT998" i="1"/>
  <c r="AU998" i="1"/>
  <c r="AR999" i="1" a="1"/>
  <c r="AR999" i="1" s="1"/>
  <c r="AV997" i="1"/>
  <c r="AO1000" i="1"/>
  <c r="AN1000" i="1" s="1"/>
  <c r="BD1000" i="1" l="1"/>
  <c r="BQ1000" i="1"/>
  <c r="AS999" i="1"/>
  <c r="AT999" i="1"/>
  <c r="AU999" i="1"/>
  <c r="AR1000" i="1" a="1"/>
  <c r="AR1000" i="1" s="1"/>
  <c r="AV998" i="1"/>
  <c r="AO1001" i="1"/>
  <c r="AN1001" i="1" s="1"/>
  <c r="BD1001" i="1" l="1"/>
  <c r="BQ1001" i="1"/>
  <c r="AT1000" i="1"/>
  <c r="AU1000" i="1"/>
  <c r="AS1000" i="1"/>
  <c r="AR1001" i="1" a="1"/>
  <c r="AR1001" i="1" s="1"/>
  <c r="AV999" i="1"/>
  <c r="AO1002" i="1"/>
  <c r="AN1002" i="1" s="1"/>
  <c r="BD1002" i="1" l="1"/>
  <c r="BQ1002" i="1"/>
  <c r="AU1001" i="1"/>
  <c r="AS1001" i="1"/>
  <c r="AT1001" i="1"/>
  <c r="AR1002" i="1" a="1"/>
  <c r="AR1002" i="1" s="1"/>
  <c r="AV1000" i="1"/>
  <c r="AO1003" i="1"/>
  <c r="AN1003" i="1" s="1"/>
  <c r="BD1003" i="1" l="1"/>
  <c r="BQ1003" i="1"/>
  <c r="AS1002" i="1"/>
  <c r="AU1002" i="1"/>
  <c r="AT1002" i="1"/>
  <c r="AR1003" i="1" a="1"/>
  <c r="AR1003" i="1" s="1"/>
  <c r="AV1001" i="1"/>
  <c r="AO1004" i="1"/>
  <c r="AN1004" i="1" s="1"/>
  <c r="BD1004" i="1" l="1"/>
  <c r="BQ1004" i="1"/>
  <c r="AS1003" i="1"/>
  <c r="AT1003" i="1"/>
  <c r="AU1003" i="1"/>
  <c r="AR1004" i="1" a="1"/>
  <c r="AR1004" i="1" s="1"/>
  <c r="AV1002" i="1"/>
  <c r="AO1005" i="1"/>
  <c r="AN1005" i="1" s="1"/>
  <c r="BD1005" i="1" l="1"/>
  <c r="BQ1005" i="1"/>
  <c r="AT1004" i="1"/>
  <c r="AU1004" i="1"/>
  <c r="AS1004" i="1"/>
  <c r="AR1005" i="1" a="1"/>
  <c r="AR1005" i="1" s="1"/>
  <c r="AV1003" i="1"/>
  <c r="AO1006" i="1"/>
  <c r="AN1006" i="1" s="1"/>
  <c r="BD1006" i="1" l="1"/>
  <c r="BQ1006" i="1"/>
  <c r="AU1005" i="1"/>
  <c r="AS1005" i="1"/>
  <c r="AT1005" i="1"/>
  <c r="AR1006" i="1" a="1"/>
  <c r="AR1006" i="1" s="1"/>
  <c r="AV1004" i="1"/>
  <c r="AO1007" i="1"/>
  <c r="AN1007" i="1" s="1"/>
  <c r="BD1007" i="1" l="1"/>
  <c r="BQ1007" i="1"/>
  <c r="AS1006" i="1"/>
  <c r="AT1006" i="1"/>
  <c r="AU1006" i="1"/>
  <c r="AR1007" i="1" a="1"/>
  <c r="AR1007" i="1" s="1"/>
  <c r="AV1005" i="1"/>
  <c r="AO1008" i="1"/>
  <c r="AN1008" i="1" s="1"/>
  <c r="BD1008" i="1" l="1"/>
  <c r="BQ1008" i="1"/>
  <c r="AS1007" i="1"/>
  <c r="AT1007" i="1"/>
  <c r="AU1007" i="1"/>
  <c r="AR1008" i="1" a="1"/>
  <c r="AR1008" i="1" s="1"/>
  <c r="AV1006" i="1"/>
  <c r="AO1009" i="1"/>
  <c r="AN1009" i="1" s="1"/>
  <c r="BD1009" i="1" l="1"/>
  <c r="BQ1009" i="1"/>
  <c r="AT1008" i="1"/>
  <c r="AU1008" i="1"/>
  <c r="AS1008" i="1"/>
  <c r="AR1009" i="1" a="1"/>
  <c r="AR1009" i="1" s="1"/>
  <c r="AV1007" i="1"/>
  <c r="AO1010" i="1"/>
  <c r="AN1010" i="1" s="1"/>
  <c r="BD1010" i="1" l="1"/>
  <c r="BQ1010" i="1"/>
  <c r="AU1009" i="1"/>
  <c r="AS1009" i="1"/>
  <c r="AT1009" i="1"/>
  <c r="AR1010" i="1" a="1"/>
  <c r="AR1010" i="1" s="1"/>
  <c r="AV1008" i="1"/>
  <c r="AO1011" i="1"/>
  <c r="AN1011" i="1" s="1"/>
  <c r="BD1011" i="1" l="1"/>
  <c r="BQ1011" i="1"/>
  <c r="AS1010" i="1"/>
  <c r="AT1010" i="1"/>
  <c r="AU1010" i="1"/>
  <c r="AR1011" i="1" a="1"/>
  <c r="AR1011" i="1" s="1"/>
  <c r="AV1009" i="1"/>
  <c r="AO1012" i="1"/>
  <c r="AN1012" i="1" s="1"/>
  <c r="BD1012" i="1" l="1"/>
  <c r="BQ1012" i="1"/>
  <c r="AS1011" i="1"/>
  <c r="AT1011" i="1"/>
  <c r="AU1011" i="1"/>
  <c r="AR1012" i="1" a="1"/>
  <c r="AR1012" i="1" s="1"/>
  <c r="AV1010" i="1"/>
  <c r="AO1013" i="1"/>
  <c r="AN1013" i="1" s="1"/>
  <c r="BD1013" i="1" l="1"/>
  <c r="BQ1013" i="1"/>
  <c r="AT1012" i="1"/>
  <c r="AU1012" i="1"/>
  <c r="AS1012" i="1"/>
  <c r="AR1013" i="1" a="1"/>
  <c r="AR1013" i="1" s="1"/>
  <c r="AV1011" i="1"/>
  <c r="AO1014" i="1"/>
  <c r="AN1014" i="1" s="1"/>
  <c r="BD1014" i="1" l="1"/>
  <c r="BQ1014" i="1"/>
  <c r="AU1013" i="1"/>
  <c r="AT1013" i="1"/>
  <c r="AS1013" i="1"/>
  <c r="AR1014" i="1" a="1"/>
  <c r="AR1014" i="1" s="1"/>
  <c r="AV1012" i="1"/>
  <c r="AO1015" i="1"/>
  <c r="AN1015" i="1" s="1"/>
  <c r="BD1015" i="1" l="1"/>
  <c r="BQ1015" i="1"/>
  <c r="AS1014" i="1"/>
  <c r="AT1014" i="1"/>
  <c r="AU1014" i="1"/>
  <c r="AR1015" i="1" a="1"/>
  <c r="AR1015" i="1" s="1"/>
  <c r="AV1013" i="1"/>
  <c r="AO1016" i="1"/>
  <c r="AN1016" i="1" s="1"/>
  <c r="BD1016" i="1" l="1"/>
  <c r="BQ1016" i="1"/>
  <c r="AS1015" i="1"/>
  <c r="AT1015" i="1"/>
  <c r="AU1015" i="1"/>
  <c r="AR1016" i="1" a="1"/>
  <c r="AR1016" i="1" s="1"/>
  <c r="AV1014" i="1"/>
  <c r="AO1017" i="1"/>
  <c r="AN1017" i="1" s="1"/>
  <c r="BD1017" i="1" l="1"/>
  <c r="BQ1017" i="1"/>
  <c r="AT1016" i="1"/>
  <c r="AU1016" i="1"/>
  <c r="AS1016" i="1"/>
  <c r="AR1017" i="1" a="1"/>
  <c r="AR1017" i="1" s="1"/>
  <c r="AV1015" i="1"/>
  <c r="AO1018" i="1"/>
  <c r="AN1018" i="1" s="1"/>
  <c r="BD1018" i="1" l="1"/>
  <c r="BQ1018" i="1"/>
  <c r="AU1017" i="1"/>
  <c r="AS1017" i="1"/>
  <c r="AT1017" i="1"/>
  <c r="AR1018" i="1" a="1"/>
  <c r="AR1018" i="1" s="1"/>
  <c r="AV1016" i="1"/>
  <c r="AO1019" i="1"/>
  <c r="AN1019" i="1" s="1"/>
  <c r="BD1019" i="1" l="1"/>
  <c r="BQ1019" i="1"/>
  <c r="AS1018" i="1"/>
  <c r="AU1018" i="1"/>
  <c r="AT1018" i="1"/>
  <c r="AR1019" i="1" a="1"/>
  <c r="AR1019" i="1" s="1"/>
  <c r="AV1017" i="1"/>
  <c r="AO1020" i="1"/>
  <c r="AN1020" i="1" s="1"/>
  <c r="BD1020" i="1" l="1"/>
  <c r="BQ1020" i="1"/>
  <c r="AS1019" i="1"/>
  <c r="AT1019" i="1"/>
  <c r="AU1019" i="1"/>
  <c r="AR1020" i="1" a="1"/>
  <c r="AR1020" i="1" s="1"/>
  <c r="AV1018" i="1"/>
  <c r="AO1021" i="1"/>
  <c r="AN1021" i="1" s="1"/>
  <c r="BD1021" i="1" l="1"/>
  <c r="BQ1021" i="1"/>
  <c r="AT1020" i="1"/>
  <c r="AU1020" i="1"/>
  <c r="AS1020" i="1"/>
  <c r="AR1021" i="1" a="1"/>
  <c r="AR1021" i="1" s="1"/>
  <c r="AV1019" i="1"/>
  <c r="AO1022" i="1"/>
  <c r="AN1022" i="1" s="1"/>
  <c r="BD1022" i="1" l="1"/>
  <c r="BQ1022" i="1"/>
  <c r="AU1021" i="1"/>
  <c r="AS1021" i="1"/>
  <c r="AT1021" i="1"/>
  <c r="AR1022" i="1" a="1"/>
  <c r="AR1022" i="1" s="1"/>
  <c r="AV1020" i="1"/>
  <c r="AO1023" i="1"/>
  <c r="AN1023" i="1" s="1"/>
  <c r="BD1023" i="1" l="1"/>
  <c r="BQ1023" i="1"/>
  <c r="AS1022" i="1"/>
  <c r="AT1022" i="1"/>
  <c r="AU1022" i="1"/>
  <c r="AR1023" i="1" a="1"/>
  <c r="AR1023" i="1" s="1"/>
  <c r="AV1021" i="1"/>
  <c r="AO1024" i="1"/>
  <c r="AN1024" i="1" s="1"/>
  <c r="BD1024" i="1" l="1"/>
  <c r="BQ1024" i="1"/>
  <c r="AS1023" i="1"/>
  <c r="AT1023" i="1"/>
  <c r="AU1023" i="1"/>
  <c r="AR1024" i="1" a="1"/>
  <c r="AR1024" i="1" s="1"/>
  <c r="AV1022" i="1"/>
  <c r="AO1025" i="1"/>
  <c r="AN1025" i="1" s="1"/>
  <c r="BD1025" i="1" l="1"/>
  <c r="BQ1025" i="1"/>
  <c r="AT1024" i="1"/>
  <c r="AU1024" i="1"/>
  <c r="AS1024" i="1"/>
  <c r="AR1025" i="1" a="1"/>
  <c r="AR1025" i="1" s="1"/>
  <c r="AV1023" i="1"/>
  <c r="AO1026" i="1"/>
  <c r="AN1026" i="1" s="1"/>
  <c r="BD1026" i="1" l="1"/>
  <c r="BQ1026" i="1"/>
  <c r="AU1025" i="1"/>
  <c r="AS1025" i="1"/>
  <c r="AT1025" i="1"/>
  <c r="AR1026" i="1" a="1"/>
  <c r="AR1026" i="1" s="1"/>
  <c r="AV1024" i="1"/>
  <c r="AO1027" i="1"/>
  <c r="AN1027" i="1" s="1"/>
  <c r="BD1027" i="1" l="1"/>
  <c r="BQ1027" i="1"/>
  <c r="AS1026" i="1"/>
  <c r="AU1026" i="1"/>
  <c r="AT1026" i="1"/>
  <c r="AR1027" i="1" a="1"/>
  <c r="AR1027" i="1" s="1"/>
  <c r="AV1025" i="1"/>
  <c r="AO1028" i="1"/>
  <c r="AN1028" i="1" s="1"/>
  <c r="BD1028" i="1" l="1"/>
  <c r="BQ1028" i="1"/>
  <c r="AS1027" i="1"/>
  <c r="AT1027" i="1"/>
  <c r="AU1027" i="1"/>
  <c r="AR1028" i="1" a="1"/>
  <c r="AR1028" i="1" s="1"/>
  <c r="AV1026" i="1"/>
  <c r="AO1029" i="1"/>
  <c r="AN1029" i="1" s="1"/>
  <c r="BD1029" i="1" l="1"/>
  <c r="BQ1029" i="1"/>
  <c r="AT1028" i="1"/>
  <c r="AU1028" i="1"/>
  <c r="AS1028" i="1"/>
  <c r="AR1029" i="1" a="1"/>
  <c r="AR1029" i="1" s="1"/>
  <c r="AV1027" i="1"/>
  <c r="AO1030" i="1"/>
  <c r="AN1030" i="1" s="1"/>
  <c r="BD1030" i="1" l="1"/>
  <c r="BQ1030" i="1"/>
  <c r="AU1029" i="1"/>
  <c r="AS1029" i="1"/>
  <c r="AT1029" i="1"/>
  <c r="AR1030" i="1" a="1"/>
  <c r="AR1030" i="1" s="1"/>
  <c r="AV1028" i="1"/>
  <c r="AO1031" i="1"/>
  <c r="AN1031" i="1" s="1"/>
  <c r="BD1031" i="1" l="1"/>
  <c r="BQ1031" i="1"/>
  <c r="AS1030" i="1"/>
  <c r="AT1030" i="1"/>
  <c r="AU1030" i="1"/>
  <c r="AR1031" i="1" a="1"/>
  <c r="AR1031" i="1" s="1"/>
  <c r="AV1029" i="1"/>
  <c r="AO1032" i="1"/>
  <c r="AN1032" i="1" s="1"/>
  <c r="BD1032" i="1" l="1"/>
  <c r="BQ1032" i="1"/>
  <c r="AS1031" i="1"/>
  <c r="AT1031" i="1"/>
  <c r="AU1031" i="1"/>
  <c r="AR1032" i="1" a="1"/>
  <c r="AR1032" i="1" s="1"/>
  <c r="AV1030" i="1"/>
  <c r="AO1033" i="1"/>
  <c r="AN1033" i="1" s="1"/>
  <c r="BD1033" i="1" l="1"/>
  <c r="BQ1033" i="1"/>
  <c r="AT1032" i="1"/>
  <c r="AU1032" i="1"/>
  <c r="AS1032" i="1"/>
  <c r="AR1033" i="1" a="1"/>
  <c r="AR1033" i="1" s="1"/>
  <c r="AV1031" i="1"/>
  <c r="AO1034" i="1"/>
  <c r="AN1034" i="1" s="1"/>
  <c r="BD1034" i="1" l="1"/>
  <c r="BQ1034" i="1"/>
  <c r="AU1033" i="1"/>
  <c r="AS1033" i="1"/>
  <c r="AT1033" i="1"/>
  <c r="AR1034" i="1" a="1"/>
  <c r="AR1034" i="1" s="1"/>
  <c r="AV1032" i="1"/>
  <c r="AO1035" i="1"/>
  <c r="AN1035" i="1" s="1"/>
  <c r="BD1035" i="1" l="1"/>
  <c r="BQ1035" i="1"/>
  <c r="AS1034" i="1"/>
  <c r="AT1034" i="1"/>
  <c r="AU1034" i="1"/>
  <c r="AR1035" i="1" a="1"/>
  <c r="AR1035" i="1" s="1"/>
  <c r="AV1033" i="1"/>
  <c r="AO1036" i="1"/>
  <c r="AN1036" i="1" s="1"/>
  <c r="BD1036" i="1" l="1"/>
  <c r="BQ1036" i="1"/>
  <c r="AS1035" i="1"/>
  <c r="AT1035" i="1"/>
  <c r="AU1035" i="1"/>
  <c r="AR1036" i="1" a="1"/>
  <c r="AR1036" i="1" s="1"/>
  <c r="AV1034" i="1"/>
  <c r="AO1037" i="1"/>
  <c r="AN1037" i="1" s="1"/>
  <c r="BD1037" i="1" l="1"/>
  <c r="BQ1037" i="1"/>
  <c r="AT1036" i="1"/>
  <c r="AU1036" i="1"/>
  <c r="AS1036" i="1"/>
  <c r="AR1037" i="1" a="1"/>
  <c r="AR1037" i="1" s="1"/>
  <c r="AV1035" i="1"/>
  <c r="AO1038" i="1"/>
  <c r="AN1038" i="1" s="1"/>
  <c r="BD1038" i="1" l="1"/>
  <c r="BQ1038" i="1"/>
  <c r="AU1037" i="1"/>
  <c r="AT1037" i="1"/>
  <c r="AS1037" i="1"/>
  <c r="AR1038" i="1" a="1"/>
  <c r="AR1038" i="1" s="1"/>
  <c r="AV1036" i="1"/>
  <c r="AO1039" i="1"/>
  <c r="AN1039" i="1" s="1"/>
  <c r="BD1039" i="1" l="1"/>
  <c r="BQ1039" i="1"/>
  <c r="AS1038" i="1"/>
  <c r="AT1038" i="1"/>
  <c r="AU1038" i="1"/>
  <c r="AR1039" i="1" a="1"/>
  <c r="AR1039" i="1" s="1"/>
  <c r="AV1037" i="1"/>
  <c r="AO1040" i="1"/>
  <c r="AN1040" i="1" s="1"/>
  <c r="BD1040" i="1" l="1"/>
  <c r="BQ1040" i="1"/>
  <c r="AS1039" i="1"/>
  <c r="AT1039" i="1"/>
  <c r="AU1039" i="1"/>
  <c r="AR1040" i="1" a="1"/>
  <c r="AR1040" i="1" s="1"/>
  <c r="AV1038" i="1"/>
  <c r="AO1041" i="1"/>
  <c r="AN1041" i="1" s="1"/>
  <c r="BD1041" i="1" l="1"/>
  <c r="BQ1041" i="1"/>
  <c r="AT1040" i="1"/>
  <c r="AU1040" i="1"/>
  <c r="AS1040" i="1"/>
  <c r="AR1041" i="1" a="1"/>
  <c r="AR1041" i="1" s="1"/>
  <c r="AV1039" i="1"/>
  <c r="AO1042" i="1"/>
  <c r="AN1042" i="1" s="1"/>
  <c r="BD1042" i="1" l="1"/>
  <c r="BQ1042" i="1"/>
  <c r="AU1041" i="1"/>
  <c r="AS1041" i="1"/>
  <c r="AT1041" i="1"/>
  <c r="AR1042" i="1" a="1"/>
  <c r="AR1042" i="1" s="1"/>
  <c r="AV1040" i="1"/>
  <c r="AO1043" i="1"/>
  <c r="AN1043" i="1" s="1"/>
  <c r="BD1043" i="1" l="1"/>
  <c r="BQ1043" i="1"/>
  <c r="AS1042" i="1"/>
  <c r="AU1042" i="1"/>
  <c r="AT1042" i="1"/>
  <c r="AR1043" i="1" a="1"/>
  <c r="AR1043" i="1" s="1"/>
  <c r="AV1041" i="1"/>
  <c r="AO1044" i="1"/>
  <c r="AN1044" i="1" s="1"/>
  <c r="BD1044" i="1" l="1"/>
  <c r="BQ1044" i="1"/>
  <c r="AS1043" i="1"/>
  <c r="AT1043" i="1"/>
  <c r="AU1043" i="1"/>
  <c r="AR1044" i="1" a="1"/>
  <c r="AR1044" i="1" s="1"/>
  <c r="AV1042" i="1"/>
  <c r="AO1045" i="1"/>
  <c r="AN1045" i="1" s="1"/>
  <c r="BD1045" i="1" l="1"/>
  <c r="BQ1045" i="1"/>
  <c r="AT1044" i="1"/>
  <c r="AU1044" i="1"/>
  <c r="AS1044" i="1"/>
  <c r="AR1045" i="1" a="1"/>
  <c r="AR1045" i="1" s="1"/>
  <c r="AV1043" i="1"/>
  <c r="AO1046" i="1"/>
  <c r="AN1046" i="1" s="1"/>
  <c r="BD1046" i="1" l="1"/>
  <c r="BQ1046" i="1"/>
  <c r="AU1045" i="1"/>
  <c r="AS1045" i="1"/>
  <c r="AT1045" i="1"/>
  <c r="AR1046" i="1" a="1"/>
  <c r="AR1046" i="1" s="1"/>
  <c r="AV1044" i="1"/>
  <c r="AO1047" i="1"/>
  <c r="AN1047" i="1" s="1"/>
  <c r="BD1047" i="1" l="1"/>
  <c r="BQ1047" i="1"/>
  <c r="AS1046" i="1"/>
  <c r="AT1046" i="1"/>
  <c r="AU1046" i="1"/>
  <c r="AR1047" i="1" a="1"/>
  <c r="AR1047" i="1" s="1"/>
  <c r="AV1045" i="1"/>
  <c r="AO1048" i="1"/>
  <c r="AN1048" i="1" s="1"/>
  <c r="BD1048" i="1" l="1"/>
  <c r="BQ1048" i="1"/>
  <c r="AS1047" i="1"/>
  <c r="AT1047" i="1"/>
  <c r="AU1047" i="1"/>
  <c r="AR1048" i="1" a="1"/>
  <c r="AR1048" i="1" s="1"/>
  <c r="AV1046" i="1"/>
  <c r="AO1049" i="1"/>
  <c r="AN1049" i="1" s="1"/>
  <c r="BD1049" i="1" l="1"/>
  <c r="BQ1049" i="1"/>
  <c r="AT1048" i="1"/>
  <c r="AU1048" i="1"/>
  <c r="AS1048" i="1"/>
  <c r="AR1049" i="1" a="1"/>
  <c r="AR1049" i="1" s="1"/>
  <c r="AV1047" i="1"/>
  <c r="AO1050" i="1"/>
  <c r="AN1050" i="1" s="1"/>
  <c r="BD1050" i="1" l="1"/>
  <c r="BQ1050" i="1"/>
  <c r="AU1049" i="1"/>
  <c r="AS1049" i="1"/>
  <c r="AT1049" i="1"/>
  <c r="AR1050" i="1" a="1"/>
  <c r="AR1050" i="1" s="1"/>
  <c r="AV1048" i="1"/>
  <c r="AO1051" i="1"/>
  <c r="AN1051" i="1" s="1"/>
  <c r="BD1051" i="1" l="1"/>
  <c r="BQ1051" i="1"/>
  <c r="AS1050" i="1"/>
  <c r="AU1050" i="1"/>
  <c r="AT1050" i="1"/>
  <c r="AR1051" i="1" a="1"/>
  <c r="AR1051" i="1" s="1"/>
  <c r="AV1049" i="1"/>
  <c r="AO1052" i="1"/>
  <c r="AN1052" i="1" s="1"/>
  <c r="BD1052" i="1" l="1"/>
  <c r="BQ1052" i="1"/>
  <c r="AS1051" i="1"/>
  <c r="AT1051" i="1"/>
  <c r="AU1051" i="1"/>
  <c r="AR1052" i="1" a="1"/>
  <c r="AR1052" i="1" s="1"/>
  <c r="AV1050" i="1"/>
  <c r="AO1053" i="1"/>
  <c r="AN1053" i="1" s="1"/>
  <c r="BD1053" i="1" l="1"/>
  <c r="BQ1053" i="1"/>
  <c r="AT1052" i="1"/>
  <c r="AU1052" i="1"/>
  <c r="AS1052" i="1"/>
  <c r="AR1053" i="1" a="1"/>
  <c r="AR1053" i="1" s="1"/>
  <c r="AV1051" i="1"/>
  <c r="AO1054" i="1"/>
  <c r="AN1054" i="1" s="1"/>
  <c r="BD1054" i="1" l="1"/>
  <c r="BQ1054" i="1"/>
  <c r="AU1053" i="1"/>
  <c r="AS1053" i="1"/>
  <c r="AT1053" i="1"/>
  <c r="AR1054" i="1" a="1"/>
  <c r="AR1054" i="1" s="1"/>
  <c r="AV1052" i="1"/>
  <c r="AO1055" i="1"/>
  <c r="AN1055" i="1" s="1"/>
  <c r="BD1055" i="1" l="1"/>
  <c r="BQ1055" i="1"/>
  <c r="AS1054" i="1"/>
  <c r="AT1054" i="1"/>
  <c r="AU1054" i="1"/>
  <c r="AR1055" i="1" a="1"/>
  <c r="AR1055" i="1" s="1"/>
  <c r="AV1053" i="1"/>
  <c r="AO1056" i="1"/>
  <c r="AN1056" i="1" s="1"/>
  <c r="BD1056" i="1" l="1"/>
  <c r="BQ1056" i="1"/>
  <c r="AS1055" i="1"/>
  <c r="AT1055" i="1"/>
  <c r="AU1055" i="1"/>
  <c r="AR1056" i="1" a="1"/>
  <c r="AR1056" i="1" s="1"/>
  <c r="AV1054" i="1"/>
  <c r="AO1057" i="1"/>
  <c r="AN1057" i="1" s="1"/>
  <c r="BD1057" i="1" l="1"/>
  <c r="BQ1057" i="1"/>
  <c r="AT1056" i="1"/>
  <c r="AU1056" i="1"/>
  <c r="AS1056" i="1"/>
  <c r="AR1057" i="1" a="1"/>
  <c r="AR1057" i="1" s="1"/>
  <c r="AV1055" i="1"/>
  <c r="AO1058" i="1"/>
  <c r="AN1058" i="1" s="1"/>
  <c r="BD1058" i="1" l="1"/>
  <c r="BQ1058" i="1"/>
  <c r="AU1057" i="1"/>
  <c r="AS1057" i="1"/>
  <c r="AT1057" i="1"/>
  <c r="AR1058" i="1" a="1"/>
  <c r="AR1058" i="1" s="1"/>
  <c r="AV1056" i="1"/>
  <c r="AO1059" i="1"/>
  <c r="AN1059" i="1" s="1"/>
  <c r="BD1059" i="1" l="1"/>
  <c r="BQ1059" i="1"/>
  <c r="AS1058" i="1"/>
  <c r="AU1058" i="1"/>
  <c r="AT1058" i="1"/>
  <c r="AR1059" i="1" a="1"/>
  <c r="AR1059" i="1" s="1"/>
  <c r="AV1057" i="1"/>
  <c r="AO1060" i="1"/>
  <c r="AN1060" i="1" s="1"/>
  <c r="BD1060" i="1" l="1"/>
  <c r="BQ1060" i="1"/>
  <c r="AS1059" i="1"/>
  <c r="AT1059" i="1"/>
  <c r="AU1059" i="1"/>
  <c r="AR1060" i="1" a="1"/>
  <c r="AR1060" i="1" s="1"/>
  <c r="AV1058" i="1"/>
  <c r="AO1061" i="1"/>
  <c r="AN1061" i="1" s="1"/>
  <c r="BD1061" i="1" l="1"/>
  <c r="BQ1061" i="1"/>
  <c r="AT1060" i="1"/>
  <c r="AU1060" i="1"/>
  <c r="AS1060" i="1"/>
  <c r="AR1061" i="1" a="1"/>
  <c r="AR1061" i="1" s="1"/>
  <c r="AV1059" i="1"/>
  <c r="AO1062" i="1"/>
  <c r="AN1062" i="1" s="1"/>
  <c r="BD1062" i="1" l="1"/>
  <c r="BQ1062" i="1"/>
  <c r="AU1061" i="1"/>
  <c r="AS1061" i="1"/>
  <c r="AT1061" i="1"/>
  <c r="AR1062" i="1" a="1"/>
  <c r="AR1062" i="1" s="1"/>
  <c r="AV1060" i="1"/>
  <c r="AO1063" i="1"/>
  <c r="AN1063" i="1" s="1"/>
  <c r="BD1063" i="1" l="1"/>
  <c r="BQ1063" i="1"/>
  <c r="AS1062" i="1"/>
  <c r="AT1062" i="1"/>
  <c r="AU1062" i="1"/>
  <c r="AR1063" i="1" a="1"/>
  <c r="AR1063" i="1" s="1"/>
  <c r="AV1061" i="1"/>
  <c r="AO1064" i="1"/>
  <c r="AN1064" i="1" s="1"/>
  <c r="BD1064" i="1" l="1"/>
  <c r="BQ1064" i="1"/>
  <c r="AS1063" i="1"/>
  <c r="AT1063" i="1"/>
  <c r="AU1063" i="1"/>
  <c r="AR1064" i="1" a="1"/>
  <c r="AR1064" i="1" s="1"/>
  <c r="AV1062" i="1"/>
  <c r="AO1065" i="1"/>
  <c r="AN1065" i="1" s="1"/>
  <c r="BD1065" i="1" l="1"/>
  <c r="BQ1065" i="1"/>
  <c r="AT1064" i="1"/>
  <c r="AU1064" i="1"/>
  <c r="AS1064" i="1"/>
  <c r="AR1065" i="1" a="1"/>
  <c r="AR1065" i="1" s="1"/>
  <c r="AV1063" i="1"/>
  <c r="AO1066" i="1"/>
  <c r="AN1066" i="1" s="1"/>
  <c r="BD1066" i="1" l="1"/>
  <c r="BQ1066" i="1"/>
  <c r="AU1065" i="1"/>
  <c r="AS1065" i="1"/>
  <c r="AT1065" i="1"/>
  <c r="AR1066" i="1" a="1"/>
  <c r="AR1066" i="1" s="1"/>
  <c r="AV1064" i="1"/>
  <c r="AO1067" i="1"/>
  <c r="AN1067" i="1" s="1"/>
  <c r="BD1067" i="1" l="1"/>
  <c r="BQ1067" i="1"/>
  <c r="AS1066" i="1"/>
  <c r="AT1066" i="1"/>
  <c r="AU1066" i="1"/>
  <c r="AR1067" i="1" a="1"/>
  <c r="AR1067" i="1" s="1"/>
  <c r="AV1065" i="1"/>
  <c r="AO1068" i="1"/>
  <c r="AN1068" i="1" s="1"/>
  <c r="BD1068" i="1" l="1"/>
  <c r="BQ1068" i="1"/>
  <c r="AS1067" i="1"/>
  <c r="AT1067" i="1"/>
  <c r="AU1067" i="1"/>
  <c r="AR1068" i="1" a="1"/>
  <c r="AR1068" i="1" s="1"/>
  <c r="AV1066" i="1"/>
  <c r="AO1069" i="1"/>
  <c r="AN1069" i="1" s="1"/>
  <c r="BD1069" i="1" l="1"/>
  <c r="BQ1069" i="1"/>
  <c r="AU1068" i="1"/>
  <c r="AS1068" i="1"/>
  <c r="AT1068" i="1"/>
  <c r="AR1069" i="1" a="1"/>
  <c r="AR1069" i="1" s="1"/>
  <c r="AV1067" i="1"/>
  <c r="AO1070" i="1"/>
  <c r="AN1070" i="1" s="1"/>
  <c r="BD1070" i="1" l="1"/>
  <c r="BQ1070" i="1"/>
  <c r="AT1069" i="1"/>
  <c r="AS1069" i="1"/>
  <c r="AU1069" i="1"/>
  <c r="AR1070" i="1" a="1"/>
  <c r="AR1070" i="1" s="1"/>
  <c r="AV1068" i="1"/>
  <c r="AO1071" i="1"/>
  <c r="AN1071" i="1" s="1"/>
  <c r="BD1071" i="1" l="1"/>
  <c r="BQ1071" i="1"/>
  <c r="AS1070" i="1"/>
  <c r="AT1070" i="1"/>
  <c r="AU1070" i="1"/>
  <c r="AR1071" i="1" a="1"/>
  <c r="AR1071" i="1" s="1"/>
  <c r="AV1069" i="1"/>
  <c r="AO1072" i="1"/>
  <c r="AN1072" i="1" s="1"/>
  <c r="BD1072" i="1" l="1"/>
  <c r="BQ1072" i="1"/>
  <c r="AT1071" i="1"/>
  <c r="AS1071" i="1"/>
  <c r="AU1071" i="1"/>
  <c r="AR1072" i="1" a="1"/>
  <c r="AR1072" i="1" s="1"/>
  <c r="AV1070" i="1"/>
  <c r="AO1073" i="1"/>
  <c r="AN1073" i="1" s="1"/>
  <c r="BD1073" i="1" l="1"/>
  <c r="BQ1073" i="1"/>
  <c r="AU1072" i="1"/>
  <c r="AT1072" i="1"/>
  <c r="AS1072" i="1"/>
  <c r="AR1073" i="1" a="1"/>
  <c r="AR1073" i="1" s="1"/>
  <c r="AV1071" i="1"/>
  <c r="AO1074" i="1"/>
  <c r="AN1074" i="1" s="1"/>
  <c r="BD1074" i="1" l="1"/>
  <c r="BQ1074" i="1"/>
  <c r="AS1073" i="1"/>
  <c r="AT1073" i="1"/>
  <c r="AU1073" i="1"/>
  <c r="AR1074" i="1" a="1"/>
  <c r="AR1074" i="1" s="1"/>
  <c r="AV1072" i="1"/>
  <c r="AO1075" i="1"/>
  <c r="AN1075" i="1" s="1"/>
  <c r="BD1075" i="1" l="1"/>
  <c r="BQ1075" i="1"/>
  <c r="AS1074" i="1"/>
  <c r="AU1074" i="1"/>
  <c r="AT1074" i="1"/>
  <c r="AR1075" i="1" a="1"/>
  <c r="AR1075" i="1" s="1"/>
  <c r="AV1073" i="1"/>
  <c r="AO1076" i="1"/>
  <c r="AN1076" i="1" s="1"/>
  <c r="BD1076" i="1" l="1"/>
  <c r="BQ1076" i="1"/>
  <c r="AT1075" i="1"/>
  <c r="AS1075" i="1"/>
  <c r="AU1075" i="1"/>
  <c r="AR1076" i="1" a="1"/>
  <c r="AR1076" i="1" s="1"/>
  <c r="AV1074" i="1"/>
  <c r="AO1077" i="1"/>
  <c r="AN1077" i="1" s="1"/>
  <c r="BD1077" i="1" l="1"/>
  <c r="BQ1077" i="1"/>
  <c r="AU1076" i="1"/>
  <c r="AT1076" i="1"/>
  <c r="AS1076" i="1"/>
  <c r="AR1077" i="1" a="1"/>
  <c r="AR1077" i="1" s="1"/>
  <c r="AV1075" i="1"/>
  <c r="AO1078" i="1"/>
  <c r="AN1078" i="1" s="1"/>
  <c r="BD1078" i="1" l="1"/>
  <c r="BQ1078" i="1"/>
  <c r="AS1077" i="1"/>
  <c r="AT1077" i="1"/>
  <c r="AU1077" i="1"/>
  <c r="AR1078" i="1" a="1"/>
  <c r="AR1078" i="1" s="1"/>
  <c r="AV1076" i="1"/>
  <c r="AO1079" i="1"/>
  <c r="AN1079" i="1" s="1"/>
  <c r="BD1079" i="1" l="1"/>
  <c r="BQ1079" i="1"/>
  <c r="AS1078" i="1"/>
  <c r="AT1078" i="1"/>
  <c r="AU1078" i="1"/>
  <c r="AR1079" i="1" a="1"/>
  <c r="AR1079" i="1" s="1"/>
  <c r="AV1077" i="1"/>
  <c r="AO1080" i="1"/>
  <c r="AN1080" i="1" s="1"/>
  <c r="BD1080" i="1" l="1"/>
  <c r="BQ1080" i="1"/>
  <c r="AT1079" i="1"/>
  <c r="AU1079" i="1"/>
  <c r="AS1079" i="1"/>
  <c r="AR1080" i="1" a="1"/>
  <c r="AR1080" i="1" s="1"/>
  <c r="AV1078" i="1"/>
  <c r="AO1081" i="1"/>
  <c r="AN1081" i="1" s="1"/>
  <c r="BD1081" i="1" l="1"/>
  <c r="BQ1081" i="1"/>
  <c r="AU1080" i="1"/>
  <c r="AS1080" i="1"/>
  <c r="AT1080" i="1"/>
  <c r="AR1081" i="1" a="1"/>
  <c r="AR1081" i="1" s="1"/>
  <c r="AV1079" i="1"/>
  <c r="AO1082" i="1"/>
  <c r="AN1082" i="1" s="1"/>
  <c r="BD1082" i="1" l="1"/>
  <c r="BQ1082" i="1"/>
  <c r="AU1081" i="1"/>
  <c r="AS1081" i="1"/>
  <c r="AT1081" i="1"/>
  <c r="AR1082" i="1" a="1"/>
  <c r="AR1082" i="1" s="1"/>
  <c r="AV1080" i="1"/>
  <c r="AO1083" i="1"/>
  <c r="AN1083" i="1" s="1"/>
  <c r="BD1083" i="1" l="1"/>
  <c r="BQ1083" i="1"/>
  <c r="AS1082" i="1"/>
  <c r="AT1082" i="1"/>
  <c r="AU1082" i="1"/>
  <c r="AR1083" i="1" a="1"/>
  <c r="AR1083" i="1" s="1"/>
  <c r="AV1081" i="1"/>
  <c r="AO1084" i="1"/>
  <c r="AN1084" i="1" s="1"/>
  <c r="BD1084" i="1" l="1"/>
  <c r="BQ1084" i="1"/>
  <c r="AT1083" i="1"/>
  <c r="AU1083" i="1"/>
  <c r="AS1083" i="1"/>
  <c r="AR1084" i="1" a="1"/>
  <c r="AR1084" i="1" s="1"/>
  <c r="AV1082" i="1"/>
  <c r="AO1085" i="1"/>
  <c r="AN1085" i="1" s="1"/>
  <c r="BD1085" i="1" l="1"/>
  <c r="BQ1085" i="1"/>
  <c r="AU1084" i="1"/>
  <c r="AS1084" i="1"/>
  <c r="AT1084" i="1"/>
  <c r="AR1085" i="1" a="1"/>
  <c r="AR1085" i="1" s="1"/>
  <c r="AV1083" i="1"/>
  <c r="AO1086" i="1"/>
  <c r="AN1086" i="1" s="1"/>
  <c r="BD1086" i="1" l="1"/>
  <c r="BQ1086" i="1"/>
  <c r="AT1085" i="1"/>
  <c r="AU1085" i="1"/>
  <c r="AS1085" i="1"/>
  <c r="AR1086" i="1" a="1"/>
  <c r="AR1086" i="1" s="1"/>
  <c r="AV1084" i="1"/>
  <c r="AO1087" i="1"/>
  <c r="AN1087" i="1" s="1"/>
  <c r="BD1087" i="1" l="1"/>
  <c r="BQ1087" i="1"/>
  <c r="AS1086" i="1"/>
  <c r="AU1086" i="1"/>
  <c r="AT1086" i="1"/>
  <c r="AR1087" i="1" a="1"/>
  <c r="AR1087" i="1" s="1"/>
  <c r="AV1085" i="1"/>
  <c r="AO1088" i="1"/>
  <c r="AN1088" i="1" s="1"/>
  <c r="BD1088" i="1" l="1"/>
  <c r="BQ1088" i="1"/>
  <c r="AT1087" i="1"/>
  <c r="AS1087" i="1"/>
  <c r="AU1087" i="1"/>
  <c r="AR1088" i="1" a="1"/>
  <c r="AR1088" i="1" s="1"/>
  <c r="AV1086" i="1"/>
  <c r="AO1089" i="1"/>
  <c r="AN1089" i="1" s="1"/>
  <c r="BD1089" i="1" l="1"/>
  <c r="BQ1089" i="1"/>
  <c r="AU1088" i="1"/>
  <c r="AS1088" i="1"/>
  <c r="AT1088" i="1"/>
  <c r="AR1089" i="1" a="1"/>
  <c r="AR1089" i="1" s="1"/>
  <c r="AV1087" i="1"/>
  <c r="AO1090" i="1"/>
  <c r="AN1090" i="1" s="1"/>
  <c r="BD1090" i="1" l="1"/>
  <c r="BQ1090" i="1"/>
  <c r="AS1089" i="1"/>
  <c r="AT1089" i="1"/>
  <c r="AU1089" i="1"/>
  <c r="AR1090" i="1" a="1"/>
  <c r="AR1090" i="1" s="1"/>
  <c r="AV1088" i="1"/>
  <c r="AO1091" i="1"/>
  <c r="AN1091" i="1" s="1"/>
  <c r="BD1091" i="1" l="1"/>
  <c r="BQ1091" i="1"/>
  <c r="AS1090" i="1"/>
  <c r="AU1090" i="1"/>
  <c r="AT1090" i="1"/>
  <c r="AR1091" i="1" a="1"/>
  <c r="AR1091" i="1" s="1"/>
  <c r="AV1089" i="1"/>
  <c r="AO1092" i="1"/>
  <c r="AN1092" i="1" s="1"/>
  <c r="BD1092" i="1" l="1"/>
  <c r="BQ1092" i="1"/>
  <c r="AT1091" i="1"/>
  <c r="AS1091" i="1"/>
  <c r="AU1091" i="1"/>
  <c r="AR1092" i="1" a="1"/>
  <c r="AR1092" i="1" s="1"/>
  <c r="AV1090" i="1"/>
  <c r="AO1093" i="1"/>
  <c r="AN1093" i="1" s="1"/>
  <c r="BD1093" i="1" l="1"/>
  <c r="BQ1093" i="1"/>
  <c r="AU1092" i="1"/>
  <c r="AT1092" i="1"/>
  <c r="AS1092" i="1"/>
  <c r="AR1093" i="1" a="1"/>
  <c r="AR1093" i="1" s="1"/>
  <c r="AV1091" i="1"/>
  <c r="AO1094" i="1"/>
  <c r="AN1094" i="1" s="1"/>
  <c r="BD1094" i="1" l="1"/>
  <c r="BQ1094" i="1"/>
  <c r="AU1093" i="1"/>
  <c r="AS1093" i="1"/>
  <c r="AT1093" i="1"/>
  <c r="AR1094" i="1" a="1"/>
  <c r="AR1094" i="1" s="1"/>
  <c r="AV1092" i="1"/>
  <c r="AO1095" i="1"/>
  <c r="AN1095" i="1" s="1"/>
  <c r="BD1095" i="1" l="1"/>
  <c r="BQ1095" i="1"/>
  <c r="AS1094" i="1"/>
  <c r="AT1094" i="1"/>
  <c r="AU1094" i="1"/>
  <c r="AR1095" i="1" a="1"/>
  <c r="AR1095" i="1" s="1"/>
  <c r="AV1093" i="1"/>
  <c r="AO1096" i="1"/>
  <c r="AN1096" i="1" s="1"/>
  <c r="BD1096" i="1" l="1"/>
  <c r="BQ1096" i="1"/>
  <c r="AT1095" i="1"/>
  <c r="AS1095" i="1"/>
  <c r="AU1095" i="1"/>
  <c r="AR1096" i="1" a="1"/>
  <c r="AR1096" i="1" s="1"/>
  <c r="AV1094" i="1"/>
  <c r="AO1097" i="1"/>
  <c r="AN1097" i="1" s="1"/>
  <c r="BD1097" i="1" l="1"/>
  <c r="BQ1097" i="1"/>
  <c r="AU1096" i="1"/>
  <c r="AS1096" i="1"/>
  <c r="AT1096" i="1"/>
  <c r="AR1097" i="1" a="1"/>
  <c r="AR1097" i="1" s="1"/>
  <c r="AV1095" i="1"/>
  <c r="AO1098" i="1"/>
  <c r="AN1098" i="1" s="1"/>
  <c r="BD1098" i="1" l="1"/>
  <c r="BQ1098" i="1"/>
  <c r="AU1097" i="1"/>
  <c r="AT1097" i="1"/>
  <c r="AS1097" i="1"/>
  <c r="AR1098" i="1" a="1"/>
  <c r="AR1098" i="1" s="1"/>
  <c r="AV1096" i="1"/>
  <c r="AO1099" i="1"/>
  <c r="AN1099" i="1" s="1"/>
  <c r="BD1099" i="1" l="1"/>
  <c r="BQ1099" i="1"/>
  <c r="AS1098" i="1"/>
  <c r="AT1098" i="1"/>
  <c r="AU1098" i="1"/>
  <c r="AR1099" i="1" a="1"/>
  <c r="AR1099" i="1" s="1"/>
  <c r="AV1097" i="1"/>
  <c r="AO1100" i="1"/>
  <c r="AN1100" i="1" s="1"/>
  <c r="BD1100" i="1" l="1"/>
  <c r="BQ1100" i="1"/>
  <c r="AT1099" i="1"/>
  <c r="AU1099" i="1"/>
  <c r="AS1099" i="1"/>
  <c r="AR1100" i="1" a="1"/>
  <c r="AR1100" i="1" s="1"/>
  <c r="AV1098" i="1"/>
  <c r="AO1101" i="1"/>
  <c r="AN1101" i="1" s="1"/>
  <c r="BD1101" i="1" l="1"/>
  <c r="BQ1101" i="1"/>
  <c r="AU1100" i="1"/>
  <c r="AS1100" i="1"/>
  <c r="AT1100" i="1"/>
  <c r="AR1101" i="1" a="1"/>
  <c r="AR1101" i="1" s="1"/>
  <c r="AV1099" i="1"/>
  <c r="AO1102" i="1"/>
  <c r="AN1102" i="1" s="1"/>
  <c r="BD1102" i="1" l="1"/>
  <c r="BQ1102" i="1"/>
  <c r="AT1101" i="1"/>
  <c r="AS1101" i="1"/>
  <c r="AU1101" i="1"/>
  <c r="AR1102" i="1" a="1"/>
  <c r="AR1102" i="1" s="1"/>
  <c r="AV1100" i="1"/>
  <c r="AO1103" i="1"/>
  <c r="AN1103" i="1" s="1"/>
  <c r="BD1103" i="1" l="1"/>
  <c r="BQ1103" i="1"/>
  <c r="AS1102" i="1"/>
  <c r="AT1102" i="1"/>
  <c r="AU1102" i="1"/>
  <c r="AR1103" i="1" a="1"/>
  <c r="AR1103" i="1" s="1"/>
  <c r="AV1101" i="1"/>
  <c r="AO1104" i="1"/>
  <c r="AN1104" i="1" s="1"/>
  <c r="BD1104" i="1" l="1"/>
  <c r="BQ1104" i="1"/>
  <c r="AT1103" i="1"/>
  <c r="AS1103" i="1"/>
  <c r="AU1103" i="1"/>
  <c r="AR1104" i="1" a="1"/>
  <c r="AR1104" i="1" s="1"/>
  <c r="AV1102" i="1"/>
  <c r="AO1105" i="1"/>
  <c r="AN1105" i="1" s="1"/>
  <c r="BD1105" i="1" l="1"/>
  <c r="BQ1105" i="1"/>
  <c r="AU1104" i="1"/>
  <c r="AT1104" i="1"/>
  <c r="AS1104" i="1"/>
  <c r="AR1105" i="1" a="1"/>
  <c r="AR1105" i="1" s="1"/>
  <c r="AV1103" i="1"/>
  <c r="AO1106" i="1"/>
  <c r="AN1106" i="1" s="1"/>
  <c r="BD1106" i="1" l="1"/>
  <c r="BQ1106" i="1"/>
  <c r="AS1105" i="1"/>
  <c r="AT1105" i="1"/>
  <c r="AU1105" i="1"/>
  <c r="AR1106" i="1" a="1"/>
  <c r="AR1106" i="1" s="1"/>
  <c r="AV1104" i="1"/>
  <c r="AO1107" i="1"/>
  <c r="AN1107" i="1" s="1"/>
  <c r="BD1107" i="1" l="1"/>
  <c r="BQ1107" i="1"/>
  <c r="AS1106" i="1"/>
  <c r="AU1106" i="1"/>
  <c r="AT1106" i="1"/>
  <c r="AR1107" i="1" a="1"/>
  <c r="AR1107" i="1" s="1"/>
  <c r="AV1105" i="1"/>
  <c r="AO1108" i="1"/>
  <c r="AN1108" i="1" s="1"/>
  <c r="BD1108" i="1" l="1"/>
  <c r="BQ1108" i="1"/>
  <c r="AT1107" i="1"/>
  <c r="AS1107" i="1"/>
  <c r="AU1107" i="1"/>
  <c r="AR1108" i="1" a="1"/>
  <c r="AR1108" i="1" s="1"/>
  <c r="AV1106" i="1"/>
  <c r="AO1109" i="1"/>
  <c r="AN1109" i="1" s="1"/>
  <c r="BD1109" i="1" l="1"/>
  <c r="BQ1109" i="1"/>
  <c r="AU1108" i="1"/>
  <c r="AT1108" i="1"/>
  <c r="AS1108" i="1"/>
  <c r="AR1109" i="1" a="1"/>
  <c r="AR1109" i="1" s="1"/>
  <c r="AV1107" i="1"/>
  <c r="AO1110" i="1"/>
  <c r="AN1110" i="1" s="1"/>
  <c r="BD1110" i="1" l="1"/>
  <c r="BQ1110" i="1"/>
  <c r="AS1109" i="1"/>
  <c r="AT1109" i="1"/>
  <c r="AU1109" i="1"/>
  <c r="AR1110" i="1" a="1"/>
  <c r="AR1110" i="1" s="1"/>
  <c r="AV1108" i="1"/>
  <c r="AO1111" i="1"/>
  <c r="AN1111" i="1" s="1"/>
  <c r="BD1111" i="1" l="1"/>
  <c r="BQ1111" i="1"/>
  <c r="AS1110" i="1"/>
  <c r="AT1110" i="1"/>
  <c r="AU1110" i="1"/>
  <c r="AR1111" i="1" a="1"/>
  <c r="AR1111" i="1" s="1"/>
  <c r="AV1109" i="1"/>
  <c r="AO1112" i="1"/>
  <c r="AN1112" i="1" s="1"/>
  <c r="BD1112" i="1" l="1"/>
  <c r="BQ1112" i="1"/>
  <c r="AT1111" i="1"/>
  <c r="AU1111" i="1"/>
  <c r="AS1111" i="1"/>
  <c r="AR1112" i="1" a="1"/>
  <c r="AR1112" i="1" s="1"/>
  <c r="AV1110" i="1"/>
  <c r="AO1113" i="1"/>
  <c r="AN1113" i="1" s="1"/>
  <c r="BD1113" i="1" l="1"/>
  <c r="BQ1113" i="1"/>
  <c r="AU1112" i="1"/>
  <c r="AS1112" i="1"/>
  <c r="AT1112" i="1"/>
  <c r="AR1113" i="1" a="1"/>
  <c r="AR1113" i="1" s="1"/>
  <c r="AV1111" i="1"/>
  <c r="AO1114" i="1"/>
  <c r="AN1114" i="1" s="1"/>
  <c r="BD1114" i="1" l="1"/>
  <c r="BQ1114" i="1"/>
  <c r="AU1113" i="1"/>
  <c r="AS1113" i="1"/>
  <c r="AT1113" i="1"/>
  <c r="AR1114" i="1" a="1"/>
  <c r="AR1114" i="1" s="1"/>
  <c r="AV1112" i="1"/>
  <c r="AO1115" i="1"/>
  <c r="AN1115" i="1" s="1"/>
  <c r="BD1115" i="1" l="1"/>
  <c r="BQ1115" i="1"/>
  <c r="AS1114" i="1"/>
  <c r="AT1114" i="1"/>
  <c r="AU1114" i="1"/>
  <c r="AR1115" i="1" a="1"/>
  <c r="AR1115" i="1" s="1"/>
  <c r="AV1113" i="1"/>
  <c r="AO1116" i="1"/>
  <c r="AN1116" i="1" s="1"/>
  <c r="BD1116" i="1" l="1"/>
  <c r="BQ1116" i="1"/>
  <c r="AT1115" i="1"/>
  <c r="AU1115" i="1"/>
  <c r="AS1115" i="1"/>
  <c r="AR1116" i="1" a="1"/>
  <c r="AR1116" i="1" s="1"/>
  <c r="AV1114" i="1"/>
  <c r="AO1117" i="1"/>
  <c r="AN1117" i="1" s="1"/>
  <c r="BD1117" i="1" l="1"/>
  <c r="BQ1117" i="1"/>
  <c r="AU1116" i="1"/>
  <c r="AS1116" i="1"/>
  <c r="AT1116" i="1"/>
  <c r="AR1117" i="1" a="1"/>
  <c r="AR1117" i="1" s="1"/>
  <c r="AV1115" i="1"/>
  <c r="AO1118" i="1"/>
  <c r="AN1118" i="1" s="1"/>
  <c r="BD1118" i="1" l="1"/>
  <c r="BQ1118" i="1"/>
  <c r="AT1117" i="1"/>
  <c r="AS1117" i="1"/>
  <c r="AU1117" i="1"/>
  <c r="AR1118" i="1" a="1"/>
  <c r="AR1118" i="1" s="1"/>
  <c r="AV1116" i="1"/>
  <c r="AO1119" i="1"/>
  <c r="AN1119" i="1" s="1"/>
  <c r="BD1119" i="1" l="1"/>
  <c r="BQ1119" i="1"/>
  <c r="AS1118" i="1"/>
  <c r="AT1118" i="1"/>
  <c r="AU1118" i="1"/>
  <c r="AR1119" i="1" a="1"/>
  <c r="AR1119" i="1" s="1"/>
  <c r="AV1117" i="1"/>
  <c r="AO1120" i="1"/>
  <c r="AN1120" i="1" s="1"/>
  <c r="BD1120" i="1" l="1"/>
  <c r="BQ1120" i="1"/>
  <c r="AT1119" i="1"/>
  <c r="AS1119" i="1"/>
  <c r="AU1119" i="1"/>
  <c r="AR1120" i="1" a="1"/>
  <c r="AR1120" i="1" s="1"/>
  <c r="AV1118" i="1"/>
  <c r="AO1121" i="1"/>
  <c r="AN1121" i="1" s="1"/>
  <c r="BD1121" i="1" l="1"/>
  <c r="BQ1121" i="1"/>
  <c r="AU1120" i="1"/>
  <c r="AT1120" i="1"/>
  <c r="AS1120" i="1"/>
  <c r="AR1121" i="1" a="1"/>
  <c r="AR1121" i="1" s="1"/>
  <c r="AV1119" i="1"/>
  <c r="AO1122" i="1"/>
  <c r="AN1122" i="1" s="1"/>
  <c r="BD1122" i="1" l="1"/>
  <c r="BQ1122" i="1"/>
  <c r="AS1121" i="1"/>
  <c r="AT1121" i="1"/>
  <c r="AU1121" i="1"/>
  <c r="AR1122" i="1" a="1"/>
  <c r="AR1122" i="1" s="1"/>
  <c r="AV1120" i="1"/>
  <c r="AO1123" i="1"/>
  <c r="AN1123" i="1" s="1"/>
  <c r="BD1123" i="1" l="1"/>
  <c r="BQ1123" i="1"/>
  <c r="AS1122" i="1"/>
  <c r="AU1122" i="1"/>
  <c r="AT1122" i="1"/>
  <c r="AR1123" i="1" a="1"/>
  <c r="AR1123" i="1" s="1"/>
  <c r="AV1121" i="1"/>
  <c r="AO1124" i="1"/>
  <c r="AN1124" i="1" s="1"/>
  <c r="BD1124" i="1" l="1"/>
  <c r="BQ1124" i="1"/>
  <c r="AT1123" i="1"/>
  <c r="AS1123" i="1"/>
  <c r="AU1123" i="1"/>
  <c r="AR1124" i="1" a="1"/>
  <c r="AR1124" i="1" s="1"/>
  <c r="AV1122" i="1"/>
  <c r="AO1125" i="1"/>
  <c r="AN1125" i="1" s="1"/>
  <c r="BD1125" i="1" l="1"/>
  <c r="BQ1125" i="1"/>
  <c r="AU1124" i="1"/>
  <c r="AT1124" i="1"/>
  <c r="AS1124" i="1"/>
  <c r="AR1125" i="1" a="1"/>
  <c r="AR1125" i="1" s="1"/>
  <c r="AV1123" i="1"/>
  <c r="AO1126" i="1"/>
  <c r="AN1126" i="1" s="1"/>
  <c r="BD1126" i="1" l="1"/>
  <c r="BQ1126" i="1"/>
  <c r="AS1125" i="1"/>
  <c r="AT1125" i="1"/>
  <c r="AU1125" i="1"/>
  <c r="AR1126" i="1" a="1"/>
  <c r="AR1126" i="1" s="1"/>
  <c r="AV1124" i="1"/>
  <c r="AO1127" i="1"/>
  <c r="AN1127" i="1" s="1"/>
  <c r="BD1127" i="1" l="1"/>
  <c r="BQ1127" i="1"/>
  <c r="AS1126" i="1"/>
  <c r="AT1126" i="1"/>
  <c r="AU1126" i="1"/>
  <c r="AR1127" i="1" a="1"/>
  <c r="AR1127" i="1" s="1"/>
  <c r="AV1125" i="1"/>
  <c r="AO1128" i="1"/>
  <c r="AN1128" i="1" s="1"/>
  <c r="BD1128" i="1" l="1"/>
  <c r="BQ1128" i="1"/>
  <c r="AT1127" i="1"/>
  <c r="AS1127" i="1"/>
  <c r="AU1127" i="1"/>
  <c r="AR1128" i="1" a="1"/>
  <c r="AR1128" i="1" s="1"/>
  <c r="AV1126" i="1"/>
  <c r="AO1129" i="1"/>
  <c r="AN1129" i="1" s="1"/>
  <c r="BD1129" i="1" l="1"/>
  <c r="BQ1129" i="1"/>
  <c r="AU1128" i="1"/>
  <c r="AS1128" i="1"/>
  <c r="AT1128" i="1"/>
  <c r="AR1129" i="1" a="1"/>
  <c r="AR1129" i="1" s="1"/>
  <c r="AV1127" i="1"/>
  <c r="AO1130" i="1"/>
  <c r="AN1130" i="1" s="1"/>
  <c r="BD1130" i="1" l="1"/>
  <c r="BQ1130" i="1"/>
  <c r="AU1129" i="1"/>
  <c r="AT1129" i="1"/>
  <c r="AS1129" i="1"/>
  <c r="AR1130" i="1" a="1"/>
  <c r="AR1130" i="1" s="1"/>
  <c r="AV1128" i="1"/>
  <c r="AO1131" i="1"/>
  <c r="AN1131" i="1" s="1"/>
  <c r="BD1131" i="1" l="1"/>
  <c r="BQ1131" i="1"/>
  <c r="AS1130" i="1"/>
  <c r="AT1130" i="1"/>
  <c r="AU1130" i="1"/>
  <c r="AR1131" i="1" a="1"/>
  <c r="AR1131" i="1" s="1"/>
  <c r="AV1129" i="1"/>
  <c r="AO1132" i="1"/>
  <c r="AN1132" i="1" s="1"/>
  <c r="BD1132" i="1" l="1"/>
  <c r="BQ1132" i="1"/>
  <c r="AT1131" i="1"/>
  <c r="AU1131" i="1"/>
  <c r="AS1131" i="1"/>
  <c r="AR1132" i="1" a="1"/>
  <c r="AR1132" i="1" s="1"/>
  <c r="AV1130" i="1"/>
  <c r="AO1133" i="1"/>
  <c r="AN1133" i="1" s="1"/>
  <c r="BD1133" i="1" l="1"/>
  <c r="BQ1133" i="1"/>
  <c r="AU1132" i="1"/>
  <c r="AS1132" i="1"/>
  <c r="AT1132" i="1"/>
  <c r="AR1133" i="1" a="1"/>
  <c r="AR1133" i="1" s="1"/>
  <c r="AV1131" i="1"/>
  <c r="AO1134" i="1"/>
  <c r="AN1134" i="1" s="1"/>
  <c r="BD1134" i="1" l="1"/>
  <c r="BQ1134" i="1"/>
  <c r="AT1133" i="1"/>
  <c r="AS1133" i="1"/>
  <c r="AU1133" i="1"/>
  <c r="AR1134" i="1" a="1"/>
  <c r="AR1134" i="1" s="1"/>
  <c r="AV1132" i="1"/>
  <c r="AO1135" i="1"/>
  <c r="AN1135" i="1" s="1"/>
  <c r="BD1135" i="1" l="1"/>
  <c r="BQ1135" i="1"/>
  <c r="AS1134" i="1"/>
  <c r="AT1134" i="1"/>
  <c r="AU1134" i="1"/>
  <c r="AR1135" i="1" a="1"/>
  <c r="AR1135" i="1" s="1"/>
  <c r="AV1133" i="1"/>
  <c r="AO1136" i="1"/>
  <c r="AN1136" i="1" s="1"/>
  <c r="BD1136" i="1" l="1"/>
  <c r="BQ1136" i="1"/>
  <c r="AT1135" i="1"/>
  <c r="AS1135" i="1"/>
  <c r="AU1135" i="1"/>
  <c r="AR1136" i="1" a="1"/>
  <c r="AR1136" i="1" s="1"/>
  <c r="AV1134" i="1"/>
  <c r="AO1137" i="1"/>
  <c r="AN1137" i="1" s="1"/>
  <c r="BD1137" i="1" l="1"/>
  <c r="BQ1137" i="1"/>
  <c r="AU1136" i="1"/>
  <c r="AT1136" i="1"/>
  <c r="AS1136" i="1"/>
  <c r="AR1137" i="1" a="1"/>
  <c r="AR1137" i="1" s="1"/>
  <c r="AV1135" i="1"/>
  <c r="AO1138" i="1"/>
  <c r="AN1138" i="1" s="1"/>
  <c r="BD1138" i="1" l="1"/>
  <c r="BQ1138" i="1"/>
  <c r="AS1137" i="1"/>
  <c r="AT1137" i="1"/>
  <c r="AU1137" i="1"/>
  <c r="AR1138" i="1" a="1"/>
  <c r="AR1138" i="1" s="1"/>
  <c r="AV1136" i="1"/>
  <c r="AO1139" i="1"/>
  <c r="AN1139" i="1" s="1"/>
  <c r="BD1139" i="1" l="1"/>
  <c r="BQ1139" i="1"/>
  <c r="AS1138" i="1"/>
  <c r="AU1138" i="1"/>
  <c r="AT1138" i="1"/>
  <c r="AR1139" i="1" a="1"/>
  <c r="AR1139" i="1" s="1"/>
  <c r="AV1137" i="1"/>
  <c r="AO1140" i="1"/>
  <c r="AN1140" i="1" s="1"/>
  <c r="BD1140" i="1" l="1"/>
  <c r="BQ1140" i="1"/>
  <c r="AT1139" i="1"/>
  <c r="AS1139" i="1"/>
  <c r="AU1139" i="1"/>
  <c r="AR1140" i="1" a="1"/>
  <c r="AR1140" i="1" s="1"/>
  <c r="AV1138" i="1"/>
  <c r="AO1141" i="1"/>
  <c r="AN1141" i="1" s="1"/>
  <c r="BD1141" i="1" l="1"/>
  <c r="BQ1141" i="1"/>
  <c r="AU1140" i="1"/>
  <c r="AT1140" i="1"/>
  <c r="AS1140" i="1"/>
  <c r="AR1141" i="1" a="1"/>
  <c r="AR1141" i="1" s="1"/>
  <c r="AV1139" i="1"/>
  <c r="AO1142" i="1"/>
  <c r="AN1142" i="1" s="1"/>
  <c r="BD1142" i="1" l="1"/>
  <c r="BQ1142" i="1"/>
  <c r="AU1141" i="1"/>
  <c r="AS1141" i="1"/>
  <c r="AT1141" i="1"/>
  <c r="AR1142" i="1" a="1"/>
  <c r="AR1142" i="1" s="1"/>
  <c r="AV1140" i="1"/>
  <c r="AO1143" i="1"/>
  <c r="AN1143" i="1" s="1"/>
  <c r="BD1143" i="1" l="1"/>
  <c r="BQ1143" i="1"/>
  <c r="AS1142" i="1"/>
  <c r="AT1142" i="1"/>
  <c r="AU1142" i="1"/>
  <c r="AR1143" i="1" a="1"/>
  <c r="AR1143" i="1" s="1"/>
  <c r="AV1141" i="1"/>
  <c r="AO1144" i="1"/>
  <c r="AN1144" i="1" s="1"/>
  <c r="BD1144" i="1" l="1"/>
  <c r="BQ1144" i="1"/>
  <c r="AT1143" i="1"/>
  <c r="AS1143" i="1"/>
  <c r="AU1143" i="1"/>
  <c r="AR1144" i="1" a="1"/>
  <c r="AR1144" i="1" s="1"/>
  <c r="AV1142" i="1"/>
  <c r="AO1145" i="1"/>
  <c r="AN1145" i="1" s="1"/>
  <c r="BD1145" i="1" l="1"/>
  <c r="BQ1145" i="1"/>
  <c r="AU1144" i="1"/>
  <c r="AS1144" i="1"/>
  <c r="AT1144" i="1"/>
  <c r="AR1145" i="1" a="1"/>
  <c r="AR1145" i="1" s="1"/>
  <c r="AV1143" i="1"/>
  <c r="AO1146" i="1"/>
  <c r="AN1146" i="1" s="1"/>
  <c r="BD1146" i="1" l="1"/>
  <c r="BQ1146" i="1"/>
  <c r="AU1145" i="1"/>
  <c r="AT1145" i="1"/>
  <c r="AS1145" i="1"/>
  <c r="AR1146" i="1" a="1"/>
  <c r="AR1146" i="1" s="1"/>
  <c r="AV1144" i="1"/>
  <c r="AO1147" i="1"/>
  <c r="AN1147" i="1" s="1"/>
  <c r="BD1147" i="1" l="1"/>
  <c r="BQ1147" i="1"/>
  <c r="AS1146" i="1"/>
  <c r="AT1146" i="1"/>
  <c r="AU1146" i="1"/>
  <c r="AR1147" i="1" a="1"/>
  <c r="AR1147" i="1" s="1"/>
  <c r="AV1145" i="1"/>
  <c r="AO1148" i="1"/>
  <c r="AN1148" i="1" s="1"/>
  <c r="BD1148" i="1" l="1"/>
  <c r="BQ1148" i="1"/>
  <c r="AT1147" i="1"/>
  <c r="AU1147" i="1"/>
  <c r="AS1147" i="1"/>
  <c r="AR1148" i="1" a="1"/>
  <c r="AR1148" i="1" s="1"/>
  <c r="AV1146" i="1"/>
  <c r="AO1149" i="1"/>
  <c r="AN1149" i="1" s="1"/>
  <c r="BD1149" i="1" l="1"/>
  <c r="BQ1149" i="1"/>
  <c r="AU1148" i="1"/>
  <c r="AS1148" i="1"/>
  <c r="AT1148" i="1"/>
  <c r="AR1149" i="1" a="1"/>
  <c r="AR1149" i="1" s="1"/>
  <c r="AV1147" i="1"/>
  <c r="AO1150" i="1"/>
  <c r="AN1150" i="1" s="1"/>
  <c r="BD1150" i="1" l="1"/>
  <c r="BQ1150" i="1"/>
  <c r="AT1149" i="1"/>
  <c r="AS1149" i="1"/>
  <c r="AU1149" i="1"/>
  <c r="AR1150" i="1" a="1"/>
  <c r="AR1150" i="1" s="1"/>
  <c r="AV1148" i="1"/>
  <c r="AO1151" i="1"/>
  <c r="AN1151" i="1" s="1"/>
  <c r="BD1151" i="1" l="1"/>
  <c r="BQ1151" i="1"/>
  <c r="AS1150" i="1"/>
  <c r="AT1150" i="1"/>
  <c r="AU1150" i="1"/>
  <c r="AR1151" i="1" a="1"/>
  <c r="AR1151" i="1" s="1"/>
  <c r="AV1149" i="1"/>
  <c r="AO1152" i="1"/>
  <c r="AN1152" i="1" s="1"/>
  <c r="BD1152" i="1" l="1"/>
  <c r="BQ1152" i="1"/>
  <c r="AT1151" i="1"/>
  <c r="AS1151" i="1"/>
  <c r="AU1151" i="1"/>
  <c r="AR1152" i="1" a="1"/>
  <c r="AR1152" i="1" s="1"/>
  <c r="AV1150" i="1"/>
  <c r="AO1153" i="1"/>
  <c r="AN1153" i="1" s="1"/>
  <c r="BD1153" i="1" l="1"/>
  <c r="BQ1153" i="1"/>
  <c r="AU1152" i="1"/>
  <c r="AT1152" i="1"/>
  <c r="AS1152" i="1"/>
  <c r="AR1153" i="1" a="1"/>
  <c r="AR1153" i="1" s="1"/>
  <c r="AV1151" i="1"/>
  <c r="AO1154" i="1"/>
  <c r="AN1154" i="1" s="1"/>
  <c r="BD1154" i="1" l="1"/>
  <c r="BQ1154" i="1"/>
  <c r="AS1153" i="1"/>
  <c r="AT1153" i="1"/>
  <c r="AU1153" i="1"/>
  <c r="AR1154" i="1" a="1"/>
  <c r="AR1154" i="1" s="1"/>
  <c r="AV1152" i="1"/>
  <c r="AO1155" i="1"/>
  <c r="AN1155" i="1" s="1"/>
  <c r="BD1155" i="1" l="1"/>
  <c r="BQ1155" i="1"/>
  <c r="AS1154" i="1"/>
  <c r="AU1154" i="1"/>
  <c r="AT1154" i="1"/>
  <c r="AR1155" i="1" a="1"/>
  <c r="AR1155" i="1" s="1"/>
  <c r="AV1153" i="1"/>
  <c r="AO1156" i="1"/>
  <c r="AN1156" i="1" s="1"/>
  <c r="BD1156" i="1" l="1"/>
  <c r="BQ1156" i="1"/>
  <c r="AT1155" i="1"/>
  <c r="AS1155" i="1"/>
  <c r="AU1155" i="1"/>
  <c r="AR1156" i="1" a="1"/>
  <c r="AR1156" i="1" s="1"/>
  <c r="AV1154" i="1"/>
  <c r="AO1157" i="1"/>
  <c r="AN1157" i="1" s="1"/>
  <c r="BD1157" i="1" l="1"/>
  <c r="BQ1157" i="1"/>
  <c r="AU1156" i="1"/>
  <c r="AT1156" i="1"/>
  <c r="AS1156" i="1"/>
  <c r="AR1157" i="1" a="1"/>
  <c r="AR1157" i="1" s="1"/>
  <c r="AV1155" i="1"/>
  <c r="AO1158" i="1"/>
  <c r="AN1158" i="1" s="1"/>
  <c r="BD1158" i="1" l="1"/>
  <c r="BQ1158" i="1"/>
  <c r="AS1157" i="1"/>
  <c r="AT1157" i="1"/>
  <c r="AU1157" i="1"/>
  <c r="AR1158" i="1" a="1"/>
  <c r="AR1158" i="1" s="1"/>
  <c r="AV1156" i="1"/>
  <c r="AO1159" i="1"/>
  <c r="AN1159" i="1" s="1"/>
  <c r="BD1159" i="1" l="1"/>
  <c r="BQ1159" i="1"/>
  <c r="AS1158" i="1"/>
  <c r="AT1158" i="1"/>
  <c r="AU1158" i="1"/>
  <c r="AR1159" i="1" a="1"/>
  <c r="AR1159" i="1" s="1"/>
  <c r="AV1157" i="1"/>
  <c r="AO1160" i="1"/>
  <c r="AN1160" i="1" s="1"/>
  <c r="BD1160" i="1" l="1"/>
  <c r="BQ1160" i="1"/>
  <c r="AT1159" i="1"/>
  <c r="AU1159" i="1"/>
  <c r="AS1159" i="1"/>
  <c r="AR1160" i="1" a="1"/>
  <c r="AR1160" i="1" s="1"/>
  <c r="AV1158" i="1"/>
  <c r="AO1161" i="1"/>
  <c r="AN1161" i="1" s="1"/>
  <c r="BD1161" i="1" l="1"/>
  <c r="BQ1161" i="1"/>
  <c r="AU1160" i="1"/>
  <c r="AS1160" i="1"/>
  <c r="AT1160" i="1"/>
  <c r="AR1161" i="1" a="1"/>
  <c r="AR1161" i="1" s="1"/>
  <c r="AV1159" i="1"/>
  <c r="AO1162" i="1"/>
  <c r="AN1162" i="1" s="1"/>
  <c r="BD1162" i="1" l="1"/>
  <c r="BQ1162" i="1"/>
  <c r="AU1161" i="1"/>
  <c r="AS1161" i="1"/>
  <c r="AT1161" i="1"/>
  <c r="AR1162" i="1" a="1"/>
  <c r="AR1162" i="1" s="1"/>
  <c r="AV1160" i="1"/>
  <c r="AO1163" i="1"/>
  <c r="AN1163" i="1" s="1"/>
  <c r="BD1163" i="1" l="1"/>
  <c r="BQ1163" i="1"/>
  <c r="AS1162" i="1"/>
  <c r="AT1162" i="1"/>
  <c r="AU1162" i="1"/>
  <c r="AR1163" i="1" a="1"/>
  <c r="AR1163" i="1" s="1"/>
  <c r="AV1161" i="1"/>
  <c r="AO1164" i="1"/>
  <c r="AN1164" i="1" s="1"/>
  <c r="BD1164" i="1" l="1"/>
  <c r="BQ1164" i="1"/>
  <c r="AT1163" i="1"/>
  <c r="AU1163" i="1"/>
  <c r="AS1163" i="1"/>
  <c r="AR1164" i="1" a="1"/>
  <c r="AR1164" i="1" s="1"/>
  <c r="AV1162" i="1"/>
  <c r="AO1165" i="1"/>
  <c r="AN1165" i="1" s="1"/>
  <c r="BD1165" i="1" l="1"/>
  <c r="BQ1165" i="1"/>
  <c r="AU1164" i="1"/>
  <c r="AS1164" i="1"/>
  <c r="AT1164" i="1"/>
  <c r="AR1165" i="1" a="1"/>
  <c r="AR1165" i="1" s="1"/>
  <c r="AV1163" i="1"/>
  <c r="AO1166" i="1"/>
  <c r="AN1166" i="1" s="1"/>
  <c r="BD1166" i="1" l="1"/>
  <c r="BQ1166" i="1"/>
  <c r="AT1165" i="1"/>
  <c r="AS1165" i="1"/>
  <c r="AU1165" i="1"/>
  <c r="AR1166" i="1" a="1"/>
  <c r="AR1166" i="1" s="1"/>
  <c r="AV1164" i="1"/>
  <c r="AO1167" i="1"/>
  <c r="AN1167" i="1" s="1"/>
  <c r="BD1167" i="1" l="1"/>
  <c r="BQ1167" i="1"/>
  <c r="AS1166" i="1"/>
  <c r="AT1166" i="1"/>
  <c r="AU1166" i="1"/>
  <c r="AR1167" i="1" a="1"/>
  <c r="AR1167" i="1" s="1"/>
  <c r="AV1165" i="1"/>
  <c r="AO1168" i="1"/>
  <c r="AN1168" i="1" s="1"/>
  <c r="BD1168" i="1" l="1"/>
  <c r="BQ1168" i="1"/>
  <c r="AT1167" i="1"/>
  <c r="AS1167" i="1"/>
  <c r="AU1167" i="1"/>
  <c r="AR1168" i="1" a="1"/>
  <c r="AR1168" i="1" s="1"/>
  <c r="AV1166" i="1"/>
  <c r="AO1169" i="1"/>
  <c r="AN1169" i="1" s="1"/>
  <c r="BD1169" i="1" l="1"/>
  <c r="BQ1169" i="1"/>
  <c r="AU1168" i="1"/>
  <c r="AT1168" i="1"/>
  <c r="AS1168" i="1"/>
  <c r="AR1169" i="1" a="1"/>
  <c r="AR1169" i="1" s="1"/>
  <c r="AV1167" i="1"/>
  <c r="AO1170" i="1"/>
  <c r="AN1170" i="1" s="1"/>
  <c r="BD1170" i="1" l="1"/>
  <c r="BQ1170" i="1"/>
  <c r="AS1169" i="1"/>
  <c r="AT1169" i="1"/>
  <c r="AU1169" i="1"/>
  <c r="AR1170" i="1" a="1"/>
  <c r="AR1170" i="1" s="1"/>
  <c r="AV1168" i="1"/>
  <c r="AO1171" i="1"/>
  <c r="AN1171" i="1" s="1"/>
  <c r="BD1171" i="1" l="1"/>
  <c r="BQ1171" i="1"/>
  <c r="AS1170" i="1"/>
  <c r="AU1170" i="1"/>
  <c r="AT1170" i="1"/>
  <c r="AR1171" i="1" a="1"/>
  <c r="AR1171" i="1" s="1"/>
  <c r="AV1169" i="1"/>
  <c r="AO1172" i="1"/>
  <c r="AN1172" i="1" s="1"/>
  <c r="BD1172" i="1" l="1"/>
  <c r="BQ1172" i="1"/>
  <c r="AT1171" i="1"/>
  <c r="AS1171" i="1"/>
  <c r="AU1171" i="1"/>
  <c r="AR1172" i="1" a="1"/>
  <c r="AR1172" i="1" s="1"/>
  <c r="AV1170" i="1"/>
  <c r="AO1173" i="1"/>
  <c r="AN1173" i="1" s="1"/>
  <c r="BD1173" i="1" l="1"/>
  <c r="BQ1173" i="1"/>
  <c r="AU1172" i="1"/>
  <c r="AT1172" i="1"/>
  <c r="AS1172" i="1"/>
  <c r="AR1173" i="1" a="1"/>
  <c r="AR1173" i="1" s="1"/>
  <c r="AV1171" i="1"/>
  <c r="AO1174" i="1"/>
  <c r="AN1174" i="1" s="1"/>
  <c r="BD1174" i="1" l="1"/>
  <c r="BQ1174" i="1"/>
  <c r="AS1173" i="1"/>
  <c r="AT1173" i="1"/>
  <c r="AU1173" i="1"/>
  <c r="AR1174" i="1" a="1"/>
  <c r="AR1174" i="1" s="1"/>
  <c r="AV1172" i="1"/>
  <c r="AO1175" i="1"/>
  <c r="AN1175" i="1" s="1"/>
  <c r="BD1175" i="1" l="1"/>
  <c r="BQ1175" i="1"/>
  <c r="AS1174" i="1"/>
  <c r="AT1174" i="1"/>
  <c r="AU1174" i="1"/>
  <c r="AR1175" i="1" a="1"/>
  <c r="AR1175" i="1" s="1"/>
  <c r="AV1173" i="1"/>
  <c r="AO1176" i="1"/>
  <c r="AN1176" i="1" s="1"/>
  <c r="BD1176" i="1" l="1"/>
  <c r="BQ1176" i="1"/>
  <c r="AT1175" i="1"/>
  <c r="AU1175" i="1"/>
  <c r="AS1175" i="1"/>
  <c r="AR1176" i="1" a="1"/>
  <c r="AR1176" i="1" s="1"/>
  <c r="AV1174" i="1"/>
  <c r="AO1177" i="1"/>
  <c r="AN1177" i="1" s="1"/>
  <c r="BD1177" i="1" l="1"/>
  <c r="BQ1177" i="1"/>
  <c r="AU1176" i="1"/>
  <c r="AS1176" i="1"/>
  <c r="AT1176" i="1"/>
  <c r="AR1177" i="1" a="1"/>
  <c r="AR1177" i="1" s="1"/>
  <c r="AV1175" i="1"/>
  <c r="AO1178" i="1"/>
  <c r="AN1178" i="1" s="1"/>
  <c r="BD1178" i="1" l="1"/>
  <c r="BQ1178" i="1"/>
  <c r="AU1177" i="1"/>
  <c r="AS1177" i="1"/>
  <c r="AT1177" i="1"/>
  <c r="AR1178" i="1" a="1"/>
  <c r="AR1178" i="1" s="1"/>
  <c r="AV1176" i="1"/>
  <c r="AO1179" i="1"/>
  <c r="AN1179" i="1" s="1"/>
  <c r="BD1179" i="1" l="1"/>
  <c r="BQ1179" i="1"/>
  <c r="AS1178" i="1"/>
  <c r="AT1178" i="1"/>
  <c r="AU1178" i="1"/>
  <c r="AR1179" i="1" a="1"/>
  <c r="AR1179" i="1" s="1"/>
  <c r="AV1177" i="1"/>
  <c r="AO1180" i="1"/>
  <c r="AN1180" i="1" s="1"/>
  <c r="BD1180" i="1" l="1"/>
  <c r="BQ1180" i="1"/>
  <c r="AT1179" i="1"/>
  <c r="AU1179" i="1"/>
  <c r="AS1179" i="1"/>
  <c r="AR1180" i="1" a="1"/>
  <c r="AR1180" i="1" s="1"/>
  <c r="AV1178" i="1"/>
  <c r="AO1181" i="1"/>
  <c r="AN1181" i="1" s="1"/>
  <c r="BD1181" i="1" l="1"/>
  <c r="BQ1181" i="1"/>
  <c r="AU1180" i="1"/>
  <c r="AS1180" i="1"/>
  <c r="AT1180" i="1"/>
  <c r="AR1181" i="1" a="1"/>
  <c r="AR1181" i="1" s="1"/>
  <c r="AV1179" i="1"/>
  <c r="AO1182" i="1"/>
  <c r="AN1182" i="1" s="1"/>
  <c r="BD1182" i="1" l="1"/>
  <c r="BQ1182" i="1"/>
  <c r="AT1181" i="1"/>
  <c r="AU1181" i="1"/>
  <c r="AS1181" i="1"/>
  <c r="AR1182" i="1" a="1"/>
  <c r="AR1182" i="1" s="1"/>
  <c r="AV1180" i="1"/>
  <c r="AO1183" i="1"/>
  <c r="AN1183" i="1" s="1"/>
  <c r="BD1183" i="1" l="1"/>
  <c r="BQ1183" i="1"/>
  <c r="AS1182" i="1"/>
  <c r="AU1182" i="1"/>
  <c r="AT1182" i="1"/>
  <c r="AR1183" i="1" a="1"/>
  <c r="AR1183" i="1" s="1"/>
  <c r="AV1181" i="1"/>
  <c r="AO1184" i="1"/>
  <c r="AN1184" i="1" s="1"/>
  <c r="BD1184" i="1" l="1"/>
  <c r="BQ1184" i="1"/>
  <c r="AT1183" i="1"/>
  <c r="AS1183" i="1"/>
  <c r="AU1183" i="1"/>
  <c r="AR1184" i="1" a="1"/>
  <c r="AR1184" i="1" s="1"/>
  <c r="AV1182" i="1"/>
  <c r="AO1185" i="1"/>
  <c r="AN1185" i="1" s="1"/>
  <c r="BD1185" i="1" l="1"/>
  <c r="BQ1185" i="1"/>
  <c r="AU1184" i="1"/>
  <c r="AS1184" i="1"/>
  <c r="AT1184" i="1"/>
  <c r="AR1185" i="1" a="1"/>
  <c r="AR1185" i="1" s="1"/>
  <c r="AV1183" i="1"/>
  <c r="AO1186" i="1"/>
  <c r="AN1186" i="1" s="1"/>
  <c r="BD1186" i="1" l="1"/>
  <c r="BQ1186" i="1"/>
  <c r="AS1185" i="1"/>
  <c r="AT1185" i="1"/>
  <c r="AU1185" i="1"/>
  <c r="AR1186" i="1" a="1"/>
  <c r="AR1186" i="1" s="1"/>
  <c r="AV1184" i="1"/>
  <c r="AO1187" i="1"/>
  <c r="AN1187" i="1" s="1"/>
  <c r="BD1187" i="1" l="1"/>
  <c r="BQ1187" i="1"/>
  <c r="AS1186" i="1"/>
  <c r="AU1186" i="1"/>
  <c r="AT1186" i="1"/>
  <c r="AR1187" i="1" a="1"/>
  <c r="AR1187" i="1" s="1"/>
  <c r="AV1185" i="1"/>
  <c r="AO1188" i="1"/>
  <c r="AN1188" i="1" s="1"/>
  <c r="BD1188" i="1" l="1"/>
  <c r="BQ1188" i="1"/>
  <c r="AT1187" i="1"/>
  <c r="AS1187" i="1"/>
  <c r="AU1187" i="1"/>
  <c r="AR1188" i="1" a="1"/>
  <c r="AR1188" i="1" s="1"/>
  <c r="AV1186" i="1"/>
  <c r="AO1189" i="1"/>
  <c r="AN1189" i="1" s="1"/>
  <c r="BD1189" i="1" l="1"/>
  <c r="BQ1189" i="1"/>
  <c r="AU1188" i="1"/>
  <c r="AT1188" i="1"/>
  <c r="AS1188" i="1"/>
  <c r="AR1189" i="1" a="1"/>
  <c r="AR1189" i="1" s="1"/>
  <c r="AV1187" i="1"/>
  <c r="AO1190" i="1"/>
  <c r="AN1190" i="1" s="1"/>
  <c r="BD1190" i="1" l="1"/>
  <c r="BQ1190" i="1"/>
  <c r="AU1189" i="1"/>
  <c r="AS1189" i="1"/>
  <c r="AT1189" i="1"/>
  <c r="AR1190" i="1" a="1"/>
  <c r="AR1190" i="1" s="1"/>
  <c r="AV1188" i="1"/>
  <c r="AO1191" i="1"/>
  <c r="AN1191" i="1" s="1"/>
  <c r="BD1191" i="1" l="1"/>
  <c r="BQ1191" i="1"/>
  <c r="AS1190" i="1"/>
  <c r="AT1190" i="1"/>
  <c r="AU1190" i="1"/>
  <c r="AR1191" i="1" a="1"/>
  <c r="AR1191" i="1" s="1"/>
  <c r="AV1189" i="1"/>
  <c r="AO1192" i="1"/>
  <c r="AN1192" i="1" s="1"/>
  <c r="BD1192" i="1" l="1"/>
  <c r="BQ1192" i="1"/>
  <c r="AT1191" i="1"/>
  <c r="AS1191" i="1"/>
  <c r="AU1191" i="1"/>
  <c r="AR1192" i="1" a="1"/>
  <c r="AR1192" i="1" s="1"/>
  <c r="AV1190" i="1"/>
  <c r="AO1193" i="1"/>
  <c r="AN1193" i="1" s="1"/>
  <c r="BD1193" i="1" l="1"/>
  <c r="BQ1193" i="1"/>
  <c r="AU1192" i="1"/>
  <c r="AS1192" i="1"/>
  <c r="AT1192" i="1"/>
  <c r="AR1193" i="1" a="1"/>
  <c r="AR1193" i="1" s="1"/>
  <c r="AV1191" i="1"/>
  <c r="AO1194" i="1"/>
  <c r="AN1194" i="1" s="1"/>
  <c r="BD1194" i="1" l="1"/>
  <c r="BQ1194" i="1"/>
  <c r="AU1193" i="1"/>
  <c r="AT1193" i="1"/>
  <c r="AS1193" i="1"/>
  <c r="AR1194" i="1" a="1"/>
  <c r="AR1194" i="1" s="1"/>
  <c r="AV1192" i="1"/>
  <c r="AO1195" i="1"/>
  <c r="AN1195" i="1" s="1"/>
  <c r="BD1195" i="1" l="1"/>
  <c r="BQ1195" i="1"/>
  <c r="AS1194" i="1"/>
  <c r="AT1194" i="1"/>
  <c r="AU1194" i="1"/>
  <c r="AR1195" i="1" a="1"/>
  <c r="AR1195" i="1" s="1"/>
  <c r="AV1193" i="1"/>
  <c r="AO1196" i="1"/>
  <c r="AN1196" i="1" s="1"/>
  <c r="BD1196" i="1" l="1"/>
  <c r="BQ1196" i="1"/>
  <c r="AT1195" i="1"/>
  <c r="AU1195" i="1"/>
  <c r="AS1195" i="1"/>
  <c r="AR1196" i="1" a="1"/>
  <c r="AR1196" i="1" s="1"/>
  <c r="AV1194" i="1"/>
  <c r="AO1197" i="1"/>
  <c r="AN1197" i="1" s="1"/>
  <c r="BD1197" i="1" l="1"/>
  <c r="BQ1197" i="1"/>
  <c r="AU1196" i="1"/>
  <c r="AS1196" i="1"/>
  <c r="AT1196" i="1"/>
  <c r="AR1197" i="1" a="1"/>
  <c r="AR1197" i="1" s="1"/>
  <c r="AV1195" i="1"/>
  <c r="AO1198" i="1"/>
  <c r="AN1198" i="1" s="1"/>
  <c r="BD1198" i="1" l="1"/>
  <c r="BQ1198" i="1"/>
  <c r="AT1197" i="1"/>
  <c r="AS1197" i="1"/>
  <c r="AU1197" i="1"/>
  <c r="AR1198" i="1" a="1"/>
  <c r="AR1198" i="1" s="1"/>
  <c r="AV1196" i="1"/>
  <c r="AO1199" i="1"/>
  <c r="AN1199" i="1" s="1"/>
  <c r="BD1199" i="1" l="1"/>
  <c r="BQ1199" i="1"/>
  <c r="AS1198" i="1"/>
  <c r="AT1198" i="1"/>
  <c r="AU1198" i="1"/>
  <c r="AR1199" i="1" a="1"/>
  <c r="AR1199" i="1" s="1"/>
  <c r="AV1197" i="1"/>
  <c r="AO1200" i="1"/>
  <c r="AN1200" i="1" s="1"/>
  <c r="BD1200" i="1" l="1"/>
  <c r="BQ1200" i="1"/>
  <c r="AT1199" i="1"/>
  <c r="AS1199" i="1"/>
  <c r="AU1199" i="1"/>
  <c r="AR1200" i="1" a="1"/>
  <c r="AR1200" i="1" s="1"/>
  <c r="AV1198" i="1"/>
  <c r="AO1201" i="1"/>
  <c r="AN1201" i="1" s="1"/>
  <c r="BD1201" i="1" l="1"/>
  <c r="BQ1201" i="1"/>
  <c r="AU1200" i="1"/>
  <c r="AS1200" i="1"/>
  <c r="AT1200" i="1"/>
  <c r="AR1201" i="1" a="1"/>
  <c r="AR1201" i="1" s="1"/>
  <c r="AV1199" i="1"/>
  <c r="AO1202" i="1"/>
  <c r="AN1202" i="1" s="1"/>
  <c r="BD1202" i="1" l="1"/>
  <c r="BQ1202" i="1"/>
  <c r="AS1201" i="1"/>
  <c r="AT1201" i="1"/>
  <c r="AU1201" i="1"/>
  <c r="AR1202" i="1" a="1"/>
  <c r="AR1202" i="1" s="1"/>
  <c r="AV1200" i="1"/>
  <c r="AO1203" i="1"/>
  <c r="AN1203" i="1" s="1"/>
  <c r="BD1203" i="1" l="1"/>
  <c r="BQ1203" i="1"/>
  <c r="AS1202" i="1"/>
  <c r="AU1202" i="1"/>
  <c r="AT1202" i="1"/>
  <c r="AR1203" i="1" a="1"/>
  <c r="AR1203" i="1" s="1"/>
  <c r="AV1201" i="1"/>
  <c r="AO1204" i="1"/>
  <c r="AN1204" i="1" s="1"/>
  <c r="BD1204" i="1" l="1"/>
  <c r="BQ1204" i="1"/>
  <c r="AT1203" i="1"/>
  <c r="AS1203" i="1"/>
  <c r="AU1203" i="1"/>
  <c r="AR1204" i="1" a="1"/>
  <c r="AR1204" i="1" s="1"/>
  <c r="AV1202" i="1"/>
  <c r="AO1205" i="1"/>
  <c r="AN1205" i="1" s="1"/>
  <c r="BD1205" i="1" l="1"/>
  <c r="BQ1205" i="1"/>
  <c r="AU1204" i="1"/>
  <c r="AT1204" i="1"/>
  <c r="AS1204" i="1"/>
  <c r="AR1205" i="1" a="1"/>
  <c r="AR1205" i="1" s="1"/>
  <c r="AV1203" i="1"/>
  <c r="AO1206" i="1"/>
  <c r="AN1206" i="1" s="1"/>
  <c r="BD1206" i="1" l="1"/>
  <c r="BQ1206" i="1"/>
  <c r="AU1205" i="1"/>
  <c r="AS1205" i="1"/>
  <c r="AT1205" i="1"/>
  <c r="AR1206" i="1" a="1"/>
  <c r="AR1206" i="1" s="1"/>
  <c r="AV1204" i="1"/>
  <c r="AO1207" i="1"/>
  <c r="AN1207" i="1" s="1"/>
  <c r="EA60" i="1" l="1"/>
  <c r="EA41" i="1"/>
  <c r="EA18" i="1"/>
  <c r="EA39" i="1"/>
  <c r="EA56" i="1"/>
  <c r="EA28" i="1"/>
  <c r="EA53" i="1"/>
  <c r="EA45" i="1"/>
  <c r="EA37" i="1"/>
  <c r="EA29" i="1"/>
  <c r="EA21" i="1"/>
  <c r="EA13" i="1"/>
  <c r="EQ162" i="1" s="1"/>
  <c r="EA36" i="1"/>
  <c r="EA24" i="1"/>
  <c r="EA16" i="1"/>
  <c r="EA54" i="1"/>
  <c r="EA46" i="1"/>
  <c r="EA38" i="1"/>
  <c r="EA30" i="1"/>
  <c r="EA22" i="1"/>
  <c r="EA14" i="1"/>
  <c r="EA40" i="1"/>
  <c r="EA59" i="1"/>
  <c r="EA51" i="1"/>
  <c r="EA43" i="1"/>
  <c r="EA35" i="1"/>
  <c r="EA27" i="1"/>
  <c r="EA19" i="1"/>
  <c r="EA25" i="1"/>
  <c r="EA20" i="1"/>
  <c r="EA50" i="1"/>
  <c r="EA26" i="1"/>
  <c r="EA12" i="1"/>
  <c r="EQ161" i="1" s="1"/>
  <c r="EA47" i="1"/>
  <c r="EA23" i="1"/>
  <c r="EA52" i="1"/>
  <c r="EA57" i="1"/>
  <c r="EA49" i="1"/>
  <c r="EA33" i="1"/>
  <c r="EA17" i="1"/>
  <c r="EA44" i="1"/>
  <c r="EA32" i="1"/>
  <c r="EA58" i="1"/>
  <c r="EA42" i="1"/>
  <c r="EA34" i="1"/>
  <c r="EA48" i="1"/>
  <c r="EA55" i="1"/>
  <c r="EA31" i="1"/>
  <c r="EA15" i="1"/>
  <c r="BD1207" i="1"/>
  <c r="EA11" i="1"/>
  <c r="BQ1207" i="1"/>
  <c r="AS1206" i="1"/>
  <c r="AT1206" i="1"/>
  <c r="AU1206" i="1"/>
  <c r="AR1207" i="1" a="1"/>
  <c r="AR1207" i="1" s="1"/>
  <c r="AV1205" i="1"/>
  <c r="AO1208" i="1"/>
  <c r="AN1208" i="1" s="1"/>
  <c r="EQ160" i="1" l="1"/>
  <c r="FD11" i="1" s="1"/>
  <c r="AY36" i="10" s="1"/>
  <c r="BD1208" i="1"/>
  <c r="BQ1208" i="1"/>
  <c r="AT1207" i="1"/>
  <c r="AS1207" i="1"/>
  <c r="AU1207" i="1"/>
  <c r="AR1208" i="1" a="1"/>
  <c r="AR1208" i="1" s="1"/>
  <c r="AV1206" i="1"/>
  <c r="AO1209" i="1"/>
  <c r="AN1209" i="1" s="1"/>
  <c r="AY36" i="3" l="1"/>
  <c r="BD1209" i="1"/>
  <c r="BQ1209" i="1"/>
  <c r="AU1208" i="1"/>
  <c r="AS1208" i="1"/>
  <c r="AT1208" i="1"/>
  <c r="AR1209" i="1" a="1"/>
  <c r="AR1209" i="1" s="1"/>
  <c r="AV1207" i="1"/>
  <c r="AO1210" i="1"/>
  <c r="AN1210" i="1" s="1"/>
  <c r="BD1210" i="1" l="1"/>
  <c r="BQ1210" i="1"/>
  <c r="AU1209" i="1"/>
  <c r="AT1209" i="1"/>
  <c r="AS1209" i="1"/>
  <c r="AR1210" i="1" a="1"/>
  <c r="AR1210" i="1" s="1"/>
  <c r="AV1208" i="1"/>
  <c r="AO1211" i="1"/>
  <c r="AN1211" i="1" s="1"/>
  <c r="BD1211" i="1" l="1"/>
  <c r="BQ1211" i="1"/>
  <c r="AS1210" i="1"/>
  <c r="AT1210" i="1"/>
  <c r="AU1210" i="1"/>
  <c r="AR1211" i="1" a="1"/>
  <c r="AR1211" i="1" s="1"/>
  <c r="AV1209" i="1"/>
  <c r="AO1212" i="1"/>
  <c r="AN1212" i="1" s="1"/>
  <c r="BD1212" i="1" l="1"/>
  <c r="BQ1212" i="1"/>
  <c r="AT1211" i="1"/>
  <c r="AU1211" i="1"/>
  <c r="AS1211" i="1"/>
  <c r="AR1212" i="1" a="1"/>
  <c r="AR1212" i="1" s="1"/>
  <c r="AV1210" i="1"/>
  <c r="AO1213" i="1"/>
  <c r="AN1213" i="1" s="1"/>
  <c r="BD1213" i="1" l="1"/>
  <c r="BQ1213" i="1"/>
  <c r="AU1212" i="1"/>
  <c r="AS1212" i="1"/>
  <c r="AT1212" i="1"/>
  <c r="AR1213" i="1" a="1"/>
  <c r="AR1213" i="1" s="1"/>
  <c r="AV1211" i="1"/>
  <c r="AO1214" i="1"/>
  <c r="AN1214" i="1" s="1"/>
  <c r="BD1214" i="1" l="1"/>
  <c r="BQ1214" i="1"/>
  <c r="AT1213" i="1"/>
  <c r="AS1213" i="1"/>
  <c r="AU1213" i="1"/>
  <c r="AR1214" i="1" a="1"/>
  <c r="AR1214" i="1" s="1"/>
  <c r="AV1212" i="1"/>
  <c r="AO1215" i="1"/>
  <c r="AN1215" i="1" s="1"/>
  <c r="BD1215" i="1" l="1"/>
  <c r="BQ1215" i="1"/>
  <c r="AS1214" i="1"/>
  <c r="AU1214" i="1"/>
  <c r="AT1214" i="1"/>
  <c r="AR1215" i="1" a="1"/>
  <c r="AR1215" i="1" s="1"/>
  <c r="AV1213" i="1"/>
  <c r="AO1216" i="1"/>
  <c r="AN1216" i="1" s="1"/>
  <c r="BD1216" i="1" l="1"/>
  <c r="BQ1216" i="1"/>
  <c r="AT1215" i="1"/>
  <c r="AS1215" i="1"/>
  <c r="AU1215" i="1"/>
  <c r="AR1216" i="1" a="1"/>
  <c r="AR1216" i="1" s="1"/>
  <c r="AV1214" i="1"/>
  <c r="AO1217" i="1"/>
  <c r="AN1217" i="1" s="1"/>
  <c r="BD1217" i="1" l="1"/>
  <c r="BQ1217" i="1"/>
  <c r="AU1216" i="1"/>
  <c r="AS1216" i="1"/>
  <c r="AT1216" i="1"/>
  <c r="AR1217" i="1" a="1"/>
  <c r="AR1217" i="1" s="1"/>
  <c r="AV1215" i="1"/>
  <c r="AO1218" i="1"/>
  <c r="AN1218" i="1" s="1"/>
  <c r="BD1218" i="1" l="1"/>
  <c r="BQ1218" i="1"/>
  <c r="AS1217" i="1"/>
  <c r="AT1217" i="1"/>
  <c r="AU1217" i="1"/>
  <c r="AR1218" i="1" a="1"/>
  <c r="AR1218" i="1" s="1"/>
  <c r="AV1216" i="1"/>
  <c r="AO1219" i="1"/>
  <c r="AN1219" i="1" s="1"/>
  <c r="BD1219" i="1" l="1"/>
  <c r="AT1218" i="1"/>
  <c r="AS1218" i="1"/>
  <c r="AU1218" i="1"/>
  <c r="AR1219" i="1" a="1"/>
  <c r="AR1219" i="1" s="1"/>
  <c r="AV1217" i="1"/>
  <c r="AU1219" i="1" l="1"/>
  <c r="AS1219" i="1"/>
  <c r="AT1219" i="1"/>
  <c r="AV1218" i="1"/>
  <c r="AG11" i="1" l="1"/>
  <c r="AG12" i="1"/>
  <c r="AV1219" i="1"/>
  <c r="ED24" i="1" l="1"/>
  <c r="EE23" i="1"/>
  <c r="ED23" i="1"/>
  <c r="EE24" i="1" l="1"/>
  <c r="EZ11" i="1" l="1"/>
  <c r="O36" i="10" s="1"/>
  <c r="O36" i="3" l="1"/>
  <c r="DK12" i="1" l="1"/>
  <c r="DG12" i="1" l="1"/>
  <c r="DL12" i="1" s="1"/>
  <c r="EN111" i="1" l="1"/>
  <c r="EQ111" i="1" s="1"/>
  <c r="ER111" i="1" l="1"/>
  <c r="DS13" i="1" l="1"/>
  <c r="DX13" i="1" s="1"/>
  <c r="DS12" i="1"/>
  <c r="DX12" i="1" s="1"/>
  <c r="FD15" i="1" l="1"/>
  <c r="AY40" i="10" s="1"/>
  <c r="EN162" i="1"/>
  <c r="EN161" i="1"/>
  <c r="AY40" i="3" l="1"/>
  <c r="FD14" i="1"/>
  <c r="AY39" i="10" s="1"/>
  <c r="FD13" i="1"/>
  <c r="AY38" i="10" s="1"/>
  <c r="FE16" i="1"/>
  <c r="BG41" i="10" s="1"/>
  <c r="FE17" i="1"/>
  <c r="BG42" i="10" s="1"/>
  <c r="FD16" i="1"/>
  <c r="AY41" i="10" s="1"/>
  <c r="FD17" i="1"/>
  <c r="AY42" i="10" s="1"/>
  <c r="AY41" i="3" l="1"/>
  <c r="BG42" i="3"/>
  <c r="BG41" i="3"/>
  <c r="AY38" i="3"/>
  <c r="AY39" i="3"/>
  <c r="AY42" i="3"/>
  <c r="FE15" i="1" l="1"/>
  <c r="BG40" i="10" s="1"/>
  <c r="FE13" i="1"/>
  <c r="BG38" i="10" s="1"/>
  <c r="BG40" i="3" l="1"/>
  <c r="BG38" i="3"/>
  <c r="DS11" i="1" l="1"/>
  <c r="DX11" i="1" s="1"/>
  <c r="DK11" i="1"/>
  <c r="EN160" i="1" l="1"/>
  <c r="BF1002" i="1" a="1"/>
  <c r="BF1002" i="1" s="1"/>
  <c r="BF913" i="1" a="1"/>
  <c r="BF913" i="1" s="1"/>
  <c r="BF761" i="1" a="1"/>
  <c r="BF761" i="1" s="1"/>
  <c r="BF1197" i="1" a="1"/>
  <c r="BF1197" i="1" s="1"/>
  <c r="BF1137" i="1" a="1"/>
  <c r="BF1137" i="1" s="1"/>
  <c r="BF760" i="1" a="1"/>
  <c r="BF760" i="1" s="1"/>
  <c r="BF1159" i="1" a="1"/>
  <c r="BF1159" i="1" s="1"/>
  <c r="BF1060" i="1" a="1"/>
  <c r="BF1060" i="1" s="1"/>
  <c r="BF969" i="1" a="1"/>
  <c r="BF969" i="1" s="1"/>
  <c r="BF637" i="1" a="1"/>
  <c r="BF637" i="1" s="1"/>
  <c r="BF36" i="1" a="1"/>
  <c r="BF36" i="1" s="1"/>
  <c r="BF58" i="1" a="1"/>
  <c r="BF58" i="1" s="1"/>
  <c r="BF71" i="1" a="1"/>
  <c r="BF71" i="1" s="1"/>
  <c r="BF84" i="1" a="1"/>
  <c r="BF84" i="1" s="1"/>
  <c r="BF98" i="1" a="1"/>
  <c r="BF98" i="1" s="1"/>
  <c r="BF116" i="1" a="1"/>
  <c r="BF116" i="1" s="1"/>
  <c r="BF130" i="1" a="1"/>
  <c r="BF130" i="1" s="1"/>
  <c r="BF147" i="1" a="1"/>
  <c r="BF147" i="1" s="1"/>
  <c r="BF163" i="1" a="1"/>
  <c r="BF163" i="1" s="1"/>
  <c r="BF182" i="1" a="1"/>
  <c r="BF182" i="1" s="1"/>
  <c r="BF200" i="1" a="1"/>
  <c r="BF200" i="1" s="1"/>
  <c r="BF215" i="1" a="1"/>
  <c r="BF215" i="1" s="1"/>
  <c r="BF231" i="1" a="1"/>
  <c r="BF231" i="1" s="1"/>
  <c r="BF247" i="1" a="1"/>
  <c r="BF247" i="1" s="1"/>
  <c r="BF25" i="1" a="1"/>
  <c r="BF25" i="1" s="1"/>
  <c r="BF51" i="1" a="1"/>
  <c r="BF51" i="1" s="1"/>
  <c r="BF67" i="1" a="1"/>
  <c r="BF67" i="1" s="1"/>
  <c r="BF88" i="1" a="1"/>
  <c r="BF88" i="1" s="1"/>
  <c r="BF103" i="1" a="1"/>
  <c r="BF103" i="1" s="1"/>
  <c r="BF120" i="1" a="1"/>
  <c r="BF120" i="1" s="1"/>
  <c r="BF137" i="1" a="1"/>
  <c r="BF137" i="1" s="1"/>
  <c r="BF152" i="1" a="1"/>
  <c r="BF152" i="1" s="1"/>
  <c r="BF171" i="1" a="1"/>
  <c r="BF171" i="1" s="1"/>
  <c r="BF187" i="1" a="1"/>
  <c r="BF187" i="1" s="1"/>
  <c r="BF201" i="1" a="1"/>
  <c r="BF201" i="1" s="1"/>
  <c r="BF216" i="1" a="1"/>
  <c r="BF216" i="1" s="1"/>
  <c r="BF52" i="1" a="1"/>
  <c r="BF52" i="1" s="1"/>
  <c r="BF93" i="1" a="1"/>
  <c r="BF93" i="1" s="1"/>
  <c r="BF124" i="1" a="1"/>
  <c r="BF124" i="1" s="1"/>
  <c r="BF153" i="1" a="1"/>
  <c r="BF153" i="1" s="1"/>
  <c r="BF184" i="1" a="1"/>
  <c r="BF184" i="1" s="1"/>
  <c r="BF221" i="1" a="1"/>
  <c r="BF221" i="1" s="1"/>
  <c r="BF246" i="1" a="1"/>
  <c r="BF246" i="1" s="1"/>
  <c r="BF267" i="1" a="1"/>
  <c r="BF267" i="1" s="1"/>
  <c r="BF284" i="1" a="1"/>
  <c r="BF284" i="1" s="1"/>
  <c r="BF302" i="1" a="1"/>
  <c r="BF302" i="1" s="1"/>
  <c r="BF313" i="1" a="1"/>
  <c r="BF313" i="1" s="1"/>
  <c r="BF332" i="1" a="1"/>
  <c r="BF332" i="1" s="1"/>
  <c r="BF348" i="1" a="1"/>
  <c r="BF348" i="1" s="1"/>
  <c r="BF363" i="1" a="1"/>
  <c r="BF363" i="1" s="1"/>
  <c r="BF379" i="1" a="1"/>
  <c r="BF379" i="1" s="1"/>
  <c r="BF404" i="1" a="1"/>
  <c r="BF404" i="1" s="1"/>
  <c r="BF421" i="1" a="1"/>
  <c r="BF421" i="1" s="1"/>
  <c r="BF435" i="1" a="1"/>
  <c r="BF435" i="1" s="1"/>
  <c r="BF449" i="1" a="1"/>
  <c r="BF449" i="1" s="1"/>
  <c r="BF464" i="1" a="1"/>
  <c r="BF464" i="1" s="1"/>
  <c r="BF69" i="1" a="1"/>
  <c r="BF69" i="1" s="1"/>
  <c r="BF97" i="1" a="1"/>
  <c r="BF97" i="1" s="1"/>
  <c r="BF125" i="1" a="1"/>
  <c r="BF125" i="1" s="1"/>
  <c r="BF162" i="1" a="1"/>
  <c r="BF162" i="1" s="1"/>
  <c r="BF185" i="1" a="1"/>
  <c r="BF185" i="1" s="1"/>
  <c r="BF222" i="1" a="1"/>
  <c r="BF222" i="1" s="1"/>
  <c r="BF248" i="1" a="1"/>
  <c r="BF248" i="1" s="1"/>
  <c r="BF268" i="1" a="1"/>
  <c r="BF268" i="1" s="1"/>
  <c r="BF285" i="1" a="1"/>
  <c r="BF285" i="1" s="1"/>
  <c r="BF300" i="1" a="1"/>
  <c r="BF300" i="1" s="1"/>
  <c r="BF318" i="1" a="1"/>
  <c r="BF318" i="1" s="1"/>
  <c r="BF329" i="1" a="1"/>
  <c r="BF329" i="1" s="1"/>
  <c r="BF352" i="1" a="1"/>
  <c r="BF352" i="1" s="1"/>
  <c r="BF64" i="1" a="1"/>
  <c r="BF64" i="1" s="1"/>
  <c r="BF138" i="1" a="1"/>
  <c r="BF138" i="1" s="1"/>
  <c r="BF198" i="1" a="1"/>
  <c r="BF198" i="1" s="1"/>
  <c r="BF244" i="1" a="1"/>
  <c r="BF244" i="1" s="1"/>
  <c r="BF282" i="1" a="1"/>
  <c r="BF282" i="1" s="1"/>
  <c r="BF330" i="1" a="1"/>
  <c r="BF330" i="1" s="1"/>
  <c r="BF353" i="1" a="1"/>
  <c r="BF353" i="1" s="1"/>
  <c r="BF382" i="1" a="1"/>
  <c r="BF382" i="1" s="1"/>
  <c r="BF399" i="1" a="1"/>
  <c r="BF399" i="1" s="1"/>
  <c r="BF418" i="1" a="1"/>
  <c r="BF418" i="1" s="1"/>
  <c r="BF442" i="1" a="1"/>
  <c r="BF442" i="1" s="1"/>
  <c r="BF463" i="1" a="1"/>
  <c r="BF463" i="1" s="1"/>
  <c r="BF482" i="1" a="1"/>
  <c r="BF482" i="1" s="1"/>
  <c r="BF497" i="1" a="1"/>
  <c r="BF497" i="1" s="1"/>
  <c r="BF512" i="1" a="1"/>
  <c r="BF512" i="1" s="1"/>
  <c r="BF203" i="1" a="1"/>
  <c r="BF203" i="1" s="1"/>
  <c r="BF1091" i="1" a="1"/>
  <c r="BF1091" i="1" s="1"/>
  <c r="BF1024" i="1" a="1"/>
  <c r="BF1024" i="1" s="1"/>
  <c r="BF958" i="1" a="1"/>
  <c r="BF958" i="1" s="1"/>
  <c r="BF803" i="1" a="1"/>
  <c r="BF803" i="1" s="1"/>
  <c r="BF1023" i="1" a="1"/>
  <c r="BF1023" i="1" s="1"/>
  <c r="BF605" i="1" a="1"/>
  <c r="BF605" i="1" s="1"/>
  <c r="BF1142" i="1" a="1"/>
  <c r="BF1142" i="1" s="1"/>
  <c r="BF1036" i="1" a="1"/>
  <c r="BF1036" i="1" s="1"/>
  <c r="BF923" i="1" a="1"/>
  <c r="BF923" i="1" s="1"/>
  <c r="BF481" i="1" a="1"/>
  <c r="BF481" i="1" s="1"/>
  <c r="BF43" i="1" a="1"/>
  <c r="BF43" i="1" s="1"/>
  <c r="BF62" i="1" a="1"/>
  <c r="BF62" i="1" s="1"/>
  <c r="BF73" i="1" a="1"/>
  <c r="BF73" i="1" s="1"/>
  <c r="BF87" i="1" a="1"/>
  <c r="BF87" i="1" s="1"/>
  <c r="BF102" i="1" a="1"/>
  <c r="BF102" i="1" s="1"/>
  <c r="BF119" i="1" a="1"/>
  <c r="BF119" i="1" s="1"/>
  <c r="BF136" i="1" a="1"/>
  <c r="BF136" i="1" s="1"/>
  <c r="BF151" i="1" a="1"/>
  <c r="BF151" i="1" s="1"/>
  <c r="BF170" i="1" a="1"/>
  <c r="BF170" i="1" s="1"/>
  <c r="BF186" i="1" a="1"/>
  <c r="BF186" i="1" s="1"/>
  <c r="BF206" i="1" a="1"/>
  <c r="BF206" i="1" s="1"/>
  <c r="BF219" i="1" a="1"/>
  <c r="BF219" i="1" s="1"/>
  <c r="BF235" i="1" a="1"/>
  <c r="BF235" i="1" s="1"/>
  <c r="BF251" i="1" a="1"/>
  <c r="BF251" i="1" s="1"/>
  <c r="BF37" i="1" a="1"/>
  <c r="BF37" i="1" s="1"/>
  <c r="BF55" i="1" a="1"/>
  <c r="BF55" i="1" s="1"/>
  <c r="BF74" i="1" a="1"/>
  <c r="BF74" i="1" s="1"/>
  <c r="BF92" i="1" a="1"/>
  <c r="BF92" i="1" s="1"/>
  <c r="BF109" i="1" a="1"/>
  <c r="BF109" i="1" s="1"/>
  <c r="BF123" i="1" a="1"/>
  <c r="BF123" i="1" s="1"/>
  <c r="BF141" i="1" a="1"/>
  <c r="BF141" i="1" s="1"/>
  <c r="BF160" i="1" a="1"/>
  <c r="BF160" i="1" s="1"/>
  <c r="BF175" i="1" a="1"/>
  <c r="BF175" i="1" s="1"/>
  <c r="BF191" i="1" a="1"/>
  <c r="BF191" i="1" s="1"/>
  <c r="BF204" i="1" a="1"/>
  <c r="BF204" i="1" s="1"/>
  <c r="BF220" i="1" a="1"/>
  <c r="BF220" i="1" s="1"/>
  <c r="BF68" i="1" a="1"/>
  <c r="BF68" i="1" s="1"/>
  <c r="BF104" i="1" a="1"/>
  <c r="BF104" i="1" s="1"/>
  <c r="BF134" i="1" a="1"/>
  <c r="BF134" i="1" s="1"/>
  <c r="BF155" i="1" a="1"/>
  <c r="BF155" i="1" s="1"/>
  <c r="BF194" i="1" a="1"/>
  <c r="BF194" i="1" s="1"/>
  <c r="BF229" i="1" a="1"/>
  <c r="BF229" i="1" s="1"/>
  <c r="BF253" i="1" a="1"/>
  <c r="BF253" i="1" s="1"/>
  <c r="BF271" i="1" a="1"/>
  <c r="BF271" i="1" s="1"/>
  <c r="BF287" i="1" a="1"/>
  <c r="BF287" i="1" s="1"/>
  <c r="BF306" i="1" a="1"/>
  <c r="BF306" i="1" s="1"/>
  <c r="BF317" i="1" a="1"/>
  <c r="BF317" i="1" s="1"/>
  <c r="BF336" i="1" a="1"/>
  <c r="BF336" i="1" s="1"/>
  <c r="BF351" i="1" a="1"/>
  <c r="BF351" i="1" s="1"/>
  <c r="BF367" i="1" a="1"/>
  <c r="BF367" i="1" s="1"/>
  <c r="BF388" i="1" a="1"/>
  <c r="BF388" i="1" s="1"/>
  <c r="BF412" i="1" a="1"/>
  <c r="BF412" i="1" s="1"/>
  <c r="BF425" i="1" a="1"/>
  <c r="BF425" i="1" s="1"/>
  <c r="BF439" i="1" a="1"/>
  <c r="BF439" i="1" s="1"/>
  <c r="BF453" i="1" a="1"/>
  <c r="BF453" i="1" s="1"/>
  <c r="BF35" i="1" a="1"/>
  <c r="BF35" i="1" s="1"/>
  <c r="BF76" i="1" a="1"/>
  <c r="BF76" i="1" s="1"/>
  <c r="BF105" i="1" a="1"/>
  <c r="BF105" i="1" s="1"/>
  <c r="BF135" i="1" a="1"/>
  <c r="BF135" i="1" s="1"/>
  <c r="BF169" i="1" a="1"/>
  <c r="BF169" i="1" s="1"/>
  <c r="BF195" i="1" a="1"/>
  <c r="BF195" i="1" s="1"/>
  <c r="BF230" i="1" a="1"/>
  <c r="BF230" i="1" s="1"/>
  <c r="BF254" i="1" a="1"/>
  <c r="BF254" i="1" s="1"/>
  <c r="BF272" i="1" a="1"/>
  <c r="BF272" i="1" s="1"/>
  <c r="BF288" i="1" a="1"/>
  <c r="BF288" i="1" s="1"/>
  <c r="BF303" i="1" a="1"/>
  <c r="BF303" i="1" s="1"/>
  <c r="BF322" i="1" a="1"/>
  <c r="BF322" i="1" s="1"/>
  <c r="BF333" i="1" a="1"/>
  <c r="BF333" i="1" s="1"/>
  <c r="BF356" i="1" a="1"/>
  <c r="BF356" i="1" s="1"/>
  <c r="BF72" i="1" a="1"/>
  <c r="BF72" i="1" s="1"/>
  <c r="BF149" i="1" a="1"/>
  <c r="BF149" i="1" s="1"/>
  <c r="BF208" i="1" a="1"/>
  <c r="BF208" i="1" s="1"/>
  <c r="BF261" i="1" a="1"/>
  <c r="BF261" i="1" s="1"/>
  <c r="BF293" i="1" a="1"/>
  <c r="BF293" i="1" s="1"/>
  <c r="BF337" i="1" a="1"/>
  <c r="BF337" i="1" s="1"/>
  <c r="BF364" i="1" a="1"/>
  <c r="BF364" i="1" s="1"/>
  <c r="BF383" i="1" a="1"/>
  <c r="BF383" i="1" s="1"/>
  <c r="BF405" i="1" a="1"/>
  <c r="BF405" i="1" s="1"/>
  <c r="BF422" i="1" a="1"/>
  <c r="BF422" i="1" s="1"/>
  <c r="BF447" i="1" a="1"/>
  <c r="BF447" i="1" s="1"/>
  <c r="BF471" i="1" a="1"/>
  <c r="BF471" i="1" s="1"/>
  <c r="BF486" i="1" a="1"/>
  <c r="BF486" i="1" s="1"/>
  <c r="BF501" i="1" a="1"/>
  <c r="BF501" i="1" s="1"/>
  <c r="BF519" i="1" a="1"/>
  <c r="BF519" i="1" s="1"/>
  <c r="BF606" i="1" a="1"/>
  <c r="BF606" i="1" s="1"/>
  <c r="BF1164" i="1" a="1"/>
  <c r="BF1164" i="1" s="1"/>
  <c r="BF1106" i="1" a="1"/>
  <c r="BF1106" i="1" s="1"/>
  <c r="BF1048" i="1" a="1"/>
  <c r="BF1048" i="1" s="1"/>
  <c r="BF980" i="1" a="1"/>
  <c r="BF980" i="1" s="1"/>
  <c r="BF979" i="1" a="1"/>
  <c r="BF979" i="1" s="1"/>
  <c r="BF1204" i="1" a="1"/>
  <c r="BF1204" i="1" s="1"/>
  <c r="BF1101" i="1" a="1"/>
  <c r="BF1101" i="1" s="1"/>
  <c r="BF1013" i="1" a="1"/>
  <c r="BF1013" i="1" s="1"/>
  <c r="BF820" i="1" a="1"/>
  <c r="BF820" i="1" s="1"/>
  <c r="BF376" i="1" a="1"/>
  <c r="BF376" i="1" s="1"/>
  <c r="BF50" i="1" a="1"/>
  <c r="BF50" i="1" s="1"/>
  <c r="BF66" i="1" a="1"/>
  <c r="BF66" i="1" s="1"/>
  <c r="BF77" i="1" a="1"/>
  <c r="BF77" i="1" s="1"/>
  <c r="BF91" i="1" a="1"/>
  <c r="BF91" i="1" s="1"/>
  <c r="BF106" i="1" a="1"/>
  <c r="BF106" i="1" s="1"/>
  <c r="BF122" i="1" a="1"/>
  <c r="BF122" i="1" s="1"/>
  <c r="BF140" i="1" a="1"/>
  <c r="BF140" i="1" s="1"/>
  <c r="BF156" i="1" a="1"/>
  <c r="BF156" i="1" s="1"/>
  <c r="BF174" i="1" a="1"/>
  <c r="BF174" i="1" s="1"/>
  <c r="BF190" i="1" a="1"/>
  <c r="BF190" i="1" s="1"/>
  <c r="BF210" i="1" a="1"/>
  <c r="BF210" i="1" s="1"/>
  <c r="BF223" i="1" a="1"/>
  <c r="BF223" i="1" s="1"/>
  <c r="BF239" i="1" a="1"/>
  <c r="BF239" i="1" s="1"/>
  <c r="BF255" i="1" a="1"/>
  <c r="BF255" i="1" s="1"/>
  <c r="BF45" i="1" a="1"/>
  <c r="BF45" i="1" s="1"/>
  <c r="BF60" i="1" a="1"/>
  <c r="BF60" i="1" s="1"/>
  <c r="BF78" i="1" a="1"/>
  <c r="BF78" i="1" s="1"/>
  <c r="BF96" i="1" a="1"/>
  <c r="BF96" i="1" s="1"/>
  <c r="BF113" i="1" a="1"/>
  <c r="BF113" i="1" s="1"/>
  <c r="BF127" i="1" a="1"/>
  <c r="BF127" i="1" s="1"/>
  <c r="BF144" i="1" a="1"/>
  <c r="BF144" i="1" s="1"/>
  <c r="BF164" i="1" a="1"/>
  <c r="BF164" i="1" s="1"/>
  <c r="BF180" i="1" a="1"/>
  <c r="BF180" i="1" s="1"/>
  <c r="BF193" i="1" a="1"/>
  <c r="BF193" i="1" s="1"/>
  <c r="BF207" i="1" a="1"/>
  <c r="BF207" i="1" s="1"/>
  <c r="BF224" i="1" a="1"/>
  <c r="BF224" i="1" s="1"/>
  <c r="BF75" i="1" a="1"/>
  <c r="BF75" i="1" s="1"/>
  <c r="BF107" i="1" a="1"/>
  <c r="BF107" i="1" s="1"/>
  <c r="BF142" i="1" a="1"/>
  <c r="BF142" i="1" s="1"/>
  <c r="BF161" i="1" a="1"/>
  <c r="BF161" i="1" s="1"/>
  <c r="BF202" i="1" a="1"/>
  <c r="BF202" i="1" s="1"/>
  <c r="BF234" i="1" a="1"/>
  <c r="BF234" i="1" s="1"/>
  <c r="BF258" i="1" a="1"/>
  <c r="BF258" i="1" s="1"/>
  <c r="BF276" i="1" a="1"/>
  <c r="BF276" i="1" s="1"/>
  <c r="BF291" i="1" a="1"/>
  <c r="BF291" i="1" s="1"/>
  <c r="BF310" i="1" a="1"/>
  <c r="BF310" i="1" s="1"/>
  <c r="BF321" i="1" a="1"/>
  <c r="BF321" i="1" s="1"/>
  <c r="BF339" i="1" a="1"/>
  <c r="BF339" i="1" s="1"/>
  <c r="BF355" i="1" a="1"/>
  <c r="BF355" i="1" s="1"/>
  <c r="BF372" i="1" a="1"/>
  <c r="BF372" i="1" s="1"/>
  <c r="BF392" i="1" a="1"/>
  <c r="BF392" i="1" s="1"/>
  <c r="BF416" i="1" a="1"/>
  <c r="BF416" i="1" s="1"/>
  <c r="BF429" i="1" a="1"/>
  <c r="BF429" i="1" s="1"/>
  <c r="BF443" i="1" a="1"/>
  <c r="BF443" i="1" s="1"/>
  <c r="BF456" i="1" a="1"/>
  <c r="BF456" i="1" s="1"/>
  <c r="BF53" i="1" a="1"/>
  <c r="BF53" i="1" s="1"/>
  <c r="BF86" i="1" a="1"/>
  <c r="BF86" i="1" s="1"/>
  <c r="BF108" i="1" a="1"/>
  <c r="BF108" i="1" s="1"/>
  <c r="BF146" i="1" a="1"/>
  <c r="BF146" i="1" s="1"/>
  <c r="BF177" i="1" a="1"/>
  <c r="BF177" i="1" s="1"/>
  <c r="BF205" i="1" a="1"/>
  <c r="BF205" i="1" s="1"/>
  <c r="BF236" i="1" a="1"/>
  <c r="BF236" i="1" s="1"/>
  <c r="BF260" i="1" a="1"/>
  <c r="BF260" i="1" s="1"/>
  <c r="BF277" i="1" a="1"/>
  <c r="BF277" i="1" s="1"/>
  <c r="BF292" i="1" a="1"/>
  <c r="BF292" i="1" s="1"/>
  <c r="BF307" i="1" a="1"/>
  <c r="BF307" i="1" s="1"/>
  <c r="BF323" i="1" a="1"/>
  <c r="BF323" i="1" s="1"/>
  <c r="BF340" i="1" a="1"/>
  <c r="BF340" i="1" s="1"/>
  <c r="BF39" i="1" a="1"/>
  <c r="BF39" i="1" s="1"/>
  <c r="BF118" i="1" a="1"/>
  <c r="BF118" i="1" s="1"/>
  <c r="BF157" i="1" a="1"/>
  <c r="BF157" i="1" s="1"/>
  <c r="BF217" i="1" a="1"/>
  <c r="BF217" i="1" s="1"/>
  <c r="BF265" i="1" a="1"/>
  <c r="BF265" i="1" s="1"/>
  <c r="BF308" i="1" a="1"/>
  <c r="BF308" i="1" s="1"/>
  <c r="BF345" i="1" a="1"/>
  <c r="BF345" i="1" s="1"/>
  <c r="BF369" i="1" a="1"/>
  <c r="BF369" i="1" s="1"/>
  <c r="BF386" i="1" a="1"/>
  <c r="BF386" i="1" s="1"/>
  <c r="BF408" i="1" a="1"/>
  <c r="BF408" i="1" s="1"/>
  <c r="BF427" i="1" a="1"/>
  <c r="BF427" i="1" s="1"/>
  <c r="BF452" i="1" a="1"/>
  <c r="BF452" i="1" s="1"/>
  <c r="BF475" i="1" a="1"/>
  <c r="BF475" i="1" s="1"/>
  <c r="BF490" i="1" a="1"/>
  <c r="BF490" i="1" s="1"/>
  <c r="BF504" i="1" a="1"/>
  <c r="BF504" i="1" s="1"/>
  <c r="BF836" i="1" a="1"/>
  <c r="BF836" i="1" s="1"/>
  <c r="BF669" i="1" a="1"/>
  <c r="BF669" i="1" s="1"/>
  <c r="BF1181" i="1" a="1"/>
  <c r="BF1181" i="1" s="1"/>
  <c r="BF1121" i="1" a="1"/>
  <c r="BF1121" i="1" s="1"/>
  <c r="BF1071" i="1" a="1"/>
  <c r="BF1071" i="1" s="1"/>
  <c r="BF887" i="1" a="1"/>
  <c r="BF887" i="1" s="1"/>
  <c r="BF1187" i="1" a="1"/>
  <c r="BF1187" i="1" s="1"/>
  <c r="BF1080" i="1" a="1"/>
  <c r="BF1080" i="1" s="1"/>
  <c r="BF991" i="1" a="1"/>
  <c r="BF991" i="1" s="1"/>
  <c r="BF781" i="1" a="1"/>
  <c r="BF781" i="1" s="1"/>
  <c r="BF11" i="1" a="1"/>
  <c r="BF11" i="1" s="1"/>
  <c r="BF54" i="1" a="1"/>
  <c r="BF54" i="1" s="1"/>
  <c r="BF70" i="1" a="1"/>
  <c r="BF70" i="1" s="1"/>
  <c r="BF81" i="1" a="1"/>
  <c r="BF81" i="1" s="1"/>
  <c r="BF95" i="1" a="1"/>
  <c r="BF95" i="1" s="1"/>
  <c r="BF112" i="1" a="1"/>
  <c r="BF112" i="1" s="1"/>
  <c r="BF126" i="1" a="1"/>
  <c r="BF126" i="1" s="1"/>
  <c r="BF143" i="1" a="1"/>
  <c r="BF143" i="1" s="1"/>
  <c r="BF159" i="1" a="1"/>
  <c r="BF159" i="1" s="1"/>
  <c r="BF178" i="1" a="1"/>
  <c r="BF178" i="1" s="1"/>
  <c r="BF196" i="1" a="1"/>
  <c r="BF196" i="1" s="1"/>
  <c r="BF214" i="1" a="1"/>
  <c r="BF214" i="1" s="1"/>
  <c r="BF227" i="1" a="1"/>
  <c r="BF227" i="1" s="1"/>
  <c r="BF243" i="1" a="1"/>
  <c r="BF243" i="1" s="1"/>
  <c r="BF259" i="1" a="1"/>
  <c r="BF259" i="1" s="1"/>
  <c r="BF47" i="1" a="1"/>
  <c r="BF47" i="1" s="1"/>
  <c r="BF63" i="1" a="1"/>
  <c r="BF63" i="1" s="1"/>
  <c r="BF82" i="1" a="1"/>
  <c r="BF82" i="1" s="1"/>
  <c r="BF99" i="1" a="1"/>
  <c r="BF99" i="1" s="1"/>
  <c r="BF117" i="1" a="1"/>
  <c r="BF117" i="1" s="1"/>
  <c r="BF133" i="1" a="1"/>
  <c r="BF133" i="1" s="1"/>
  <c r="BF148" i="1" a="1"/>
  <c r="BF148" i="1" s="1"/>
  <c r="BF168" i="1" a="1"/>
  <c r="BF168" i="1" s="1"/>
  <c r="BF183" i="1" a="1"/>
  <c r="BF183" i="1" s="1"/>
  <c r="BF197" i="1" a="1"/>
  <c r="BF197" i="1" s="1"/>
  <c r="BF211" i="1" a="1"/>
  <c r="BF211" i="1" s="1"/>
  <c r="BF46" i="1" a="1"/>
  <c r="BF46" i="1" s="1"/>
  <c r="BF85" i="1" a="1"/>
  <c r="BF85" i="1" s="1"/>
  <c r="BF114" i="1" a="1"/>
  <c r="BF114" i="1" s="1"/>
  <c r="BF145" i="1" a="1"/>
  <c r="BF145" i="1" s="1"/>
  <c r="BF176" i="1" a="1"/>
  <c r="BF176" i="1" s="1"/>
  <c r="BF212" i="1" a="1"/>
  <c r="BF212" i="1" s="1"/>
  <c r="BF241" i="1" a="1"/>
  <c r="BF241" i="1" s="1"/>
  <c r="BF263" i="1" a="1"/>
  <c r="BF263" i="1" s="1"/>
  <c r="BF280" i="1" a="1"/>
  <c r="BF280" i="1" s="1"/>
  <c r="BF295" i="1" a="1"/>
  <c r="BF295" i="1" s="1"/>
  <c r="BF311" i="1" a="1"/>
  <c r="BF311" i="1" s="1"/>
  <c r="BF328" i="1" a="1"/>
  <c r="BF328" i="1" s="1"/>
  <c r="BF343" i="1" a="1"/>
  <c r="BF343" i="1" s="1"/>
  <c r="BF360" i="1" a="1"/>
  <c r="BF360" i="1" s="1"/>
  <c r="BF375" i="1" a="1"/>
  <c r="BF375" i="1" s="1"/>
  <c r="BF400" i="1" a="1"/>
  <c r="BF400" i="1" s="1"/>
  <c r="BF419" i="1" a="1"/>
  <c r="BF419" i="1" s="1"/>
  <c r="BF432" i="1" a="1"/>
  <c r="BF432" i="1" s="1"/>
  <c r="BF445" i="1" a="1"/>
  <c r="BF445" i="1" s="1"/>
  <c r="BF460" i="1" a="1"/>
  <c r="BF460" i="1" s="1"/>
  <c r="BF61" i="1" a="1"/>
  <c r="BF61" i="1" s="1"/>
  <c r="BF94" i="1" a="1"/>
  <c r="BF94" i="1" s="1"/>
  <c r="BF115" i="1" a="1"/>
  <c r="BF115" i="1" s="1"/>
  <c r="BF154" i="1" a="1"/>
  <c r="BF154" i="1" s="1"/>
  <c r="BF179" i="1" a="1"/>
  <c r="BF179" i="1" s="1"/>
  <c r="BF213" i="1" a="1"/>
  <c r="BF213" i="1" s="1"/>
  <c r="BF242" i="1" a="1"/>
  <c r="BF242" i="1" s="1"/>
  <c r="BF264" i="1" a="1"/>
  <c r="BF264" i="1" s="1"/>
  <c r="BF281" i="1" a="1"/>
  <c r="BF281" i="1" s="1"/>
  <c r="BF296" i="1" a="1"/>
  <c r="BF296" i="1" s="1"/>
  <c r="BF314" i="1" a="1"/>
  <c r="BF314" i="1" s="1"/>
  <c r="BF325" i="1" a="1"/>
  <c r="BF325" i="1" s="1"/>
  <c r="BF344" i="1" a="1"/>
  <c r="BF344" i="1" s="1"/>
  <c r="BF56" i="1" a="1"/>
  <c r="BF56" i="1" s="1"/>
  <c r="BF128" i="1" a="1"/>
  <c r="BF128" i="1" s="1"/>
  <c r="BF188" i="1" a="1"/>
  <c r="BF188" i="1" s="1"/>
  <c r="BF237" i="1" a="1"/>
  <c r="BF237" i="1" s="1"/>
  <c r="BF273" i="1" a="1"/>
  <c r="BF273" i="1" s="1"/>
  <c r="BF315" i="1" a="1"/>
  <c r="BF315" i="1" s="1"/>
  <c r="BF347" i="1" a="1"/>
  <c r="BF347" i="1" s="1"/>
  <c r="BF377" i="1" a="1"/>
  <c r="BF377" i="1" s="1"/>
  <c r="BF391" i="1" a="1"/>
  <c r="BF391" i="1" s="1"/>
  <c r="BF413" i="1" a="1"/>
  <c r="BF413" i="1" s="1"/>
  <c r="BF437" i="1" a="1"/>
  <c r="BF437" i="1" s="1"/>
  <c r="BF458" i="1" a="1"/>
  <c r="BF458" i="1" s="1"/>
  <c r="BF479" i="1" a="1"/>
  <c r="BF479" i="1" s="1"/>
  <c r="BF493" i="1" a="1"/>
  <c r="BF493" i="1" s="1"/>
  <c r="BF508" i="1" a="1"/>
  <c r="BF508" i="1" s="1"/>
  <c r="BF523" i="1" a="1"/>
  <c r="BF523" i="1" s="1"/>
  <c r="BF538" i="1" a="1"/>
  <c r="BF538" i="1" s="1"/>
  <c r="BF554" i="1" a="1"/>
  <c r="BF554" i="1" s="1"/>
  <c r="BF568" i="1" a="1"/>
  <c r="BF568" i="1" s="1"/>
  <c r="BF584" i="1" a="1"/>
  <c r="BF584" i="1" s="1"/>
  <c r="BF600" i="1" a="1"/>
  <c r="BF600" i="1" s="1"/>
  <c r="BF616" i="1" a="1"/>
  <c r="BF616" i="1" s="1"/>
  <c r="BF632" i="1" a="1"/>
  <c r="BF632" i="1" s="1"/>
  <c r="BF648" i="1" a="1"/>
  <c r="BF648" i="1" s="1"/>
  <c r="BF666" i="1" a="1"/>
  <c r="BF666" i="1" s="1"/>
  <c r="BF679" i="1" a="1"/>
  <c r="BF679" i="1" s="1"/>
  <c r="BF704" i="1" a="1"/>
  <c r="BF704" i="1" s="1"/>
  <c r="BF722" i="1" a="1"/>
  <c r="BF722" i="1" s="1"/>
  <c r="BF57" i="1" a="1"/>
  <c r="BF57" i="1" s="1"/>
  <c r="BF139" i="1" a="1"/>
  <c r="BF139" i="1" s="1"/>
  <c r="BF189" i="1" a="1"/>
  <c r="BF189" i="1" s="1"/>
  <c r="BF228" i="1" a="1"/>
  <c r="BF228" i="1" s="1"/>
  <c r="BF262" i="1" a="1"/>
  <c r="BF262" i="1" s="1"/>
  <c r="BF283" i="1" a="1"/>
  <c r="BF283" i="1" s="1"/>
  <c r="BF316" i="1" a="1"/>
  <c r="BF316" i="1" s="1"/>
  <c r="BF346" i="1" a="1"/>
  <c r="BF346" i="1" s="1"/>
  <c r="BF373" i="1" a="1"/>
  <c r="BF373" i="1" s="1"/>
  <c r="BF396" i="1" a="1"/>
  <c r="BF396" i="1" s="1"/>
  <c r="BF414" i="1" a="1"/>
  <c r="BF414" i="1" s="1"/>
  <c r="BF438" i="1" a="1"/>
  <c r="BF438" i="1" s="1"/>
  <c r="BF455" i="1" a="1"/>
  <c r="BF455" i="1" s="1"/>
  <c r="BF472" i="1" a="1"/>
  <c r="BF472" i="1" s="1"/>
  <c r="BF491" i="1" a="1"/>
  <c r="BF491" i="1" s="1"/>
  <c r="BF505" i="1" a="1"/>
  <c r="BF505" i="1" s="1"/>
  <c r="BF520" i="1" a="1"/>
  <c r="BF520" i="1" s="1"/>
  <c r="BF539" i="1" a="1"/>
  <c r="BF539" i="1" s="1"/>
  <c r="BF555" i="1" a="1"/>
  <c r="BF555" i="1" s="1"/>
  <c r="BF573" i="1" a="1"/>
  <c r="BF573" i="1" s="1"/>
  <c r="BF131" i="1" a="1"/>
  <c r="BF131" i="1" s="1"/>
  <c r="BF286" i="1" a="1"/>
  <c r="BF286" i="1" s="1"/>
  <c r="BF334" i="1" a="1"/>
  <c r="BF334" i="1" s="1"/>
  <c r="BF371" i="1" a="1"/>
  <c r="BF371" i="1" s="1"/>
  <c r="BF397" i="1" a="1"/>
  <c r="BF397" i="1" s="1"/>
  <c r="BF440" i="1" a="1"/>
  <c r="BF440" i="1" s="1"/>
  <c r="BF495" i="1" a="1"/>
  <c r="BF495" i="1" s="1"/>
  <c r="BF525" i="1" a="1"/>
  <c r="BF525" i="1" s="1"/>
  <c r="BF548" i="1" a="1"/>
  <c r="BF548" i="1" s="1"/>
  <c r="BF578" i="1" a="1"/>
  <c r="BF578" i="1" s="1"/>
  <c r="BF602" i="1" a="1"/>
  <c r="BF602" i="1" s="1"/>
  <c r="BF626" i="1" a="1"/>
  <c r="BF626" i="1" s="1"/>
  <c r="BF650" i="1" a="1"/>
  <c r="BF650" i="1" s="1"/>
  <c r="BF674" i="1" a="1"/>
  <c r="BF674" i="1" s="1"/>
  <c r="BF693" i="1" a="1"/>
  <c r="BF693" i="1" s="1"/>
  <c r="BF714" i="1" a="1"/>
  <c r="BF714" i="1" s="1"/>
  <c r="BF740" i="1" a="1"/>
  <c r="BF740" i="1" s="1"/>
  <c r="BF753" i="1" a="1"/>
  <c r="BF753" i="1" s="1"/>
  <c r="BF772" i="1" a="1"/>
  <c r="BF772" i="1" s="1"/>
  <c r="BF790" i="1" a="1"/>
  <c r="BF790" i="1" s="1"/>
  <c r="BF810" i="1" a="1"/>
  <c r="BF810" i="1" s="1"/>
  <c r="BF132" i="1" a="1"/>
  <c r="BF132" i="1" s="1"/>
  <c r="BF250" i="1" a="1"/>
  <c r="BF250" i="1" s="1"/>
  <c r="BF350" i="1" a="1"/>
  <c r="BF350" i="1" s="1"/>
  <c r="BF385" i="1" a="1"/>
  <c r="BF385" i="1" s="1"/>
  <c r="BF441" i="1" a="1"/>
  <c r="BF441" i="1" s="1"/>
  <c r="BF474" i="1" a="1"/>
  <c r="BF474" i="1" s="1"/>
  <c r="BF518" i="1" a="1"/>
  <c r="BF518" i="1" s="1"/>
  <c r="BF541" i="1" a="1"/>
  <c r="BF541" i="1" s="1"/>
  <c r="BF563" i="1" a="1"/>
  <c r="BF563" i="1" s="1"/>
  <c r="BF591" i="1" a="1"/>
  <c r="BF591" i="1" s="1"/>
  <c r="BF615" i="1" a="1"/>
  <c r="BF615" i="1" s="1"/>
  <c r="BF639" i="1" a="1"/>
  <c r="BF639" i="1" s="1"/>
  <c r="BF661" i="1" a="1"/>
  <c r="BF661" i="1" s="1"/>
  <c r="BF684" i="1" a="1"/>
  <c r="BF684" i="1" s="1"/>
  <c r="BF698" i="1" a="1"/>
  <c r="BF698" i="1" s="1"/>
  <c r="BF716" i="1" a="1"/>
  <c r="BF716" i="1" s="1"/>
  <c r="BF731" i="1" a="1"/>
  <c r="BF731" i="1" s="1"/>
  <c r="BF746" i="1" a="1"/>
  <c r="BF746" i="1" s="1"/>
  <c r="BF759" i="1" a="1"/>
  <c r="BF759" i="1" s="1"/>
  <c r="BF773" i="1" a="1"/>
  <c r="BF773" i="1" s="1"/>
  <c r="BF787" i="1" a="1"/>
  <c r="BF787" i="1" s="1"/>
  <c r="BF801" i="1" a="1"/>
  <c r="BF801" i="1" s="1"/>
  <c r="BF815" i="1" a="1"/>
  <c r="BF815" i="1" s="1"/>
  <c r="BF828" i="1" a="1"/>
  <c r="BF828" i="1" s="1"/>
  <c r="BF841" i="1" a="1"/>
  <c r="BF841" i="1" s="1"/>
  <c r="BF527" i="1" a="1"/>
  <c r="BF527" i="1" s="1"/>
  <c r="BF542" i="1" a="1"/>
  <c r="BF542" i="1" s="1"/>
  <c r="BF558" i="1" a="1"/>
  <c r="BF558" i="1" s="1"/>
  <c r="BF572" i="1" a="1"/>
  <c r="BF572" i="1" s="1"/>
  <c r="BF588" i="1" a="1"/>
  <c r="BF588" i="1" s="1"/>
  <c r="BF604" i="1" a="1"/>
  <c r="BF604" i="1" s="1"/>
  <c r="BF620" i="1" a="1"/>
  <c r="BF620" i="1" s="1"/>
  <c r="BF636" i="1" a="1"/>
  <c r="BF636" i="1" s="1"/>
  <c r="BF652" i="1" a="1"/>
  <c r="BF652" i="1" s="1"/>
  <c r="BF670" i="1" a="1"/>
  <c r="BF670" i="1" s="1"/>
  <c r="BF687" i="1" a="1"/>
  <c r="BF687" i="1" s="1"/>
  <c r="BF708" i="1" a="1"/>
  <c r="BF708" i="1" s="1"/>
  <c r="BF726" i="1" a="1"/>
  <c r="BF726" i="1" s="1"/>
  <c r="BF65" i="1" a="1"/>
  <c r="BF65" i="1" s="1"/>
  <c r="BF150" i="1" a="1"/>
  <c r="BF150" i="1" s="1"/>
  <c r="BF199" i="1" a="1"/>
  <c r="BF199" i="1" s="1"/>
  <c r="BF238" i="1" a="1"/>
  <c r="BF238" i="1" s="1"/>
  <c r="BF266" i="1" a="1"/>
  <c r="BF266" i="1" s="1"/>
  <c r="BF294" i="1" a="1"/>
  <c r="BF294" i="1" s="1"/>
  <c r="BF324" i="1" a="1"/>
  <c r="BF324" i="1" s="1"/>
  <c r="BF354" i="1" a="1"/>
  <c r="BF354" i="1" s="1"/>
  <c r="BF378" i="1" a="1"/>
  <c r="BF378" i="1" s="1"/>
  <c r="BF401" i="1" a="1"/>
  <c r="BF401" i="1" s="1"/>
  <c r="BF423" i="1" a="1"/>
  <c r="BF423" i="1" s="1"/>
  <c r="BF444" i="1" a="1"/>
  <c r="BF444" i="1" s="1"/>
  <c r="BF459" i="1" a="1"/>
  <c r="BF459" i="1" s="1"/>
  <c r="BF476" i="1" a="1"/>
  <c r="BF476" i="1" s="1"/>
  <c r="BF494" i="1" a="1"/>
  <c r="BF494" i="1" s="1"/>
  <c r="BF509" i="1" a="1"/>
  <c r="BF509" i="1" s="1"/>
  <c r="BF524" i="1" a="1"/>
  <c r="BF524" i="1" s="1"/>
  <c r="BF543" i="1" a="1"/>
  <c r="BF543" i="1" s="1"/>
  <c r="BF559" i="1" a="1"/>
  <c r="BF559" i="1" s="1"/>
  <c r="BF48" i="1" a="1"/>
  <c r="BF48" i="1" s="1"/>
  <c r="BF172" i="1" a="1"/>
  <c r="BF172" i="1" s="1"/>
  <c r="BF297" i="1" a="1"/>
  <c r="BF297" i="1" s="1"/>
  <c r="BF341" i="1" a="1"/>
  <c r="BF341" i="1" s="1"/>
  <c r="BF380" i="1" a="1"/>
  <c r="BF380" i="1" s="1"/>
  <c r="BF410" i="1" a="1"/>
  <c r="BF410" i="1" s="1"/>
  <c r="BF461" i="1" a="1"/>
  <c r="BF461" i="1" s="1"/>
  <c r="BF506" i="1" a="1"/>
  <c r="BF506" i="1" s="1"/>
  <c r="BF528" i="1" a="1"/>
  <c r="BF528" i="1" s="1"/>
  <c r="BF552" i="1" a="1"/>
  <c r="BF552" i="1" s="1"/>
  <c r="BF583" i="1" a="1"/>
  <c r="BF583" i="1" s="1"/>
  <c r="BF607" i="1" a="1"/>
  <c r="BF607" i="1" s="1"/>
  <c r="BF631" i="1" a="1"/>
  <c r="BF631" i="1" s="1"/>
  <c r="BF655" i="1" a="1"/>
  <c r="BF655" i="1" s="1"/>
  <c r="BF680" i="1" a="1"/>
  <c r="BF680" i="1" s="1"/>
  <c r="BF697" i="1" a="1"/>
  <c r="BF697" i="1" s="1"/>
  <c r="BF721" i="1" a="1"/>
  <c r="BF721" i="1" s="1"/>
  <c r="BF743" i="1" a="1"/>
  <c r="BF743" i="1" s="1"/>
  <c r="BF758" i="1" a="1"/>
  <c r="BF758" i="1" s="1"/>
  <c r="BF776" i="1" a="1"/>
  <c r="BF776" i="1" s="1"/>
  <c r="BF796" i="1" a="1"/>
  <c r="BF796" i="1" s="1"/>
  <c r="BF49" i="1" a="1"/>
  <c r="BF49" i="1" s="1"/>
  <c r="BF173" i="1" a="1"/>
  <c r="BF173" i="1" s="1"/>
  <c r="BF298" i="1" a="1"/>
  <c r="BF298" i="1" s="1"/>
  <c r="BF359" i="1" a="1"/>
  <c r="BF359" i="1" s="1"/>
  <c r="BF398" i="1" a="1"/>
  <c r="BF398" i="1" s="1"/>
  <c r="BF446" i="1" a="1"/>
  <c r="BF446" i="1" s="1"/>
  <c r="BF485" i="1" a="1"/>
  <c r="BF485" i="1" s="1"/>
  <c r="BF526" i="1" a="1"/>
  <c r="BF526" i="1" s="1"/>
  <c r="BF549" i="1" a="1"/>
  <c r="BF549" i="1" s="1"/>
  <c r="BF571" i="1" a="1"/>
  <c r="BF571" i="1" s="1"/>
  <c r="BF597" i="1" a="1"/>
  <c r="BF597" i="1" s="1"/>
  <c r="BF621" i="1" a="1"/>
  <c r="BF621" i="1" s="1"/>
  <c r="BF645" i="1" a="1"/>
  <c r="BF645" i="1" s="1"/>
  <c r="BF667" i="1" a="1"/>
  <c r="BF667" i="1" s="1"/>
  <c r="BF689" i="1" a="1"/>
  <c r="BF689" i="1" s="1"/>
  <c r="BF703" i="1" a="1"/>
  <c r="BF703" i="1" s="1"/>
  <c r="BF719" i="1" a="1"/>
  <c r="BF719" i="1" s="1"/>
  <c r="BF733" i="1" a="1"/>
  <c r="BF733" i="1" s="1"/>
  <c r="BF750" i="1" a="1"/>
  <c r="BF750" i="1" s="1"/>
  <c r="BF763" i="1" a="1"/>
  <c r="BF763" i="1" s="1"/>
  <c r="BF777" i="1" a="1"/>
  <c r="BF777" i="1" s="1"/>
  <c r="BF791" i="1" a="1"/>
  <c r="BF791" i="1" s="1"/>
  <c r="BF804" i="1" a="1"/>
  <c r="BF804" i="1" s="1"/>
  <c r="BF817" i="1" a="1"/>
  <c r="BF817" i="1" s="1"/>
  <c r="BF831" i="1" a="1"/>
  <c r="BF831" i="1" s="1"/>
  <c r="BF845" i="1" a="1"/>
  <c r="BF845" i="1" s="1"/>
  <c r="BF530" i="1" a="1"/>
  <c r="BF530" i="1" s="1"/>
  <c r="BF546" i="1" a="1"/>
  <c r="BF546" i="1" s="1"/>
  <c r="BF562" i="1" a="1"/>
  <c r="BF562" i="1" s="1"/>
  <c r="BF576" i="1" a="1"/>
  <c r="BF576" i="1" s="1"/>
  <c r="BF592" i="1" a="1"/>
  <c r="BF592" i="1" s="1"/>
  <c r="BF608" i="1" a="1"/>
  <c r="BF608" i="1" s="1"/>
  <c r="BF624" i="1" a="1"/>
  <c r="BF624" i="1" s="1"/>
  <c r="BF640" i="1" a="1"/>
  <c r="BF640" i="1" s="1"/>
  <c r="BF656" i="1" a="1"/>
  <c r="BF656" i="1" s="1"/>
  <c r="BF671" i="1" a="1"/>
  <c r="BF671" i="1" s="1"/>
  <c r="BF691" i="1" a="1"/>
  <c r="BF691" i="1" s="1"/>
  <c r="BF711" i="1" a="1"/>
  <c r="BF711" i="1" s="1"/>
  <c r="BF730" i="1" a="1"/>
  <c r="BF730" i="1" s="1"/>
  <c r="BF83" i="1" a="1"/>
  <c r="BF83" i="1" s="1"/>
  <c r="BF158" i="1" a="1"/>
  <c r="BF158" i="1" s="1"/>
  <c r="BF209" i="1" a="1"/>
  <c r="BF209" i="1" s="1"/>
  <c r="BF245" i="1" a="1"/>
  <c r="BF245" i="1" s="1"/>
  <c r="BF274" i="1" a="1"/>
  <c r="BF274" i="1" s="1"/>
  <c r="BF301" i="1" a="1"/>
  <c r="BF301" i="1" s="1"/>
  <c r="BF331" i="1" a="1"/>
  <c r="BF331" i="1" s="1"/>
  <c r="BF365" i="1" a="1"/>
  <c r="BF365" i="1" s="1"/>
  <c r="BF387" i="1" a="1"/>
  <c r="BF387" i="1" s="1"/>
  <c r="BF406" i="1" a="1"/>
  <c r="BF406" i="1" s="1"/>
  <c r="BF428" i="1" a="1"/>
  <c r="BF428" i="1" s="1"/>
  <c r="BF448" i="1" a="1"/>
  <c r="BF448" i="1" s="1"/>
  <c r="BF465" i="1" a="1"/>
  <c r="BF465" i="1" s="1"/>
  <c r="BF483" i="1" a="1"/>
  <c r="BF483" i="1" s="1"/>
  <c r="BF498" i="1" a="1"/>
  <c r="BF498" i="1" s="1"/>
  <c r="BF513" i="1" a="1"/>
  <c r="BF513" i="1" s="1"/>
  <c r="BF531" i="1" a="1"/>
  <c r="BF531" i="1" s="1"/>
  <c r="BF547" i="1" a="1"/>
  <c r="BF547" i="1" s="1"/>
  <c r="BF565" i="1" a="1"/>
  <c r="BF565" i="1" s="1"/>
  <c r="BF89" i="1" a="1"/>
  <c r="BF89" i="1" s="1"/>
  <c r="BF232" i="1" a="1"/>
  <c r="BF232" i="1" s="1"/>
  <c r="BF304" i="1" a="1"/>
  <c r="BF304" i="1" s="1"/>
  <c r="BF349" i="1" a="1"/>
  <c r="BF349" i="1" s="1"/>
  <c r="BF384" i="1" a="1"/>
  <c r="BF384" i="1" s="1"/>
  <c r="BF424" i="1" a="1"/>
  <c r="BF424" i="1" s="1"/>
  <c r="BF473" i="1" a="1"/>
  <c r="BF473" i="1" s="1"/>
  <c r="BF514" i="1" a="1"/>
  <c r="BF514" i="1" s="1"/>
  <c r="BF536" i="1" a="1"/>
  <c r="BF536" i="1" s="1"/>
  <c r="BF560" i="1" a="1"/>
  <c r="BF560" i="1" s="1"/>
  <c r="BF590" i="1" a="1"/>
  <c r="BF590" i="1" s="1"/>
  <c r="BF614" i="1" a="1"/>
  <c r="BF614" i="1" s="1"/>
  <c r="BF638" i="1" a="1"/>
  <c r="BF638" i="1" s="1"/>
  <c r="BF660" i="1" a="1"/>
  <c r="BF660" i="1" s="1"/>
  <c r="BF683" i="1" a="1"/>
  <c r="BF683" i="1" s="1"/>
  <c r="BF702" i="1" a="1"/>
  <c r="BF702" i="1" s="1"/>
  <c r="BF727" i="1" a="1"/>
  <c r="BF727" i="1" s="1"/>
  <c r="BF745" i="1" a="1"/>
  <c r="BF745" i="1" s="1"/>
  <c r="BF762" i="1" a="1"/>
  <c r="BF762" i="1" s="1"/>
  <c r="BF782" i="1" a="1"/>
  <c r="BF782" i="1" s="1"/>
  <c r="BF800" i="1" a="1"/>
  <c r="BF800" i="1" s="1"/>
  <c r="BF90" i="1" a="1"/>
  <c r="BF90" i="1" s="1"/>
  <c r="BF192" i="1" a="1"/>
  <c r="BF192" i="1" s="1"/>
  <c r="BF305" i="1" a="1"/>
  <c r="BF305" i="1" s="1"/>
  <c r="BF368" i="1" a="1"/>
  <c r="BF368" i="1" s="1"/>
  <c r="BF411" i="1" a="1"/>
  <c r="BF411" i="1" s="1"/>
  <c r="BF462" i="1" a="1"/>
  <c r="BF462" i="1" s="1"/>
  <c r="BF496" i="1" a="1"/>
  <c r="BF496" i="1" s="1"/>
  <c r="BF529" i="1" a="1"/>
  <c r="BF529" i="1" s="1"/>
  <c r="BF553" i="1" a="1"/>
  <c r="BF553" i="1" s="1"/>
  <c r="BF579" i="1" a="1"/>
  <c r="BF579" i="1" s="1"/>
  <c r="BF603" i="1" a="1"/>
  <c r="BF603" i="1" s="1"/>
  <c r="BF627" i="1" a="1"/>
  <c r="BF627" i="1" s="1"/>
  <c r="BF651" i="1" a="1"/>
  <c r="BF651" i="1" s="1"/>
  <c r="BF676" i="1" a="1"/>
  <c r="BF676" i="1" s="1"/>
  <c r="BF694" i="1" a="1"/>
  <c r="BF694" i="1" s="1"/>
  <c r="BF707" i="1" a="1"/>
  <c r="BF707" i="1" s="1"/>
  <c r="BF723" i="1" a="1"/>
  <c r="BF723" i="1" s="1"/>
  <c r="BF737" i="1" a="1"/>
  <c r="BF737" i="1" s="1"/>
  <c r="BF754" i="1" a="1"/>
  <c r="BF754" i="1" s="1"/>
  <c r="BF767" i="1" a="1"/>
  <c r="BF767" i="1" s="1"/>
  <c r="BF780" i="1" a="1"/>
  <c r="BF780" i="1" s="1"/>
  <c r="BF793" i="1" a="1"/>
  <c r="BF793" i="1" s="1"/>
  <c r="BF807" i="1" a="1"/>
  <c r="BF807" i="1" s="1"/>
  <c r="BF821" i="1" a="1"/>
  <c r="BF821" i="1" s="1"/>
  <c r="BF835" i="1" a="1"/>
  <c r="BF835" i="1" s="1"/>
  <c r="BF849" i="1" a="1"/>
  <c r="BF849" i="1" s="1"/>
  <c r="BF861" i="1" a="1"/>
  <c r="BF861" i="1" s="1"/>
  <c r="BF876" i="1" a="1"/>
  <c r="BF876" i="1" s="1"/>
  <c r="BF896" i="1" a="1"/>
  <c r="BF896" i="1" s="1"/>
  <c r="BF909" i="1" a="1"/>
  <c r="BF909" i="1" s="1"/>
  <c r="BF278" i="1" a="1"/>
  <c r="BF278" i="1" s="1"/>
  <c r="BF407" i="1" a="1"/>
  <c r="BF407" i="1" s="1"/>
  <c r="BF534" i="1" a="1"/>
  <c r="BF534" i="1" s="1"/>
  <c r="BF550" i="1" a="1"/>
  <c r="BF550" i="1" s="1"/>
  <c r="BF564" i="1" a="1"/>
  <c r="BF564" i="1" s="1"/>
  <c r="BF580" i="1" a="1"/>
  <c r="BF580" i="1" s="1"/>
  <c r="BF596" i="1" a="1"/>
  <c r="BF596" i="1" s="1"/>
  <c r="BF612" i="1" a="1"/>
  <c r="BF612" i="1" s="1"/>
  <c r="BF628" i="1" a="1"/>
  <c r="BF628" i="1" s="1"/>
  <c r="BF644" i="1" a="1"/>
  <c r="BF644" i="1" s="1"/>
  <c r="BF662" i="1" a="1"/>
  <c r="BF662" i="1" s="1"/>
  <c r="BF675" i="1" a="1"/>
  <c r="BF675" i="1" s="1"/>
  <c r="BF700" i="1" a="1"/>
  <c r="BF700" i="1" s="1"/>
  <c r="BF715" i="1" a="1"/>
  <c r="BF715" i="1" s="1"/>
  <c r="BF41" i="1" a="1"/>
  <c r="BF41" i="1" s="1"/>
  <c r="BF129" i="1" a="1"/>
  <c r="BF129" i="1" s="1"/>
  <c r="BF167" i="1" a="1"/>
  <c r="BF167" i="1" s="1"/>
  <c r="BF218" i="1" a="1"/>
  <c r="BF218" i="1" s="1"/>
  <c r="BF252" i="1" a="1"/>
  <c r="BF252" i="1" s="1"/>
  <c r="BF275" i="1" a="1"/>
  <c r="BF275" i="1" s="1"/>
  <c r="BF309" i="1" a="1"/>
  <c r="BF309" i="1" s="1"/>
  <c r="BF338" i="1" a="1"/>
  <c r="BF338" i="1" s="1"/>
  <c r="BF370" i="1" a="1"/>
  <c r="BF370" i="1" s="1"/>
  <c r="BF393" i="1" a="1"/>
  <c r="BF393" i="1" s="1"/>
  <c r="BF409" i="1" a="1"/>
  <c r="BF409" i="1" s="1"/>
  <c r="BF433" i="1" a="1"/>
  <c r="BF433" i="1" s="1"/>
  <c r="BF454" i="1" a="1"/>
  <c r="BF454" i="1" s="1"/>
  <c r="BF468" i="1" a="1"/>
  <c r="BF468" i="1" s="1"/>
  <c r="BF487" i="1" a="1"/>
  <c r="BF487" i="1" s="1"/>
  <c r="BF502" i="1" a="1"/>
  <c r="BF502" i="1" s="1"/>
  <c r="BF516" i="1" a="1"/>
  <c r="BF516" i="1" s="1"/>
  <c r="BF535" i="1" a="1"/>
  <c r="BF535" i="1" s="1"/>
  <c r="BF551" i="1" a="1"/>
  <c r="BF551" i="1" s="1"/>
  <c r="BF569" i="1" a="1"/>
  <c r="BF569" i="1" s="1"/>
  <c r="BF110" i="1" a="1"/>
  <c r="BF110" i="1" s="1"/>
  <c r="BF249" i="1" a="1"/>
  <c r="BF249" i="1" s="1"/>
  <c r="BF312" i="1" a="1"/>
  <c r="BF312" i="1" s="1"/>
  <c r="BF366" i="1" a="1"/>
  <c r="BF366" i="1" s="1"/>
  <c r="BF394" i="1" a="1"/>
  <c r="BF394" i="1" s="1"/>
  <c r="BF431" i="1" a="1"/>
  <c r="BF431" i="1" s="1"/>
  <c r="BF484" i="1" a="1"/>
  <c r="BF484" i="1" s="1"/>
  <c r="BF517" i="1" a="1"/>
  <c r="BF517" i="1" s="1"/>
  <c r="BF540" i="1" a="1"/>
  <c r="BF540" i="1" s="1"/>
  <c r="BF570" i="1" a="1"/>
  <c r="BF570" i="1" s="1"/>
  <c r="BF595" i="1" a="1"/>
  <c r="BF595" i="1" s="1"/>
  <c r="BF619" i="1" a="1"/>
  <c r="BF619" i="1" s="1"/>
  <c r="BF643" i="1" a="1"/>
  <c r="BF643" i="1" s="1"/>
  <c r="BF665" i="1" a="1"/>
  <c r="BF665" i="1" s="1"/>
  <c r="BF688" i="1" a="1"/>
  <c r="BF688" i="1" s="1"/>
  <c r="BF709" i="1" a="1"/>
  <c r="BF709" i="1" s="1"/>
  <c r="BF736" i="1" a="1"/>
  <c r="BF736" i="1" s="1"/>
  <c r="BF749" i="1" a="1"/>
  <c r="BF749" i="1" s="1"/>
  <c r="BF766" i="1" a="1"/>
  <c r="BF766" i="1" s="1"/>
  <c r="BF786" i="1" a="1"/>
  <c r="BF786" i="1" s="1"/>
  <c r="BF806" i="1" a="1"/>
  <c r="BF806" i="1" s="1"/>
  <c r="BF111" i="1" a="1"/>
  <c r="BF111" i="1" s="1"/>
  <c r="BF233" i="1" a="1"/>
  <c r="BF233" i="1" s="1"/>
  <c r="BF342" i="1" a="1"/>
  <c r="BF342" i="1" s="1"/>
  <c r="BF381" i="1" a="1"/>
  <c r="BF381" i="1" s="1"/>
  <c r="BF426" i="1" a="1"/>
  <c r="BF426" i="1" s="1"/>
  <c r="BF467" i="1" a="1"/>
  <c r="BF467" i="1" s="1"/>
  <c r="BF507" i="1" a="1"/>
  <c r="BF507" i="1" s="1"/>
  <c r="BF537" i="1" a="1"/>
  <c r="BF537" i="1" s="1"/>
  <c r="BF561" i="1" a="1"/>
  <c r="BF561" i="1" s="1"/>
  <c r="BF585" i="1" a="1"/>
  <c r="BF585" i="1" s="1"/>
  <c r="BF609" i="1" a="1"/>
  <c r="BF609" i="1" s="1"/>
  <c r="BF633" i="1" a="1"/>
  <c r="BF633" i="1" s="1"/>
  <c r="BF657" i="1" a="1"/>
  <c r="BF657" i="1" s="1"/>
  <c r="BF681" i="1" a="1"/>
  <c r="BF681" i="1" s="1"/>
  <c r="BF695" i="1" a="1"/>
  <c r="BF695" i="1" s="1"/>
  <c r="BF710" i="1" a="1"/>
  <c r="BF710" i="1" s="1"/>
  <c r="BF728" i="1" a="1"/>
  <c r="BF728" i="1" s="1"/>
  <c r="BF741" i="1" a="1"/>
  <c r="BF741" i="1" s="1"/>
  <c r="BF756" i="1" a="1"/>
  <c r="BF756" i="1" s="1"/>
  <c r="BF769" i="1" a="1"/>
  <c r="BF769" i="1" s="1"/>
  <c r="BF783" i="1" a="1"/>
  <c r="BF783" i="1" s="1"/>
  <c r="BF797" i="1" a="1"/>
  <c r="BF797" i="1" s="1"/>
  <c r="BF811" i="1" a="1"/>
  <c r="BF811" i="1" s="1"/>
  <c r="BF825" i="1" a="1"/>
  <c r="BF825" i="1" s="1"/>
  <c r="BF839" i="1" a="1"/>
  <c r="BF839" i="1" s="1"/>
  <c r="BF851" i="1" a="1"/>
  <c r="BF851" i="1" s="1"/>
  <c r="BF866" i="1" a="1"/>
  <c r="BF866" i="1" s="1"/>
  <c r="BF879" i="1" a="1"/>
  <c r="BF879" i="1" s="1"/>
  <c r="BF899" i="1" a="1"/>
  <c r="BF899" i="1" s="1"/>
  <c r="BF100" i="1" a="1"/>
  <c r="BF100" i="1" s="1"/>
  <c r="BF319" i="1" a="1"/>
  <c r="BF319" i="1" s="1"/>
  <c r="BF420" i="1" a="1"/>
  <c r="BF420" i="1" s="1"/>
  <c r="BF853" i="1" a="1"/>
  <c r="BF853" i="1" s="1"/>
  <c r="BF883" i="1" a="1"/>
  <c r="BF883" i="1" s="1"/>
  <c r="BF225" i="1" a="1"/>
  <c r="BF225" i="1" s="1"/>
  <c r="BF434" i="1" a="1"/>
  <c r="BF434" i="1" s="1"/>
  <c r="BF488" i="1" a="1"/>
  <c r="BF488" i="1" s="1"/>
  <c r="BF532" i="1" a="1"/>
  <c r="BF532" i="1" s="1"/>
  <c r="BF575" i="1" a="1"/>
  <c r="BF575" i="1" s="1"/>
  <c r="BF610" i="1" a="1"/>
  <c r="BF610" i="1" s="1"/>
  <c r="BF641" i="1" a="1"/>
  <c r="BF641" i="1" s="1"/>
  <c r="BF677" i="1" a="1"/>
  <c r="BF677" i="1" s="1"/>
  <c r="BF720" i="1" a="1"/>
  <c r="BF720" i="1" s="1"/>
  <c r="BF764" i="1" a="1"/>
  <c r="BF764" i="1" s="1"/>
  <c r="BF802" i="1" a="1"/>
  <c r="BF802" i="1" s="1"/>
  <c r="BF837" i="1" a="1"/>
  <c r="BF837" i="1" s="1"/>
  <c r="BF860" i="1" a="1"/>
  <c r="BF860" i="1" s="1"/>
  <c r="BF884" i="1" a="1"/>
  <c r="BF884" i="1" s="1"/>
  <c r="BF902" i="1" a="1"/>
  <c r="BF902" i="1" s="1"/>
  <c r="BF922" i="1" a="1"/>
  <c r="BF922" i="1" s="1"/>
  <c r="BF936" i="1" a="1"/>
  <c r="BF936" i="1" s="1"/>
  <c r="BF955" i="1" a="1"/>
  <c r="BF955" i="1" s="1"/>
  <c r="BF970" i="1" a="1"/>
  <c r="BF970" i="1" s="1"/>
  <c r="BF984" i="1" a="1"/>
  <c r="BF984" i="1" s="1"/>
  <c r="BF1003" i="1" a="1"/>
  <c r="BF1003" i="1" s="1"/>
  <c r="BF1018" i="1" a="1"/>
  <c r="BF1018" i="1" s="1"/>
  <c r="BF1033" i="1" a="1"/>
  <c r="BF1033" i="1" s="1"/>
  <c r="BF1049" i="1" a="1"/>
  <c r="BF1049" i="1" s="1"/>
  <c r="BF1065" i="1" a="1"/>
  <c r="BF1065" i="1" s="1"/>
  <c r="BF1084" i="1" a="1"/>
  <c r="BF1084" i="1" s="1"/>
  <c r="BF1102" i="1" a="1"/>
  <c r="BF1102" i="1" s="1"/>
  <c r="BF1122" i="1" a="1"/>
  <c r="BF1122" i="1" s="1"/>
  <c r="BF1143" i="1" a="1"/>
  <c r="BF1143" i="1" s="1"/>
  <c r="BF1158" i="1" a="1"/>
  <c r="BF1158" i="1" s="1"/>
  <c r="BF1173" i="1" a="1"/>
  <c r="BF1173" i="1" s="1"/>
  <c r="BF1191" i="1" a="1"/>
  <c r="BF1191" i="1" s="1"/>
  <c r="BF1207" i="1" a="1"/>
  <c r="BF1207" i="1" s="1"/>
  <c r="BF59" i="1" a="1"/>
  <c r="BF59" i="1" s="1"/>
  <c r="BF257" i="1" a="1"/>
  <c r="BF257" i="1" s="1"/>
  <c r="BF358" i="1" a="1"/>
  <c r="BF358" i="1" s="1"/>
  <c r="BF478" i="1" a="1"/>
  <c r="BF478" i="1" s="1"/>
  <c r="BF522" i="1" a="1"/>
  <c r="BF522" i="1" s="1"/>
  <c r="BF567" i="1" a="1"/>
  <c r="BF567" i="1" s="1"/>
  <c r="BF618" i="1" a="1"/>
  <c r="BF618" i="1" s="1"/>
  <c r="BF664" i="1" a="1"/>
  <c r="BF664" i="1" s="1"/>
  <c r="BF706" i="1" a="1"/>
  <c r="BF706" i="1" s="1"/>
  <c r="BF748" i="1" a="1"/>
  <c r="BF748" i="1" s="1"/>
  <c r="BF775" i="1" a="1"/>
  <c r="BF775" i="1" s="1"/>
  <c r="BF805" i="1" a="1"/>
  <c r="BF805" i="1" s="1"/>
  <c r="BF833" i="1" a="1"/>
  <c r="BF833" i="1" s="1"/>
  <c r="BF852" i="1" a="1"/>
  <c r="BF852" i="1" s="1"/>
  <c r="BF871" i="1" a="1"/>
  <c r="BF871" i="1" s="1"/>
  <c r="BF894" i="1" a="1"/>
  <c r="BF894" i="1" s="1"/>
  <c r="BF915" i="1" a="1"/>
  <c r="BF915" i="1" s="1"/>
  <c r="BF931" i="1" a="1"/>
  <c r="BF931" i="1" s="1"/>
  <c r="BF948" i="1" a="1"/>
  <c r="BF948" i="1" s="1"/>
  <c r="BF967" i="1" a="1"/>
  <c r="BF967" i="1" s="1"/>
  <c r="BF982" i="1" a="1"/>
  <c r="BF982" i="1" s="1"/>
  <c r="BF996" i="1" a="1"/>
  <c r="BF996" i="1" s="1"/>
  <c r="BF1015" i="1" a="1"/>
  <c r="BF1015" i="1" s="1"/>
  <c r="BF1030" i="1" a="1"/>
  <c r="BF1030" i="1" s="1"/>
  <c r="BF1046" i="1" a="1"/>
  <c r="BF1046" i="1" s="1"/>
  <c r="BF1062" i="1" a="1"/>
  <c r="BF1062" i="1" s="1"/>
  <c r="BF1077" i="1" a="1"/>
  <c r="BF1077" i="1" s="1"/>
  <c r="BF1089" i="1" a="1"/>
  <c r="BF1089" i="1" s="1"/>
  <c r="BF289" i="1" a="1"/>
  <c r="BF289" i="1" s="1"/>
  <c r="BF415" i="1" a="1"/>
  <c r="BF415" i="1" s="1"/>
  <c r="BF611" i="1" a="1"/>
  <c r="BF611" i="1" s="1"/>
  <c r="BF685" i="1" a="1"/>
  <c r="BF685" i="1" s="1"/>
  <c r="BF734" i="1" a="1"/>
  <c r="BF734" i="1" s="1"/>
  <c r="BF798" i="1" a="1"/>
  <c r="BF798" i="1" s="1"/>
  <c r="BF844" i="1" a="1"/>
  <c r="BF844" i="1" s="1"/>
  <c r="BF886" i="1" a="1"/>
  <c r="BF886" i="1" s="1"/>
  <c r="BF932" i="1" a="1"/>
  <c r="BF932" i="1" s="1"/>
  <c r="BF964" i="1" a="1"/>
  <c r="BF964" i="1" s="1"/>
  <c r="BF997" i="1" a="1"/>
  <c r="BF997" i="1" s="1"/>
  <c r="BF1027" i="1" a="1"/>
  <c r="BF1027" i="1" s="1"/>
  <c r="BF1051" i="1" a="1"/>
  <c r="BF1051" i="1" s="1"/>
  <c r="BF1074" i="1" a="1"/>
  <c r="BF1074" i="1" s="1"/>
  <c r="BF1107" i="1" a="1"/>
  <c r="BF1107" i="1" s="1"/>
  <c r="BF1128" i="1" a="1"/>
  <c r="BF1128" i="1" s="1"/>
  <c r="BF857" i="1" a="1"/>
  <c r="BF857" i="1" s="1"/>
  <c r="BF892" i="1" a="1"/>
  <c r="BF892" i="1" s="1"/>
  <c r="BF256" i="1" a="1"/>
  <c r="BF256" i="1" s="1"/>
  <c r="BF450" i="1" a="1"/>
  <c r="BF450" i="1" s="1"/>
  <c r="BF499" i="1" a="1"/>
  <c r="BF499" i="1" s="1"/>
  <c r="BF544" i="1" a="1"/>
  <c r="BF544" i="1" s="1"/>
  <c r="BF586" i="1" a="1"/>
  <c r="BF586" i="1" s="1"/>
  <c r="BF617" i="1" a="1"/>
  <c r="BF617" i="1" s="1"/>
  <c r="BF647" i="1" a="1"/>
  <c r="BF647" i="1" s="1"/>
  <c r="BF690" i="1" a="1"/>
  <c r="BF690" i="1" s="1"/>
  <c r="BF729" i="1" a="1"/>
  <c r="BF729" i="1" s="1"/>
  <c r="BF774" i="1" a="1"/>
  <c r="BF774" i="1" s="1"/>
  <c r="BF812" i="1" a="1"/>
  <c r="BF812" i="1" s="1"/>
  <c r="BF842" i="1" a="1"/>
  <c r="BF842" i="1" s="1"/>
  <c r="BF869" i="1" a="1"/>
  <c r="BF869" i="1" s="1"/>
  <c r="BF888" i="1" a="1"/>
  <c r="BF888" i="1" s="1"/>
  <c r="BF907" i="1" a="1"/>
  <c r="BF907" i="1" s="1"/>
  <c r="BF926" i="1" a="1"/>
  <c r="BF926" i="1" s="1"/>
  <c r="BF940" i="1" a="1"/>
  <c r="BF940" i="1" s="1"/>
  <c r="BF959" i="1" a="1"/>
  <c r="BF959" i="1" s="1"/>
  <c r="BF973" i="1" a="1"/>
  <c r="BF973" i="1" s="1"/>
  <c r="BF988" i="1" a="1"/>
  <c r="BF988" i="1" s="1"/>
  <c r="BF1007" i="1" a="1"/>
  <c r="BF1007" i="1" s="1"/>
  <c r="BF1021" i="1" a="1"/>
  <c r="BF1021" i="1" s="1"/>
  <c r="BF1037" i="1" a="1"/>
  <c r="BF1037" i="1" s="1"/>
  <c r="BF1053" i="1" a="1"/>
  <c r="BF1053" i="1" s="1"/>
  <c r="BF1068" i="1" a="1"/>
  <c r="BF1068" i="1" s="1"/>
  <c r="BF1088" i="1" a="1"/>
  <c r="BF1088" i="1" s="1"/>
  <c r="BF1108" i="1" a="1"/>
  <c r="BF1108" i="1" s="1"/>
  <c r="BF1126" i="1" a="1"/>
  <c r="BF1126" i="1" s="1"/>
  <c r="BF1147" i="1" a="1"/>
  <c r="BF1147" i="1" s="1"/>
  <c r="BF1162" i="1" a="1"/>
  <c r="BF1162" i="1" s="1"/>
  <c r="BF1176" i="1" a="1"/>
  <c r="BF1176" i="1" s="1"/>
  <c r="BF1195" i="1" a="1"/>
  <c r="BF1195" i="1" s="1"/>
  <c r="BF1211" i="1" a="1"/>
  <c r="BF1211" i="1" s="1"/>
  <c r="BF101" i="1" a="1"/>
  <c r="BF101" i="1" s="1"/>
  <c r="BF279" i="1" a="1"/>
  <c r="BF279" i="1" s="1"/>
  <c r="BF395" i="1" a="1"/>
  <c r="BF395" i="1" s="1"/>
  <c r="BF489" i="1" a="1"/>
  <c r="BF489" i="1" s="1"/>
  <c r="BF533" i="1" a="1"/>
  <c r="BF533" i="1" s="1"/>
  <c r="BF577" i="1" a="1"/>
  <c r="BF577" i="1" s="1"/>
  <c r="BF625" i="1" a="1"/>
  <c r="BF625" i="1" s="1"/>
  <c r="BF678" i="1" a="1"/>
  <c r="BF678" i="1" s="1"/>
  <c r="BF718" i="1" a="1"/>
  <c r="BF718" i="1" s="1"/>
  <c r="BF757" i="1" a="1"/>
  <c r="BF757" i="1" s="1"/>
  <c r="BF779" i="1" a="1"/>
  <c r="BF779" i="1" s="1"/>
  <c r="BF813" i="1" a="1"/>
  <c r="BF813" i="1" s="1"/>
  <c r="BF838" i="1" a="1"/>
  <c r="BF838" i="1" s="1"/>
  <c r="BF856" i="1" a="1"/>
  <c r="BF856" i="1" s="1"/>
  <c r="BF880" i="1" a="1"/>
  <c r="BF880" i="1" s="1"/>
  <c r="BF903" i="1" a="1"/>
  <c r="BF903" i="1" s="1"/>
  <c r="BF919" i="1" a="1"/>
  <c r="BF919" i="1" s="1"/>
  <c r="BF937" i="1" a="1"/>
  <c r="BF937" i="1" s="1"/>
  <c r="BF952" i="1" a="1"/>
  <c r="BF952" i="1" s="1"/>
  <c r="BF971" i="1" a="1"/>
  <c r="BF971" i="1" s="1"/>
  <c r="BF985" i="1" a="1"/>
  <c r="BF985" i="1" s="1"/>
  <c r="BF1000" i="1" a="1"/>
  <c r="BF1000" i="1" s="1"/>
  <c r="BF1019" i="1" a="1"/>
  <c r="BF1019" i="1" s="1"/>
  <c r="BF1034" i="1" a="1"/>
  <c r="BF1034" i="1" s="1"/>
  <c r="BF1050" i="1" a="1"/>
  <c r="BF1050" i="1" s="1"/>
  <c r="BF1066" i="1" a="1"/>
  <c r="BF1066" i="1" s="1"/>
  <c r="BF1079" i="1" a="1"/>
  <c r="BF1079" i="1" s="1"/>
  <c r="BF1092" i="1" a="1"/>
  <c r="BF1092" i="1" s="1"/>
  <c r="BF326" i="1" a="1"/>
  <c r="BF326" i="1" s="1"/>
  <c r="BF469" i="1" a="1"/>
  <c r="BF469" i="1" s="1"/>
  <c r="BF629" i="1" a="1"/>
  <c r="BF629" i="1" s="1"/>
  <c r="BF699" i="1" a="1"/>
  <c r="BF699" i="1" s="1"/>
  <c r="BF744" i="1" a="1"/>
  <c r="BF744" i="1" s="1"/>
  <c r="BF808" i="1" a="1"/>
  <c r="BF808" i="1" s="1"/>
  <c r="BF858" i="1" a="1"/>
  <c r="BF858" i="1" s="1"/>
  <c r="BF890" i="1" a="1"/>
  <c r="BF890" i="1" s="1"/>
  <c r="BF935" i="1" a="1"/>
  <c r="BF935" i="1" s="1"/>
  <c r="BF975" i="1" a="1"/>
  <c r="BF975" i="1" s="1"/>
  <c r="BF1005" i="1" a="1"/>
  <c r="BF1005" i="1" s="1"/>
  <c r="BF1031" i="1" a="1"/>
  <c r="BF1031" i="1" s="1"/>
  <c r="BF1055" i="1" a="1"/>
  <c r="BF1055" i="1" s="1"/>
  <c r="BF1082" i="1" a="1"/>
  <c r="BF1082" i="1" s="1"/>
  <c r="BF1113" i="1" a="1"/>
  <c r="BF1113" i="1" s="1"/>
  <c r="BF1133" i="1" a="1"/>
  <c r="BF1133" i="1" s="1"/>
  <c r="BF870" i="1" a="1"/>
  <c r="BF870" i="1" s="1"/>
  <c r="BF901" i="1" a="1"/>
  <c r="BF901" i="1" s="1"/>
  <c r="BF335" i="1" a="1"/>
  <c r="BF335" i="1" s="1"/>
  <c r="BF466" i="1" a="1"/>
  <c r="BF466" i="1" s="1"/>
  <c r="BF510" i="1" a="1"/>
  <c r="BF510" i="1" s="1"/>
  <c r="BF556" i="1" a="1"/>
  <c r="BF556" i="1" s="1"/>
  <c r="BF593" i="1" a="1"/>
  <c r="BF593" i="1" s="1"/>
  <c r="BF623" i="1" a="1"/>
  <c r="BF623" i="1" s="1"/>
  <c r="BF658" i="1" a="1"/>
  <c r="BF658" i="1" s="1"/>
  <c r="BF705" i="1" a="1"/>
  <c r="BF705" i="1" s="1"/>
  <c r="BF738" i="1" a="1"/>
  <c r="BF738" i="1" s="1"/>
  <c r="BF784" i="1" a="1"/>
  <c r="BF784" i="1" s="1"/>
  <c r="BF822" i="1" a="1"/>
  <c r="BF822" i="1" s="1"/>
  <c r="BF847" i="1" a="1"/>
  <c r="BF847" i="1" s="1"/>
  <c r="BF875" i="1" a="1"/>
  <c r="BF875" i="1" s="1"/>
  <c r="BF893" i="1" a="1"/>
  <c r="BF893" i="1" s="1"/>
  <c r="BF914" i="1" a="1"/>
  <c r="BF914" i="1" s="1"/>
  <c r="BF930" i="1" a="1"/>
  <c r="BF930" i="1" s="1"/>
  <c r="BF944" i="1" a="1"/>
  <c r="BF944" i="1" s="1"/>
  <c r="BF962" i="1" a="1"/>
  <c r="BF962" i="1" s="1"/>
  <c r="BF977" i="1" a="1"/>
  <c r="BF977" i="1" s="1"/>
  <c r="BF992" i="1" a="1"/>
  <c r="BF992" i="1" s="1"/>
  <c r="BF1010" i="1" a="1"/>
  <c r="BF1010" i="1" s="1"/>
  <c r="BF1025" i="1" a="1"/>
  <c r="BF1025" i="1" s="1"/>
  <c r="BF1041" i="1" a="1"/>
  <c r="BF1041" i="1" s="1"/>
  <c r="BF1057" i="1" a="1"/>
  <c r="BF1057" i="1" s="1"/>
  <c r="BF1072" i="1" a="1"/>
  <c r="BF1072" i="1" s="1"/>
  <c r="BF1094" i="1" a="1"/>
  <c r="BF1094" i="1" s="1"/>
  <c r="BF1112" i="1" a="1"/>
  <c r="BF1112" i="1" s="1"/>
  <c r="BF1132" i="1" a="1"/>
  <c r="BF1132" i="1" s="1"/>
  <c r="BF1151" i="1" a="1"/>
  <c r="BF1151" i="1" s="1"/>
  <c r="BF1165" i="1" a="1"/>
  <c r="BF1165" i="1" s="1"/>
  <c r="BF1180" i="1" a="1"/>
  <c r="BF1180" i="1" s="1"/>
  <c r="BF1199" i="1" a="1"/>
  <c r="BF1199" i="1" s="1"/>
  <c r="BF1215" i="1" a="1"/>
  <c r="BF1215" i="1" s="1"/>
  <c r="BF181" i="1" a="1"/>
  <c r="BF181" i="1" s="1"/>
  <c r="BF299" i="1" a="1"/>
  <c r="BF299" i="1" s="1"/>
  <c r="BF436" i="1" a="1"/>
  <c r="BF436" i="1" s="1"/>
  <c r="BF500" i="1" a="1"/>
  <c r="BF500" i="1" s="1"/>
  <c r="BF545" i="1" a="1"/>
  <c r="BF545" i="1" s="1"/>
  <c r="BF594" i="1" a="1"/>
  <c r="BF594" i="1" s="1"/>
  <c r="BF642" i="1" a="1"/>
  <c r="BF642" i="1" s="1"/>
  <c r="BF692" i="1" a="1"/>
  <c r="BF692" i="1" s="1"/>
  <c r="BF732" i="1" a="1"/>
  <c r="BF732" i="1" s="1"/>
  <c r="BF765" i="1" a="1"/>
  <c r="BF765" i="1" s="1"/>
  <c r="BF785" i="1" a="1"/>
  <c r="BF785" i="1" s="1"/>
  <c r="BF818" i="1" a="1"/>
  <c r="BF818" i="1" s="1"/>
  <c r="BF843" i="1" a="1"/>
  <c r="BF843" i="1" s="1"/>
  <c r="BF862" i="1" a="1"/>
  <c r="BF862" i="1" s="1"/>
  <c r="BF885" i="1" a="1"/>
  <c r="BF885" i="1" s="1"/>
  <c r="BF908" i="1" a="1"/>
  <c r="BF908" i="1" s="1"/>
  <c r="BF924" i="1" a="1"/>
  <c r="BF924" i="1" s="1"/>
  <c r="BF941" i="1" a="1"/>
  <c r="BF941" i="1" s="1"/>
  <c r="BF956" i="1" a="1"/>
  <c r="BF956" i="1" s="1"/>
  <c r="BF974" i="1" a="1"/>
  <c r="BF974" i="1" s="1"/>
  <c r="BF989" i="1" a="1"/>
  <c r="BF989" i="1" s="1"/>
  <c r="BF1004" i="1" a="1"/>
  <c r="BF1004" i="1" s="1"/>
  <c r="BF1022" i="1" a="1"/>
  <c r="BF1022" i="1" s="1"/>
  <c r="BF1038" i="1" a="1"/>
  <c r="BF1038" i="1" s="1"/>
  <c r="BF1054" i="1" a="1"/>
  <c r="BF1054" i="1" s="1"/>
  <c r="BF1069" i="1" a="1"/>
  <c r="BF1069" i="1" s="1"/>
  <c r="BF1081" i="1" a="1"/>
  <c r="BF1081" i="1" s="1"/>
  <c r="BF79" i="1" a="1"/>
  <c r="BF79" i="1" s="1"/>
  <c r="BF361" i="1" a="1"/>
  <c r="BF361" i="1" s="1"/>
  <c r="BF581" i="1" a="1"/>
  <c r="BF581" i="1" s="1"/>
  <c r="BF646" i="1" a="1"/>
  <c r="BF646" i="1" s="1"/>
  <c r="BF712" i="1" a="1"/>
  <c r="BF712" i="1" s="1"/>
  <c r="BF778" i="1" a="1"/>
  <c r="BF778" i="1" s="1"/>
  <c r="BF824" i="1" a="1"/>
  <c r="BF824" i="1" s="1"/>
  <c r="BF863" i="1" a="1"/>
  <c r="BF863" i="1" s="1"/>
  <c r="BF904" i="1" a="1"/>
  <c r="BF904" i="1" s="1"/>
  <c r="BF942" i="1" a="1"/>
  <c r="BF942" i="1" s="1"/>
  <c r="BF986" i="1" a="1"/>
  <c r="BF986" i="1" s="1"/>
  <c r="BF1008" i="1" a="1"/>
  <c r="BF1008" i="1" s="1"/>
  <c r="BF1039" i="1" a="1"/>
  <c r="BF1039" i="1" s="1"/>
  <c r="BF1063" i="1" a="1"/>
  <c r="BF1063" i="1" s="1"/>
  <c r="BF1090" i="1" a="1"/>
  <c r="BF1090" i="1" s="1"/>
  <c r="BF1117" i="1" a="1"/>
  <c r="BF1117" i="1" s="1"/>
  <c r="BF1138" i="1" a="1"/>
  <c r="BF1138" i="1" s="1"/>
  <c r="BF1155" i="1" a="1"/>
  <c r="BF1155" i="1" s="1"/>
  <c r="BF1177" i="1" a="1"/>
  <c r="BF1177" i="1" s="1"/>
  <c r="BF1198" i="1" a="1"/>
  <c r="BF1198" i="1" s="1"/>
  <c r="BF1212" i="1" a="1"/>
  <c r="BF1212" i="1" s="1"/>
  <c r="BF240" i="1" a="1"/>
  <c r="BF240" i="1" s="1"/>
  <c r="BF390" i="1" a="1"/>
  <c r="BF390" i="1" s="1"/>
  <c r="BF874" i="1" a="1"/>
  <c r="BF874" i="1" s="1"/>
  <c r="BF905" i="1" a="1"/>
  <c r="BF905" i="1" s="1"/>
  <c r="BF357" i="1" a="1"/>
  <c r="BF357" i="1" s="1"/>
  <c r="BF477" i="1" a="1"/>
  <c r="BF477" i="1" s="1"/>
  <c r="BF521" i="1" a="1"/>
  <c r="BF521" i="1" s="1"/>
  <c r="BF566" i="1" a="1"/>
  <c r="BF566" i="1" s="1"/>
  <c r="BF599" i="1" a="1"/>
  <c r="BF599" i="1" s="1"/>
  <c r="BF634" i="1" a="1"/>
  <c r="BF634" i="1" s="1"/>
  <c r="BF663" i="1" a="1"/>
  <c r="BF663" i="1" s="1"/>
  <c r="BF717" i="1" a="1"/>
  <c r="BF717" i="1" s="1"/>
  <c r="BF747" i="1" a="1"/>
  <c r="BF747" i="1" s="1"/>
  <c r="BF794" i="1" a="1"/>
  <c r="BF794" i="1" s="1"/>
  <c r="BF832" i="1" a="1"/>
  <c r="BF832" i="1" s="1"/>
  <c r="BF855" i="1" a="1"/>
  <c r="BF855" i="1" s="1"/>
  <c r="BF878" i="1" a="1"/>
  <c r="BF878" i="1" s="1"/>
  <c r="BF898" i="1" a="1"/>
  <c r="BF898" i="1" s="1"/>
  <c r="BF918" i="1" a="1"/>
  <c r="BF918" i="1" s="1"/>
  <c r="BF934" i="1" a="1"/>
  <c r="BF934" i="1" s="1"/>
  <c r="BF951" i="1" a="1"/>
  <c r="BF951" i="1" s="1"/>
  <c r="BF966" i="1" a="1"/>
  <c r="BF966" i="1" s="1"/>
  <c r="BF981" i="1" a="1"/>
  <c r="BF981" i="1" s="1"/>
  <c r="BF999" i="1" a="1"/>
  <c r="BF999" i="1" s="1"/>
  <c r="BF1014" i="1" a="1"/>
  <c r="BF1014" i="1" s="1"/>
  <c r="BF1029" i="1" a="1"/>
  <c r="BF1029" i="1" s="1"/>
  <c r="BF1045" i="1" a="1"/>
  <c r="BF1045" i="1" s="1"/>
  <c r="BF1061" i="1" a="1"/>
  <c r="BF1061" i="1" s="1"/>
  <c r="BF1076" i="1" a="1"/>
  <c r="BF1076" i="1" s="1"/>
  <c r="BF1098" i="1" a="1"/>
  <c r="BF1098" i="1" s="1"/>
  <c r="BF1118" i="1" a="1"/>
  <c r="BF1118" i="1" s="1"/>
  <c r="BF1136" i="1" a="1"/>
  <c r="BF1136" i="1" s="1"/>
  <c r="BF1154" i="1" a="1"/>
  <c r="BF1154" i="1" s="1"/>
  <c r="BF1169" i="1" a="1"/>
  <c r="BF1169" i="1" s="1"/>
  <c r="BF1184" i="1" a="1"/>
  <c r="BF1184" i="1" s="1"/>
  <c r="BF1203" i="1" a="1"/>
  <c r="BF1203" i="1" s="1"/>
  <c r="BF1219" i="1" a="1"/>
  <c r="BF1219" i="1" s="1"/>
  <c r="BF226" i="1" a="1"/>
  <c r="BF226" i="1" s="1"/>
  <c r="BF320" i="1" a="1"/>
  <c r="BF320" i="1" s="1"/>
  <c r="BF451" i="1" a="1"/>
  <c r="BF451" i="1" s="1"/>
  <c r="BF511" i="1" a="1"/>
  <c r="BF511" i="1" s="1"/>
  <c r="BF557" i="1" a="1"/>
  <c r="BF557" i="1" s="1"/>
  <c r="BF601" i="1" a="1"/>
  <c r="BF601" i="1" s="1"/>
  <c r="BF649" i="1" a="1"/>
  <c r="BF649" i="1" s="1"/>
  <c r="BF696" i="1" a="1"/>
  <c r="BF696" i="1" s="1"/>
  <c r="BF739" i="1" a="1"/>
  <c r="BF739" i="1" s="1"/>
  <c r="BF768" i="1" a="1"/>
  <c r="BF768" i="1" s="1"/>
  <c r="BF795" i="1" a="1"/>
  <c r="BF795" i="1" s="1"/>
  <c r="BF823" i="1" a="1"/>
  <c r="BF823" i="1" s="1"/>
  <c r="BF848" i="1" a="1"/>
  <c r="BF848" i="1" s="1"/>
  <c r="BF865" i="1" a="1"/>
  <c r="BF865" i="1" s="1"/>
  <c r="BF889" i="1" a="1"/>
  <c r="BF889" i="1" s="1"/>
  <c r="BF912" i="1" a="1"/>
  <c r="BF912" i="1" s="1"/>
  <c r="BF927" i="1" a="1"/>
  <c r="BF927" i="1" s="1"/>
  <c r="BF945" i="1" a="1"/>
  <c r="BF945" i="1" s="1"/>
  <c r="BF963" i="1" a="1"/>
  <c r="BF963" i="1" s="1"/>
  <c r="BF978" i="1" a="1"/>
  <c r="BF978" i="1" s="1"/>
  <c r="BF993" i="1" a="1"/>
  <c r="BF993" i="1" s="1"/>
  <c r="BF1011" i="1" a="1"/>
  <c r="BF1011" i="1" s="1"/>
  <c r="BF1026" i="1" a="1"/>
  <c r="BF1026" i="1" s="1"/>
  <c r="BF1042" i="1" a="1"/>
  <c r="BF1042" i="1" s="1"/>
  <c r="BF1058" i="1" a="1"/>
  <c r="BF1058" i="1" s="1"/>
  <c r="BF1073" i="1" a="1"/>
  <c r="BF1073" i="1" s="1"/>
  <c r="BF1085" i="1" a="1"/>
  <c r="BF1085" i="1" s="1"/>
  <c r="BF165" i="1" a="1"/>
  <c r="BF165" i="1" s="1"/>
  <c r="BF389" i="1" a="1"/>
  <c r="BF389" i="1" s="1"/>
  <c r="BF598" i="1" a="1"/>
  <c r="BF598" i="1" s="1"/>
  <c r="BF672" i="1" a="1"/>
  <c r="BF672" i="1" s="1"/>
  <c r="BF724" i="1" a="1"/>
  <c r="BF724" i="1" s="1"/>
  <c r="BF788" i="1" a="1"/>
  <c r="BF788" i="1" s="1"/>
  <c r="BF829" i="1" a="1"/>
  <c r="BF829" i="1" s="1"/>
  <c r="BF872" i="1" a="1"/>
  <c r="BF872" i="1" s="1"/>
  <c r="BF916" i="1" a="1"/>
  <c r="BF916" i="1" s="1"/>
  <c r="BF953" i="1" a="1"/>
  <c r="BF953" i="1" s="1"/>
  <c r="BF994" i="1" a="1"/>
  <c r="BF994" i="1" s="1"/>
  <c r="BF1016" i="1" a="1"/>
  <c r="BF1016" i="1" s="1"/>
  <c r="BF1043" i="1" a="1"/>
  <c r="BF1043" i="1" s="1"/>
  <c r="BF1067" i="1" a="1"/>
  <c r="BF1067" i="1" s="1"/>
  <c r="BF1097" i="1" a="1"/>
  <c r="BF1097" i="1" s="1"/>
  <c r="BF1123" i="1" a="1"/>
  <c r="BF1123" i="1" s="1"/>
  <c r="BF1139" i="1" a="1"/>
  <c r="BF1139" i="1" s="1"/>
  <c r="BF1160" i="1" a="1"/>
  <c r="BF1160" i="1" s="1"/>
  <c r="BF1182" i="1" a="1"/>
  <c r="BF1182" i="1" s="1"/>
  <c r="BF1200" i="1" a="1"/>
  <c r="BF1200" i="1" s="1"/>
  <c r="BF1217" i="1" a="1"/>
  <c r="BF1217" i="1" s="1"/>
  <c r="BF290" i="1" a="1"/>
  <c r="BF290" i="1" s="1"/>
  <c r="BF417" i="1" a="1"/>
  <c r="BF417" i="1" s="1"/>
  <c r="BF1144" i="1" a="1"/>
  <c r="BF1144" i="1" s="1"/>
  <c r="BF1188" i="1" a="1"/>
  <c r="BF1188" i="1" s="1"/>
  <c r="BF80" i="1" a="1"/>
  <c r="BF80" i="1" s="1"/>
  <c r="BF470" i="1" a="1"/>
  <c r="BF470" i="1" s="1"/>
  <c r="BF613" i="1" a="1"/>
  <c r="BF613" i="1" s="1"/>
  <c r="BF686" i="1" a="1"/>
  <c r="BF686" i="1" s="1"/>
  <c r="BF735" i="1" a="1"/>
  <c r="BF735" i="1" s="1"/>
  <c r="BF809" i="1" a="1"/>
  <c r="BF809" i="1" s="1"/>
  <c r="BF846" i="1" a="1"/>
  <c r="BF846" i="1" s="1"/>
  <c r="BF877" i="1" a="1"/>
  <c r="BF877" i="1" s="1"/>
  <c r="BF917" i="1" a="1"/>
  <c r="BF917" i="1" s="1"/>
  <c r="BF947" i="1" a="1"/>
  <c r="BF947" i="1" s="1"/>
  <c r="BF987" i="1" a="1"/>
  <c r="BF987" i="1" s="1"/>
  <c r="BF1017" i="1" a="1"/>
  <c r="BF1017" i="1" s="1"/>
  <c r="BF1040" i="1" a="1"/>
  <c r="BF1040" i="1" s="1"/>
  <c r="BF1064" i="1" a="1"/>
  <c r="BF1064" i="1" s="1"/>
  <c r="BF1099" i="1" a="1"/>
  <c r="BF1099" i="1" s="1"/>
  <c r="BF1115" i="1" a="1"/>
  <c r="BF1115" i="1" s="1"/>
  <c r="BF1134" i="1" a="1"/>
  <c r="BF1134" i="1" s="1"/>
  <c r="BF1156" i="1" a="1"/>
  <c r="BF1156" i="1" s="1"/>
  <c r="BF1172" i="1" a="1"/>
  <c r="BF1172" i="1" s="1"/>
  <c r="BF1194" i="1" a="1"/>
  <c r="BF1194" i="1" s="1"/>
  <c r="BF1218" i="1" a="1"/>
  <c r="BF1218" i="1" s="1"/>
  <c r="BF587" i="1" a="1"/>
  <c r="BF587" i="1" s="1"/>
  <c r="BF751" i="1" a="1"/>
  <c r="BF751" i="1" s="1"/>
  <c r="BF867" i="1" a="1"/>
  <c r="BF867" i="1" s="1"/>
  <c r="BF920" i="1" a="1"/>
  <c r="BF920" i="1" s="1"/>
  <c r="BF960" i="1" a="1"/>
  <c r="BF960" i="1" s="1"/>
  <c r="BF1095" i="1" a="1"/>
  <c r="BF1095" i="1" s="1"/>
  <c r="BF1130" i="1" a="1"/>
  <c r="BF1130" i="1" s="1"/>
  <c r="BF1175" i="1" a="1"/>
  <c r="BF1175" i="1" s="1"/>
  <c r="BF1214" i="1" a="1"/>
  <c r="BF1214" i="1" s="1"/>
  <c r="BF457" i="1" a="1"/>
  <c r="BF457" i="1" s="1"/>
  <c r="BF771" i="1" a="1"/>
  <c r="BF771" i="1" s="1"/>
  <c r="BF868" i="1" a="1"/>
  <c r="BF868" i="1" s="1"/>
  <c r="BF929" i="1" a="1"/>
  <c r="BF929" i="1" s="1"/>
  <c r="BF972" i="1" a="1"/>
  <c r="BF972" i="1" s="1"/>
  <c r="BF1103" i="1" a="1"/>
  <c r="BF1103" i="1" s="1"/>
  <c r="BF1153" i="1" a="1"/>
  <c r="BF1153" i="1" s="1"/>
  <c r="BF1209" i="1" a="1"/>
  <c r="BF1209" i="1" s="1"/>
  <c r="BF1135" i="1" a="1"/>
  <c r="BF1135" i="1" s="1"/>
  <c r="BF1047" i="1" a="1"/>
  <c r="BF1047" i="1" s="1"/>
  <c r="BF668" i="1" a="1"/>
  <c r="BF668" i="1" s="1"/>
  <c r="BF1157" i="1" a="1"/>
  <c r="BF1157" i="1" s="1"/>
  <c r="BF1059" i="1" a="1"/>
  <c r="BF1059" i="1" s="1"/>
  <c r="BF968" i="1" a="1"/>
  <c r="BF968" i="1" s="1"/>
  <c r="BF819" i="1" a="1"/>
  <c r="BF819" i="1" s="1"/>
  <c r="BF480" i="1" a="1"/>
  <c r="BF480" i="1" s="1"/>
  <c r="BF14" i="1" a="1"/>
  <c r="BF14" i="1" s="1"/>
  <c r="BF30" i="1" a="1"/>
  <c r="BF30" i="1" s="1"/>
  <c r="BF19" i="1" a="1"/>
  <c r="BF19" i="1" s="1"/>
  <c r="BF16" i="1" a="1"/>
  <c r="BF16" i="1" s="1"/>
  <c r="BF44" i="1" a="1"/>
  <c r="BF44" i="1" s="1"/>
  <c r="BF38" i="1" a="1"/>
  <c r="BF38" i="1" s="1"/>
  <c r="BF1149" i="1" a="1"/>
  <c r="BF1149" i="1" s="1"/>
  <c r="BF1193" i="1" a="1"/>
  <c r="BF1193" i="1" s="1"/>
  <c r="BF166" i="1" a="1"/>
  <c r="BF166" i="1" s="1"/>
  <c r="BF492" i="1" a="1"/>
  <c r="BF492" i="1" s="1"/>
  <c r="BF630" i="1" a="1"/>
  <c r="BF630" i="1" s="1"/>
  <c r="BF701" i="1" a="1"/>
  <c r="BF701" i="1" s="1"/>
  <c r="BF755" i="1" a="1"/>
  <c r="BF755" i="1" s="1"/>
  <c r="BF816" i="1" a="1"/>
  <c r="BF816" i="1" s="1"/>
  <c r="BF859" i="1" a="1"/>
  <c r="BF859" i="1" s="1"/>
  <c r="BF891" i="1" a="1"/>
  <c r="BF891" i="1" s="1"/>
  <c r="BF925" i="1" a="1"/>
  <c r="BF925" i="1" s="1"/>
  <c r="BF954" i="1" a="1"/>
  <c r="BF954" i="1" s="1"/>
  <c r="BF998" i="1" a="1"/>
  <c r="BF998" i="1" s="1"/>
  <c r="BF1020" i="1" a="1"/>
  <c r="BF1020" i="1" s="1"/>
  <c r="BF1044" i="1" a="1"/>
  <c r="BF1044" i="1" s="1"/>
  <c r="BF1075" i="1" a="1"/>
  <c r="BF1075" i="1" s="1"/>
  <c r="BF1104" i="1" a="1"/>
  <c r="BF1104" i="1" s="1"/>
  <c r="BF1119" i="1" a="1"/>
  <c r="BF1119" i="1" s="1"/>
  <c r="BF1140" i="1" a="1"/>
  <c r="BF1140" i="1" s="1"/>
  <c r="BF1161" i="1" a="1"/>
  <c r="BF1161" i="1" s="1"/>
  <c r="BF1178" i="1" a="1"/>
  <c r="BF1178" i="1" s="1"/>
  <c r="BF1201" i="1" a="1"/>
  <c r="BF1201" i="1" s="1"/>
  <c r="BF269" i="1" a="1"/>
  <c r="BF269" i="1" s="1"/>
  <c r="BF622" i="1" a="1"/>
  <c r="BF622" i="1" s="1"/>
  <c r="BF770" i="1" a="1"/>
  <c r="BF770" i="1" s="1"/>
  <c r="BF881" i="1" a="1"/>
  <c r="BF881" i="1" s="1"/>
  <c r="BF928" i="1" a="1"/>
  <c r="BF928" i="1" s="1"/>
  <c r="BF983" i="1" a="1"/>
  <c r="BF983" i="1" s="1"/>
  <c r="BF1110" i="1" a="1"/>
  <c r="BF1110" i="1" s="1"/>
  <c r="BF1146" i="1" a="1"/>
  <c r="BF1146" i="1" s="1"/>
  <c r="BF1185" i="1" a="1"/>
  <c r="BF1185" i="1" s="1"/>
  <c r="BF121" i="1" a="1"/>
  <c r="BF121" i="1" s="1"/>
  <c r="BF589" i="1" a="1"/>
  <c r="BF589" i="1" s="1"/>
  <c r="BF792" i="1" a="1"/>
  <c r="BF792" i="1" s="1"/>
  <c r="BF882" i="1" a="1"/>
  <c r="BF882" i="1" s="1"/>
  <c r="BF939" i="1" a="1"/>
  <c r="BF939" i="1" s="1"/>
  <c r="BF995" i="1" a="1"/>
  <c r="BF995" i="1" s="1"/>
  <c r="BF1111" i="1" a="1"/>
  <c r="BF1111" i="1" s="1"/>
  <c r="BF1170" i="1" a="1"/>
  <c r="BF1170" i="1" s="1"/>
  <c r="BF1216" i="1" a="1"/>
  <c r="BF1216" i="1" s="1"/>
  <c r="BF1120" i="1" a="1"/>
  <c r="BF1120" i="1" s="1"/>
  <c r="BF1001" i="1" a="1"/>
  <c r="BF1001" i="1" s="1"/>
  <c r="BF430" i="1" a="1"/>
  <c r="BF430" i="1" s="1"/>
  <c r="BF1141" i="1" a="1"/>
  <c r="BF1141" i="1" s="1"/>
  <c r="BF1035" i="1" a="1"/>
  <c r="BF1035" i="1" s="1"/>
  <c r="BF946" i="1" a="1"/>
  <c r="BF946" i="1" s="1"/>
  <c r="BF742" i="1" a="1"/>
  <c r="BF742" i="1" s="1"/>
  <c r="BF374" i="1" a="1"/>
  <c r="BF374" i="1" s="1"/>
  <c r="BF18" i="1" a="1"/>
  <c r="BF18" i="1" s="1"/>
  <c r="BF34" i="1" a="1"/>
  <c r="BF34" i="1" s="1"/>
  <c r="BF24" i="1" a="1"/>
  <c r="BF24" i="1" s="1"/>
  <c r="BF20" i="1" a="1"/>
  <c r="BF20" i="1" s="1"/>
  <c r="BF40" i="1" a="1"/>
  <c r="BF40" i="1" s="1"/>
  <c r="BF31" i="1" a="1"/>
  <c r="BF31" i="1" s="1"/>
  <c r="BF29" i="1" a="1"/>
  <c r="BF29" i="1" s="1"/>
  <c r="BF13" i="1" a="1"/>
  <c r="BF13" i="1" s="1"/>
  <c r="BF1166" i="1" a="1"/>
  <c r="BF1166" i="1" s="1"/>
  <c r="BF1205" i="1" a="1"/>
  <c r="BF1205" i="1" s="1"/>
  <c r="BF327" i="1" a="1"/>
  <c r="BF327" i="1" s="1"/>
  <c r="BF515" i="1" a="1"/>
  <c r="BF515" i="1" s="1"/>
  <c r="BF659" i="1" a="1"/>
  <c r="BF659" i="1" s="1"/>
  <c r="BF713" i="1" a="1"/>
  <c r="BF713" i="1" s="1"/>
  <c r="BF789" i="1" a="1"/>
  <c r="BF789" i="1" s="1"/>
  <c r="BF826" i="1" a="1"/>
  <c r="BF826" i="1" s="1"/>
  <c r="BF864" i="1" a="1"/>
  <c r="BF864" i="1" s="1"/>
  <c r="BF906" i="1" a="1"/>
  <c r="BF906" i="1" s="1"/>
  <c r="BF933" i="1" a="1"/>
  <c r="BF933" i="1" s="1"/>
  <c r="BF965" i="1" a="1"/>
  <c r="BF965" i="1" s="1"/>
  <c r="BF1006" i="1" a="1"/>
  <c r="BF1006" i="1" s="1"/>
  <c r="BF1028" i="1" a="1"/>
  <c r="BF1028" i="1" s="1"/>
  <c r="BF1052" i="1" a="1"/>
  <c r="BF1052" i="1" s="1"/>
  <c r="BF1083" i="1" a="1"/>
  <c r="BF1083" i="1" s="1"/>
  <c r="BF1109" i="1" a="1"/>
  <c r="BF1109" i="1" s="1"/>
  <c r="BF1124" i="1" a="1"/>
  <c r="BF1124" i="1" s="1"/>
  <c r="BF1145" i="1" a="1"/>
  <c r="BF1145" i="1" s="1"/>
  <c r="BF1163" i="1" a="1"/>
  <c r="BF1163" i="1" s="1"/>
  <c r="BF1183" i="1" a="1"/>
  <c r="BF1183" i="1" s="1"/>
  <c r="BF1206" i="1" a="1"/>
  <c r="BF1206" i="1" s="1"/>
  <c r="BF402" i="1" a="1"/>
  <c r="BF402" i="1" s="1"/>
  <c r="BF653" i="1" a="1"/>
  <c r="BF653" i="1" s="1"/>
  <c r="BF814" i="1" a="1"/>
  <c r="BF814" i="1" s="1"/>
  <c r="BF895" i="1" a="1"/>
  <c r="BF895" i="1" s="1"/>
  <c r="BF938" i="1" a="1"/>
  <c r="BF938" i="1" s="1"/>
  <c r="BF1078" i="1" a="1"/>
  <c r="BF1078" i="1" s="1"/>
  <c r="BF1116" i="1" a="1"/>
  <c r="BF1116" i="1" s="1"/>
  <c r="BF1152" i="1" a="1"/>
  <c r="BF1152" i="1" s="1"/>
  <c r="BF1190" i="1" a="1"/>
  <c r="BF1190" i="1" s="1"/>
  <c r="BF270" i="1" a="1"/>
  <c r="BF270" i="1" s="1"/>
  <c r="BF654" i="1" a="1"/>
  <c r="BF654" i="1" s="1"/>
  <c r="BF827" i="1" a="1"/>
  <c r="BF827" i="1" s="1"/>
  <c r="BF897" i="1" a="1"/>
  <c r="BF897" i="1" s="1"/>
  <c r="BF950" i="1" a="1"/>
  <c r="BF950" i="1" s="1"/>
  <c r="BF1087" i="1" a="1"/>
  <c r="BF1087" i="1" s="1"/>
  <c r="BF1131" i="1" a="1"/>
  <c r="BF1131" i="1" s="1"/>
  <c r="BF1186" i="1" a="1"/>
  <c r="BF1186" i="1" s="1"/>
  <c r="BF1196" i="1" a="1"/>
  <c r="BF1196" i="1" s="1"/>
  <c r="BF1105" i="1" a="1"/>
  <c r="BF1105" i="1" s="1"/>
  <c r="BF957" i="1" a="1"/>
  <c r="BF957" i="1" s="1"/>
  <c r="BF1202" i="1" a="1"/>
  <c r="BF1202" i="1" s="1"/>
  <c r="BF1127" i="1" a="1"/>
  <c r="BF1127" i="1" s="1"/>
  <c r="BF1012" i="1" a="1"/>
  <c r="BF1012" i="1" s="1"/>
  <c r="BF900" i="1" a="1"/>
  <c r="BF900" i="1" s="1"/>
  <c r="BF635" i="1" a="1"/>
  <c r="BF635" i="1" s="1"/>
  <c r="BF8" i="1" a="1"/>
  <c r="BF8" i="1" s="1"/>
  <c r="BF22" i="1" a="1"/>
  <c r="BF22" i="1" s="1"/>
  <c r="BF12" i="1" a="1"/>
  <c r="BF12" i="1" s="1"/>
  <c r="BF27" i="1" a="1"/>
  <c r="BF27" i="1" s="1"/>
  <c r="BF28" i="1" a="1"/>
  <c r="BF28" i="1" s="1"/>
  <c r="BF33" i="1" a="1"/>
  <c r="BF33" i="1" s="1"/>
  <c r="BF17" i="1" a="1"/>
  <c r="BF17" i="1" s="1"/>
  <c r="BF21" i="1" a="1"/>
  <c r="BF21" i="1" s="1"/>
  <c r="BF1171" i="1" a="1"/>
  <c r="BF1171" i="1" s="1"/>
  <c r="BF1210" i="1" a="1"/>
  <c r="BF1210" i="1" s="1"/>
  <c r="BF362" i="1" a="1"/>
  <c r="BF362" i="1" s="1"/>
  <c r="BF582" i="1" a="1"/>
  <c r="BF582" i="1" s="1"/>
  <c r="BF673" i="1" a="1"/>
  <c r="BF673" i="1" s="1"/>
  <c r="BF725" i="1" a="1"/>
  <c r="BF725" i="1" s="1"/>
  <c r="BF799" i="1" a="1"/>
  <c r="BF799" i="1" s="1"/>
  <c r="BF830" i="1" a="1"/>
  <c r="BF830" i="1" s="1"/>
  <c r="BF873" i="1" a="1"/>
  <c r="BF873" i="1" s="1"/>
  <c r="BF911" i="1" a="1"/>
  <c r="BF911" i="1" s="1"/>
  <c r="BF943" i="1" a="1"/>
  <c r="BF943" i="1" s="1"/>
  <c r="BF976" i="1" a="1"/>
  <c r="BF976" i="1" s="1"/>
  <c r="BF1009" i="1" a="1"/>
  <c r="BF1009" i="1" s="1"/>
  <c r="BF1032" i="1" a="1"/>
  <c r="BF1032" i="1" s="1"/>
  <c r="BF1056" i="1" a="1"/>
  <c r="BF1056" i="1" s="1"/>
  <c r="BF1093" i="1" a="1"/>
  <c r="BF1093" i="1" s="1"/>
  <c r="BF1114" i="1" a="1"/>
  <c r="BF1114" i="1" s="1"/>
  <c r="BF1129" i="1" a="1"/>
  <c r="BF1129" i="1" s="1"/>
  <c r="BF1150" i="1" a="1"/>
  <c r="BF1150" i="1" s="1"/>
  <c r="BF1167" i="1" a="1"/>
  <c r="BF1167" i="1" s="1"/>
  <c r="BF1189" i="1" a="1"/>
  <c r="BF1189" i="1" s="1"/>
  <c r="BF1213" i="1" a="1"/>
  <c r="BF1213" i="1" s="1"/>
  <c r="BF503" i="1" a="1"/>
  <c r="BF503" i="1" s="1"/>
  <c r="BF682" i="1" a="1"/>
  <c r="BF682" i="1" s="1"/>
  <c r="BF840" i="1" a="1"/>
  <c r="BF840" i="1" s="1"/>
  <c r="BF910" i="1" a="1"/>
  <c r="BF910" i="1" s="1"/>
  <c r="BF949" i="1" a="1"/>
  <c r="BF949" i="1" s="1"/>
  <c r="BF1086" i="1" a="1"/>
  <c r="BF1086" i="1" s="1"/>
  <c r="BF1125" i="1" a="1"/>
  <c r="BF1125" i="1" s="1"/>
  <c r="BF1168" i="1" a="1"/>
  <c r="BF1168" i="1" s="1"/>
  <c r="BF1208" i="1" a="1"/>
  <c r="BF1208" i="1" s="1"/>
  <c r="BF403" i="1" a="1"/>
  <c r="BF403" i="1" s="1"/>
  <c r="BF752" i="1" a="1"/>
  <c r="BF752" i="1" s="1"/>
  <c r="BF854" i="1" a="1"/>
  <c r="BF854" i="1" s="1"/>
  <c r="BF921" i="1" a="1"/>
  <c r="BF921" i="1" s="1"/>
  <c r="BF961" i="1" a="1"/>
  <c r="BF961" i="1" s="1"/>
  <c r="BF1096" i="1" a="1"/>
  <c r="BF1096" i="1" s="1"/>
  <c r="BF1148" i="1" a="1"/>
  <c r="BF1148" i="1" s="1"/>
  <c r="BF1192" i="1" a="1"/>
  <c r="BF1192" i="1" s="1"/>
  <c r="BF1179" i="1" a="1"/>
  <c r="BF1179" i="1" s="1"/>
  <c r="BF1070" i="1" a="1"/>
  <c r="BF1070" i="1" s="1"/>
  <c r="BF834" i="1" a="1"/>
  <c r="BF834" i="1" s="1"/>
  <c r="BF1174" i="1" a="1"/>
  <c r="BF1174" i="1" s="1"/>
  <c r="BF1100" i="1" a="1"/>
  <c r="BF1100" i="1" s="1"/>
  <c r="BF990" i="1" a="1"/>
  <c r="BF990" i="1" s="1"/>
  <c r="BF850" i="1" a="1"/>
  <c r="BF850" i="1" s="1"/>
  <c r="BF574" i="1" a="1"/>
  <c r="BF574" i="1" s="1"/>
  <c r="BF10" i="1" a="1"/>
  <c r="BF10" i="1" s="1"/>
  <c r="BF26" i="1" a="1"/>
  <c r="BF26" i="1" s="1"/>
  <c r="BF15" i="1" a="1"/>
  <c r="BF15" i="1" s="1"/>
  <c r="BF9" i="1" a="1"/>
  <c r="BF9" i="1" s="1"/>
  <c r="BF32" i="1" a="1"/>
  <c r="BF32" i="1" s="1"/>
  <c r="BF23" i="1" a="1"/>
  <c r="BF23" i="1" s="1"/>
  <c r="BF42" i="1" a="1"/>
  <c r="BF42" i="1" s="1"/>
  <c r="EZ15" i="1" l="1"/>
  <c r="O40" i="10" s="1"/>
  <c r="EZ16" i="1"/>
  <c r="O41" i="10" s="1"/>
  <c r="EZ13" i="1"/>
  <c r="O38" i="10" s="1"/>
  <c r="EZ14" i="1"/>
  <c r="O39" i="10" s="1"/>
  <c r="BG8" i="1"/>
  <c r="BG9" i="1" s="1"/>
  <c r="BG10" i="1" s="1"/>
  <c r="BG11" i="1" s="1"/>
  <c r="BG12" i="1" s="1"/>
  <c r="BG13" i="1" s="1"/>
  <c r="BG14" i="1" s="1"/>
  <c r="BG15" i="1" s="1"/>
  <c r="BG16" i="1" s="1"/>
  <c r="BG17" i="1" s="1"/>
  <c r="BG18" i="1" s="1"/>
  <c r="BG19" i="1" s="1"/>
  <c r="BG20" i="1" s="1"/>
  <c r="BG21" i="1" s="1"/>
  <c r="BG22" i="1" s="1"/>
  <c r="BG23" i="1" s="1"/>
  <c r="BG24" i="1" s="1"/>
  <c r="BG25" i="1" s="1"/>
  <c r="BG26" i="1" s="1"/>
  <c r="BG27" i="1" s="1"/>
  <c r="BG28" i="1" s="1"/>
  <c r="BG29" i="1" s="1"/>
  <c r="BG30" i="1" s="1"/>
  <c r="BG31" i="1" s="1"/>
  <c r="BG32" i="1" s="1"/>
  <c r="BG33" i="1" s="1"/>
  <c r="BG34" i="1" s="1"/>
  <c r="BG35" i="1" s="1"/>
  <c r="BG36" i="1" s="1"/>
  <c r="BG37" i="1" s="1"/>
  <c r="BG38" i="1" s="1"/>
  <c r="BG39" i="1" s="1"/>
  <c r="BG40" i="1" s="1"/>
  <c r="BG41" i="1" s="1"/>
  <c r="BG42" i="1" s="1"/>
  <c r="BG43" i="1" s="1"/>
  <c r="BG44" i="1" s="1"/>
  <c r="BG45" i="1" s="1"/>
  <c r="BG46" i="1" s="1"/>
  <c r="BG47" i="1" s="1"/>
  <c r="BG48" i="1" s="1"/>
  <c r="BG49" i="1" s="1"/>
  <c r="BG50" i="1" s="1"/>
  <c r="BG51" i="1" s="1"/>
  <c r="BG52" i="1" s="1"/>
  <c r="BG53" i="1" s="1"/>
  <c r="BG54" i="1" s="1"/>
  <c r="BG55" i="1" s="1"/>
  <c r="BG56" i="1" s="1"/>
  <c r="BG57" i="1" s="1"/>
  <c r="BG58" i="1" s="1"/>
  <c r="BG59" i="1" s="1"/>
  <c r="BG60" i="1" s="1"/>
  <c r="BG61" i="1" s="1"/>
  <c r="BG62" i="1" s="1"/>
  <c r="BG63" i="1" s="1"/>
  <c r="BG64" i="1" s="1"/>
  <c r="BG65" i="1" s="1"/>
  <c r="BG66" i="1" s="1"/>
  <c r="BG67" i="1" s="1"/>
  <c r="BG68" i="1" s="1"/>
  <c r="BG69" i="1" s="1"/>
  <c r="BG70" i="1" s="1"/>
  <c r="BG71" i="1" s="1"/>
  <c r="BG72" i="1" s="1"/>
  <c r="BG73" i="1" s="1"/>
  <c r="BG74" i="1" s="1"/>
  <c r="BG75" i="1" s="1"/>
  <c r="BG76" i="1" s="1"/>
  <c r="BG77" i="1" s="1"/>
  <c r="BG78" i="1" s="1"/>
  <c r="BG79" i="1" s="1"/>
  <c r="BG80" i="1" s="1"/>
  <c r="BG81" i="1" s="1"/>
  <c r="BG82" i="1" s="1"/>
  <c r="BG83" i="1" s="1"/>
  <c r="BG84" i="1" s="1"/>
  <c r="BG85" i="1" s="1"/>
  <c r="BG86" i="1" s="1"/>
  <c r="BG87" i="1" s="1"/>
  <c r="BG88" i="1" s="1"/>
  <c r="BG89" i="1" s="1"/>
  <c r="BG90" i="1" s="1"/>
  <c r="BG91" i="1" s="1"/>
  <c r="BG92" i="1" s="1"/>
  <c r="BG93" i="1" s="1"/>
  <c r="BG94" i="1" s="1"/>
  <c r="BG95" i="1" s="1"/>
  <c r="BG96" i="1" s="1"/>
  <c r="BG97" i="1" s="1"/>
  <c r="BG98" i="1" s="1"/>
  <c r="BG99" i="1" s="1"/>
  <c r="BG100" i="1" s="1"/>
  <c r="BG101" i="1" s="1"/>
  <c r="BG102" i="1" s="1"/>
  <c r="BG103" i="1" s="1"/>
  <c r="BG104" i="1" s="1"/>
  <c r="BG105" i="1" s="1"/>
  <c r="BG106" i="1" s="1"/>
  <c r="BG107" i="1" s="1"/>
  <c r="BG108" i="1" s="1"/>
  <c r="BG109" i="1" s="1"/>
  <c r="BG110" i="1" s="1"/>
  <c r="BG111" i="1" s="1"/>
  <c r="BG112" i="1" s="1"/>
  <c r="BG113" i="1" s="1"/>
  <c r="BG114" i="1" s="1"/>
  <c r="BG115" i="1" s="1"/>
  <c r="BG116" i="1" s="1"/>
  <c r="BG117" i="1" s="1"/>
  <c r="BG118" i="1" s="1"/>
  <c r="BG119" i="1" s="1"/>
  <c r="BG120" i="1" s="1"/>
  <c r="BG121" i="1" s="1"/>
  <c r="BG122" i="1" s="1"/>
  <c r="BG123" i="1" s="1"/>
  <c r="BG124" i="1" s="1"/>
  <c r="BG125" i="1" s="1"/>
  <c r="BG126" i="1" s="1"/>
  <c r="BG127" i="1" s="1"/>
  <c r="BG128" i="1" s="1"/>
  <c r="BG129" i="1" s="1"/>
  <c r="BG130" i="1" s="1"/>
  <c r="BG131" i="1" s="1"/>
  <c r="BG132" i="1" s="1"/>
  <c r="BG133" i="1" s="1"/>
  <c r="BG134" i="1" s="1"/>
  <c r="BG135" i="1" s="1"/>
  <c r="BG136" i="1" s="1"/>
  <c r="BG137" i="1" s="1"/>
  <c r="BG138" i="1" s="1"/>
  <c r="BG139" i="1" s="1"/>
  <c r="BG140" i="1" s="1"/>
  <c r="BG141" i="1" s="1"/>
  <c r="BG142" i="1" s="1"/>
  <c r="BG143" i="1" s="1"/>
  <c r="BG144" i="1" s="1"/>
  <c r="BG145" i="1" s="1"/>
  <c r="BG146" i="1" s="1"/>
  <c r="BG147" i="1" s="1"/>
  <c r="BG148" i="1" s="1"/>
  <c r="BG149" i="1" s="1"/>
  <c r="BG150" i="1" s="1"/>
  <c r="BG151" i="1" s="1"/>
  <c r="BG152" i="1" s="1"/>
  <c r="BG153" i="1" s="1"/>
  <c r="BG154" i="1" s="1"/>
  <c r="BG155" i="1" s="1"/>
  <c r="BG156" i="1" s="1"/>
  <c r="BG157" i="1" s="1"/>
  <c r="BG158" i="1" s="1"/>
  <c r="BG159" i="1" s="1"/>
  <c r="BG160" i="1" s="1"/>
  <c r="BG161" i="1" s="1"/>
  <c r="BG162" i="1" s="1"/>
  <c r="BG163" i="1" s="1"/>
  <c r="BG164" i="1" s="1"/>
  <c r="BG165" i="1" s="1"/>
  <c r="BG166" i="1" s="1"/>
  <c r="BG167" i="1" s="1"/>
  <c r="BG168" i="1" s="1"/>
  <c r="BG169" i="1" s="1"/>
  <c r="BG170" i="1" s="1"/>
  <c r="BG171" i="1" s="1"/>
  <c r="BG172" i="1" s="1"/>
  <c r="BG173" i="1" s="1"/>
  <c r="BG174" i="1" s="1"/>
  <c r="BG175" i="1" s="1"/>
  <c r="BG176" i="1" s="1"/>
  <c r="BG177" i="1" s="1"/>
  <c r="BG178" i="1" s="1"/>
  <c r="BG179" i="1" s="1"/>
  <c r="BG180" i="1" s="1"/>
  <c r="BG181" i="1" s="1"/>
  <c r="BG182" i="1" s="1"/>
  <c r="BG183" i="1" s="1"/>
  <c r="BG184" i="1" s="1"/>
  <c r="BG185" i="1" s="1"/>
  <c r="BG186" i="1" s="1"/>
  <c r="BG187" i="1" s="1"/>
  <c r="BG188" i="1" s="1"/>
  <c r="BG189" i="1" s="1"/>
  <c r="BG190" i="1" s="1"/>
  <c r="BG191" i="1" s="1"/>
  <c r="BG192" i="1" s="1"/>
  <c r="BG193" i="1" s="1"/>
  <c r="BG194" i="1" s="1"/>
  <c r="BG195" i="1" s="1"/>
  <c r="BG196" i="1" s="1"/>
  <c r="BG197" i="1" s="1"/>
  <c r="BG198" i="1" s="1"/>
  <c r="BG199" i="1" s="1"/>
  <c r="BG200" i="1" s="1"/>
  <c r="BG201" i="1" s="1"/>
  <c r="BG202" i="1" s="1"/>
  <c r="BG203" i="1" s="1"/>
  <c r="BG204" i="1" s="1"/>
  <c r="BG205" i="1" s="1"/>
  <c r="BG206" i="1" s="1"/>
  <c r="BG207" i="1" s="1"/>
  <c r="BG208" i="1" s="1"/>
  <c r="BG209" i="1" s="1"/>
  <c r="BG210" i="1" s="1"/>
  <c r="BG211" i="1" s="1"/>
  <c r="BG212" i="1" s="1"/>
  <c r="BG213" i="1" s="1"/>
  <c r="BG214" i="1" s="1"/>
  <c r="BG215" i="1" s="1"/>
  <c r="BG216" i="1" s="1"/>
  <c r="BG217" i="1" s="1"/>
  <c r="BG218" i="1" s="1"/>
  <c r="BG219" i="1" s="1"/>
  <c r="BG220" i="1" s="1"/>
  <c r="BG221" i="1" s="1"/>
  <c r="BG222" i="1" s="1"/>
  <c r="BG223" i="1" s="1"/>
  <c r="BG224" i="1" s="1"/>
  <c r="BG225" i="1" s="1"/>
  <c r="BG226" i="1" s="1"/>
  <c r="BG227" i="1" s="1"/>
  <c r="BG228" i="1" s="1"/>
  <c r="BG229" i="1" s="1"/>
  <c r="BG230" i="1" s="1"/>
  <c r="BG231" i="1" s="1"/>
  <c r="BG232" i="1" s="1"/>
  <c r="BG233" i="1" s="1"/>
  <c r="BG234" i="1" s="1"/>
  <c r="BG235" i="1" s="1"/>
  <c r="BG236" i="1" s="1"/>
  <c r="BG237" i="1" s="1"/>
  <c r="BG238" i="1" s="1"/>
  <c r="BG239" i="1" s="1"/>
  <c r="BG240" i="1" s="1"/>
  <c r="BG241" i="1" s="1"/>
  <c r="BG242" i="1" s="1"/>
  <c r="BG243" i="1" s="1"/>
  <c r="BG244" i="1" s="1"/>
  <c r="BG245" i="1" s="1"/>
  <c r="BG246" i="1" s="1"/>
  <c r="BG247" i="1" s="1"/>
  <c r="BG248" i="1" s="1"/>
  <c r="BG249" i="1" s="1"/>
  <c r="BG250" i="1" s="1"/>
  <c r="BG251" i="1" s="1"/>
  <c r="BG252" i="1" s="1"/>
  <c r="BG253" i="1" s="1"/>
  <c r="BG254" i="1" s="1"/>
  <c r="BG255" i="1" s="1"/>
  <c r="BG256" i="1" s="1"/>
  <c r="BG257" i="1" s="1"/>
  <c r="BG258" i="1" s="1"/>
  <c r="BG259" i="1" s="1"/>
  <c r="BG260" i="1" s="1"/>
  <c r="BG261" i="1" s="1"/>
  <c r="BG262" i="1" s="1"/>
  <c r="BG263" i="1" s="1"/>
  <c r="BG264" i="1" s="1"/>
  <c r="BG265" i="1" s="1"/>
  <c r="BG266" i="1" s="1"/>
  <c r="BG267" i="1" s="1"/>
  <c r="BG268" i="1" s="1"/>
  <c r="BG269" i="1" s="1"/>
  <c r="BG270" i="1" s="1"/>
  <c r="BG271" i="1" s="1"/>
  <c r="BG272" i="1" s="1"/>
  <c r="BG273" i="1" s="1"/>
  <c r="BG274" i="1" s="1"/>
  <c r="BG275" i="1" s="1"/>
  <c r="BG276" i="1" s="1"/>
  <c r="BG277" i="1" s="1"/>
  <c r="BG278" i="1" s="1"/>
  <c r="BG279" i="1" s="1"/>
  <c r="BG280" i="1" s="1"/>
  <c r="BG281" i="1" s="1"/>
  <c r="BG282" i="1" s="1"/>
  <c r="BG283" i="1" s="1"/>
  <c r="BG284" i="1" s="1"/>
  <c r="BG285" i="1" s="1"/>
  <c r="BG286" i="1" s="1"/>
  <c r="BG287" i="1" s="1"/>
  <c r="BG288" i="1" s="1"/>
  <c r="BG289" i="1" s="1"/>
  <c r="BG290" i="1" s="1"/>
  <c r="BG291" i="1" s="1"/>
  <c r="BG292" i="1" s="1"/>
  <c r="BG293" i="1" s="1"/>
  <c r="BG294" i="1" s="1"/>
  <c r="BG295" i="1" s="1"/>
  <c r="BG296" i="1" s="1"/>
  <c r="BG297" i="1" s="1"/>
  <c r="BG298" i="1" s="1"/>
  <c r="BG299" i="1" s="1"/>
  <c r="BG300" i="1" s="1"/>
  <c r="BG301" i="1" s="1"/>
  <c r="BG302" i="1" s="1"/>
  <c r="BG303" i="1" s="1"/>
  <c r="BG304" i="1" s="1"/>
  <c r="BG305" i="1" s="1"/>
  <c r="BG306" i="1" s="1"/>
  <c r="BG307" i="1" s="1"/>
  <c r="BG308" i="1" s="1"/>
  <c r="BG309" i="1" s="1"/>
  <c r="BG310" i="1" s="1"/>
  <c r="BG311" i="1" s="1"/>
  <c r="BG312" i="1" s="1"/>
  <c r="BG313" i="1" s="1"/>
  <c r="BG314" i="1" s="1"/>
  <c r="BG315" i="1" s="1"/>
  <c r="BG316" i="1" s="1"/>
  <c r="BG317" i="1" s="1"/>
  <c r="BG318" i="1" s="1"/>
  <c r="BG319" i="1" s="1"/>
  <c r="BG320" i="1" s="1"/>
  <c r="BG321" i="1" s="1"/>
  <c r="BG322" i="1" s="1"/>
  <c r="BG323" i="1" s="1"/>
  <c r="BG324" i="1" s="1"/>
  <c r="BG325" i="1" s="1"/>
  <c r="BG326" i="1" s="1"/>
  <c r="BG327" i="1" s="1"/>
  <c r="BG328" i="1" s="1"/>
  <c r="BG329" i="1" s="1"/>
  <c r="BG330" i="1" s="1"/>
  <c r="BG331" i="1" s="1"/>
  <c r="BG332" i="1" s="1"/>
  <c r="BG333" i="1" s="1"/>
  <c r="BG334" i="1" s="1"/>
  <c r="BG335" i="1" s="1"/>
  <c r="BG336" i="1" s="1"/>
  <c r="BG337" i="1" s="1"/>
  <c r="BG338" i="1" s="1"/>
  <c r="BG339" i="1" s="1"/>
  <c r="BG340" i="1" s="1"/>
  <c r="BG341" i="1" s="1"/>
  <c r="BG342" i="1" s="1"/>
  <c r="BG343" i="1" s="1"/>
  <c r="BG344" i="1" s="1"/>
  <c r="BG345" i="1" s="1"/>
  <c r="BG346" i="1" s="1"/>
  <c r="BG347" i="1" s="1"/>
  <c r="BG348" i="1" s="1"/>
  <c r="BG349" i="1" s="1"/>
  <c r="BG350" i="1" s="1"/>
  <c r="BG351" i="1" s="1"/>
  <c r="BG352" i="1" s="1"/>
  <c r="BG353" i="1" s="1"/>
  <c r="BG354" i="1" s="1"/>
  <c r="BG355" i="1" s="1"/>
  <c r="BG356" i="1" s="1"/>
  <c r="BG357" i="1" s="1"/>
  <c r="BG358" i="1" s="1"/>
  <c r="BG359" i="1" s="1"/>
  <c r="BG360" i="1" s="1"/>
  <c r="BG361" i="1" s="1"/>
  <c r="BG362" i="1" s="1"/>
  <c r="BG363" i="1" s="1"/>
  <c r="BG364" i="1" s="1"/>
  <c r="BG365" i="1" s="1"/>
  <c r="BG366" i="1" s="1"/>
  <c r="BG367" i="1" s="1"/>
  <c r="BG368" i="1" s="1"/>
  <c r="BG369" i="1" s="1"/>
  <c r="BG370" i="1" s="1"/>
  <c r="BG371" i="1" s="1"/>
  <c r="BG372" i="1" s="1"/>
  <c r="BG373" i="1" s="1"/>
  <c r="BG374" i="1" s="1"/>
  <c r="BG375" i="1" s="1"/>
  <c r="BG376" i="1" s="1"/>
  <c r="BG377" i="1" s="1"/>
  <c r="BG378" i="1" s="1"/>
  <c r="BG379" i="1" s="1"/>
  <c r="BG380" i="1" s="1"/>
  <c r="BG381" i="1" s="1"/>
  <c r="BG382" i="1" s="1"/>
  <c r="BG383" i="1" s="1"/>
  <c r="BG384" i="1" s="1"/>
  <c r="BG385" i="1" s="1"/>
  <c r="BG386" i="1" s="1"/>
  <c r="BG387" i="1" s="1"/>
  <c r="BG388" i="1" s="1"/>
  <c r="BG389" i="1" s="1"/>
  <c r="BG390" i="1" s="1"/>
  <c r="BG391" i="1" s="1"/>
  <c r="BG392" i="1" s="1"/>
  <c r="BG393" i="1" s="1"/>
  <c r="BG394" i="1" s="1"/>
  <c r="BG395" i="1" s="1"/>
  <c r="BG396" i="1" s="1"/>
  <c r="BG397" i="1" s="1"/>
  <c r="BG398" i="1" s="1"/>
  <c r="BG399" i="1" s="1"/>
  <c r="BG400" i="1" s="1"/>
  <c r="BG401" i="1" s="1"/>
  <c r="BG402" i="1" s="1"/>
  <c r="BG403" i="1" s="1"/>
  <c r="BG404" i="1" s="1"/>
  <c r="BG405" i="1" s="1"/>
  <c r="BG406" i="1" s="1"/>
  <c r="BG407" i="1" s="1"/>
  <c r="BG408" i="1" s="1"/>
  <c r="BG409" i="1" s="1"/>
  <c r="BG410" i="1" s="1"/>
  <c r="BG411" i="1" s="1"/>
  <c r="BG412" i="1" s="1"/>
  <c r="BG413" i="1" s="1"/>
  <c r="BG414" i="1" s="1"/>
  <c r="BG415" i="1" s="1"/>
  <c r="BG416" i="1" s="1"/>
  <c r="BG417" i="1" s="1"/>
  <c r="BG418" i="1" s="1"/>
  <c r="BG419" i="1" s="1"/>
  <c r="BG420" i="1" s="1"/>
  <c r="BG421" i="1" s="1"/>
  <c r="BG422" i="1" s="1"/>
  <c r="BG423" i="1" s="1"/>
  <c r="BG424" i="1" s="1"/>
  <c r="BG425" i="1" s="1"/>
  <c r="BG426" i="1" s="1"/>
  <c r="BG427" i="1" s="1"/>
  <c r="BG428" i="1" s="1"/>
  <c r="BG429" i="1" s="1"/>
  <c r="BG430" i="1" s="1"/>
  <c r="BG431" i="1" s="1"/>
  <c r="BG432" i="1" s="1"/>
  <c r="BG433" i="1" s="1"/>
  <c r="BG434" i="1" s="1"/>
  <c r="BG435" i="1" s="1"/>
  <c r="BG436" i="1" s="1"/>
  <c r="BG437" i="1" s="1"/>
  <c r="BG438" i="1" s="1"/>
  <c r="BG439" i="1" s="1"/>
  <c r="BG440" i="1" s="1"/>
  <c r="BG441" i="1" s="1"/>
  <c r="BG442" i="1" s="1"/>
  <c r="BG443" i="1" s="1"/>
  <c r="BG444" i="1" s="1"/>
  <c r="BG445" i="1" s="1"/>
  <c r="BG446" i="1" s="1"/>
  <c r="BG447" i="1" s="1"/>
  <c r="BG448" i="1" s="1"/>
  <c r="BG449" i="1" s="1"/>
  <c r="BG450" i="1" s="1"/>
  <c r="BG451" i="1" s="1"/>
  <c r="BG452" i="1" s="1"/>
  <c r="BG453" i="1" s="1"/>
  <c r="BG454" i="1" s="1"/>
  <c r="BG455" i="1" s="1"/>
  <c r="BG456" i="1" s="1"/>
  <c r="BG457" i="1" s="1"/>
  <c r="BG458" i="1" s="1"/>
  <c r="BG459" i="1" s="1"/>
  <c r="BG460" i="1" s="1"/>
  <c r="BG461" i="1" s="1"/>
  <c r="BG462" i="1" s="1"/>
  <c r="BG463" i="1" s="1"/>
  <c r="BG464" i="1" s="1"/>
  <c r="BG465" i="1" s="1"/>
  <c r="BG466" i="1" s="1"/>
  <c r="BG467" i="1" s="1"/>
  <c r="BG468" i="1" s="1"/>
  <c r="BG469" i="1" s="1"/>
  <c r="BG470" i="1" s="1"/>
  <c r="BG471" i="1" s="1"/>
  <c r="BG472" i="1" s="1"/>
  <c r="BG473" i="1" s="1"/>
  <c r="BG474" i="1" s="1"/>
  <c r="BG475" i="1" s="1"/>
  <c r="BG476" i="1" s="1"/>
  <c r="BG477" i="1" s="1"/>
  <c r="BG478" i="1" s="1"/>
  <c r="BG479" i="1" s="1"/>
  <c r="BG480" i="1" s="1"/>
  <c r="BG481" i="1" s="1"/>
  <c r="BG482" i="1" s="1"/>
  <c r="BG483" i="1" s="1"/>
  <c r="BG484" i="1" s="1"/>
  <c r="BG485" i="1" s="1"/>
  <c r="BG486" i="1" s="1"/>
  <c r="BG487" i="1" s="1"/>
  <c r="BG488" i="1" s="1"/>
  <c r="BG489" i="1" s="1"/>
  <c r="BG490" i="1" s="1"/>
  <c r="BG491" i="1" s="1"/>
  <c r="BG492" i="1" s="1"/>
  <c r="BG493" i="1" s="1"/>
  <c r="BG494" i="1" s="1"/>
  <c r="BG495" i="1" s="1"/>
  <c r="BG496" i="1" s="1"/>
  <c r="BG497" i="1" s="1"/>
  <c r="BG498" i="1" s="1"/>
  <c r="BG499" i="1" s="1"/>
  <c r="BG500" i="1" s="1"/>
  <c r="BG501" i="1" s="1"/>
  <c r="BG502" i="1" s="1"/>
  <c r="BG503" i="1" s="1"/>
  <c r="BG504" i="1" s="1"/>
  <c r="BG505" i="1" s="1"/>
  <c r="BG506" i="1" s="1"/>
  <c r="BG507" i="1" s="1"/>
  <c r="BG508" i="1" s="1"/>
  <c r="BG509" i="1" s="1"/>
  <c r="BG510" i="1" s="1"/>
  <c r="BG511" i="1" s="1"/>
  <c r="BG512" i="1" s="1"/>
  <c r="BG513" i="1" s="1"/>
  <c r="BG514" i="1" s="1"/>
  <c r="BG515" i="1" s="1"/>
  <c r="BG516" i="1" s="1"/>
  <c r="BG517" i="1" s="1"/>
  <c r="BG518" i="1" s="1"/>
  <c r="BG519" i="1" s="1"/>
  <c r="BG520" i="1" s="1"/>
  <c r="BG521" i="1" s="1"/>
  <c r="BG522" i="1" s="1"/>
  <c r="BG523" i="1" s="1"/>
  <c r="BG524" i="1" s="1"/>
  <c r="BG525" i="1" s="1"/>
  <c r="BG526" i="1" s="1"/>
  <c r="BG527" i="1" s="1"/>
  <c r="BG528" i="1" s="1"/>
  <c r="BG529" i="1" s="1"/>
  <c r="BG530" i="1" s="1"/>
  <c r="BG531" i="1" s="1"/>
  <c r="BG532" i="1" s="1"/>
  <c r="BG533" i="1" s="1"/>
  <c r="BG534" i="1" s="1"/>
  <c r="BG535" i="1" s="1"/>
  <c r="BG536" i="1" s="1"/>
  <c r="BG537" i="1" s="1"/>
  <c r="BG538" i="1" s="1"/>
  <c r="BG539" i="1" s="1"/>
  <c r="BG540" i="1" s="1"/>
  <c r="BG541" i="1" s="1"/>
  <c r="BG542" i="1" s="1"/>
  <c r="BG543" i="1" s="1"/>
  <c r="BG544" i="1" s="1"/>
  <c r="BG545" i="1" s="1"/>
  <c r="BG546" i="1" s="1"/>
  <c r="BG547" i="1" s="1"/>
  <c r="BG548" i="1" s="1"/>
  <c r="BG549" i="1" s="1"/>
  <c r="BG550" i="1" s="1"/>
  <c r="BG551" i="1" s="1"/>
  <c r="BG552" i="1" s="1"/>
  <c r="BG553" i="1" s="1"/>
  <c r="BG554" i="1" s="1"/>
  <c r="BG555" i="1" s="1"/>
  <c r="BG556" i="1" s="1"/>
  <c r="BG557" i="1" s="1"/>
  <c r="BG558" i="1" s="1"/>
  <c r="BG559" i="1" s="1"/>
  <c r="BG560" i="1" s="1"/>
  <c r="BG561" i="1" s="1"/>
  <c r="BG562" i="1" s="1"/>
  <c r="BG563" i="1" s="1"/>
  <c r="BG564" i="1" s="1"/>
  <c r="BG565" i="1" s="1"/>
  <c r="BG566" i="1" s="1"/>
  <c r="BG567" i="1" s="1"/>
  <c r="BG568" i="1" s="1"/>
  <c r="BG569" i="1" s="1"/>
  <c r="BG570" i="1" s="1"/>
  <c r="BG571" i="1" s="1"/>
  <c r="BG572" i="1" s="1"/>
  <c r="BG573" i="1" s="1"/>
  <c r="BG574" i="1" s="1"/>
  <c r="BG575" i="1" s="1"/>
  <c r="BG576" i="1" s="1"/>
  <c r="BG577" i="1" s="1"/>
  <c r="BG578" i="1" s="1"/>
  <c r="BG579" i="1" s="1"/>
  <c r="BG580" i="1" s="1"/>
  <c r="BG581" i="1" s="1"/>
  <c r="BG582" i="1" s="1"/>
  <c r="BG583" i="1" s="1"/>
  <c r="BG584" i="1" s="1"/>
  <c r="BG585" i="1" s="1"/>
  <c r="BG586" i="1" s="1"/>
  <c r="BG587" i="1" s="1"/>
  <c r="BG588" i="1" s="1"/>
  <c r="BG589" i="1" s="1"/>
  <c r="BG590" i="1" s="1"/>
  <c r="BG591" i="1" s="1"/>
  <c r="BG592" i="1" s="1"/>
  <c r="BG593" i="1" s="1"/>
  <c r="BG594" i="1" s="1"/>
  <c r="BG595" i="1" s="1"/>
  <c r="BG596" i="1" s="1"/>
  <c r="BG597" i="1" s="1"/>
  <c r="BG598" i="1" s="1"/>
  <c r="BG599" i="1" s="1"/>
  <c r="BG600" i="1" s="1"/>
  <c r="BG601" i="1" s="1"/>
  <c r="BG602" i="1" s="1"/>
  <c r="BG603" i="1" s="1"/>
  <c r="BG604" i="1" s="1"/>
  <c r="BG605" i="1" s="1"/>
  <c r="BG606" i="1" s="1"/>
  <c r="BG607" i="1" s="1"/>
  <c r="BG608" i="1" s="1"/>
  <c r="BG609" i="1" s="1"/>
  <c r="BG610" i="1" s="1"/>
  <c r="BG611" i="1" s="1"/>
  <c r="BG612" i="1" s="1"/>
  <c r="BG613" i="1" s="1"/>
  <c r="BG614" i="1" s="1"/>
  <c r="BG615" i="1" s="1"/>
  <c r="BG616" i="1" s="1"/>
  <c r="BG617" i="1" s="1"/>
  <c r="BG618" i="1" s="1"/>
  <c r="BG619" i="1" s="1"/>
  <c r="BG620" i="1" s="1"/>
  <c r="BG621" i="1" s="1"/>
  <c r="BG622" i="1" s="1"/>
  <c r="BG623" i="1" s="1"/>
  <c r="BG624" i="1" s="1"/>
  <c r="BG625" i="1" s="1"/>
  <c r="BG626" i="1" s="1"/>
  <c r="BG627" i="1" s="1"/>
  <c r="BG628" i="1" s="1"/>
  <c r="BG629" i="1" s="1"/>
  <c r="BG630" i="1" s="1"/>
  <c r="BG631" i="1" s="1"/>
  <c r="BG632" i="1" s="1"/>
  <c r="BG633" i="1" s="1"/>
  <c r="BG634" i="1" s="1"/>
  <c r="BG635" i="1" s="1"/>
  <c r="BG636" i="1" s="1"/>
  <c r="BG637" i="1" s="1"/>
  <c r="BG638" i="1" s="1"/>
  <c r="BG639" i="1" s="1"/>
  <c r="BG640" i="1" s="1"/>
  <c r="BG641" i="1" s="1"/>
  <c r="BG642" i="1" s="1"/>
  <c r="BG643" i="1" s="1"/>
  <c r="BG644" i="1" s="1"/>
  <c r="BG645" i="1" s="1"/>
  <c r="BG646" i="1" s="1"/>
  <c r="BG647" i="1" s="1"/>
  <c r="BG648" i="1" s="1"/>
  <c r="BG649" i="1" s="1"/>
  <c r="BG650" i="1" s="1"/>
  <c r="BG651" i="1" s="1"/>
  <c r="BG652" i="1" s="1"/>
  <c r="BG653" i="1" s="1"/>
  <c r="BG654" i="1" s="1"/>
  <c r="BG655" i="1" s="1"/>
  <c r="BG656" i="1" s="1"/>
  <c r="BG657" i="1" s="1"/>
  <c r="BG658" i="1" s="1"/>
  <c r="BG659" i="1" s="1"/>
  <c r="BG660" i="1" s="1"/>
  <c r="BG661" i="1" s="1"/>
  <c r="BG662" i="1" s="1"/>
  <c r="BG663" i="1" s="1"/>
  <c r="BG664" i="1" s="1"/>
  <c r="BG665" i="1" s="1"/>
  <c r="BG666" i="1" s="1"/>
  <c r="BG667" i="1" s="1"/>
  <c r="BG668" i="1" s="1"/>
  <c r="BG669" i="1" s="1"/>
  <c r="BG670" i="1" s="1"/>
  <c r="BG671" i="1" s="1"/>
  <c r="BG672" i="1" s="1"/>
  <c r="BG673" i="1" s="1"/>
  <c r="BG674" i="1" s="1"/>
  <c r="BG675" i="1" s="1"/>
  <c r="BG676" i="1" s="1"/>
  <c r="BG677" i="1" s="1"/>
  <c r="BG678" i="1" s="1"/>
  <c r="BG679" i="1" s="1"/>
  <c r="BG680" i="1" s="1"/>
  <c r="BG681" i="1" s="1"/>
  <c r="BG682" i="1" s="1"/>
  <c r="BG683" i="1" s="1"/>
  <c r="BG684" i="1" s="1"/>
  <c r="BG685" i="1" s="1"/>
  <c r="BG686" i="1" s="1"/>
  <c r="BG687" i="1" s="1"/>
  <c r="BG688" i="1" s="1"/>
  <c r="BG689" i="1" s="1"/>
  <c r="BG690" i="1" s="1"/>
  <c r="BG691" i="1" s="1"/>
  <c r="BG692" i="1" s="1"/>
  <c r="BG693" i="1" s="1"/>
  <c r="BG694" i="1" s="1"/>
  <c r="BG695" i="1" s="1"/>
  <c r="BG696" i="1" s="1"/>
  <c r="BG697" i="1" s="1"/>
  <c r="BG698" i="1" s="1"/>
  <c r="BG699" i="1" s="1"/>
  <c r="BG700" i="1" s="1"/>
  <c r="BG701" i="1" s="1"/>
  <c r="BG702" i="1" s="1"/>
  <c r="BG703" i="1" s="1"/>
  <c r="BG704" i="1" s="1"/>
  <c r="BG705" i="1" s="1"/>
  <c r="BG706" i="1" s="1"/>
  <c r="BG707" i="1" s="1"/>
  <c r="BG708" i="1" s="1"/>
  <c r="BG709" i="1" s="1"/>
  <c r="BG710" i="1" s="1"/>
  <c r="BG711" i="1" s="1"/>
  <c r="BG712" i="1" s="1"/>
  <c r="BG713" i="1" s="1"/>
  <c r="BG714" i="1" s="1"/>
  <c r="BG715" i="1" s="1"/>
  <c r="BG716" i="1" s="1"/>
  <c r="BG717" i="1" s="1"/>
  <c r="BG718" i="1" s="1"/>
  <c r="BG719" i="1" s="1"/>
  <c r="BG720" i="1" s="1"/>
  <c r="BG721" i="1" s="1"/>
  <c r="BG722" i="1" s="1"/>
  <c r="BG723" i="1" s="1"/>
  <c r="BG724" i="1" s="1"/>
  <c r="BG725" i="1" s="1"/>
  <c r="BG726" i="1" s="1"/>
  <c r="BG727" i="1" s="1"/>
  <c r="BG728" i="1" s="1"/>
  <c r="BG729" i="1" s="1"/>
  <c r="BG730" i="1" s="1"/>
  <c r="BG731" i="1" s="1"/>
  <c r="BG732" i="1" s="1"/>
  <c r="BG733" i="1" s="1"/>
  <c r="BG734" i="1" s="1"/>
  <c r="BG735" i="1" s="1"/>
  <c r="BG736" i="1" s="1"/>
  <c r="BG737" i="1" s="1"/>
  <c r="BG738" i="1" s="1"/>
  <c r="BG739" i="1" s="1"/>
  <c r="BG740" i="1" s="1"/>
  <c r="BG741" i="1" s="1"/>
  <c r="BG742" i="1" s="1"/>
  <c r="BG743" i="1" s="1"/>
  <c r="BG744" i="1" s="1"/>
  <c r="BG745" i="1" s="1"/>
  <c r="BG746" i="1" s="1"/>
  <c r="BG747" i="1" s="1"/>
  <c r="BG748" i="1" s="1"/>
  <c r="BG749" i="1" s="1"/>
  <c r="BG750" i="1" s="1"/>
  <c r="BG751" i="1" s="1"/>
  <c r="BG752" i="1" s="1"/>
  <c r="BG753" i="1" s="1"/>
  <c r="BG754" i="1" s="1"/>
  <c r="BG755" i="1" s="1"/>
  <c r="BG756" i="1" s="1"/>
  <c r="BG757" i="1" s="1"/>
  <c r="BG758" i="1" s="1"/>
  <c r="BG759" i="1" s="1"/>
  <c r="BG760" i="1" s="1"/>
  <c r="BG761" i="1" s="1"/>
  <c r="BG762" i="1" s="1"/>
  <c r="BG763" i="1" s="1"/>
  <c r="BG764" i="1" s="1"/>
  <c r="BG765" i="1" s="1"/>
  <c r="BG766" i="1" s="1"/>
  <c r="BG767" i="1" s="1"/>
  <c r="BG768" i="1" s="1"/>
  <c r="BG769" i="1" s="1"/>
  <c r="BG770" i="1" s="1"/>
  <c r="BG771" i="1" s="1"/>
  <c r="BG772" i="1" s="1"/>
  <c r="BG773" i="1" s="1"/>
  <c r="BG774" i="1" s="1"/>
  <c r="BG775" i="1" s="1"/>
  <c r="BG776" i="1" s="1"/>
  <c r="BG777" i="1" s="1"/>
  <c r="BG778" i="1" s="1"/>
  <c r="BG779" i="1" s="1"/>
  <c r="BG780" i="1" s="1"/>
  <c r="BG781" i="1" s="1"/>
  <c r="BG782" i="1" s="1"/>
  <c r="BG783" i="1" s="1"/>
  <c r="BG784" i="1" s="1"/>
  <c r="BG785" i="1" s="1"/>
  <c r="BG786" i="1" s="1"/>
  <c r="BG787" i="1" s="1"/>
  <c r="BG788" i="1" s="1"/>
  <c r="BG789" i="1" s="1"/>
  <c r="BG790" i="1" s="1"/>
  <c r="BG791" i="1" s="1"/>
  <c r="BG792" i="1" s="1"/>
  <c r="BG793" i="1" s="1"/>
  <c r="BG794" i="1" s="1"/>
  <c r="BG795" i="1" s="1"/>
  <c r="BG796" i="1" s="1"/>
  <c r="BG797" i="1" s="1"/>
  <c r="BG798" i="1" s="1"/>
  <c r="BG799" i="1" s="1"/>
  <c r="BG800" i="1" s="1"/>
  <c r="BG801" i="1" s="1"/>
  <c r="BG802" i="1" s="1"/>
  <c r="BG803" i="1" s="1"/>
  <c r="BG804" i="1" s="1"/>
  <c r="BG805" i="1" s="1"/>
  <c r="BG806" i="1" s="1"/>
  <c r="BG807" i="1" s="1"/>
  <c r="BG808" i="1" s="1"/>
  <c r="BG809" i="1" s="1"/>
  <c r="BG810" i="1" s="1"/>
  <c r="BG811" i="1" s="1"/>
  <c r="BG812" i="1" s="1"/>
  <c r="BG813" i="1" s="1"/>
  <c r="BG814" i="1" s="1"/>
  <c r="BG815" i="1" s="1"/>
  <c r="BG816" i="1" s="1"/>
  <c r="BG817" i="1" s="1"/>
  <c r="BG818" i="1" s="1"/>
  <c r="BG819" i="1" s="1"/>
  <c r="BG820" i="1" s="1"/>
  <c r="BG821" i="1" s="1"/>
  <c r="BG822" i="1" s="1"/>
  <c r="BG823" i="1" s="1"/>
  <c r="BG824" i="1" s="1"/>
  <c r="BG825" i="1" s="1"/>
  <c r="BG826" i="1" s="1"/>
  <c r="BG827" i="1" s="1"/>
  <c r="BG828" i="1" s="1"/>
  <c r="BG829" i="1" s="1"/>
  <c r="BG830" i="1" s="1"/>
  <c r="BG831" i="1" s="1"/>
  <c r="BG832" i="1" s="1"/>
  <c r="BG833" i="1" s="1"/>
  <c r="BG834" i="1" s="1"/>
  <c r="BG835" i="1" s="1"/>
  <c r="BG836" i="1" s="1"/>
  <c r="BG837" i="1" s="1"/>
  <c r="BG838" i="1" s="1"/>
  <c r="BG839" i="1" s="1"/>
  <c r="BG840" i="1" s="1"/>
  <c r="BG841" i="1" s="1"/>
  <c r="BG842" i="1" s="1"/>
  <c r="BG843" i="1" s="1"/>
  <c r="BG844" i="1" s="1"/>
  <c r="BG845" i="1" s="1"/>
  <c r="BG846" i="1" s="1"/>
  <c r="BG847" i="1" s="1"/>
  <c r="BG848" i="1" s="1"/>
  <c r="BG849" i="1" s="1"/>
  <c r="BG850" i="1" s="1"/>
  <c r="BG851" i="1" s="1"/>
  <c r="BG852" i="1" s="1"/>
  <c r="BG853" i="1" s="1"/>
  <c r="BG854" i="1" s="1"/>
  <c r="BG855" i="1" s="1"/>
  <c r="BG856" i="1" s="1"/>
  <c r="BG857" i="1" s="1"/>
  <c r="BG858" i="1" s="1"/>
  <c r="BG859" i="1" s="1"/>
  <c r="BG860" i="1" s="1"/>
  <c r="BG861" i="1" s="1"/>
  <c r="BG862" i="1" s="1"/>
  <c r="BG863" i="1" s="1"/>
  <c r="BG864" i="1" s="1"/>
  <c r="BG865" i="1" s="1"/>
  <c r="BG866" i="1" s="1"/>
  <c r="BG867" i="1" s="1"/>
  <c r="BG868" i="1" s="1"/>
  <c r="BG869" i="1" s="1"/>
  <c r="BG870" i="1" s="1"/>
  <c r="BG871" i="1" s="1"/>
  <c r="BG872" i="1" s="1"/>
  <c r="BG873" i="1" s="1"/>
  <c r="BG874" i="1" s="1"/>
  <c r="BG875" i="1" s="1"/>
  <c r="BG876" i="1" s="1"/>
  <c r="BG877" i="1" s="1"/>
  <c r="BG878" i="1" s="1"/>
  <c r="BG879" i="1" s="1"/>
  <c r="BG880" i="1" s="1"/>
  <c r="BG881" i="1" s="1"/>
  <c r="BG882" i="1" s="1"/>
  <c r="BG883" i="1" s="1"/>
  <c r="BG884" i="1" s="1"/>
  <c r="BG885" i="1" s="1"/>
  <c r="BG886" i="1" s="1"/>
  <c r="BG887" i="1" s="1"/>
  <c r="BG888" i="1" s="1"/>
  <c r="BG889" i="1" s="1"/>
  <c r="BG890" i="1" s="1"/>
  <c r="BG891" i="1" s="1"/>
  <c r="BG892" i="1" s="1"/>
  <c r="BG893" i="1" s="1"/>
  <c r="BG894" i="1" s="1"/>
  <c r="BG895" i="1" s="1"/>
  <c r="BG896" i="1" s="1"/>
  <c r="BG897" i="1" s="1"/>
  <c r="BG898" i="1" s="1"/>
  <c r="BG899" i="1" s="1"/>
  <c r="BG900" i="1" s="1"/>
  <c r="BG901" i="1" s="1"/>
  <c r="BG902" i="1" s="1"/>
  <c r="BG903" i="1" s="1"/>
  <c r="BG904" i="1" s="1"/>
  <c r="BG905" i="1" s="1"/>
  <c r="BG906" i="1" s="1"/>
  <c r="BG907" i="1" s="1"/>
  <c r="BG908" i="1" s="1"/>
  <c r="BG909" i="1" s="1"/>
  <c r="BG910" i="1" s="1"/>
  <c r="BG911" i="1" s="1"/>
  <c r="BG912" i="1" s="1"/>
  <c r="BG913" i="1" s="1"/>
  <c r="BG914" i="1" s="1"/>
  <c r="BG915" i="1" s="1"/>
  <c r="BG916" i="1" s="1"/>
  <c r="BG917" i="1" s="1"/>
  <c r="BG918" i="1" s="1"/>
  <c r="BG919" i="1" s="1"/>
  <c r="BG920" i="1" s="1"/>
  <c r="BG921" i="1" s="1"/>
  <c r="BG922" i="1" s="1"/>
  <c r="BG923" i="1" s="1"/>
  <c r="BG924" i="1" s="1"/>
  <c r="BG925" i="1" s="1"/>
  <c r="BG926" i="1" s="1"/>
  <c r="BG927" i="1" s="1"/>
  <c r="BG928" i="1" s="1"/>
  <c r="BG929" i="1" s="1"/>
  <c r="BG930" i="1" s="1"/>
  <c r="BG931" i="1" s="1"/>
  <c r="BG932" i="1" s="1"/>
  <c r="BG933" i="1" s="1"/>
  <c r="BG934" i="1" s="1"/>
  <c r="BG935" i="1" s="1"/>
  <c r="BG936" i="1" s="1"/>
  <c r="BG937" i="1" s="1"/>
  <c r="BG938" i="1" s="1"/>
  <c r="BG939" i="1" s="1"/>
  <c r="BG940" i="1" s="1"/>
  <c r="BG941" i="1" s="1"/>
  <c r="BG942" i="1" s="1"/>
  <c r="BG943" i="1" s="1"/>
  <c r="BG944" i="1" s="1"/>
  <c r="BG945" i="1" s="1"/>
  <c r="BG946" i="1" s="1"/>
  <c r="BG947" i="1" s="1"/>
  <c r="BG948" i="1" s="1"/>
  <c r="BG949" i="1" s="1"/>
  <c r="BG950" i="1" s="1"/>
  <c r="BG951" i="1" s="1"/>
  <c r="BG952" i="1" s="1"/>
  <c r="BG953" i="1" s="1"/>
  <c r="BG954" i="1" s="1"/>
  <c r="BG955" i="1" s="1"/>
  <c r="BG956" i="1" s="1"/>
  <c r="BG957" i="1" s="1"/>
  <c r="BG958" i="1" s="1"/>
  <c r="BG959" i="1" s="1"/>
  <c r="BG960" i="1" s="1"/>
  <c r="BG961" i="1" s="1"/>
  <c r="BG962" i="1" s="1"/>
  <c r="BG963" i="1" s="1"/>
  <c r="BG964" i="1" s="1"/>
  <c r="BG965" i="1" s="1"/>
  <c r="BG966" i="1" s="1"/>
  <c r="BG967" i="1" s="1"/>
  <c r="BG968" i="1" s="1"/>
  <c r="BG969" i="1" s="1"/>
  <c r="BG970" i="1" s="1"/>
  <c r="BG971" i="1" s="1"/>
  <c r="BG972" i="1" s="1"/>
  <c r="BG973" i="1" s="1"/>
  <c r="BG974" i="1" s="1"/>
  <c r="BG975" i="1" s="1"/>
  <c r="BG976" i="1" s="1"/>
  <c r="BG977" i="1" s="1"/>
  <c r="BG978" i="1" s="1"/>
  <c r="BG979" i="1" s="1"/>
  <c r="BG980" i="1" s="1"/>
  <c r="BG981" i="1" s="1"/>
  <c r="BG982" i="1" s="1"/>
  <c r="BG983" i="1" s="1"/>
  <c r="BG984" i="1" s="1"/>
  <c r="BG985" i="1" s="1"/>
  <c r="BG986" i="1" s="1"/>
  <c r="BG987" i="1" s="1"/>
  <c r="BG988" i="1" s="1"/>
  <c r="BG989" i="1" s="1"/>
  <c r="BG990" i="1" s="1"/>
  <c r="BG991" i="1" s="1"/>
  <c r="BG992" i="1" s="1"/>
  <c r="BG993" i="1" s="1"/>
  <c r="BG994" i="1" s="1"/>
  <c r="BG995" i="1" s="1"/>
  <c r="BG996" i="1" s="1"/>
  <c r="BG997" i="1" s="1"/>
  <c r="BG998" i="1" s="1"/>
  <c r="BG999" i="1" s="1"/>
  <c r="BG1000" i="1" s="1"/>
  <c r="BG1001" i="1" s="1"/>
  <c r="BG1002" i="1" s="1"/>
  <c r="BG1003" i="1" s="1"/>
  <c r="BG1004" i="1" s="1"/>
  <c r="BG1005" i="1" s="1"/>
  <c r="BG1006" i="1" s="1"/>
  <c r="BG1007" i="1" s="1"/>
  <c r="BG1008" i="1" s="1"/>
  <c r="BG1009" i="1" s="1"/>
  <c r="BG1010" i="1" s="1"/>
  <c r="BG1011" i="1" s="1"/>
  <c r="BG1012" i="1" s="1"/>
  <c r="BG1013" i="1" s="1"/>
  <c r="BG1014" i="1" s="1"/>
  <c r="BG1015" i="1" s="1"/>
  <c r="BG1016" i="1" s="1"/>
  <c r="BG1017" i="1" s="1"/>
  <c r="BG1018" i="1" s="1"/>
  <c r="BG1019" i="1" s="1"/>
  <c r="BG1020" i="1" s="1"/>
  <c r="BG1021" i="1" s="1"/>
  <c r="BG1022" i="1" s="1"/>
  <c r="BG1023" i="1" s="1"/>
  <c r="BG1024" i="1" s="1"/>
  <c r="BG1025" i="1" s="1"/>
  <c r="BG1026" i="1" s="1"/>
  <c r="BG1027" i="1" s="1"/>
  <c r="BG1028" i="1" s="1"/>
  <c r="BG1029" i="1" s="1"/>
  <c r="BG1030" i="1" s="1"/>
  <c r="BG1031" i="1" s="1"/>
  <c r="BG1032" i="1" s="1"/>
  <c r="BG1033" i="1" s="1"/>
  <c r="BG1034" i="1" s="1"/>
  <c r="BG1035" i="1" s="1"/>
  <c r="BG1036" i="1" s="1"/>
  <c r="BG1037" i="1" s="1"/>
  <c r="BG1038" i="1" s="1"/>
  <c r="BG1039" i="1" s="1"/>
  <c r="BG1040" i="1" s="1"/>
  <c r="BG1041" i="1" s="1"/>
  <c r="BG1042" i="1" s="1"/>
  <c r="BG1043" i="1" s="1"/>
  <c r="BG1044" i="1" s="1"/>
  <c r="BG1045" i="1" s="1"/>
  <c r="BG1046" i="1" s="1"/>
  <c r="BG1047" i="1" s="1"/>
  <c r="BG1048" i="1" s="1"/>
  <c r="BG1049" i="1" s="1"/>
  <c r="BG1050" i="1" s="1"/>
  <c r="BG1051" i="1" s="1"/>
  <c r="BG1052" i="1" s="1"/>
  <c r="BG1053" i="1" s="1"/>
  <c r="BG1054" i="1" s="1"/>
  <c r="BG1055" i="1" s="1"/>
  <c r="BG1056" i="1" s="1"/>
  <c r="BG1057" i="1" s="1"/>
  <c r="BG1058" i="1" s="1"/>
  <c r="BG1059" i="1" s="1"/>
  <c r="BG1060" i="1" s="1"/>
  <c r="BG1061" i="1" s="1"/>
  <c r="BG1062" i="1" s="1"/>
  <c r="BG1063" i="1" s="1"/>
  <c r="BG1064" i="1" s="1"/>
  <c r="BG1065" i="1" s="1"/>
  <c r="BG1066" i="1" s="1"/>
  <c r="BG1067" i="1" s="1"/>
  <c r="BG1068" i="1" s="1"/>
  <c r="BG1069" i="1" s="1"/>
  <c r="BG1070" i="1" s="1"/>
  <c r="BG1071" i="1" s="1"/>
  <c r="BG1072" i="1" s="1"/>
  <c r="BG1073" i="1" s="1"/>
  <c r="BG1074" i="1" s="1"/>
  <c r="BG1075" i="1" s="1"/>
  <c r="BG1076" i="1" s="1"/>
  <c r="BG1077" i="1" s="1"/>
  <c r="BG1078" i="1" s="1"/>
  <c r="BG1079" i="1" s="1"/>
  <c r="BG1080" i="1" s="1"/>
  <c r="BG1081" i="1" s="1"/>
  <c r="BG1082" i="1" s="1"/>
  <c r="BG1083" i="1" s="1"/>
  <c r="BG1084" i="1" s="1"/>
  <c r="BG1085" i="1" s="1"/>
  <c r="BG1086" i="1" s="1"/>
  <c r="BG1087" i="1" s="1"/>
  <c r="BG1088" i="1" s="1"/>
  <c r="BG1089" i="1" s="1"/>
  <c r="BG1090" i="1" s="1"/>
  <c r="BG1091" i="1" s="1"/>
  <c r="BG1092" i="1" s="1"/>
  <c r="BG1093" i="1" s="1"/>
  <c r="BG1094" i="1" s="1"/>
  <c r="BG1095" i="1" s="1"/>
  <c r="BG1096" i="1" s="1"/>
  <c r="BG1097" i="1" s="1"/>
  <c r="BG1098" i="1" s="1"/>
  <c r="BG1099" i="1" s="1"/>
  <c r="BG1100" i="1" s="1"/>
  <c r="BG1101" i="1" s="1"/>
  <c r="BG1102" i="1" s="1"/>
  <c r="BG1103" i="1" s="1"/>
  <c r="BG1104" i="1" s="1"/>
  <c r="BG1105" i="1" s="1"/>
  <c r="BG1106" i="1" s="1"/>
  <c r="BG1107" i="1" s="1"/>
  <c r="BG1108" i="1" s="1"/>
  <c r="BG1109" i="1" s="1"/>
  <c r="BG1110" i="1" s="1"/>
  <c r="BG1111" i="1" s="1"/>
  <c r="BG1112" i="1" s="1"/>
  <c r="BG1113" i="1" s="1"/>
  <c r="BG1114" i="1" s="1"/>
  <c r="BG1115" i="1" s="1"/>
  <c r="BG1116" i="1" s="1"/>
  <c r="BG1117" i="1" s="1"/>
  <c r="BG1118" i="1" s="1"/>
  <c r="BG1119" i="1" s="1"/>
  <c r="BG1120" i="1" s="1"/>
  <c r="BG1121" i="1" s="1"/>
  <c r="BG1122" i="1" s="1"/>
  <c r="BG1123" i="1" s="1"/>
  <c r="BG1124" i="1" s="1"/>
  <c r="BG1125" i="1" s="1"/>
  <c r="BG1126" i="1" s="1"/>
  <c r="BG1127" i="1" s="1"/>
  <c r="BG1128" i="1" s="1"/>
  <c r="BG1129" i="1" s="1"/>
  <c r="BG1130" i="1" s="1"/>
  <c r="BG1131" i="1" s="1"/>
  <c r="BG1132" i="1" s="1"/>
  <c r="BG1133" i="1" s="1"/>
  <c r="BG1134" i="1" s="1"/>
  <c r="BG1135" i="1" s="1"/>
  <c r="BG1136" i="1" s="1"/>
  <c r="BG1137" i="1" s="1"/>
  <c r="BG1138" i="1" s="1"/>
  <c r="BG1139" i="1" s="1"/>
  <c r="BG1140" i="1" s="1"/>
  <c r="BG1141" i="1" s="1"/>
  <c r="BG1142" i="1" s="1"/>
  <c r="BG1143" i="1" s="1"/>
  <c r="BG1144" i="1" s="1"/>
  <c r="BG1145" i="1" s="1"/>
  <c r="BG1146" i="1" s="1"/>
  <c r="BG1147" i="1" s="1"/>
  <c r="BG1148" i="1" s="1"/>
  <c r="BG1149" i="1" s="1"/>
  <c r="BG1150" i="1" s="1"/>
  <c r="BG1151" i="1" s="1"/>
  <c r="BG1152" i="1" s="1"/>
  <c r="BG1153" i="1" s="1"/>
  <c r="BG1154" i="1" s="1"/>
  <c r="BG1155" i="1" s="1"/>
  <c r="BG1156" i="1" s="1"/>
  <c r="BG1157" i="1" s="1"/>
  <c r="BG1158" i="1" s="1"/>
  <c r="BG1159" i="1" s="1"/>
  <c r="BG1160" i="1" s="1"/>
  <c r="BG1161" i="1" s="1"/>
  <c r="BG1162" i="1" s="1"/>
  <c r="BG1163" i="1" s="1"/>
  <c r="BG1164" i="1" s="1"/>
  <c r="BG1165" i="1" s="1"/>
  <c r="BG1166" i="1" s="1"/>
  <c r="BG1167" i="1" s="1"/>
  <c r="BG1168" i="1" s="1"/>
  <c r="BG1169" i="1" s="1"/>
  <c r="BG1170" i="1" s="1"/>
  <c r="BG1171" i="1" s="1"/>
  <c r="BG1172" i="1" s="1"/>
  <c r="BG1173" i="1" s="1"/>
  <c r="BG1174" i="1" s="1"/>
  <c r="BG1175" i="1" s="1"/>
  <c r="BG1176" i="1" s="1"/>
  <c r="BG1177" i="1" s="1"/>
  <c r="BG1178" i="1" s="1"/>
  <c r="BG1179" i="1" s="1"/>
  <c r="BG1180" i="1" s="1"/>
  <c r="BG1181" i="1" s="1"/>
  <c r="BG1182" i="1" s="1"/>
  <c r="BG1183" i="1" s="1"/>
  <c r="BG1184" i="1" s="1"/>
  <c r="BG1185" i="1" s="1"/>
  <c r="BG1186" i="1" s="1"/>
  <c r="BG1187" i="1" s="1"/>
  <c r="BG1188" i="1" s="1"/>
  <c r="BG1189" i="1" s="1"/>
  <c r="BG1190" i="1" s="1"/>
  <c r="BG1191" i="1" s="1"/>
  <c r="BG1192" i="1" s="1"/>
  <c r="BG1193" i="1" s="1"/>
  <c r="BG1194" i="1" s="1"/>
  <c r="BG1195" i="1" s="1"/>
  <c r="BG1196" i="1" s="1"/>
  <c r="BG1197" i="1" s="1"/>
  <c r="BG1198" i="1" s="1"/>
  <c r="BG1199" i="1" s="1"/>
  <c r="BG1200" i="1" s="1"/>
  <c r="BG1201" i="1" s="1"/>
  <c r="BG1202" i="1" s="1"/>
  <c r="BG1203" i="1" s="1"/>
  <c r="BG1204" i="1" s="1"/>
  <c r="BG1205" i="1" s="1"/>
  <c r="BG1206" i="1" s="1"/>
  <c r="BG1207" i="1" s="1"/>
  <c r="BG1208" i="1" s="1"/>
  <c r="BG1209" i="1" s="1"/>
  <c r="BG1210" i="1" s="1"/>
  <c r="BG1211" i="1" s="1"/>
  <c r="BG1212" i="1" s="1"/>
  <c r="BG1213" i="1" s="1"/>
  <c r="BG1214" i="1" s="1"/>
  <c r="BG1215" i="1" s="1"/>
  <c r="BG1216" i="1" s="1"/>
  <c r="BG1217" i="1" s="1"/>
  <c r="BG1218" i="1" s="1"/>
  <c r="BG1219" i="1" s="1"/>
  <c r="CF34" i="1"/>
  <c r="CG34" i="1" a="1"/>
  <c r="CG34" i="1" s="1"/>
  <c r="CF1107" i="1"/>
  <c r="CG1107" i="1" a="1"/>
  <c r="CG1107" i="1" s="1"/>
  <c r="CG1111" i="1" a="1"/>
  <c r="CG1111" i="1" s="1"/>
  <c r="CF1111" i="1"/>
  <c r="CG414" i="1" a="1"/>
  <c r="CG414" i="1" s="1"/>
  <c r="CF414" i="1"/>
  <c r="CG20" i="1" a="1"/>
  <c r="CG20" i="1" s="1"/>
  <c r="CF20" i="1"/>
  <c r="CG585" i="1" a="1"/>
  <c r="CG585" i="1" s="1"/>
  <c r="CF585" i="1"/>
  <c r="CF1185" i="1"/>
  <c r="CG1185" i="1" a="1"/>
  <c r="CG1185" i="1" s="1"/>
  <c r="CG1203" i="1" a="1"/>
  <c r="CG1203" i="1" s="1"/>
  <c r="CF1203" i="1"/>
  <c r="CF932" i="1"/>
  <c r="CG932" i="1" a="1"/>
  <c r="CG932" i="1" s="1"/>
  <c r="CG1219" i="1" a="1"/>
  <c r="CG1219" i="1" s="1"/>
  <c r="CF1219" i="1"/>
  <c r="CG960" i="1" a="1"/>
  <c r="CG960" i="1" s="1"/>
  <c r="CF960" i="1"/>
  <c r="CF514" i="1"/>
  <c r="CG514" i="1" a="1"/>
  <c r="CG514" i="1" s="1"/>
  <c r="CF1161" i="1"/>
  <c r="CG1161" i="1" a="1"/>
  <c r="CG1161" i="1" s="1"/>
  <c r="CF1067" i="1"/>
  <c r="CG1067" i="1" a="1"/>
  <c r="CG1067" i="1" s="1"/>
  <c r="CF954" i="1"/>
  <c r="CG954" i="1" a="1"/>
  <c r="CG954" i="1" s="1"/>
  <c r="CG810" i="1" a="1"/>
  <c r="CG810" i="1" s="1"/>
  <c r="CF810" i="1"/>
  <c r="CF373" i="1"/>
  <c r="CG373" i="1" a="1"/>
  <c r="CG373" i="1" s="1"/>
  <c r="CG28" i="1" a="1"/>
  <c r="CG28" i="1" s="1"/>
  <c r="CF28" i="1"/>
  <c r="CF23" i="1"/>
  <c r="CG23" i="1" a="1"/>
  <c r="CG23" i="1" s="1"/>
  <c r="CF911" i="1"/>
  <c r="CG911" i="1" a="1"/>
  <c r="CG911" i="1" s="1"/>
  <c r="CF968" i="1"/>
  <c r="CG968" i="1" a="1"/>
  <c r="CG968" i="1" s="1"/>
  <c r="CG1142" i="1" a="1"/>
  <c r="CG1142" i="1" s="1"/>
  <c r="CF1142" i="1"/>
  <c r="CG838" i="1" a="1"/>
  <c r="CG838" i="1" s="1"/>
  <c r="CF838" i="1"/>
  <c r="CF1163" i="1"/>
  <c r="CG1163" i="1" a="1"/>
  <c r="CG1163" i="1" s="1"/>
  <c r="CG906" i="1" a="1"/>
  <c r="CG906" i="1" s="1"/>
  <c r="CF906" i="1"/>
  <c r="CF1217" i="1"/>
  <c r="CG1217" i="1" a="1"/>
  <c r="CG1217" i="1" s="1"/>
  <c r="CG1135" i="1" a="1"/>
  <c r="CG1135" i="1" s="1"/>
  <c r="CF1135" i="1"/>
  <c r="CG1039" i="1" a="1"/>
  <c r="CG1039" i="1" s="1"/>
  <c r="CF1039" i="1"/>
  <c r="CF917" i="1"/>
  <c r="CG917" i="1" a="1"/>
  <c r="CG917" i="1" s="1"/>
  <c r="CF724" i="1"/>
  <c r="CG724" i="1" a="1"/>
  <c r="CG724" i="1" s="1"/>
  <c r="CG1216" i="1" a="1"/>
  <c r="CG1216" i="1" s="1"/>
  <c r="CF1216" i="1"/>
  <c r="CG42" i="1" a="1"/>
  <c r="CG42" i="1" s="1"/>
  <c r="CF42" i="1"/>
  <c r="CF45" i="1"/>
  <c r="CG45" i="1" a="1"/>
  <c r="CG45" i="1" s="1"/>
  <c r="CF957" i="1"/>
  <c r="CG957" i="1" a="1"/>
  <c r="CG957" i="1" s="1"/>
  <c r="CG1012" i="1" a="1"/>
  <c r="CG1012" i="1" s="1"/>
  <c r="CF1012" i="1"/>
  <c r="CG1122" i="1" a="1"/>
  <c r="CG1122" i="1" s="1"/>
  <c r="CF1122" i="1"/>
  <c r="CG803" i="1" a="1"/>
  <c r="CG803" i="1" s="1"/>
  <c r="CF803" i="1"/>
  <c r="CF1157" i="1"/>
  <c r="CG1157" i="1" a="1"/>
  <c r="CG1157" i="1" s="1"/>
  <c r="CF892" i="1"/>
  <c r="CG892" i="1" a="1"/>
  <c r="CG892" i="1" s="1"/>
  <c r="CG1212" i="1" a="1"/>
  <c r="CG1212" i="1" s="1"/>
  <c r="CF1212" i="1"/>
  <c r="CF1130" i="1"/>
  <c r="CG1130" i="1" a="1"/>
  <c r="CG1130" i="1" s="1"/>
  <c r="CG1031" i="1" a="1"/>
  <c r="CG1031" i="1" s="1"/>
  <c r="CF1031" i="1"/>
  <c r="CF902" i="1"/>
  <c r="CG902" i="1" a="1"/>
  <c r="CG902" i="1" s="1"/>
  <c r="CF712" i="1"/>
  <c r="CG712" i="1" a="1"/>
  <c r="CG712" i="1" s="1"/>
  <c r="CG1204" i="1" a="1"/>
  <c r="CG1204" i="1" s="1"/>
  <c r="CF1204" i="1"/>
  <c r="CG27" i="1" a="1"/>
  <c r="CG27" i="1" s="1"/>
  <c r="CF27" i="1"/>
  <c r="CF491" i="1"/>
  <c r="CG491" i="1" a="1"/>
  <c r="CG491" i="1" s="1"/>
  <c r="CG1168" i="1" a="1"/>
  <c r="CG1168" i="1" s="1"/>
  <c r="CF1168" i="1"/>
  <c r="CF940" i="1"/>
  <c r="CG940" i="1" a="1"/>
  <c r="CG940" i="1" s="1"/>
  <c r="CF971" i="1"/>
  <c r="CG971" i="1" a="1"/>
  <c r="CG971" i="1" s="1"/>
  <c r="CF598" i="1"/>
  <c r="CG598" i="1" a="1"/>
  <c r="CG598" i="1" s="1"/>
  <c r="CF1167" i="1"/>
  <c r="CG1167" i="1" a="1"/>
  <c r="CG1167" i="1" s="1"/>
  <c r="CG1075" i="1" a="1"/>
  <c r="CG1075" i="1" s="1"/>
  <c r="CF1075" i="1"/>
  <c r="CF958" i="1"/>
  <c r="CG958" i="1" a="1"/>
  <c r="CG958" i="1" s="1"/>
  <c r="CF820" i="1"/>
  <c r="CG820" i="1" a="1"/>
  <c r="CG820" i="1" s="1"/>
  <c r="CG481" i="1" a="1"/>
  <c r="CG481" i="1" s="1"/>
  <c r="CF481" i="1"/>
  <c r="CF428" i="1"/>
  <c r="CG428" i="1" a="1"/>
  <c r="CG428" i="1" s="1"/>
  <c r="CF1193" i="1"/>
  <c r="CG1193" i="1" a="1"/>
  <c r="CG1193" i="1" s="1"/>
  <c r="CF1108" i="1"/>
  <c r="CG1108" i="1" a="1"/>
  <c r="CG1108" i="1" s="1"/>
  <c r="CF1005" i="1"/>
  <c r="CG1005" i="1" a="1"/>
  <c r="CG1005" i="1" s="1"/>
  <c r="CG840" i="1" a="1"/>
  <c r="CG840" i="1" s="1"/>
  <c r="CF840" i="1"/>
  <c r="CG609" i="1" a="1"/>
  <c r="CG609" i="1" s="1"/>
  <c r="CF609" i="1"/>
  <c r="CG1084" i="1" a="1"/>
  <c r="CG1084" i="1" s="1"/>
  <c r="CF1084" i="1"/>
  <c r="CG1022" i="1" a="1"/>
  <c r="CG1022" i="1" s="1"/>
  <c r="CF1022" i="1"/>
  <c r="CG956" i="1" a="1"/>
  <c r="CG956" i="1" s="1"/>
  <c r="CF956" i="1"/>
  <c r="CG876" i="1" a="1"/>
  <c r="CG876" i="1" s="1"/>
  <c r="CF876" i="1"/>
  <c r="CG779" i="1" a="1"/>
  <c r="CG779" i="1" s="1"/>
  <c r="CF779" i="1"/>
  <c r="CG612" i="1" a="1"/>
  <c r="CG612" i="1" s="1"/>
  <c r="CF612" i="1"/>
  <c r="CF331" i="1"/>
  <c r="CG331" i="1" a="1"/>
  <c r="CG331" i="1" s="1"/>
  <c r="CF1195" i="1"/>
  <c r="CG1195" i="1" a="1"/>
  <c r="CG1195" i="1" s="1"/>
  <c r="CG1129" i="1" a="1"/>
  <c r="CG1129" i="1" s="1"/>
  <c r="CF1129" i="1"/>
  <c r="CG1056" i="1" a="1"/>
  <c r="CG1056" i="1" s="1"/>
  <c r="CF1056" i="1"/>
  <c r="CG992" i="1" a="1"/>
  <c r="CG992" i="1" s="1"/>
  <c r="CF992" i="1"/>
  <c r="CG929" i="1" a="1"/>
  <c r="CG929" i="1" s="1"/>
  <c r="CF929" i="1"/>
  <c r="CF843" i="1"/>
  <c r="CG843" i="1" a="1"/>
  <c r="CG843" i="1" s="1"/>
  <c r="CF674" i="1"/>
  <c r="CG674" i="1" a="1"/>
  <c r="CG674" i="1" s="1"/>
  <c r="CG532" i="1" a="1"/>
  <c r="CG532" i="1" s="1"/>
  <c r="CF532" i="1"/>
  <c r="CF885" i="1"/>
  <c r="CG885" i="1" a="1"/>
  <c r="CG885" i="1" s="1"/>
  <c r="CG1209" i="1" a="1"/>
  <c r="CG1209" i="1" s="1"/>
  <c r="CF1209" i="1"/>
  <c r="CG1128" i="1" a="1"/>
  <c r="CG1128" i="1" s="1"/>
  <c r="CF1128" i="1"/>
  <c r="CG1019" i="1" a="1"/>
  <c r="CG1019" i="1" s="1"/>
  <c r="CF1019" i="1"/>
  <c r="CG874" i="1" a="1"/>
  <c r="CG874" i="1" s="1"/>
  <c r="CF874" i="1"/>
  <c r="CG657" i="1" a="1"/>
  <c r="CG657" i="1" s="1"/>
  <c r="CF657" i="1"/>
  <c r="CF1092" i="1"/>
  <c r="CG1092" i="1" a="1"/>
  <c r="CG1092" i="1" s="1"/>
  <c r="CG1033" i="1" a="1"/>
  <c r="CG1033" i="1" s="1"/>
  <c r="CF1033" i="1"/>
  <c r="CG967" i="1" a="1"/>
  <c r="CG967" i="1" s="1"/>
  <c r="CF967" i="1"/>
  <c r="CF896" i="1"/>
  <c r="CG896" i="1" a="1"/>
  <c r="CG896" i="1" s="1"/>
  <c r="CF796" i="1"/>
  <c r="CG796" i="1" a="1"/>
  <c r="CG796" i="1" s="1"/>
  <c r="CG653" i="1" a="1"/>
  <c r="CG653" i="1" s="1"/>
  <c r="CF653" i="1"/>
  <c r="CF447" i="1"/>
  <c r="CG447" i="1" a="1"/>
  <c r="CG447" i="1" s="1"/>
  <c r="CG1210" i="1" a="1"/>
  <c r="CG1210" i="1" s="1"/>
  <c r="CF1210" i="1"/>
  <c r="CF1143" i="1"/>
  <c r="CG1143" i="1" a="1"/>
  <c r="CG1143" i="1" s="1"/>
  <c r="CF1068" i="1"/>
  <c r="CG1068" i="1" a="1"/>
  <c r="CG1068" i="1" s="1"/>
  <c r="CG1003" i="1" a="1"/>
  <c r="CG1003" i="1" s="1"/>
  <c r="CF1003" i="1"/>
  <c r="CF941" i="1"/>
  <c r="CG941" i="1" a="1"/>
  <c r="CG941" i="1" s="1"/>
  <c r="CG858" i="1" a="1"/>
  <c r="CG858" i="1" s="1"/>
  <c r="CF858" i="1"/>
  <c r="CG716" i="1" a="1"/>
  <c r="CG716" i="1" s="1"/>
  <c r="CF716" i="1"/>
  <c r="CG567" i="1" a="1"/>
  <c r="CG567" i="1" s="1"/>
  <c r="CF567" i="1"/>
  <c r="CG912" i="1" a="1"/>
  <c r="CG912" i="1" s="1"/>
  <c r="CF912" i="1"/>
  <c r="CG1093" i="1" a="1"/>
  <c r="CG1093" i="1" s="1"/>
  <c r="CF1093" i="1"/>
  <c r="CG986" i="1" a="1"/>
  <c r="CG986" i="1" s="1"/>
  <c r="CF986" i="1"/>
  <c r="CG819" i="1" a="1"/>
  <c r="CG819" i="1" s="1"/>
  <c r="CF819" i="1"/>
  <c r="CG480" i="1" a="1"/>
  <c r="CG480" i="1" s="1"/>
  <c r="CF480" i="1"/>
  <c r="CF1077" i="1"/>
  <c r="CG1077" i="1" a="1"/>
  <c r="CG1077" i="1" s="1"/>
  <c r="CG1011" i="1" a="1"/>
  <c r="CG1011" i="1" s="1"/>
  <c r="CF1011" i="1"/>
  <c r="CF948" i="1"/>
  <c r="CG948" i="1" a="1"/>
  <c r="CG948" i="1" s="1"/>
  <c r="CG867" i="1" a="1"/>
  <c r="CG867" i="1" s="1"/>
  <c r="CF867" i="1"/>
  <c r="CF768" i="1"/>
  <c r="CG768" i="1" a="1"/>
  <c r="CG768" i="1" s="1"/>
  <c r="CF588" i="1"/>
  <c r="CG588" i="1" a="1"/>
  <c r="CG588" i="1" s="1"/>
  <c r="CG290" i="1" a="1"/>
  <c r="CG290" i="1" s="1"/>
  <c r="CF290" i="1"/>
  <c r="CF1187" i="1"/>
  <c r="CG1187" i="1" a="1"/>
  <c r="CG1187" i="1" s="1"/>
  <c r="CF1119" i="1"/>
  <c r="CG1119" i="1" a="1"/>
  <c r="CG1119" i="1" s="1"/>
  <c r="CF1048" i="1"/>
  <c r="CG1048" i="1" a="1"/>
  <c r="CG1048" i="1" s="1"/>
  <c r="CF984" i="1"/>
  <c r="CG984" i="1" a="1"/>
  <c r="CG984" i="1" s="1"/>
  <c r="CF918" i="1"/>
  <c r="CG918" i="1" a="1"/>
  <c r="CG918" i="1" s="1"/>
  <c r="CF823" i="1"/>
  <c r="CG823" i="1" a="1"/>
  <c r="CG823" i="1" s="1"/>
  <c r="CF658" i="1"/>
  <c r="CG658" i="1" a="1"/>
  <c r="CG658" i="1" s="1"/>
  <c r="CF510" i="1"/>
  <c r="CG510" i="1" a="1"/>
  <c r="CG510" i="1" s="1"/>
  <c r="CF868" i="1"/>
  <c r="CG868" i="1" a="1"/>
  <c r="CG868" i="1" s="1"/>
  <c r="CG1062" i="1" a="1"/>
  <c r="CG1062" i="1" s="1"/>
  <c r="CF1062" i="1"/>
  <c r="CF943" i="1"/>
  <c r="CG943" i="1" a="1"/>
  <c r="CG943" i="1" s="1"/>
  <c r="CG745" i="1" a="1"/>
  <c r="CG745" i="1" s="1"/>
  <c r="CF745" i="1"/>
  <c r="CF300" i="1"/>
  <c r="CG300" i="1" a="1"/>
  <c r="CG300" i="1" s="1"/>
  <c r="CG1057" i="1" a="1"/>
  <c r="CG1057" i="1" s="1"/>
  <c r="CF1057" i="1"/>
  <c r="CF993" i="1"/>
  <c r="CG993" i="1" a="1"/>
  <c r="CG993" i="1" s="1"/>
  <c r="CF926" i="1"/>
  <c r="CG926" i="1" a="1"/>
  <c r="CG926" i="1" s="1"/>
  <c r="CG844" i="1" a="1"/>
  <c r="CG844" i="1" s="1"/>
  <c r="CF844" i="1"/>
  <c r="CG717" i="1" a="1"/>
  <c r="CG717" i="1" s="1"/>
  <c r="CF717" i="1"/>
  <c r="CF533" i="1"/>
  <c r="CG533" i="1" a="1"/>
  <c r="CG533" i="1" s="1"/>
  <c r="CF70" i="1"/>
  <c r="CG70" i="1" a="1"/>
  <c r="CG70" i="1" s="1"/>
  <c r="CG1169" i="1" a="1"/>
  <c r="CG1169" i="1" s="1"/>
  <c r="CF1169" i="1"/>
  <c r="CF1095" i="1"/>
  <c r="CG1095" i="1" a="1"/>
  <c r="CG1095" i="1" s="1"/>
  <c r="CF1029" i="1"/>
  <c r="CG1029" i="1" a="1"/>
  <c r="CG1029" i="1" s="1"/>
  <c r="CG966" i="1" a="1"/>
  <c r="CG966" i="1" s="1"/>
  <c r="CF966" i="1"/>
  <c r="CG895" i="1" a="1"/>
  <c r="CG895" i="1" s="1"/>
  <c r="CF895" i="1"/>
  <c r="CF775" i="1"/>
  <c r="CG775" i="1" a="1"/>
  <c r="CG775" i="1" s="1"/>
  <c r="CF621" i="1"/>
  <c r="CG621" i="1" a="1"/>
  <c r="CG621" i="1" s="1"/>
  <c r="CF445" i="1"/>
  <c r="CG445" i="1" a="1"/>
  <c r="CG445" i="1" s="1"/>
  <c r="CG431" i="1" a="1"/>
  <c r="CG431" i="1" s="1"/>
  <c r="CF431" i="1"/>
  <c r="CF890" i="1"/>
  <c r="CG890" i="1" a="1"/>
  <c r="CG890" i="1" s="1"/>
  <c r="CF836" i="1"/>
  <c r="CG836" i="1" a="1"/>
  <c r="CG836" i="1" s="1"/>
  <c r="CG780" i="1" a="1"/>
  <c r="CG780" i="1" s="1"/>
  <c r="CF780" i="1"/>
  <c r="CG721" i="1" a="1"/>
  <c r="CG721" i="1" s="1"/>
  <c r="CF721" i="1"/>
  <c r="CG644" i="1" a="1"/>
  <c r="CG644" i="1" s="1"/>
  <c r="CF644" i="1"/>
  <c r="CG548" i="1" a="1"/>
  <c r="CG548" i="1" s="1"/>
  <c r="CF548" i="1"/>
  <c r="CF392" i="1"/>
  <c r="CG392" i="1" a="1"/>
  <c r="CG392" i="1" s="1"/>
  <c r="CG817" i="1" a="1"/>
  <c r="CG817" i="1" s="1"/>
  <c r="CF817" i="1"/>
  <c r="CF747" i="1"/>
  <c r="CG747" i="1" a="1"/>
  <c r="CG747" i="1" s="1"/>
  <c r="CG654" i="1" a="1"/>
  <c r="CG654" i="1" s="1"/>
  <c r="CF654" i="1"/>
  <c r="CG551" i="1" a="1"/>
  <c r="CG551" i="1" s="1"/>
  <c r="CF551" i="1"/>
  <c r="CG405" i="1" a="1"/>
  <c r="CG405" i="1" s="1"/>
  <c r="CF405" i="1"/>
  <c r="CF121" i="1"/>
  <c r="CG121" i="1" a="1"/>
  <c r="CG121" i="1" s="1"/>
  <c r="CG527" i="1" a="1"/>
  <c r="CG527" i="1" s="1"/>
  <c r="CF527" i="1"/>
  <c r="CF465" i="1"/>
  <c r="CG465" i="1" a="1"/>
  <c r="CG465" i="1" s="1"/>
  <c r="CG381" i="1" a="1"/>
  <c r="CG381" i="1" s="1"/>
  <c r="CF381" i="1"/>
  <c r="CG263" i="1" a="1"/>
  <c r="CG263" i="1" s="1"/>
  <c r="CF263" i="1"/>
  <c r="CF52" i="1"/>
  <c r="CG52" i="1" a="1"/>
  <c r="CG52" i="1" s="1"/>
  <c r="CG673" i="1" a="1"/>
  <c r="CG673" i="1" s="1"/>
  <c r="CF673" i="1"/>
  <c r="CG607" i="1" a="1"/>
  <c r="CG607" i="1" s="1"/>
  <c r="CF607" i="1"/>
  <c r="CG545" i="1" a="1"/>
  <c r="CG545" i="1" s="1"/>
  <c r="CF545" i="1"/>
  <c r="CG907" i="1" a="1"/>
  <c r="CG907" i="1" s="1"/>
  <c r="CF907" i="1"/>
  <c r="CG846" i="1" a="1"/>
  <c r="CG846" i="1" s="1"/>
  <c r="CF846" i="1"/>
  <c r="CG791" i="1" a="1"/>
  <c r="CG791" i="1" s="1"/>
  <c r="CF791" i="1"/>
  <c r="CG734" i="1" a="1"/>
  <c r="CG734" i="1" s="1"/>
  <c r="CF734" i="1"/>
  <c r="CG662" i="1" a="1"/>
  <c r="CG662" i="1" s="1"/>
  <c r="CF662" i="1"/>
  <c r="CG564" i="1" a="1"/>
  <c r="CG564" i="1" s="1"/>
  <c r="CF564" i="1"/>
  <c r="CF422" i="1"/>
  <c r="CG422" i="1" a="1"/>
  <c r="CG422" i="1" s="1"/>
  <c r="CF101" i="1"/>
  <c r="CG101" i="1" a="1"/>
  <c r="CG101" i="1" s="1"/>
  <c r="CF756" i="1"/>
  <c r="CG756" i="1" a="1"/>
  <c r="CG756" i="1" s="1"/>
  <c r="CF671" i="1"/>
  <c r="CG671" i="1" a="1"/>
  <c r="CG671" i="1" s="1"/>
  <c r="CF571" i="1"/>
  <c r="CG571" i="1" a="1"/>
  <c r="CG571" i="1" s="1"/>
  <c r="CF435" i="1"/>
  <c r="CG435" i="1" a="1"/>
  <c r="CG435" i="1" s="1"/>
  <c r="CF243" i="1"/>
  <c r="CG243" i="1" a="1"/>
  <c r="CG243" i="1" s="1"/>
  <c r="CF542" i="1"/>
  <c r="CG542" i="1" a="1"/>
  <c r="CG542" i="1" s="1"/>
  <c r="CG476" i="1" a="1"/>
  <c r="CG476" i="1" s="1"/>
  <c r="CF476" i="1"/>
  <c r="CG398" i="1" a="1"/>
  <c r="CG398" i="1" s="1"/>
  <c r="CF398" i="1"/>
  <c r="CF285" i="1"/>
  <c r="CG285" i="1" a="1"/>
  <c r="CG285" i="1" s="1"/>
  <c r="CG94" i="1" a="1"/>
  <c r="CG94" i="1" s="1"/>
  <c r="CF94" i="1"/>
  <c r="CG682" i="1" a="1"/>
  <c r="CG682" i="1" s="1"/>
  <c r="CF682" i="1"/>
  <c r="CF619" i="1"/>
  <c r="CG619" i="1" a="1"/>
  <c r="CG619" i="1" s="1"/>
  <c r="CF557" i="1"/>
  <c r="CG557" i="1" a="1"/>
  <c r="CG557" i="1" s="1"/>
  <c r="CG828" i="1" a="1"/>
  <c r="CG828" i="1" s="1"/>
  <c r="CF828" i="1"/>
  <c r="CG774" i="1" a="1"/>
  <c r="CG774" i="1" s="1"/>
  <c r="CF774" i="1"/>
  <c r="CF714" i="1"/>
  <c r="CG714" i="1" a="1"/>
  <c r="CG714" i="1" s="1"/>
  <c r="CG632" i="1" a="1"/>
  <c r="CG632" i="1" s="1"/>
  <c r="CF632" i="1"/>
  <c r="CG537" i="1" a="1"/>
  <c r="CG537" i="1" s="1"/>
  <c r="CF537" i="1"/>
  <c r="CG370" i="1" a="1"/>
  <c r="CG370" i="1" s="1"/>
  <c r="CF370" i="1"/>
  <c r="CF807" i="1"/>
  <c r="CG807" i="1" a="1"/>
  <c r="CG807" i="1" s="1"/>
  <c r="CG732" i="1" a="1"/>
  <c r="CG732" i="1" s="1"/>
  <c r="CF732" i="1"/>
  <c r="CG642" i="1" a="1"/>
  <c r="CG642" i="1" s="1"/>
  <c r="CF642" i="1"/>
  <c r="CG539" i="1" a="1"/>
  <c r="CG539" i="1" s="1"/>
  <c r="CF539" i="1"/>
  <c r="CF391" i="1"/>
  <c r="CG391" i="1" a="1"/>
  <c r="CG391" i="1" s="1"/>
  <c r="CG59" i="1" a="1"/>
  <c r="CG59" i="1" s="1"/>
  <c r="CF59" i="1"/>
  <c r="CG520" i="1" a="1"/>
  <c r="CG520" i="1" s="1"/>
  <c r="CF520" i="1"/>
  <c r="CG455" i="1" a="1"/>
  <c r="CG455" i="1" s="1"/>
  <c r="CF455" i="1"/>
  <c r="CG365" i="1" a="1"/>
  <c r="CG365" i="1" s="1"/>
  <c r="CF365" i="1"/>
  <c r="CG249" i="1" a="1"/>
  <c r="CG249" i="1" s="1"/>
  <c r="CF249" i="1"/>
  <c r="CG737" i="1" a="1"/>
  <c r="CG737" i="1" s="1"/>
  <c r="CF737" i="1"/>
  <c r="CG663" i="1" a="1"/>
  <c r="CG663" i="1" s="1"/>
  <c r="CF663" i="1"/>
  <c r="CG599" i="1" a="1"/>
  <c r="CG599" i="1" s="1"/>
  <c r="CF599" i="1"/>
  <c r="CF538" i="1"/>
  <c r="CG538" i="1" a="1"/>
  <c r="CG538" i="1" s="1"/>
  <c r="CG812" i="1" a="1"/>
  <c r="CG812" i="1" s="1"/>
  <c r="CF812" i="1"/>
  <c r="CF757" i="1"/>
  <c r="CG757" i="1" a="1"/>
  <c r="CG757" i="1" s="1"/>
  <c r="CF695" i="1"/>
  <c r="CG695" i="1" a="1"/>
  <c r="CG695" i="1" s="1"/>
  <c r="CF602" i="1"/>
  <c r="CG602" i="1" a="1"/>
  <c r="CG602" i="1" s="1"/>
  <c r="CG485" i="1" a="1"/>
  <c r="CG485" i="1" s="1"/>
  <c r="CF485" i="1"/>
  <c r="CF261" i="1"/>
  <c r="CG261" i="1" a="1"/>
  <c r="CG261" i="1" s="1"/>
  <c r="CF783" i="1"/>
  <c r="CG783" i="1" a="1"/>
  <c r="CG783" i="1" s="1"/>
  <c r="CG704" i="1" a="1"/>
  <c r="CG704" i="1" s="1"/>
  <c r="CF704" i="1"/>
  <c r="CG613" i="1" a="1"/>
  <c r="CG613" i="1" s="1"/>
  <c r="CF613" i="1"/>
  <c r="CF506" i="1"/>
  <c r="CG506" i="1" a="1"/>
  <c r="CG506" i="1" s="1"/>
  <c r="CG345" i="1" a="1"/>
  <c r="CG345" i="1" s="1"/>
  <c r="CF345" i="1"/>
  <c r="CF566" i="1"/>
  <c r="CG566" i="1" a="1"/>
  <c r="CG566" i="1" s="1"/>
  <c r="CF502" i="1"/>
  <c r="CG502" i="1" a="1"/>
  <c r="CG502" i="1" s="1"/>
  <c r="CG425" i="1" a="1"/>
  <c r="CG425" i="1" s="1"/>
  <c r="CF425" i="1"/>
  <c r="CF327" i="1"/>
  <c r="CG327" i="1" a="1"/>
  <c r="CG327" i="1" s="1"/>
  <c r="CF200" i="1"/>
  <c r="CG200" i="1" a="1"/>
  <c r="CG200" i="1" s="1"/>
  <c r="CG715" i="1" a="1"/>
  <c r="CG715" i="1" s="1"/>
  <c r="CF715" i="1"/>
  <c r="CF643" i="1"/>
  <c r="CG643" i="1" a="1"/>
  <c r="CG643" i="1" s="1"/>
  <c r="CF579" i="1"/>
  <c r="CG579" i="1" a="1"/>
  <c r="CG579" i="1" s="1"/>
  <c r="CG519" i="1" a="1"/>
  <c r="CG519" i="1" s="1"/>
  <c r="CF519" i="1"/>
  <c r="CG448" i="1" a="1"/>
  <c r="CG448" i="1" s="1"/>
  <c r="CF448" i="1"/>
  <c r="CF358" i="1"/>
  <c r="CG358" i="1" a="1"/>
  <c r="CG358" i="1" s="1"/>
  <c r="CF199" i="1"/>
  <c r="CG199" i="1" a="1"/>
  <c r="CG199" i="1" s="1"/>
  <c r="CF336" i="1"/>
  <c r="CG336" i="1" a="1"/>
  <c r="CG336" i="1" s="1"/>
  <c r="CF275" i="1"/>
  <c r="CG275" i="1" a="1"/>
  <c r="CG275" i="1" s="1"/>
  <c r="CF165" i="1"/>
  <c r="CG165" i="1" a="1"/>
  <c r="CG165" i="1" s="1"/>
  <c r="CG471" i="1" a="1"/>
  <c r="CG471" i="1" s="1"/>
  <c r="CF471" i="1"/>
  <c r="CG411" i="1" a="1"/>
  <c r="CG411" i="1" s="1"/>
  <c r="CF411" i="1"/>
  <c r="CG339" i="1" a="1"/>
  <c r="CG339" i="1" s="1"/>
  <c r="CF339" i="1"/>
  <c r="CF274" i="1"/>
  <c r="CG274" i="1" a="1"/>
  <c r="CG274" i="1" s="1"/>
  <c r="CF156" i="1"/>
  <c r="CG156" i="1" a="1"/>
  <c r="CG156" i="1" s="1"/>
  <c r="CG222" i="1" a="1"/>
  <c r="CG222" i="1" s="1"/>
  <c r="CF222" i="1"/>
  <c r="CG159" i="1" a="1"/>
  <c r="CG159" i="1" s="1"/>
  <c r="CF159" i="1"/>
  <c r="CF93" i="1"/>
  <c r="CG93" i="1" a="1"/>
  <c r="CG93" i="1" s="1"/>
  <c r="CG254" i="1" a="1"/>
  <c r="CG254" i="1" s="1"/>
  <c r="CF254" i="1"/>
  <c r="CG189" i="1" a="1"/>
  <c r="CG189" i="1" s="1"/>
  <c r="CF189" i="1"/>
  <c r="CG123" i="1" a="1"/>
  <c r="CG123" i="1" s="1"/>
  <c r="CF123" i="1"/>
  <c r="CG65" i="1" a="1"/>
  <c r="CG65" i="1" s="1"/>
  <c r="CF65" i="1"/>
  <c r="CG1091" i="1" a="1"/>
  <c r="CG1091" i="1" s="1"/>
  <c r="CF1091" i="1"/>
  <c r="CF1132" i="1"/>
  <c r="CG1132" i="1" a="1"/>
  <c r="CG1132" i="1" s="1"/>
  <c r="CG515" i="1" a="1"/>
  <c r="CG515" i="1" s="1"/>
  <c r="CF515" i="1"/>
  <c r="CF438" i="1"/>
  <c r="CG438" i="1" a="1"/>
  <c r="CG438" i="1" s="1"/>
  <c r="CG356" i="1" a="1"/>
  <c r="CG356" i="1" s="1"/>
  <c r="CF356" i="1"/>
  <c r="CF168" i="1"/>
  <c r="CG168" i="1" a="1"/>
  <c r="CG168" i="1" s="1"/>
  <c r="CF334" i="1"/>
  <c r="CG334" i="1" a="1"/>
  <c r="CG334" i="1" s="1"/>
  <c r="CF271" i="1"/>
  <c r="CG271" i="1" a="1"/>
  <c r="CG271" i="1" s="1"/>
  <c r="CG157" i="1" a="1"/>
  <c r="CG157" i="1" s="1"/>
  <c r="CF157" i="1"/>
  <c r="CF467" i="1"/>
  <c r="CG467" i="1" a="1"/>
  <c r="CG467" i="1" s="1"/>
  <c r="CF403" i="1"/>
  <c r="CG403" i="1" a="1"/>
  <c r="CG403" i="1" s="1"/>
  <c r="CG332" i="1" a="1"/>
  <c r="CG332" i="1" s="1"/>
  <c r="CF332" i="1"/>
  <c r="CF269" i="1"/>
  <c r="CG269" i="1" a="1"/>
  <c r="CG269" i="1" s="1"/>
  <c r="CF153" i="1"/>
  <c r="CG153" i="1" a="1"/>
  <c r="CG153" i="1" s="1"/>
  <c r="CF218" i="1"/>
  <c r="CG218" i="1" a="1"/>
  <c r="CG218" i="1" s="1"/>
  <c r="CG155" i="1" a="1"/>
  <c r="CG155" i="1" s="1"/>
  <c r="CF155" i="1"/>
  <c r="CG89" i="1" a="1"/>
  <c r="CG89" i="1" s="1"/>
  <c r="CF89" i="1"/>
  <c r="CF250" i="1"/>
  <c r="CG250" i="1" a="1"/>
  <c r="CG250" i="1" s="1"/>
  <c r="CF185" i="1"/>
  <c r="CG185" i="1" a="1"/>
  <c r="CG185" i="1" s="1"/>
  <c r="CG117" i="1" a="1"/>
  <c r="CG117" i="1" s="1"/>
  <c r="CF117" i="1"/>
  <c r="CG61" i="1" a="1"/>
  <c r="CG61" i="1" s="1"/>
  <c r="CF61" i="1"/>
  <c r="CG1112" i="1" a="1"/>
  <c r="CG1112" i="1" s="1"/>
  <c r="CF1112" i="1"/>
  <c r="CF1059" i="1"/>
  <c r="CG1059" i="1" a="1"/>
  <c r="CG1059" i="1" s="1"/>
  <c r="CF530" i="1"/>
  <c r="CG530" i="1" a="1"/>
  <c r="CG530" i="1" s="1"/>
  <c r="CG458" i="1" a="1"/>
  <c r="CG458" i="1" s="1"/>
  <c r="CF458" i="1"/>
  <c r="CF375" i="1"/>
  <c r="CG375" i="1" a="1"/>
  <c r="CG375" i="1" s="1"/>
  <c r="CF219" i="1"/>
  <c r="CG219" i="1" a="1"/>
  <c r="CG219" i="1" s="1"/>
  <c r="CG344" i="1" a="1"/>
  <c r="CG344" i="1" s="1"/>
  <c r="CF344" i="1"/>
  <c r="CF283" i="1"/>
  <c r="CG283" i="1" a="1"/>
  <c r="CG283" i="1" s="1"/>
  <c r="CG180" i="1" a="1"/>
  <c r="CG180" i="1" s="1"/>
  <c r="CF180" i="1"/>
  <c r="CG46" i="1" a="1"/>
  <c r="CG46" i="1" s="1"/>
  <c r="CF46" i="1"/>
  <c r="CG423" i="1" a="1"/>
  <c r="CG423" i="1" s="1"/>
  <c r="CF423" i="1"/>
  <c r="CF347" i="1"/>
  <c r="CG347" i="1" a="1"/>
  <c r="CG347" i="1" s="1"/>
  <c r="CF282" i="1"/>
  <c r="CG282" i="1" a="1"/>
  <c r="CG282" i="1" s="1"/>
  <c r="CF166" i="1"/>
  <c r="CG166" i="1" a="1"/>
  <c r="CG166" i="1" s="1"/>
  <c r="CF231" i="1"/>
  <c r="CG231" i="1" a="1"/>
  <c r="CG231" i="1" s="1"/>
  <c r="CG171" i="1" a="1"/>
  <c r="CG171" i="1" s="1"/>
  <c r="CF171" i="1"/>
  <c r="CG103" i="1" a="1"/>
  <c r="CG103" i="1" s="1"/>
  <c r="CF103" i="1"/>
  <c r="CG262" i="1" a="1"/>
  <c r="CG262" i="1" s="1"/>
  <c r="CF262" i="1"/>
  <c r="CF197" i="1"/>
  <c r="CG197" i="1" a="1"/>
  <c r="CG197" i="1" s="1"/>
  <c r="CG130" i="1" a="1"/>
  <c r="CG130" i="1" s="1"/>
  <c r="CF130" i="1"/>
  <c r="CG73" i="1" a="1"/>
  <c r="CG73" i="1" s="1"/>
  <c r="CF73" i="1"/>
  <c r="CG1047" i="1" a="1"/>
  <c r="CG1047" i="1" s="1"/>
  <c r="CF1047" i="1"/>
  <c r="CF814" i="1"/>
  <c r="CG814" i="1" a="1"/>
  <c r="CG814" i="1" s="1"/>
  <c r="CF214" i="1"/>
  <c r="CG214" i="1" a="1"/>
  <c r="CG214" i="1" s="1"/>
  <c r="CG474" i="1" a="1"/>
  <c r="CG474" i="1" s="1"/>
  <c r="CF474" i="1"/>
  <c r="CG393" i="1" a="1"/>
  <c r="CG393" i="1" s="1"/>
  <c r="CF393" i="1"/>
  <c r="CF255" i="1"/>
  <c r="CG255" i="1" a="1"/>
  <c r="CG255" i="1" s="1"/>
  <c r="CG363" i="1" a="1"/>
  <c r="CG363" i="1" s="1"/>
  <c r="CF363" i="1"/>
  <c r="CG296" i="1" a="1"/>
  <c r="CG296" i="1" s="1"/>
  <c r="CF296" i="1"/>
  <c r="CF196" i="1"/>
  <c r="CG196" i="1" a="1"/>
  <c r="CG196" i="1" s="1"/>
  <c r="CG80" i="1" a="1"/>
  <c r="CG80" i="1" s="1"/>
  <c r="CF80" i="1"/>
  <c r="CF432" i="1"/>
  <c r="CG432" i="1" a="1"/>
  <c r="CG432" i="1" s="1"/>
  <c r="CF359" i="1"/>
  <c r="CG359" i="1" a="1"/>
  <c r="CG359" i="1" s="1"/>
  <c r="CG295" i="1" a="1"/>
  <c r="CG295" i="1" s="1"/>
  <c r="CF295" i="1"/>
  <c r="CF195" i="1"/>
  <c r="CG195" i="1" a="1"/>
  <c r="CG195" i="1" s="1"/>
  <c r="CF63" i="1"/>
  <c r="CG63" i="1" a="1"/>
  <c r="CG63" i="1" s="1"/>
  <c r="CF182" i="1"/>
  <c r="CG182" i="1" a="1"/>
  <c r="CG182" i="1" s="1"/>
  <c r="CG114" i="1" a="1"/>
  <c r="CG114" i="1" s="1"/>
  <c r="CF114" i="1"/>
  <c r="CF36" i="1"/>
  <c r="CG36" i="1" a="1"/>
  <c r="CG36" i="1" s="1"/>
  <c r="CF211" i="1"/>
  <c r="CG211" i="1" a="1"/>
  <c r="CG211" i="1" s="1"/>
  <c r="CG141" i="1" a="1"/>
  <c r="CG141" i="1" s="1"/>
  <c r="CF141" i="1"/>
  <c r="CG82" i="1" a="1"/>
  <c r="CG82" i="1" s="1"/>
  <c r="CF82" i="1"/>
  <c r="CF980" i="1"/>
  <c r="CG980" i="1" a="1"/>
  <c r="CG980" i="1" s="1"/>
  <c r="CF1148" i="1"/>
  <c r="CG1148" i="1" a="1"/>
  <c r="CG1148" i="1" s="1"/>
  <c r="CG1013" i="1" a="1"/>
  <c r="CG1013" i="1" s="1"/>
  <c r="CF1013" i="1"/>
  <c r="CG37" i="1" a="1"/>
  <c r="CG37" i="1" s="1"/>
  <c r="CF37" i="1"/>
  <c r="CF43" i="1"/>
  <c r="CG43" i="1" a="1"/>
  <c r="CG43" i="1" s="1"/>
  <c r="CF1190" i="1"/>
  <c r="CG1190" i="1" a="1"/>
  <c r="CG1190" i="1" s="1"/>
  <c r="CG1097" i="1" a="1"/>
  <c r="CG1097" i="1" s="1"/>
  <c r="CF1097" i="1"/>
  <c r="CF53" i="1"/>
  <c r="CG53" i="1" a="1"/>
  <c r="CG53" i="1" s="1"/>
  <c r="CG26" i="1" a="1"/>
  <c r="CG26" i="1" s="1"/>
  <c r="CF26" i="1"/>
  <c r="CF861" i="1"/>
  <c r="CG861" i="1" a="1"/>
  <c r="CG861" i="1" s="1"/>
  <c r="CF845" i="1"/>
  <c r="CG845" i="1" a="1"/>
  <c r="CG845" i="1" s="1"/>
  <c r="CF1159" i="1"/>
  <c r="CG1159" i="1" a="1"/>
  <c r="CG1159" i="1" s="1"/>
  <c r="CF865" i="1"/>
  <c r="CG865" i="1" a="1"/>
  <c r="CG865" i="1" s="1"/>
  <c r="CG1179" i="1" a="1"/>
  <c r="CG1179" i="1" s="1"/>
  <c r="CF1179" i="1"/>
  <c r="CG921" i="1" a="1"/>
  <c r="CG921" i="1" s="1"/>
  <c r="CF921" i="1"/>
  <c r="CG1140" i="1" a="1"/>
  <c r="CG1140" i="1" s="1"/>
  <c r="CF1140" i="1"/>
  <c r="CG1043" i="1" a="1"/>
  <c r="CG1043" i="1" s="1"/>
  <c r="CF1043" i="1"/>
  <c r="CG922" i="1" a="1"/>
  <c r="CG922" i="1" s="1"/>
  <c r="CF922" i="1"/>
  <c r="CG736" i="1" a="1"/>
  <c r="CG736" i="1" s="1"/>
  <c r="CF736" i="1"/>
  <c r="CG44" i="1" a="1"/>
  <c r="CG44" i="1" s="1"/>
  <c r="CF44" i="1"/>
  <c r="CF33" i="1"/>
  <c r="CG33" i="1" a="1"/>
  <c r="CG33" i="1" s="1"/>
  <c r="CG1023" i="1" a="1"/>
  <c r="CG1023" i="1" s="1"/>
  <c r="CF1023" i="1"/>
  <c r="CF1116" i="1"/>
  <c r="CG1116" i="1" a="1"/>
  <c r="CG1116" i="1" s="1"/>
  <c r="CG1098" i="1" a="1"/>
  <c r="CG1098" i="1" s="1"/>
  <c r="CF1098" i="1"/>
  <c r="CG665" i="1" a="1"/>
  <c r="CG665" i="1" s="1"/>
  <c r="CF665" i="1"/>
  <c r="CG1127" i="1" a="1"/>
  <c r="CG1127" i="1" s="1"/>
  <c r="CF1127" i="1"/>
  <c r="CF825" i="1"/>
  <c r="CG825" i="1" a="1"/>
  <c r="CG825" i="1" s="1"/>
  <c r="CF1194" i="1"/>
  <c r="CG1194" i="1" a="1"/>
  <c r="CG1194" i="1" s="1"/>
  <c r="CG1120" i="1" a="1"/>
  <c r="CG1120" i="1" s="1"/>
  <c r="CF1120" i="1"/>
  <c r="CF1017" i="1"/>
  <c r="CG1017" i="1" a="1"/>
  <c r="CG1017" i="1" s="1"/>
  <c r="CG875" i="1" a="1"/>
  <c r="CG875" i="1" s="1"/>
  <c r="CF875" i="1"/>
  <c r="CG670" i="1" a="1"/>
  <c r="CG670" i="1" s="1"/>
  <c r="CF670" i="1"/>
  <c r="CF1177" i="1"/>
  <c r="CG1177" i="1" a="1"/>
  <c r="CG1177" i="1" s="1"/>
  <c r="CG51" i="1" a="1"/>
  <c r="CG51" i="1" s="1"/>
  <c r="CF51" i="1"/>
  <c r="CF29" i="1"/>
  <c r="CG29" i="1" a="1"/>
  <c r="CG29" i="1" s="1"/>
  <c r="CG1046" i="1" a="1"/>
  <c r="CG1046" i="1" s="1"/>
  <c r="CF1046" i="1"/>
  <c r="CG1131" i="1" a="1"/>
  <c r="CG1131" i="1" s="1"/>
  <c r="CF1131" i="1"/>
  <c r="CF1006" i="1"/>
  <c r="CG1006" i="1" a="1"/>
  <c r="CG1006" i="1" s="1"/>
  <c r="CG600" i="1" a="1"/>
  <c r="CG600" i="1" s="1"/>
  <c r="CF600" i="1"/>
  <c r="CG1121" i="1" a="1"/>
  <c r="CG1121" i="1" s="1"/>
  <c r="CF1121" i="1"/>
  <c r="CG781" i="1" a="1"/>
  <c r="CG781" i="1" s="1"/>
  <c r="CF781" i="1"/>
  <c r="CG1189" i="1" a="1"/>
  <c r="CG1189" i="1" s="1"/>
  <c r="CF1189" i="1"/>
  <c r="CF1115" i="1"/>
  <c r="CG1115" i="1" a="1"/>
  <c r="CG1115" i="1" s="1"/>
  <c r="CF1009" i="1"/>
  <c r="CG1009" i="1" a="1"/>
  <c r="CG1009" i="1" s="1"/>
  <c r="CG870" i="1" a="1"/>
  <c r="CG870" i="1" s="1"/>
  <c r="CF870" i="1"/>
  <c r="CF641" i="1"/>
  <c r="CG641" i="1" a="1"/>
  <c r="CG641" i="1" s="1"/>
  <c r="CG1160" i="1" a="1"/>
  <c r="CG1160" i="1" s="1"/>
  <c r="CF1160" i="1"/>
  <c r="CG30" i="1" a="1"/>
  <c r="CG30" i="1" s="1"/>
  <c r="CF30" i="1"/>
  <c r="CF830" i="1"/>
  <c r="CG830" i="1" a="1"/>
  <c r="CG830" i="1" s="1"/>
  <c r="CG679" i="1" a="1"/>
  <c r="CG679" i="1" s="1"/>
  <c r="CF679" i="1"/>
  <c r="CG1164" i="1" a="1"/>
  <c r="CG1164" i="1" s="1"/>
  <c r="CF1164" i="1"/>
  <c r="CG879" i="1" a="1"/>
  <c r="CG879" i="1" s="1"/>
  <c r="CF879" i="1"/>
  <c r="CG1186" i="1" a="1"/>
  <c r="CG1186" i="1" s="1"/>
  <c r="CF1186" i="1"/>
  <c r="CG931" i="1" a="1"/>
  <c r="CG931" i="1" s="1"/>
  <c r="CF931" i="1"/>
  <c r="CF1145" i="1"/>
  <c r="CG1145" i="1" a="1"/>
  <c r="CG1145" i="1" s="1"/>
  <c r="CG1051" i="1" a="1"/>
  <c r="CG1051" i="1" s="1"/>
  <c r="CF1051" i="1"/>
  <c r="CF928" i="1"/>
  <c r="CG928" i="1" a="1"/>
  <c r="CG928" i="1" s="1"/>
  <c r="CF746" i="1"/>
  <c r="CG746" i="1" a="1"/>
  <c r="CG746" i="1" s="1"/>
  <c r="CG91" i="1" a="1"/>
  <c r="CG91" i="1" s="1"/>
  <c r="CF91" i="1"/>
  <c r="CG301" i="1" a="1"/>
  <c r="CG301" i="1" s="1"/>
  <c r="CF301" i="1"/>
  <c r="CF1171" i="1"/>
  <c r="CG1171" i="1" a="1"/>
  <c r="CG1171" i="1" s="1"/>
  <c r="CF1078" i="1"/>
  <c r="CG1078" i="1" a="1"/>
  <c r="CG1078" i="1" s="1"/>
  <c r="CG964" i="1" a="1"/>
  <c r="CG964" i="1" s="1"/>
  <c r="CF964" i="1"/>
  <c r="CF799" i="1"/>
  <c r="CG799" i="1" a="1"/>
  <c r="CG799" i="1" s="1"/>
  <c r="CF400" i="1"/>
  <c r="CG400" i="1" a="1"/>
  <c r="CG400" i="1" s="1"/>
  <c r="CF1069" i="1"/>
  <c r="CG1069" i="1" a="1"/>
  <c r="CG1069" i="1" s="1"/>
  <c r="CG1004" i="1" a="1"/>
  <c r="CG1004" i="1" s="1"/>
  <c r="CF1004" i="1"/>
  <c r="CG938" i="1" a="1"/>
  <c r="CG938" i="1" s="1"/>
  <c r="CF938" i="1"/>
  <c r="CF859" i="1"/>
  <c r="CG859" i="1" a="1"/>
  <c r="CG859" i="1" s="1"/>
  <c r="CG750" i="1" a="1"/>
  <c r="CG750" i="1" s="1"/>
  <c r="CF750" i="1"/>
  <c r="CF568" i="1"/>
  <c r="CG568" i="1" a="1"/>
  <c r="CG568" i="1" s="1"/>
  <c r="CF237" i="1"/>
  <c r="CG237" i="1" a="1"/>
  <c r="CG237" i="1" s="1"/>
  <c r="CF1180" i="1"/>
  <c r="CG1180" i="1" a="1"/>
  <c r="CG1180" i="1" s="1"/>
  <c r="CF1109" i="1"/>
  <c r="CG1109" i="1" a="1"/>
  <c r="CG1109" i="1" s="1"/>
  <c r="CG1040" i="1" a="1"/>
  <c r="CG1040" i="1" s="1"/>
  <c r="CF1040" i="1"/>
  <c r="CF977" i="1"/>
  <c r="CG977" i="1" a="1"/>
  <c r="CG977" i="1" s="1"/>
  <c r="CG909" i="1" a="1"/>
  <c r="CG909" i="1" s="1"/>
  <c r="CF909" i="1"/>
  <c r="CF805" i="1"/>
  <c r="CG805" i="1" a="1"/>
  <c r="CG805" i="1" s="1"/>
  <c r="CF645" i="1"/>
  <c r="CG645" i="1" a="1"/>
  <c r="CG645" i="1" s="1"/>
  <c r="CF488" i="1"/>
  <c r="CG488" i="1" a="1"/>
  <c r="CG488" i="1" s="1"/>
  <c r="CG401" i="1" a="1"/>
  <c r="CG401" i="1" s="1"/>
  <c r="CF401" i="1"/>
  <c r="CG1188" i="1" a="1"/>
  <c r="CG1188" i="1" s="1"/>
  <c r="CF1188" i="1"/>
  <c r="CF1101" i="1"/>
  <c r="CG1101" i="1" a="1"/>
  <c r="CG1101" i="1" s="1"/>
  <c r="CF997" i="1"/>
  <c r="CG997" i="1" a="1"/>
  <c r="CG997" i="1" s="1"/>
  <c r="CG835" i="1" a="1"/>
  <c r="CG835" i="1" s="1"/>
  <c r="CF835" i="1"/>
  <c r="CF592" i="1"/>
  <c r="CG592" i="1" a="1"/>
  <c r="CG592" i="1" s="1"/>
  <c r="CG1080" i="1" a="1"/>
  <c r="CG1080" i="1" s="1"/>
  <c r="CF1080" i="1"/>
  <c r="CF1015" i="1"/>
  <c r="CG1015" i="1" a="1"/>
  <c r="CG1015" i="1" s="1"/>
  <c r="CG952" i="1" a="1"/>
  <c r="CG952" i="1" s="1"/>
  <c r="CF952" i="1"/>
  <c r="CF873" i="1"/>
  <c r="CG873" i="1" a="1"/>
  <c r="CG873" i="1" s="1"/>
  <c r="CG776" i="1" a="1"/>
  <c r="CG776" i="1" s="1"/>
  <c r="CF776" i="1"/>
  <c r="CG605" i="1" a="1"/>
  <c r="CG605" i="1" s="1"/>
  <c r="CF605" i="1"/>
  <c r="CG310" i="1" a="1"/>
  <c r="CG310" i="1" s="1"/>
  <c r="CF310" i="1"/>
  <c r="CF1191" i="1"/>
  <c r="CG1191" i="1" a="1"/>
  <c r="CG1191" i="1" s="1"/>
  <c r="CG1123" i="1" a="1"/>
  <c r="CG1123" i="1" s="1"/>
  <c r="CF1123" i="1"/>
  <c r="CG1052" i="1" a="1"/>
  <c r="CG1052" i="1" s="1"/>
  <c r="CF1052" i="1"/>
  <c r="CG988" i="1" a="1"/>
  <c r="CG988" i="1" s="1"/>
  <c r="CF988" i="1"/>
  <c r="CF925" i="1"/>
  <c r="CG925" i="1" a="1"/>
  <c r="CG925" i="1" s="1"/>
  <c r="CF833" i="1"/>
  <c r="CG833" i="1" a="1"/>
  <c r="CG833" i="1" s="1"/>
  <c r="CG669" i="1" a="1"/>
  <c r="CG669" i="1" s="1"/>
  <c r="CF669" i="1"/>
  <c r="CG521" i="1" a="1"/>
  <c r="CG521" i="1" s="1"/>
  <c r="CF521" i="1"/>
  <c r="CF881" i="1"/>
  <c r="CG881" i="1" a="1"/>
  <c r="CG881" i="1" s="1"/>
  <c r="CG1066" i="1" a="1"/>
  <c r="CG1066" i="1" s="1"/>
  <c r="CF1066" i="1"/>
  <c r="CG946" i="1" a="1"/>
  <c r="CG946" i="1" s="1"/>
  <c r="CF946" i="1"/>
  <c r="CF755" i="1"/>
  <c r="CG755" i="1" a="1"/>
  <c r="CG755" i="1" s="1"/>
  <c r="CG337" i="1" a="1"/>
  <c r="CG337" i="1" s="1"/>
  <c r="CF337" i="1"/>
  <c r="CG1061" i="1" a="1"/>
  <c r="CG1061" i="1" s="1"/>
  <c r="CF1061" i="1"/>
  <c r="CF996" i="1"/>
  <c r="CG996" i="1" a="1"/>
  <c r="CG996" i="1" s="1"/>
  <c r="CF930" i="1"/>
  <c r="CG930" i="1" a="1"/>
  <c r="CG930" i="1" s="1"/>
  <c r="CF849" i="1"/>
  <c r="CG849" i="1" a="1"/>
  <c r="CG849" i="1" s="1"/>
  <c r="CF729" i="1"/>
  <c r="CG729" i="1" a="1"/>
  <c r="CG729" i="1" s="1"/>
  <c r="CF544" i="1"/>
  <c r="CG544" i="1" a="1"/>
  <c r="CG544" i="1" s="1"/>
  <c r="CF112" i="1"/>
  <c r="CG112" i="1" a="1"/>
  <c r="CG112" i="1" s="1"/>
  <c r="CG1173" i="1" a="1"/>
  <c r="CG1173" i="1" s="1"/>
  <c r="CF1173" i="1"/>
  <c r="CF1099" i="1"/>
  <c r="CG1099" i="1" a="1"/>
  <c r="CG1099" i="1" s="1"/>
  <c r="CG1032" i="1" a="1"/>
  <c r="CG1032" i="1" s="1"/>
  <c r="CF1032" i="1"/>
  <c r="CG970" i="1" a="1"/>
  <c r="CG970" i="1" s="1"/>
  <c r="CF970" i="1"/>
  <c r="CG899" i="1" a="1"/>
  <c r="CG899" i="1" s="1"/>
  <c r="CF899" i="1"/>
  <c r="CF785" i="1"/>
  <c r="CG785" i="1" a="1"/>
  <c r="CG785" i="1" s="1"/>
  <c r="CG628" i="1" a="1"/>
  <c r="CG628" i="1" s="1"/>
  <c r="CF628" i="1"/>
  <c r="CG461" i="1" a="1"/>
  <c r="CG461" i="1" s="1"/>
  <c r="CF461" i="1"/>
  <c r="CG1139" i="1" a="1"/>
  <c r="CG1139" i="1" s="1"/>
  <c r="CF1139" i="1"/>
  <c r="CG1038" i="1" a="1"/>
  <c r="CG1038" i="1" s="1"/>
  <c r="CF1038" i="1"/>
  <c r="CG897" i="1" a="1"/>
  <c r="CG897" i="1" s="1"/>
  <c r="CF897" i="1"/>
  <c r="CG696" i="1" a="1"/>
  <c r="CG696" i="1" s="1"/>
  <c r="CF696" i="1"/>
  <c r="CF1100" i="1"/>
  <c r="CG1100" i="1" a="1"/>
  <c r="CG1100" i="1" s="1"/>
  <c r="CF1041" i="1"/>
  <c r="CG1041" i="1" a="1"/>
  <c r="CG1041" i="1" s="1"/>
  <c r="CG978" i="1" a="1"/>
  <c r="CG978" i="1" s="1"/>
  <c r="CF978" i="1"/>
  <c r="CF905" i="1"/>
  <c r="CG905" i="1" a="1"/>
  <c r="CG905" i="1" s="1"/>
  <c r="CF816" i="1"/>
  <c r="CG816" i="1" a="1"/>
  <c r="CG816" i="1" s="1"/>
  <c r="CF675" i="1"/>
  <c r="CG675" i="1" a="1"/>
  <c r="CG675" i="1" s="1"/>
  <c r="CF489" i="1"/>
  <c r="CG489" i="1" a="1"/>
  <c r="CG489" i="1" s="1"/>
  <c r="CG1218" i="1" a="1"/>
  <c r="CG1218" i="1" s="1"/>
  <c r="CF1218" i="1"/>
  <c r="CG1154" i="1" a="1"/>
  <c r="CG1154" i="1" s="1"/>
  <c r="CF1154" i="1"/>
  <c r="CF1076" i="1"/>
  <c r="CG1076" i="1" a="1"/>
  <c r="CG1076" i="1" s="1"/>
  <c r="CF1014" i="1"/>
  <c r="CG1014" i="1" a="1"/>
  <c r="CG1014" i="1" s="1"/>
  <c r="CG947" i="1" a="1"/>
  <c r="CG947" i="1" s="1"/>
  <c r="CF947" i="1"/>
  <c r="CG871" i="1" a="1"/>
  <c r="CG871" i="1" s="1"/>
  <c r="CF871" i="1"/>
  <c r="CG731" i="1" a="1"/>
  <c r="CG731" i="1" s="1"/>
  <c r="CF731" i="1"/>
  <c r="CG586" i="1" a="1"/>
  <c r="CG586" i="1" s="1"/>
  <c r="CF586" i="1"/>
  <c r="CG236" i="1" a="1"/>
  <c r="CG236" i="1" s="1"/>
  <c r="CF236" i="1"/>
  <c r="CF330" i="1"/>
  <c r="CG330" i="1" a="1"/>
  <c r="CG330" i="1" s="1"/>
  <c r="CG877" i="1" a="1"/>
  <c r="CG877" i="1" s="1"/>
  <c r="CF877" i="1"/>
  <c r="CG822" i="1" a="1"/>
  <c r="CG822" i="1" s="1"/>
  <c r="CF822" i="1"/>
  <c r="CG767" i="1" a="1"/>
  <c r="CG767" i="1" s="1"/>
  <c r="CF767" i="1"/>
  <c r="CG706" i="1" a="1"/>
  <c r="CG706" i="1" s="1"/>
  <c r="CF706" i="1"/>
  <c r="CG620" i="1" a="1"/>
  <c r="CG620" i="1" s="1"/>
  <c r="CF620" i="1"/>
  <c r="CF518" i="1"/>
  <c r="CG518" i="1" a="1"/>
  <c r="CG518" i="1" s="1"/>
  <c r="CF353" i="1"/>
  <c r="CG353" i="1" a="1"/>
  <c r="CG353" i="1" s="1"/>
  <c r="CG797" i="1" a="1"/>
  <c r="CG797" i="1" s="1"/>
  <c r="CF797" i="1"/>
  <c r="CF720" i="1"/>
  <c r="CG720" i="1" a="1"/>
  <c r="CG720" i="1" s="1"/>
  <c r="CF630" i="1"/>
  <c r="CG630" i="1" a="1"/>
  <c r="CG630" i="1" s="1"/>
  <c r="CF528" i="1"/>
  <c r="CG528" i="1" a="1"/>
  <c r="CG528" i="1" s="1"/>
  <c r="CF377" i="1"/>
  <c r="CG377" i="1" a="1"/>
  <c r="CG377" i="1" s="1"/>
  <c r="CF580" i="1"/>
  <c r="CG580" i="1" a="1"/>
  <c r="CG580" i="1" s="1"/>
  <c r="CF513" i="1"/>
  <c r="CG513" i="1" a="1"/>
  <c r="CG513" i="1" s="1"/>
  <c r="CF444" i="1"/>
  <c r="CG444" i="1" a="1"/>
  <c r="CG444" i="1" s="1"/>
  <c r="CG349" i="1" a="1"/>
  <c r="CG349" i="1" s="1"/>
  <c r="CF349" i="1"/>
  <c r="CF229" i="1"/>
  <c r="CG229" i="1" a="1"/>
  <c r="CG229" i="1" s="1"/>
  <c r="CG726" i="1" a="1"/>
  <c r="CG726" i="1" s="1"/>
  <c r="CF726" i="1"/>
  <c r="CG655" i="1" a="1"/>
  <c r="CG655" i="1" s="1"/>
  <c r="CF655" i="1"/>
  <c r="CG591" i="1" a="1"/>
  <c r="CG591" i="1" s="1"/>
  <c r="CF591" i="1"/>
  <c r="CF418" i="1"/>
  <c r="CG418" i="1" a="1"/>
  <c r="CG418" i="1" s="1"/>
  <c r="CF887" i="1"/>
  <c r="CG887" i="1" a="1"/>
  <c r="CG887" i="1" s="1"/>
  <c r="CF832" i="1"/>
  <c r="CG832" i="1" a="1"/>
  <c r="CG832" i="1" s="1"/>
  <c r="CF778" i="1"/>
  <c r="CG778" i="1" a="1"/>
  <c r="CG778" i="1" s="1"/>
  <c r="CF718" i="1"/>
  <c r="CG718" i="1" a="1"/>
  <c r="CG718" i="1" s="1"/>
  <c r="CG638" i="1" a="1"/>
  <c r="CG638" i="1" s="1"/>
  <c r="CF638" i="1"/>
  <c r="CG540" i="1" a="1"/>
  <c r="CG540" i="1" s="1"/>
  <c r="CF540" i="1"/>
  <c r="CG379" i="1" a="1"/>
  <c r="CG379" i="1" s="1"/>
  <c r="CF379" i="1"/>
  <c r="CF811" i="1"/>
  <c r="CG811" i="1" a="1"/>
  <c r="CG811" i="1" s="1"/>
  <c r="CF738" i="1"/>
  <c r="CG738" i="1" a="1"/>
  <c r="CG738" i="1" s="1"/>
  <c r="CF649" i="1"/>
  <c r="CG649" i="1" a="1"/>
  <c r="CG649" i="1" s="1"/>
  <c r="CF547" i="1"/>
  <c r="CG547" i="1" a="1"/>
  <c r="CG547" i="1" s="1"/>
  <c r="CG395" i="1" a="1"/>
  <c r="CG395" i="1" s="1"/>
  <c r="CF395" i="1"/>
  <c r="CF100" i="1"/>
  <c r="CG100" i="1" a="1"/>
  <c r="CG100" i="1" s="1"/>
  <c r="CF524" i="1"/>
  <c r="CG524" i="1" a="1"/>
  <c r="CG524" i="1" s="1"/>
  <c r="CF459" i="1"/>
  <c r="CG459" i="1" a="1"/>
  <c r="CG459" i="1" s="1"/>
  <c r="CF376" i="1"/>
  <c r="CG376" i="1" a="1"/>
  <c r="CG376" i="1" s="1"/>
  <c r="CG256" i="1" a="1"/>
  <c r="CG256" i="1" s="1"/>
  <c r="CF256" i="1"/>
  <c r="CG741" i="1" a="1"/>
  <c r="CG741" i="1" s="1"/>
  <c r="CF741" i="1"/>
  <c r="CG667" i="1" a="1"/>
  <c r="CG667" i="1" s="1"/>
  <c r="CF667" i="1"/>
  <c r="CG603" i="1" a="1"/>
  <c r="CG603" i="1" s="1"/>
  <c r="CF603" i="1"/>
  <c r="CF541" i="1"/>
  <c r="CG541" i="1" a="1"/>
  <c r="CG541" i="1" s="1"/>
  <c r="CF815" i="1"/>
  <c r="CG815" i="1" a="1"/>
  <c r="CG815" i="1" s="1"/>
  <c r="CG761" i="1" a="1"/>
  <c r="CG761" i="1" s="1"/>
  <c r="CF761" i="1"/>
  <c r="CF700" i="1"/>
  <c r="CG700" i="1" a="1"/>
  <c r="CG700" i="1" s="1"/>
  <c r="CG608" i="1" a="1"/>
  <c r="CG608" i="1" s="1"/>
  <c r="CF608" i="1"/>
  <c r="CF496" i="1"/>
  <c r="CG496" i="1" a="1"/>
  <c r="CG496" i="1" s="1"/>
  <c r="CG309" i="1" a="1"/>
  <c r="CG309" i="1" s="1"/>
  <c r="CF309" i="1"/>
  <c r="CF787" i="1"/>
  <c r="CG787" i="1" a="1"/>
  <c r="CG787" i="1" s="1"/>
  <c r="CF708" i="1"/>
  <c r="CG708" i="1" a="1"/>
  <c r="CG708" i="1" s="1"/>
  <c r="CG618" i="1" a="1"/>
  <c r="CG618" i="1" s="1"/>
  <c r="CF618" i="1"/>
  <c r="CG517" i="1" a="1"/>
  <c r="CG517" i="1" s="1"/>
  <c r="CF517" i="1"/>
  <c r="CG352" i="1" a="1"/>
  <c r="CG352" i="1" s="1"/>
  <c r="CF352" i="1"/>
  <c r="CG570" i="1" a="1"/>
  <c r="CG570" i="1" s="1"/>
  <c r="CF570" i="1"/>
  <c r="CF505" i="1"/>
  <c r="CG505" i="1" a="1"/>
  <c r="CG505" i="1" s="1"/>
  <c r="CF434" i="1"/>
  <c r="CG434" i="1" a="1"/>
  <c r="CG434" i="1" s="1"/>
  <c r="CF335" i="1"/>
  <c r="CG335" i="1" a="1"/>
  <c r="CG335" i="1" s="1"/>
  <c r="CG210" i="1" a="1"/>
  <c r="CG210" i="1" s="1"/>
  <c r="CF210" i="1"/>
  <c r="CF719" i="1"/>
  <c r="CG719" i="1" a="1"/>
  <c r="CG719" i="1" s="1"/>
  <c r="CF647" i="1"/>
  <c r="CG647" i="1" a="1"/>
  <c r="CG647" i="1" s="1"/>
  <c r="CF583" i="1"/>
  <c r="CG583" i="1" a="1"/>
  <c r="CG583" i="1" s="1"/>
  <c r="CG852" i="1" a="1"/>
  <c r="CG852" i="1" s="1"/>
  <c r="CF852" i="1"/>
  <c r="CG798" i="1" a="1"/>
  <c r="CG798" i="1" s="1"/>
  <c r="CF798" i="1"/>
  <c r="CG742" i="1" a="1"/>
  <c r="CG742" i="1" s="1"/>
  <c r="CF742" i="1"/>
  <c r="CG672" i="1" a="1"/>
  <c r="CG672" i="1" s="1"/>
  <c r="CF672" i="1"/>
  <c r="CF574" i="1"/>
  <c r="CG574" i="1" a="1"/>
  <c r="CG574" i="1" s="1"/>
  <c r="CF452" i="1"/>
  <c r="CG452" i="1" a="1"/>
  <c r="CG452" i="1" s="1"/>
  <c r="CF143" i="1"/>
  <c r="CG143" i="1" a="1"/>
  <c r="CG143" i="1" s="1"/>
  <c r="CF764" i="1"/>
  <c r="CG764" i="1" a="1"/>
  <c r="CG764" i="1" s="1"/>
  <c r="CG685" i="1" a="1"/>
  <c r="CG685" i="1" s="1"/>
  <c r="CF685" i="1"/>
  <c r="CG589" i="1" a="1"/>
  <c r="CG589" i="1" s="1"/>
  <c r="CF589" i="1"/>
  <c r="CG451" i="1" a="1"/>
  <c r="CG451" i="1" s="1"/>
  <c r="CF451" i="1"/>
  <c r="CG297" i="1" a="1"/>
  <c r="CG297" i="1" s="1"/>
  <c r="CF297" i="1"/>
  <c r="CG550" i="1" a="1"/>
  <c r="CG550" i="1" s="1"/>
  <c r="CF550" i="1"/>
  <c r="CG483" i="1" a="1"/>
  <c r="CG483" i="1" s="1"/>
  <c r="CF483" i="1"/>
  <c r="CG407" i="1" a="1"/>
  <c r="CG407" i="1" s="1"/>
  <c r="CF407" i="1"/>
  <c r="CF294" i="1"/>
  <c r="CG294" i="1" a="1"/>
  <c r="CG294" i="1" s="1"/>
  <c r="CF150" i="1"/>
  <c r="CG150" i="1" a="1"/>
  <c r="CG150" i="1" s="1"/>
  <c r="CG690" i="1" a="1"/>
  <c r="CG690" i="1" s="1"/>
  <c r="CF690" i="1"/>
  <c r="CF627" i="1"/>
  <c r="CG627" i="1" a="1"/>
  <c r="CG627" i="1" s="1"/>
  <c r="CF565" i="1"/>
  <c r="CG565" i="1" a="1"/>
  <c r="CG565" i="1" s="1"/>
  <c r="CF504" i="1"/>
  <c r="CG504" i="1" a="1"/>
  <c r="CG504" i="1" s="1"/>
  <c r="CF424" i="1"/>
  <c r="CG424" i="1" a="1"/>
  <c r="CG424" i="1" s="1"/>
  <c r="CG326" i="1" a="1"/>
  <c r="CG326" i="1" s="1"/>
  <c r="CF326" i="1"/>
  <c r="CF139" i="1"/>
  <c r="CG139" i="1" a="1"/>
  <c r="CG139" i="1" s="1"/>
  <c r="CG325" i="1" a="1"/>
  <c r="CG325" i="1" s="1"/>
  <c r="CF325" i="1"/>
  <c r="CF253" i="1"/>
  <c r="CG253" i="1" a="1"/>
  <c r="CG253" i="1" s="1"/>
  <c r="CG126" i="1" a="1"/>
  <c r="CG126" i="1" s="1"/>
  <c r="CF126" i="1"/>
  <c r="CF456" i="1"/>
  <c r="CG456" i="1" a="1"/>
  <c r="CG456" i="1" s="1"/>
  <c r="CG386" i="1" a="1"/>
  <c r="CG386" i="1" s="1"/>
  <c r="CF386" i="1"/>
  <c r="CG322" i="1" a="1"/>
  <c r="CG322" i="1" s="1"/>
  <c r="CF322" i="1"/>
  <c r="CG252" i="1" a="1"/>
  <c r="CG252" i="1" s="1"/>
  <c r="CF252" i="1"/>
  <c r="CG125" i="1" a="1"/>
  <c r="CG125" i="1" s="1"/>
  <c r="CF125" i="1"/>
  <c r="CG208" i="1" a="1"/>
  <c r="CG208" i="1" s="1"/>
  <c r="CF208" i="1"/>
  <c r="CG144" i="1" a="1"/>
  <c r="CG144" i="1" s="1"/>
  <c r="CF144" i="1"/>
  <c r="CG74" i="1" a="1"/>
  <c r="CG74" i="1" s="1"/>
  <c r="CF74" i="1"/>
  <c r="CG238" i="1" a="1"/>
  <c r="CG238" i="1" s="1"/>
  <c r="CF238" i="1"/>
  <c r="CF170" i="1"/>
  <c r="CG170" i="1" a="1"/>
  <c r="CG170" i="1" s="1"/>
  <c r="CG106" i="1" a="1"/>
  <c r="CG106" i="1" s="1"/>
  <c r="CF106" i="1"/>
  <c r="CG22" i="1" a="1"/>
  <c r="CG22" i="1" s="1"/>
  <c r="CF22" i="1"/>
  <c r="CG1198" i="1" a="1"/>
  <c r="CG1198" i="1" s="1"/>
  <c r="CF1198" i="1"/>
  <c r="CF1192" i="1"/>
  <c r="CG1192" i="1" a="1"/>
  <c r="CG1192" i="1" s="1"/>
  <c r="CF501" i="1"/>
  <c r="CG501" i="1" a="1"/>
  <c r="CG501" i="1" s="1"/>
  <c r="CG419" i="1" a="1"/>
  <c r="CG419" i="1" s="1"/>
  <c r="CF419" i="1"/>
  <c r="CF319" i="1"/>
  <c r="CG319" i="1" a="1"/>
  <c r="CG319" i="1" s="1"/>
  <c r="CG129" i="1" a="1"/>
  <c r="CG129" i="1" s="1"/>
  <c r="CF129" i="1"/>
  <c r="CF318" i="1"/>
  <c r="CG318" i="1" a="1"/>
  <c r="CG318" i="1" s="1"/>
  <c r="CF247" i="1"/>
  <c r="CG247" i="1" a="1"/>
  <c r="CG247" i="1" s="1"/>
  <c r="CG119" i="1" a="1"/>
  <c r="CG119" i="1" s="1"/>
  <c r="CF119" i="1"/>
  <c r="CG454" i="1" a="1"/>
  <c r="CG454" i="1" s="1"/>
  <c r="CF454" i="1"/>
  <c r="CF383" i="1"/>
  <c r="CG383" i="1" a="1"/>
  <c r="CG383" i="1" s="1"/>
  <c r="CG321" i="1" a="1"/>
  <c r="CG321" i="1" s="1"/>
  <c r="CF321" i="1"/>
  <c r="CG245" i="1" a="1"/>
  <c r="CG245" i="1" s="1"/>
  <c r="CF245" i="1"/>
  <c r="CG118" i="1" a="1"/>
  <c r="CG118" i="1" s="1"/>
  <c r="CF118" i="1"/>
  <c r="CF204" i="1"/>
  <c r="CG204" i="1" a="1"/>
  <c r="CG204" i="1" s="1"/>
  <c r="CG138" i="1" a="1"/>
  <c r="CG138" i="1" s="1"/>
  <c r="CF138" i="1"/>
  <c r="CG71" i="1" a="1"/>
  <c r="CG71" i="1" s="1"/>
  <c r="CF71" i="1"/>
  <c r="CG234" i="1" a="1"/>
  <c r="CG234" i="1" s="1"/>
  <c r="CF234" i="1"/>
  <c r="CG167" i="1" a="1"/>
  <c r="CG167" i="1" s="1"/>
  <c r="CF167" i="1"/>
  <c r="CF102" i="1"/>
  <c r="CG102" i="1" a="1"/>
  <c r="CG102" i="1" s="1"/>
  <c r="CG387" i="1" a="1"/>
  <c r="CG387" i="1" s="1"/>
  <c r="CF387" i="1"/>
  <c r="CF1215" i="1"/>
  <c r="CG1215" i="1" a="1"/>
  <c r="CG1215" i="1" s="1"/>
  <c r="CF1117" i="1"/>
  <c r="CG1117" i="1" a="1"/>
  <c r="CG1117" i="1" s="1"/>
  <c r="CG512" i="1" a="1"/>
  <c r="CG512" i="1" s="1"/>
  <c r="CF512" i="1"/>
  <c r="CG433" i="1" a="1"/>
  <c r="CG433" i="1" s="1"/>
  <c r="CF433" i="1"/>
  <c r="CG348" i="1" a="1"/>
  <c r="CG348" i="1" s="1"/>
  <c r="CF348" i="1"/>
  <c r="CF160" i="1"/>
  <c r="CG160" i="1" a="1"/>
  <c r="CG160" i="1" s="1"/>
  <c r="CG333" i="1" a="1"/>
  <c r="CG333" i="1" s="1"/>
  <c r="CF333" i="1"/>
  <c r="CF265" i="1"/>
  <c r="CG265" i="1" a="1"/>
  <c r="CG265" i="1" s="1"/>
  <c r="CF146" i="1"/>
  <c r="CG146" i="1" a="1"/>
  <c r="CG146" i="1" s="1"/>
  <c r="CG464" i="1" a="1"/>
  <c r="CG464" i="1" s="1"/>
  <c r="CF464" i="1"/>
  <c r="CG399" i="1" a="1"/>
  <c r="CG399" i="1" s="1"/>
  <c r="CF399" i="1"/>
  <c r="CF328" i="1"/>
  <c r="CG328" i="1" a="1"/>
  <c r="CG328" i="1" s="1"/>
  <c r="CG264" i="1" a="1"/>
  <c r="CG264" i="1" s="1"/>
  <c r="CF264" i="1"/>
  <c r="CF145" i="1"/>
  <c r="CG145" i="1" a="1"/>
  <c r="CG145" i="1" s="1"/>
  <c r="CG215" i="1" a="1"/>
  <c r="CG215" i="1" s="1"/>
  <c r="CF215" i="1"/>
  <c r="CG152" i="1" a="1"/>
  <c r="CG152" i="1" s="1"/>
  <c r="CF152" i="1"/>
  <c r="CF85" i="1"/>
  <c r="CG85" i="1" a="1"/>
  <c r="CG85" i="1" s="1"/>
  <c r="CG246" i="1" a="1"/>
  <c r="CG246" i="1" s="1"/>
  <c r="CF246" i="1"/>
  <c r="CF181" i="1"/>
  <c r="CG181" i="1" a="1"/>
  <c r="CG181" i="1" s="1"/>
  <c r="CF113" i="1"/>
  <c r="CG113" i="1" a="1"/>
  <c r="CG113" i="1" s="1"/>
  <c r="CF54" i="1"/>
  <c r="CG54" i="1" a="1"/>
  <c r="CG54" i="1" s="1"/>
  <c r="CG1153" i="1" a="1"/>
  <c r="CG1153" i="1" s="1"/>
  <c r="CF1153" i="1"/>
  <c r="CG969" i="1" a="1"/>
  <c r="CG969" i="1" s="1"/>
  <c r="CF969" i="1"/>
  <c r="CF523" i="1"/>
  <c r="CG523" i="1" a="1"/>
  <c r="CG523" i="1" s="1"/>
  <c r="CF453" i="1"/>
  <c r="CG453" i="1" a="1"/>
  <c r="CG453" i="1" s="1"/>
  <c r="CG364" i="1" a="1"/>
  <c r="CG364" i="1" s="1"/>
  <c r="CF364" i="1"/>
  <c r="CG209" i="1" a="1"/>
  <c r="CG209" i="1" s="1"/>
  <c r="CF209" i="1"/>
  <c r="CF340" i="1"/>
  <c r="CG340" i="1" a="1"/>
  <c r="CG340" i="1" s="1"/>
  <c r="CF279" i="1"/>
  <c r="CG279" i="1" a="1"/>
  <c r="CG279" i="1" s="1"/>
  <c r="CF173" i="1"/>
  <c r="CG173" i="1" a="1"/>
  <c r="CG173" i="1" s="1"/>
  <c r="CG475" i="1" a="1"/>
  <c r="CG475" i="1" s="1"/>
  <c r="CF475" i="1"/>
  <c r="CF415" i="1"/>
  <c r="CG415" i="1" a="1"/>
  <c r="CG415" i="1" s="1"/>
  <c r="CG343" i="1" a="1"/>
  <c r="CG343" i="1" s="1"/>
  <c r="CF343" i="1"/>
  <c r="CG278" i="1" a="1"/>
  <c r="CG278" i="1" s="1"/>
  <c r="CF278" i="1"/>
  <c r="CG164" i="1" a="1"/>
  <c r="CG164" i="1" s="1"/>
  <c r="CF164" i="1"/>
  <c r="CG227" i="1" a="1"/>
  <c r="CG227" i="1" s="1"/>
  <c r="CF227" i="1"/>
  <c r="CF163" i="1"/>
  <c r="CG163" i="1" a="1"/>
  <c r="CG163" i="1" s="1"/>
  <c r="CF99" i="1"/>
  <c r="CG99" i="1" a="1"/>
  <c r="CG99" i="1" s="1"/>
  <c r="CF258" i="1"/>
  <c r="CG258" i="1" a="1"/>
  <c r="CG258" i="1" s="1"/>
  <c r="CF193" i="1"/>
  <c r="CG193" i="1" a="1"/>
  <c r="CG193" i="1" s="1"/>
  <c r="CG127" i="1" a="1"/>
  <c r="CG127" i="1" s="1"/>
  <c r="CF127" i="1"/>
  <c r="CF69" i="1"/>
  <c r="CG69" i="1" a="1"/>
  <c r="CG69" i="1" s="1"/>
  <c r="CG1071" i="1" a="1"/>
  <c r="CG1071" i="1" s="1"/>
  <c r="CF1071" i="1"/>
  <c r="CG1208" i="1" a="1"/>
  <c r="CG1208" i="1" s="1"/>
  <c r="CF1208" i="1"/>
  <c r="CG1081" i="1" a="1"/>
  <c r="CG1081" i="1" s="1"/>
  <c r="CF1081" i="1"/>
  <c r="CG763" i="1" a="1"/>
  <c r="CG763" i="1" s="1"/>
  <c r="CF763" i="1"/>
  <c r="CG1136" i="1" a="1"/>
  <c r="CG1136" i="1" s="1"/>
  <c r="CF1136" i="1"/>
  <c r="CG851" i="1" a="1"/>
  <c r="CG851" i="1" s="1"/>
  <c r="CF851" i="1"/>
  <c r="CG1200" i="1" a="1"/>
  <c r="CG1200" i="1" s="1"/>
  <c r="CF1200" i="1"/>
  <c r="CG1125" i="1" a="1"/>
  <c r="CG1125" i="1" s="1"/>
  <c r="CF1125" i="1"/>
  <c r="CG1020" i="1" a="1"/>
  <c r="CG1020" i="1" s="1"/>
  <c r="CF1020" i="1"/>
  <c r="CF884" i="1"/>
  <c r="CG884" i="1" a="1"/>
  <c r="CG884" i="1" s="1"/>
  <c r="CF684" i="1"/>
  <c r="CG684" i="1" a="1"/>
  <c r="CG684" i="1" s="1"/>
  <c r="CG1182" i="1" a="1"/>
  <c r="CG1182" i="1" s="1"/>
  <c r="CF1182" i="1"/>
  <c r="CF39" i="1"/>
  <c r="CG39" i="1" a="1"/>
  <c r="CG39" i="1" s="1"/>
  <c r="CF19" i="1"/>
  <c r="CG19" i="1" a="1"/>
  <c r="CG19" i="1" s="1"/>
  <c r="CG1138" i="1" a="1"/>
  <c r="CG1138" i="1" s="1"/>
  <c r="CF1138" i="1"/>
  <c r="CG1207" i="1" a="1"/>
  <c r="CG1207" i="1" s="1"/>
  <c r="CF1207" i="1"/>
  <c r="CG961" i="1" a="1"/>
  <c r="CG961" i="1" s="1"/>
  <c r="CF961" i="1"/>
  <c r="CF281" i="1"/>
  <c r="CG281" i="1" a="1"/>
  <c r="CG281" i="1" s="1"/>
  <c r="CF1089" i="1"/>
  <c r="CG1089" i="1" a="1"/>
  <c r="CG1089" i="1" s="1"/>
  <c r="CG664" i="1" a="1"/>
  <c r="CG664" i="1" s="1"/>
  <c r="CF664" i="1"/>
  <c r="CF1174" i="1"/>
  <c r="CG1174" i="1" a="1"/>
  <c r="CG1174" i="1" s="1"/>
  <c r="CG1094" i="1" a="1"/>
  <c r="CG1094" i="1" s="1"/>
  <c r="CF1094" i="1"/>
  <c r="CF976" i="1"/>
  <c r="CG976" i="1" a="1"/>
  <c r="CG976" i="1" s="1"/>
  <c r="CF837" i="1"/>
  <c r="CG837" i="1" a="1"/>
  <c r="CG837" i="1" s="1"/>
  <c r="CF526" i="1"/>
  <c r="CG526" i="1" a="1"/>
  <c r="CG526" i="1" s="1"/>
  <c r="CG24" i="1" a="1"/>
  <c r="CG24" i="1" s="1"/>
  <c r="CF24" i="1"/>
  <c r="CG31" i="1" a="1"/>
  <c r="CG31" i="1" s="1"/>
  <c r="CF31" i="1"/>
  <c r="CF385" i="1"/>
  <c r="CG385" i="1" a="1"/>
  <c r="CG385" i="1" s="1"/>
  <c r="CG1152" i="1" a="1"/>
  <c r="CG1152" i="1" s="1"/>
  <c r="CF1152" i="1"/>
  <c r="CG950" i="1" a="1"/>
  <c r="CG950" i="1" s="1"/>
  <c r="CF950" i="1"/>
  <c r="CG132" i="1" a="1"/>
  <c r="CG132" i="1" s="1"/>
  <c r="CF132" i="1"/>
  <c r="CG994" i="1" a="1"/>
  <c r="CG994" i="1" s="1"/>
  <c r="CF994" i="1"/>
  <c r="CF633" i="1"/>
  <c r="CG633" i="1" a="1"/>
  <c r="CG633" i="1" s="1"/>
  <c r="CG1172" i="1" a="1"/>
  <c r="CG1172" i="1" s="1"/>
  <c r="CF1172" i="1"/>
  <c r="CF1086" i="1"/>
  <c r="CG1086" i="1" a="1"/>
  <c r="CG1086" i="1" s="1"/>
  <c r="CF965" i="1"/>
  <c r="CG965" i="1" a="1"/>
  <c r="CG965" i="1" s="1"/>
  <c r="CF827" i="1"/>
  <c r="CG827" i="1" a="1"/>
  <c r="CG827" i="1" s="1"/>
  <c r="CG503" i="1" a="1"/>
  <c r="CG503" i="1" s="1"/>
  <c r="CF503" i="1"/>
  <c r="CF49" i="1"/>
  <c r="CG49" i="1" a="1"/>
  <c r="CG49" i="1" s="1"/>
  <c r="CG41" i="1" a="1"/>
  <c r="CG41" i="1" s="1"/>
  <c r="CF41" i="1"/>
  <c r="CG979" i="1" a="1"/>
  <c r="CG979" i="1" s="1"/>
  <c r="CF979" i="1"/>
  <c r="CG1058" i="1" a="1"/>
  <c r="CG1058" i="1" s="1"/>
  <c r="CF1058" i="1"/>
  <c r="CF1114" i="1"/>
  <c r="CG1114" i="1" a="1"/>
  <c r="CG1114" i="1" s="1"/>
  <c r="CF782" i="1"/>
  <c r="CG782" i="1" a="1"/>
  <c r="CG782" i="1" s="1"/>
  <c r="CG1141" i="1" a="1"/>
  <c r="CG1141" i="1" s="1"/>
  <c r="CF1141" i="1"/>
  <c r="CF878" i="1"/>
  <c r="CG878" i="1" a="1"/>
  <c r="CG878" i="1" s="1"/>
  <c r="CF1205" i="1"/>
  <c r="CG1205" i="1" a="1"/>
  <c r="CG1205" i="1" s="1"/>
  <c r="CF1126" i="1"/>
  <c r="CG1126" i="1" a="1"/>
  <c r="CG1126" i="1" s="1"/>
  <c r="CF1028" i="1"/>
  <c r="CG1028" i="1" a="1"/>
  <c r="CG1028" i="1" s="1"/>
  <c r="CF888" i="1"/>
  <c r="CG888" i="1" a="1"/>
  <c r="CG888" i="1" s="1"/>
  <c r="CF697" i="1"/>
  <c r="CG697" i="1" a="1"/>
  <c r="CG697" i="1" s="1"/>
  <c r="CG1199" i="1" a="1"/>
  <c r="CG1199" i="1" s="1"/>
  <c r="CF1199" i="1"/>
  <c r="CF1150" i="1"/>
  <c r="CG1150" i="1" a="1"/>
  <c r="CG1150" i="1" s="1"/>
  <c r="CG1054" i="1" a="1"/>
  <c r="CG1054" i="1" s="1"/>
  <c r="CF1054" i="1"/>
  <c r="CF927" i="1"/>
  <c r="CG927" i="1" a="1"/>
  <c r="CG927" i="1" s="1"/>
  <c r="CG735" i="1" a="1"/>
  <c r="CG735" i="1" s="1"/>
  <c r="CF735" i="1"/>
  <c r="CG176" i="1" a="1"/>
  <c r="CG176" i="1" s="1"/>
  <c r="CF176" i="1"/>
  <c r="CG1053" i="1" a="1"/>
  <c r="CG1053" i="1" s="1"/>
  <c r="CF1053" i="1"/>
  <c r="CF989" i="1"/>
  <c r="CG989" i="1" a="1"/>
  <c r="CG989" i="1" s="1"/>
  <c r="CF923" i="1"/>
  <c r="CG923" i="1" a="1"/>
  <c r="CG923" i="1" s="1"/>
  <c r="CG834" i="1" a="1"/>
  <c r="CG834" i="1" s="1"/>
  <c r="CF834" i="1"/>
  <c r="CF707" i="1"/>
  <c r="CG707" i="1" a="1"/>
  <c r="CG707" i="1" s="1"/>
  <c r="CG522" i="1" a="1"/>
  <c r="CG522" i="1" s="1"/>
  <c r="CF522" i="1"/>
  <c r="CG1165" i="1" a="1"/>
  <c r="CG1165" i="1" s="1"/>
  <c r="CF1165" i="1"/>
  <c r="CG1087" i="1" a="1"/>
  <c r="CG1087" i="1" s="1"/>
  <c r="CF1087" i="1"/>
  <c r="CG1025" i="1" a="1"/>
  <c r="CG1025" i="1" s="1"/>
  <c r="CF1025" i="1"/>
  <c r="CG962" i="1" a="1"/>
  <c r="CG962" i="1" s="1"/>
  <c r="CF962" i="1"/>
  <c r="CG889" i="1" a="1"/>
  <c r="CG889" i="1" s="1"/>
  <c r="CF889" i="1"/>
  <c r="CF758" i="1"/>
  <c r="CG758" i="1" a="1"/>
  <c r="CG758" i="1" s="1"/>
  <c r="CF610" i="1"/>
  <c r="CG610" i="1" a="1"/>
  <c r="CG610" i="1" s="1"/>
  <c r="CG368" i="1" a="1"/>
  <c r="CG368" i="1" s="1"/>
  <c r="CF368" i="1"/>
  <c r="CF251" i="1"/>
  <c r="CG251" i="1" a="1"/>
  <c r="CG251" i="1" s="1"/>
  <c r="CG1166" i="1" a="1"/>
  <c r="CG1166" i="1" s="1"/>
  <c r="CF1166" i="1"/>
  <c r="CG1074" i="1" a="1"/>
  <c r="CG1074" i="1" s="1"/>
  <c r="CF1074" i="1"/>
  <c r="CF953" i="1"/>
  <c r="CG953" i="1" a="1"/>
  <c r="CG953" i="1" s="1"/>
  <c r="CF789" i="1"/>
  <c r="CG789" i="1" a="1"/>
  <c r="CG789" i="1" s="1"/>
  <c r="CG372" i="1" a="1"/>
  <c r="CG372" i="1" s="1"/>
  <c r="CF372" i="1"/>
  <c r="CF1065" i="1"/>
  <c r="CG1065" i="1" a="1"/>
  <c r="CG1065" i="1" s="1"/>
  <c r="CG1000" i="1" a="1"/>
  <c r="CG1000" i="1" s="1"/>
  <c r="CF1000" i="1"/>
  <c r="CG935" i="1" a="1"/>
  <c r="CG935" i="1" s="1"/>
  <c r="CF935" i="1"/>
  <c r="CG854" i="1" a="1"/>
  <c r="CG854" i="1" s="1"/>
  <c r="CF854" i="1"/>
  <c r="CG743" i="1" a="1"/>
  <c r="CG743" i="1" s="1"/>
  <c r="CF743" i="1"/>
  <c r="CG556" i="1" a="1"/>
  <c r="CG556" i="1" s="1"/>
  <c r="CF556" i="1"/>
  <c r="CG192" i="1" a="1"/>
  <c r="CG192" i="1" s="1"/>
  <c r="CF192" i="1"/>
  <c r="CG1176" i="1" a="1"/>
  <c r="CG1176" i="1" s="1"/>
  <c r="CF1176" i="1"/>
  <c r="CF1105" i="1"/>
  <c r="CG1105" i="1" a="1"/>
  <c r="CG1105" i="1" s="1"/>
  <c r="CF1036" i="1"/>
  <c r="CG1036" i="1" a="1"/>
  <c r="CG1036" i="1" s="1"/>
  <c r="CG973" i="1" a="1"/>
  <c r="CG973" i="1" s="1"/>
  <c r="CF973" i="1"/>
  <c r="CG904" i="1" a="1"/>
  <c r="CG904" i="1" s="1"/>
  <c r="CF904" i="1"/>
  <c r="CG795" i="1" a="1"/>
  <c r="CG795" i="1" s="1"/>
  <c r="CF795" i="1"/>
  <c r="CF634" i="1"/>
  <c r="CG634" i="1" a="1"/>
  <c r="CG634" i="1" s="1"/>
  <c r="CG477" i="1" a="1"/>
  <c r="CG477" i="1" s="1"/>
  <c r="CF477" i="1"/>
  <c r="CG1144" i="1" a="1"/>
  <c r="CG1144" i="1" s="1"/>
  <c r="CF1144" i="1"/>
  <c r="CG1042" i="1" a="1"/>
  <c r="CG1042" i="1" s="1"/>
  <c r="CF1042" i="1"/>
  <c r="CG901" i="1" a="1"/>
  <c r="CG901" i="1" s="1"/>
  <c r="CF901" i="1"/>
  <c r="CF710" i="1"/>
  <c r="CG710" i="1" a="1"/>
  <c r="CG710" i="1" s="1"/>
  <c r="CG1103" i="1" a="1"/>
  <c r="CG1103" i="1" s="1"/>
  <c r="CF1103" i="1"/>
  <c r="CF1045" i="1"/>
  <c r="CG1045" i="1" a="1"/>
  <c r="CG1045" i="1" s="1"/>
  <c r="CF982" i="1"/>
  <c r="CG982" i="1" a="1"/>
  <c r="CG982" i="1" s="1"/>
  <c r="CG914" i="1" a="1"/>
  <c r="CG914" i="1" s="1"/>
  <c r="CF914" i="1"/>
  <c r="CF824" i="1"/>
  <c r="CG824" i="1" a="1"/>
  <c r="CG824" i="1" s="1"/>
  <c r="CG689" i="1" a="1"/>
  <c r="CG689" i="1" s="1"/>
  <c r="CF689" i="1"/>
  <c r="CF500" i="1"/>
  <c r="CG500" i="1" a="1"/>
  <c r="CG500" i="1" s="1"/>
  <c r="CF1158" i="1"/>
  <c r="CG1158" i="1" a="1"/>
  <c r="CG1158" i="1" s="1"/>
  <c r="CF1079" i="1"/>
  <c r="CG1079" i="1" a="1"/>
  <c r="CG1079" i="1" s="1"/>
  <c r="CF1018" i="1"/>
  <c r="CG1018" i="1" a="1"/>
  <c r="CG1018" i="1" s="1"/>
  <c r="CG951" i="1" a="1"/>
  <c r="CG951" i="1" s="1"/>
  <c r="CF951" i="1"/>
  <c r="CG880" i="1" a="1"/>
  <c r="CG880" i="1" s="1"/>
  <c r="CF880" i="1"/>
  <c r="CF740" i="1"/>
  <c r="CG740" i="1" a="1"/>
  <c r="CG740" i="1" s="1"/>
  <c r="CF597" i="1"/>
  <c r="CG597" i="1" a="1"/>
  <c r="CG597" i="1" s="1"/>
  <c r="CG267" i="1" a="1"/>
  <c r="CG267" i="1" s="1"/>
  <c r="CF267" i="1"/>
  <c r="CG1118" i="1" a="1"/>
  <c r="CG1118" i="1" s="1"/>
  <c r="CF1118" i="1"/>
  <c r="CG1008" i="1" a="1"/>
  <c r="CG1008" i="1" s="1"/>
  <c r="CF1008" i="1"/>
  <c r="CG855" i="1" a="1"/>
  <c r="CG855" i="1" s="1"/>
  <c r="CF855" i="1"/>
  <c r="CF622" i="1"/>
  <c r="CG622" i="1" a="1"/>
  <c r="CG622" i="1" s="1"/>
  <c r="CF1088" i="1"/>
  <c r="CG1088" i="1" a="1"/>
  <c r="CG1088" i="1" s="1"/>
  <c r="CG1026" i="1" a="1"/>
  <c r="CG1026" i="1" s="1"/>
  <c r="CF1026" i="1"/>
  <c r="CF959" i="1"/>
  <c r="CG959" i="1" a="1"/>
  <c r="CG959" i="1" s="1"/>
  <c r="CF882" i="1"/>
  <c r="CG882" i="1" a="1"/>
  <c r="CG882" i="1" s="1"/>
  <c r="CF786" i="1"/>
  <c r="CG786" i="1" a="1"/>
  <c r="CG786" i="1" s="1"/>
  <c r="CG629" i="1" a="1"/>
  <c r="CG629" i="1" s="1"/>
  <c r="CF629" i="1"/>
  <c r="CF369" i="1"/>
  <c r="CG369" i="1" a="1"/>
  <c r="CG369" i="1" s="1"/>
  <c r="CG1202" i="1" a="1"/>
  <c r="CG1202" i="1" s="1"/>
  <c r="CF1202" i="1"/>
  <c r="CG1133" i="1" a="1"/>
  <c r="CG1133" i="1" s="1"/>
  <c r="CF1133" i="1"/>
  <c r="CG1060" i="1" a="1"/>
  <c r="CG1060" i="1" s="1"/>
  <c r="CF1060" i="1"/>
  <c r="CF995" i="1"/>
  <c r="CG995" i="1" a="1"/>
  <c r="CG995" i="1" s="1"/>
  <c r="CF933" i="1"/>
  <c r="CG933" i="1" a="1"/>
  <c r="CG933" i="1" s="1"/>
  <c r="CF848" i="1"/>
  <c r="CG848" i="1" a="1"/>
  <c r="CG848" i="1" s="1"/>
  <c r="CG688" i="1" a="1"/>
  <c r="CG688" i="1" s="1"/>
  <c r="CF688" i="1"/>
  <c r="CG543" i="1" a="1"/>
  <c r="CG543" i="1" s="1"/>
  <c r="CF543" i="1"/>
  <c r="CF894" i="1"/>
  <c r="CG894" i="1" a="1"/>
  <c r="CG894" i="1" s="1"/>
  <c r="CF111" i="1"/>
  <c r="CG111" i="1" a="1"/>
  <c r="CG111" i="1" s="1"/>
  <c r="CF862" i="1"/>
  <c r="CG862" i="1" a="1"/>
  <c r="CG862" i="1" s="1"/>
  <c r="CF808" i="1"/>
  <c r="CG808" i="1" a="1"/>
  <c r="CG808" i="1" s="1"/>
  <c r="CF752" i="1"/>
  <c r="CG752" i="1" a="1"/>
  <c r="CG752" i="1" s="1"/>
  <c r="CG692" i="1" a="1"/>
  <c r="CG692" i="1" s="1"/>
  <c r="CF692" i="1"/>
  <c r="CG596" i="1" a="1"/>
  <c r="CG596" i="1" s="1"/>
  <c r="CF596" i="1"/>
  <c r="CG478" i="1" a="1"/>
  <c r="CG478" i="1" s="1"/>
  <c r="CF478" i="1"/>
  <c r="CG244" i="1" a="1"/>
  <c r="CG244" i="1" s="1"/>
  <c r="CF244" i="1"/>
  <c r="CG777" i="1" a="1"/>
  <c r="CG777" i="1" s="1"/>
  <c r="CF777" i="1"/>
  <c r="CF699" i="1"/>
  <c r="CG699" i="1" a="1"/>
  <c r="CG699" i="1" s="1"/>
  <c r="CF606" i="1"/>
  <c r="CG606" i="1" a="1"/>
  <c r="CG606" i="1" s="1"/>
  <c r="CF495" i="1"/>
  <c r="CG495" i="1" a="1"/>
  <c r="CG495" i="1" s="1"/>
  <c r="CG323" i="1" a="1"/>
  <c r="CG323" i="1" s="1"/>
  <c r="CF323" i="1"/>
  <c r="CF562" i="1"/>
  <c r="CG562" i="1" a="1"/>
  <c r="CG562" i="1" s="1"/>
  <c r="CF498" i="1"/>
  <c r="CG498" i="1" a="1"/>
  <c r="CG498" i="1" s="1"/>
  <c r="CF420" i="1"/>
  <c r="CG420" i="1" a="1"/>
  <c r="CG420" i="1" s="1"/>
  <c r="CG320" i="1" a="1"/>
  <c r="CG320" i="1" s="1"/>
  <c r="CF320" i="1"/>
  <c r="CF178" i="1"/>
  <c r="CG178" i="1" a="1"/>
  <c r="CG178" i="1" s="1"/>
  <c r="CF711" i="1"/>
  <c r="CG711" i="1" a="1"/>
  <c r="CG711" i="1" s="1"/>
  <c r="CF639" i="1"/>
  <c r="CG639" i="1" a="1"/>
  <c r="CG639" i="1" s="1"/>
  <c r="CG575" i="1" a="1"/>
  <c r="CG575" i="1" s="1"/>
  <c r="CF575" i="1"/>
  <c r="CG289" i="1" a="1"/>
  <c r="CG289" i="1" s="1"/>
  <c r="CF289" i="1"/>
  <c r="CF872" i="1"/>
  <c r="CG872" i="1" a="1"/>
  <c r="CG872" i="1" s="1"/>
  <c r="CF818" i="1"/>
  <c r="CG818" i="1" a="1"/>
  <c r="CG818" i="1" s="1"/>
  <c r="CF765" i="1"/>
  <c r="CG765" i="1" a="1"/>
  <c r="CG765" i="1" s="1"/>
  <c r="CF705" i="1"/>
  <c r="CG705" i="1" a="1"/>
  <c r="CG705" i="1" s="1"/>
  <c r="CF614" i="1"/>
  <c r="CG614" i="1" a="1"/>
  <c r="CG614" i="1" s="1"/>
  <c r="CF507" i="1"/>
  <c r="CG507" i="1" a="1"/>
  <c r="CG507" i="1" s="1"/>
  <c r="CF316" i="1"/>
  <c r="CG316" i="1" a="1"/>
  <c r="CG316" i="1" s="1"/>
  <c r="CF793" i="1"/>
  <c r="CG793" i="1" a="1"/>
  <c r="CG793" i="1" s="1"/>
  <c r="CG713" i="1" a="1"/>
  <c r="CG713" i="1" s="1"/>
  <c r="CF713" i="1"/>
  <c r="CG625" i="1" a="1"/>
  <c r="CG625" i="1" s="1"/>
  <c r="CF625" i="1"/>
  <c r="CF525" i="1"/>
  <c r="CG525" i="1" a="1"/>
  <c r="CG525" i="1" s="1"/>
  <c r="CG360" i="1" a="1"/>
  <c r="CG360" i="1" s="1"/>
  <c r="CF360" i="1"/>
  <c r="CF576" i="1"/>
  <c r="CG576" i="1" a="1"/>
  <c r="CG576" i="1" s="1"/>
  <c r="CG509" i="1" a="1"/>
  <c r="CG509" i="1" s="1"/>
  <c r="CF509" i="1"/>
  <c r="CF439" i="1"/>
  <c r="CG439" i="1" a="1"/>
  <c r="CG439" i="1" s="1"/>
  <c r="CF342" i="1"/>
  <c r="CG342" i="1" a="1"/>
  <c r="CG342" i="1" s="1"/>
  <c r="CG220" i="1" a="1"/>
  <c r="CG220" i="1" s="1"/>
  <c r="CF220" i="1"/>
  <c r="CG722" i="1" a="1"/>
  <c r="CG722" i="1" s="1"/>
  <c r="CF722" i="1"/>
  <c r="CF651" i="1"/>
  <c r="CG651" i="1" a="1"/>
  <c r="CG651" i="1" s="1"/>
  <c r="CF587" i="1"/>
  <c r="CG587" i="1" a="1"/>
  <c r="CG587" i="1" s="1"/>
  <c r="CG856" i="1" a="1"/>
  <c r="CG856" i="1" s="1"/>
  <c r="CF856" i="1"/>
  <c r="CF802" i="1"/>
  <c r="CG802" i="1" a="1"/>
  <c r="CG802" i="1" s="1"/>
  <c r="CG744" i="1" a="1"/>
  <c r="CG744" i="1" s="1"/>
  <c r="CF744" i="1"/>
  <c r="CG678" i="1" a="1"/>
  <c r="CG678" i="1" s="1"/>
  <c r="CF678" i="1"/>
  <c r="CG582" i="1" a="1"/>
  <c r="CG582" i="1" s="1"/>
  <c r="CF582" i="1"/>
  <c r="CF457" i="1"/>
  <c r="CG457" i="1" a="1"/>
  <c r="CG457" i="1" s="1"/>
  <c r="CF184" i="1"/>
  <c r="CG184" i="1" a="1"/>
  <c r="CG184" i="1" s="1"/>
  <c r="CG769" i="1" a="1"/>
  <c r="CG769" i="1" s="1"/>
  <c r="CF769" i="1"/>
  <c r="CG691" i="1" a="1"/>
  <c r="CG691" i="1" s="1"/>
  <c r="CF691" i="1"/>
  <c r="CG594" i="1" a="1"/>
  <c r="CG594" i="1" s="1"/>
  <c r="CF594" i="1"/>
  <c r="CG472" i="1" a="1"/>
  <c r="CG472" i="1" s="1"/>
  <c r="CF472" i="1"/>
  <c r="CG308" i="1" a="1"/>
  <c r="CG308" i="1" s="1"/>
  <c r="CF308" i="1"/>
  <c r="CF554" i="1"/>
  <c r="CG554" i="1" a="1"/>
  <c r="CG554" i="1" s="1"/>
  <c r="CG487" i="1" a="1"/>
  <c r="CG487" i="1" s="1"/>
  <c r="CF487" i="1"/>
  <c r="CG412" i="1" a="1"/>
  <c r="CG412" i="1" s="1"/>
  <c r="CF412" i="1"/>
  <c r="CF305" i="1"/>
  <c r="CG305" i="1" a="1"/>
  <c r="CG305" i="1" s="1"/>
  <c r="CG161" i="1" a="1"/>
  <c r="CG161" i="1" s="1"/>
  <c r="CF161" i="1"/>
  <c r="CF698" i="1"/>
  <c r="CG698" i="1" a="1"/>
  <c r="CG698" i="1" s="1"/>
  <c r="CG631" i="1" a="1"/>
  <c r="CG631" i="1" s="1"/>
  <c r="CF631" i="1"/>
  <c r="CG569" i="1" a="1"/>
  <c r="CG569" i="1" s="1"/>
  <c r="CF569" i="1"/>
  <c r="CG839" i="1" a="1"/>
  <c r="CG839" i="1" s="1"/>
  <c r="CF839" i="1"/>
  <c r="CG784" i="1" a="1"/>
  <c r="CG784" i="1" s="1"/>
  <c r="CF784" i="1"/>
  <c r="CF727" i="1"/>
  <c r="CG727" i="1" a="1"/>
  <c r="CG727" i="1" s="1"/>
  <c r="CG650" i="1" a="1"/>
  <c r="CG650" i="1" s="1"/>
  <c r="CF650" i="1"/>
  <c r="CG552" i="1" a="1"/>
  <c r="CG552" i="1" s="1"/>
  <c r="CF552" i="1"/>
  <c r="CG396" i="1" a="1"/>
  <c r="CG396" i="1" s="1"/>
  <c r="CF396" i="1"/>
  <c r="CF821" i="1"/>
  <c r="CG821" i="1" a="1"/>
  <c r="CG821" i="1" s="1"/>
  <c r="CG751" i="1" a="1"/>
  <c r="CG751" i="1" s="1"/>
  <c r="CF751" i="1"/>
  <c r="CF661" i="1"/>
  <c r="CG661" i="1" a="1"/>
  <c r="CG661" i="1" s="1"/>
  <c r="CG559" i="1" a="1"/>
  <c r="CG559" i="1" s="1"/>
  <c r="CF559" i="1"/>
  <c r="CF408" i="1"/>
  <c r="CG408" i="1" a="1"/>
  <c r="CG408" i="1" s="1"/>
  <c r="CF142" i="1"/>
  <c r="CG142" i="1" a="1"/>
  <c r="CG142" i="1" s="1"/>
  <c r="CF531" i="1"/>
  <c r="CG531" i="1" a="1"/>
  <c r="CG531" i="1" s="1"/>
  <c r="CF466" i="1"/>
  <c r="CG466" i="1" a="1"/>
  <c r="CG466" i="1" s="1"/>
  <c r="CG384" i="1" a="1"/>
  <c r="CG384" i="1" s="1"/>
  <c r="CF384" i="1"/>
  <c r="CF273" i="1"/>
  <c r="CG273" i="1" a="1"/>
  <c r="CG273" i="1" s="1"/>
  <c r="CG68" i="1" a="1"/>
  <c r="CG68" i="1" s="1"/>
  <c r="CF68" i="1"/>
  <c r="CG677" i="1" a="1"/>
  <c r="CG677" i="1" s="1"/>
  <c r="CF677" i="1"/>
  <c r="CG611" i="1" a="1"/>
  <c r="CG611" i="1" s="1"/>
  <c r="CF611" i="1"/>
  <c r="CG549" i="1" a="1"/>
  <c r="CG549" i="1" s="1"/>
  <c r="CF549" i="1"/>
  <c r="CG490" i="1" a="1"/>
  <c r="CG490" i="1" s="1"/>
  <c r="CF490" i="1"/>
  <c r="CG402" i="1" a="1"/>
  <c r="CG402" i="1" s="1"/>
  <c r="CF402" i="1"/>
  <c r="CF284" i="1"/>
  <c r="CG284" i="1" a="1"/>
  <c r="CG284" i="1" s="1"/>
  <c r="CG67" i="1" a="1"/>
  <c r="CG67" i="1" s="1"/>
  <c r="CF67" i="1"/>
  <c r="CG307" i="1" a="1"/>
  <c r="CG307" i="1" s="1"/>
  <c r="CF307" i="1"/>
  <c r="CG224" i="1" a="1"/>
  <c r="CG224" i="1" s="1"/>
  <c r="CF224" i="1"/>
  <c r="CG105" i="1" a="1"/>
  <c r="CG105" i="1" s="1"/>
  <c r="CF105" i="1"/>
  <c r="CG443" i="1" a="1"/>
  <c r="CG443" i="1" s="1"/>
  <c r="CF443" i="1"/>
  <c r="CF371" i="1"/>
  <c r="CG371" i="1" a="1"/>
  <c r="CG371" i="1" s="1"/>
  <c r="CG306" i="1" a="1"/>
  <c r="CG306" i="1" s="1"/>
  <c r="CF306" i="1"/>
  <c r="CG223" i="1" a="1"/>
  <c r="CG223" i="1" s="1"/>
  <c r="CF223" i="1"/>
  <c r="CF96" i="1"/>
  <c r="CG96" i="1" a="1"/>
  <c r="CG96" i="1" s="1"/>
  <c r="CF194" i="1"/>
  <c r="CG194" i="1" a="1"/>
  <c r="CG194" i="1" s="1"/>
  <c r="CF128" i="1"/>
  <c r="CG128" i="1" a="1"/>
  <c r="CG128" i="1" s="1"/>
  <c r="CG58" i="1" a="1"/>
  <c r="CG58" i="1" s="1"/>
  <c r="CF58" i="1"/>
  <c r="CF225" i="1"/>
  <c r="CG225" i="1" a="1"/>
  <c r="CG225" i="1" s="1"/>
  <c r="CF154" i="1"/>
  <c r="CG154" i="1" a="1"/>
  <c r="CG154" i="1" s="1"/>
  <c r="CF92" i="1"/>
  <c r="CG92" i="1" a="1"/>
  <c r="CG92" i="1" s="1"/>
  <c r="CG792" i="1" a="1"/>
  <c r="CG792" i="1" s="1"/>
  <c r="CF792" i="1"/>
  <c r="CG898" i="1" a="1"/>
  <c r="CG898" i="1" s="1"/>
  <c r="CF898" i="1"/>
  <c r="CF680" i="1"/>
  <c r="CG680" i="1" a="1"/>
  <c r="CG680" i="1" s="1"/>
  <c r="CF486" i="1"/>
  <c r="CG486" i="1" a="1"/>
  <c r="CG486" i="1" s="1"/>
  <c r="CG397" i="1" a="1"/>
  <c r="CG397" i="1" s="1"/>
  <c r="CF397" i="1"/>
  <c r="CF276" i="1"/>
  <c r="CG276" i="1" a="1"/>
  <c r="CG276" i="1" s="1"/>
  <c r="CF50" i="1"/>
  <c r="CG50" i="1" a="1"/>
  <c r="CG50" i="1" s="1"/>
  <c r="CG303" i="1" a="1"/>
  <c r="CG303" i="1" s="1"/>
  <c r="CF303" i="1"/>
  <c r="CF216" i="1"/>
  <c r="CG216" i="1" a="1"/>
  <c r="CG216" i="1" s="1"/>
  <c r="CG97" i="1" a="1"/>
  <c r="CG97" i="1" s="1"/>
  <c r="CF97" i="1"/>
  <c r="CG440" i="1" a="1"/>
  <c r="CG440" i="1" s="1"/>
  <c r="CF440" i="1"/>
  <c r="CG366" i="1" a="1"/>
  <c r="CG366" i="1" s="1"/>
  <c r="CF366" i="1"/>
  <c r="CF302" i="1"/>
  <c r="CG302" i="1" a="1"/>
  <c r="CG302" i="1" s="1"/>
  <c r="CF213" i="1"/>
  <c r="CG213" i="1" a="1"/>
  <c r="CG213" i="1" s="1"/>
  <c r="CG86" i="1" a="1"/>
  <c r="CG86" i="1" s="1"/>
  <c r="CF86" i="1"/>
  <c r="CG191" i="1" a="1"/>
  <c r="CG191" i="1" s="1"/>
  <c r="CF191" i="1"/>
  <c r="CF124" i="1"/>
  <c r="CG124" i="1" a="1"/>
  <c r="CG124" i="1" s="1"/>
  <c r="CG56" i="1" a="1"/>
  <c r="CG56" i="1" s="1"/>
  <c r="CF56" i="1"/>
  <c r="CF221" i="1"/>
  <c r="CG221" i="1" a="1"/>
  <c r="CG221" i="1" s="1"/>
  <c r="CG151" i="1" a="1"/>
  <c r="CG151" i="1" s="1"/>
  <c r="CF151" i="1"/>
  <c r="CG88" i="1" a="1"/>
  <c r="CG88" i="1" s="1"/>
  <c r="CF88" i="1"/>
  <c r="CF831" i="1"/>
  <c r="CG831" i="1" a="1"/>
  <c r="CG831" i="1" s="1"/>
  <c r="CG990" i="1" a="1"/>
  <c r="CG990" i="1" s="1"/>
  <c r="CF990" i="1"/>
  <c r="CG1175" i="1" a="1"/>
  <c r="CG1175" i="1" s="1"/>
  <c r="CF1175" i="1"/>
  <c r="CG497" i="1" a="1"/>
  <c r="CG497" i="1" s="1"/>
  <c r="CF497" i="1"/>
  <c r="CF416" i="1"/>
  <c r="CG416" i="1" a="1"/>
  <c r="CG416" i="1" s="1"/>
  <c r="CG304" i="1" a="1"/>
  <c r="CG304" i="1" s="1"/>
  <c r="CF304" i="1"/>
  <c r="CG83" i="1" a="1"/>
  <c r="CG83" i="1" s="1"/>
  <c r="CF83" i="1"/>
  <c r="CF314" i="1"/>
  <c r="CG314" i="1" a="1"/>
  <c r="CG314" i="1" s="1"/>
  <c r="CG241" i="1" a="1"/>
  <c r="CG241" i="1" s="1"/>
  <c r="CF241" i="1"/>
  <c r="CF116" i="1"/>
  <c r="CG116" i="1" a="1"/>
  <c r="CG116" i="1" s="1"/>
  <c r="CF450" i="1"/>
  <c r="CG450" i="1" a="1"/>
  <c r="CG450" i="1" s="1"/>
  <c r="CF378" i="1"/>
  <c r="CG378" i="1" a="1"/>
  <c r="CG378" i="1" s="1"/>
  <c r="CF317" i="1"/>
  <c r="CG317" i="1" a="1"/>
  <c r="CG317" i="1" s="1"/>
  <c r="CG240" i="1" a="1"/>
  <c r="CG240" i="1" s="1"/>
  <c r="CF240" i="1"/>
  <c r="CG115" i="1" a="1"/>
  <c r="CG115" i="1" s="1"/>
  <c r="CF115" i="1"/>
  <c r="CF202" i="1"/>
  <c r="CG202" i="1" a="1"/>
  <c r="CG202" i="1" s="1"/>
  <c r="CF134" i="1"/>
  <c r="CG134" i="1" a="1"/>
  <c r="CG134" i="1" s="1"/>
  <c r="CF66" i="1"/>
  <c r="CG66" i="1" a="1"/>
  <c r="CG66" i="1" s="1"/>
  <c r="CF230" i="1"/>
  <c r="CG230" i="1" a="1"/>
  <c r="CG230" i="1" s="1"/>
  <c r="CG162" i="1" a="1"/>
  <c r="CG162" i="1" s="1"/>
  <c r="CF162" i="1"/>
  <c r="CF98" i="1"/>
  <c r="CG98" i="1" a="1"/>
  <c r="CG98" i="1" s="1"/>
  <c r="CG492" i="1" a="1"/>
  <c r="CG492" i="1" s="1"/>
  <c r="CF492" i="1"/>
  <c r="CG616" i="1" a="1"/>
  <c r="CG616" i="1" s="1"/>
  <c r="CF616" i="1"/>
  <c r="CF1035" i="1"/>
  <c r="CG1035" i="1" a="1"/>
  <c r="CG1035" i="1" s="1"/>
  <c r="CG508" i="1" a="1"/>
  <c r="CG508" i="1" s="1"/>
  <c r="CF508" i="1"/>
  <c r="CF429" i="1"/>
  <c r="CG429" i="1" a="1"/>
  <c r="CG429" i="1" s="1"/>
  <c r="CG341" i="1" a="1"/>
  <c r="CG341" i="1" s="1"/>
  <c r="CF341" i="1"/>
  <c r="CG149" i="1" a="1"/>
  <c r="CG149" i="1" s="1"/>
  <c r="CF149" i="1"/>
  <c r="CF329" i="1"/>
  <c r="CG329" i="1" a="1"/>
  <c r="CG329" i="1" s="1"/>
  <c r="CG259" i="1" a="1"/>
  <c r="CG259" i="1" s="1"/>
  <c r="CF259" i="1"/>
  <c r="CG136" i="1" a="1"/>
  <c r="CG136" i="1" s="1"/>
  <c r="CF136" i="1"/>
  <c r="CG460" i="1" a="1"/>
  <c r="CG460" i="1" s="1"/>
  <c r="CF460" i="1"/>
  <c r="CF390" i="1"/>
  <c r="CG390" i="1" a="1"/>
  <c r="CG390" i="1" s="1"/>
  <c r="CF324" i="1"/>
  <c r="CG324" i="1" a="1"/>
  <c r="CG324" i="1" s="1"/>
  <c r="CG257" i="1" a="1"/>
  <c r="CG257" i="1" s="1"/>
  <c r="CF257" i="1"/>
  <c r="CF135" i="1"/>
  <c r="CG135" i="1" a="1"/>
  <c r="CG135" i="1" s="1"/>
  <c r="CG212" i="1" a="1"/>
  <c r="CG212" i="1" s="1"/>
  <c r="CF212" i="1"/>
  <c r="CG148" i="1" a="1"/>
  <c r="CG148" i="1" s="1"/>
  <c r="CF148" i="1"/>
  <c r="CF78" i="1"/>
  <c r="CG78" i="1" a="1"/>
  <c r="CG78" i="1" s="1"/>
  <c r="CF242" i="1"/>
  <c r="CG242" i="1" a="1"/>
  <c r="CG242" i="1" s="1"/>
  <c r="CG174" i="1" a="1"/>
  <c r="CG174" i="1" s="1"/>
  <c r="CF174" i="1"/>
  <c r="CF109" i="1"/>
  <c r="CG109" i="1" a="1"/>
  <c r="CG109" i="1" s="1"/>
  <c r="CF47" i="1"/>
  <c r="CG47" i="1" a="1"/>
  <c r="CG47" i="1" s="1"/>
  <c r="CG1170" i="1" a="1"/>
  <c r="CG1170" i="1" s="1"/>
  <c r="CF1170" i="1"/>
  <c r="CF772" i="1"/>
  <c r="CG772" i="1" a="1"/>
  <c r="CG772" i="1" s="1"/>
  <c r="CG1001" i="1" a="1"/>
  <c r="CG1001" i="1" s="1"/>
  <c r="CF1001" i="1"/>
  <c r="CG21" i="1" a="1"/>
  <c r="CG21" i="1" s="1"/>
  <c r="CF21" i="1"/>
  <c r="CF972" i="1"/>
  <c r="CG972" i="1" a="1"/>
  <c r="CG972" i="1" s="1"/>
  <c r="CG693" i="1" a="1"/>
  <c r="CG693" i="1" s="1"/>
  <c r="CF693" i="1"/>
  <c r="CF1178" i="1"/>
  <c r="CG1178" i="1" a="1"/>
  <c r="CG1178" i="1" s="1"/>
  <c r="CG1104" i="1" a="1"/>
  <c r="CG1104" i="1" s="1"/>
  <c r="CF1104" i="1"/>
  <c r="CF987" i="1"/>
  <c r="CG987" i="1" a="1"/>
  <c r="CG987" i="1" s="1"/>
  <c r="CG841" i="1" a="1"/>
  <c r="CG841" i="1" s="1"/>
  <c r="CF841" i="1"/>
  <c r="CG593" i="1" a="1"/>
  <c r="CG593" i="1" s="1"/>
  <c r="CF593" i="1"/>
  <c r="CF32" i="1"/>
  <c r="CG32" i="1" a="1"/>
  <c r="CG32" i="1" s="1"/>
  <c r="CF38" i="1"/>
  <c r="CG38" i="1" a="1"/>
  <c r="CG38" i="1" s="1"/>
  <c r="CF646" i="1"/>
  <c r="CG646" i="1" a="1"/>
  <c r="CG646" i="1" s="1"/>
  <c r="CF1213" i="1"/>
  <c r="CG1213" i="1" a="1"/>
  <c r="CG1213" i="1" s="1"/>
  <c r="CG1197" i="1" a="1"/>
  <c r="CG1197" i="1" s="1"/>
  <c r="CF1197" i="1"/>
  <c r="CG908" i="1" a="1"/>
  <c r="CG908" i="1" s="1"/>
  <c r="CF908" i="1"/>
  <c r="CG1201" i="1" a="1"/>
  <c r="CG1201" i="1" s="1"/>
  <c r="CF1201" i="1"/>
  <c r="CG949" i="1" a="1"/>
  <c r="CG949" i="1" s="1"/>
  <c r="CF949" i="1"/>
  <c r="CF413" i="1"/>
  <c r="CG413" i="1" a="1"/>
  <c r="CG413" i="1" s="1"/>
  <c r="CF1156" i="1"/>
  <c r="CG1156" i="1" a="1"/>
  <c r="CG1156" i="1" s="1"/>
  <c r="CG1063" i="1" a="1"/>
  <c r="CG1063" i="1" s="1"/>
  <c r="CF1063" i="1"/>
  <c r="CF944" i="1"/>
  <c r="CG944" i="1" a="1"/>
  <c r="CG944" i="1" s="1"/>
  <c r="CF800" i="1"/>
  <c r="CG800" i="1" a="1"/>
  <c r="CG800" i="1" s="1"/>
  <c r="CF338" i="1"/>
  <c r="CG338" i="1" a="1"/>
  <c r="CG338" i="1" s="1"/>
  <c r="CF40" i="1"/>
  <c r="CG40" i="1" a="1"/>
  <c r="CG40" i="1" s="1"/>
  <c r="CG35" i="1" a="1"/>
  <c r="CG35" i="1" s="1"/>
  <c r="CF35" i="1"/>
  <c r="CF753" i="1"/>
  <c r="CG753" i="1" a="1"/>
  <c r="CG753" i="1" s="1"/>
  <c r="CG441" i="1" a="1"/>
  <c r="CG441" i="1" s="1"/>
  <c r="CF441" i="1"/>
  <c r="CF1181" i="1"/>
  <c r="CG1181" i="1" a="1"/>
  <c r="CG1181" i="1" s="1"/>
  <c r="CG893" i="1" a="1"/>
  <c r="CG893" i="1" s="1"/>
  <c r="CF893" i="1"/>
  <c r="CG1196" i="1" a="1"/>
  <c r="CG1196" i="1" s="1"/>
  <c r="CF1196" i="1"/>
  <c r="CF939" i="1"/>
  <c r="CG939" i="1" a="1"/>
  <c r="CG939" i="1" s="1"/>
  <c r="CG280" i="1" a="1"/>
  <c r="CG280" i="1" s="1"/>
  <c r="CF280" i="1"/>
  <c r="CG1151" i="1" a="1"/>
  <c r="CG1151" i="1" s="1"/>
  <c r="CF1151" i="1"/>
  <c r="CF1055" i="1"/>
  <c r="CG1055" i="1" a="1"/>
  <c r="CG1055" i="1" s="1"/>
  <c r="CG936" i="1" a="1"/>
  <c r="CG936" i="1" s="1"/>
  <c r="CF936" i="1"/>
  <c r="CF766" i="1"/>
  <c r="CG766" i="1" a="1"/>
  <c r="CG766" i="1" s="1"/>
  <c r="CF177" i="1"/>
  <c r="CG177" i="1" a="1"/>
  <c r="CG177" i="1" s="1"/>
  <c r="CF55" i="1"/>
  <c r="CG55" i="1" a="1"/>
  <c r="CG55" i="1" s="1"/>
  <c r="CG25" i="1" a="1"/>
  <c r="CG25" i="1" s="1"/>
  <c r="CF25" i="1"/>
  <c r="CF1070" i="1"/>
  <c r="CG1070" i="1" a="1"/>
  <c r="CG1070" i="1" s="1"/>
  <c r="CF1146" i="1"/>
  <c r="CG1146" i="1" a="1"/>
  <c r="CG1146" i="1" s="1"/>
  <c r="CF983" i="1"/>
  <c r="CG983" i="1" a="1"/>
  <c r="CG983" i="1" s="1"/>
  <c r="CG468" i="1" a="1"/>
  <c r="CG468" i="1" s="1"/>
  <c r="CF468" i="1"/>
  <c r="CG1106" i="1" a="1"/>
  <c r="CG1106" i="1" s="1"/>
  <c r="CF1106" i="1"/>
  <c r="CG762" i="1" a="1"/>
  <c r="CG762" i="1" s="1"/>
  <c r="CF762" i="1"/>
  <c r="CF1183" i="1"/>
  <c r="CG1183" i="1" a="1"/>
  <c r="CG1183" i="1" s="1"/>
  <c r="CF1110" i="1"/>
  <c r="CG1110" i="1" a="1"/>
  <c r="CG1110" i="1" s="1"/>
  <c r="CF998" i="1"/>
  <c r="CG998" i="1" a="1"/>
  <c r="CG998" i="1" s="1"/>
  <c r="CG857" i="1" a="1"/>
  <c r="CG857" i="1" s="1"/>
  <c r="CF857" i="1"/>
  <c r="CG624" i="1" a="1"/>
  <c r="CG624" i="1" s="1"/>
  <c r="CF624" i="1"/>
  <c r="CG1155" i="1" a="1"/>
  <c r="CG1155" i="1" s="1"/>
  <c r="CF1155" i="1"/>
  <c r="CG1211" i="1" a="1"/>
  <c r="CG1211" i="1" s="1"/>
  <c r="CF1211" i="1"/>
  <c r="CF1134" i="1"/>
  <c r="CG1134" i="1" a="1"/>
  <c r="CG1134" i="1" s="1"/>
  <c r="CG1027" i="1" a="1"/>
  <c r="CG1027" i="1" s="1"/>
  <c r="CF1027" i="1"/>
  <c r="CF883" i="1"/>
  <c r="CG883" i="1" a="1"/>
  <c r="CG883" i="1" s="1"/>
  <c r="CG683" i="1" a="1"/>
  <c r="CG683" i="1" s="1"/>
  <c r="CF683" i="1"/>
  <c r="CG1096" i="1" a="1"/>
  <c r="CG1096" i="1" s="1"/>
  <c r="CF1096" i="1"/>
  <c r="CG1037" i="1" a="1"/>
  <c r="CG1037" i="1" s="1"/>
  <c r="CF1037" i="1"/>
  <c r="CF974" i="1"/>
  <c r="CG974" i="1" a="1"/>
  <c r="CG974" i="1" s="1"/>
  <c r="CF900" i="1"/>
  <c r="CG900" i="1" a="1"/>
  <c r="CG900" i="1" s="1"/>
  <c r="CF806" i="1"/>
  <c r="CG806" i="1" a="1"/>
  <c r="CG806" i="1" s="1"/>
  <c r="CF660" i="1"/>
  <c r="CG660" i="1" a="1"/>
  <c r="CG660" i="1" s="1"/>
  <c r="CG462" i="1" a="1"/>
  <c r="CG462" i="1" s="1"/>
  <c r="CF462" i="1"/>
  <c r="CF1214" i="1"/>
  <c r="CG1214" i="1" a="1"/>
  <c r="CG1214" i="1" s="1"/>
  <c r="CG1147" i="1" a="1"/>
  <c r="CG1147" i="1" s="1"/>
  <c r="CF1147" i="1"/>
  <c r="CG1072" i="1" a="1"/>
  <c r="CG1072" i="1" s="1"/>
  <c r="CF1072" i="1"/>
  <c r="CF1010" i="1"/>
  <c r="CG1010" i="1" a="1"/>
  <c r="CG1010" i="1" s="1"/>
  <c r="CF945" i="1"/>
  <c r="CG945" i="1" a="1"/>
  <c r="CG945" i="1" s="1"/>
  <c r="CF866" i="1"/>
  <c r="CG866" i="1" a="1"/>
  <c r="CG866" i="1" s="1"/>
  <c r="CG728" i="1" a="1"/>
  <c r="CG728" i="1" s="1"/>
  <c r="CF728" i="1"/>
  <c r="CF577" i="1"/>
  <c r="CG577" i="1" a="1"/>
  <c r="CG577" i="1" s="1"/>
  <c r="CF916" i="1"/>
  <c r="CG916" i="1" a="1"/>
  <c r="CG916" i="1" s="1"/>
  <c r="CG1149" i="1" a="1"/>
  <c r="CG1149" i="1" s="1"/>
  <c r="CF1149" i="1"/>
  <c r="CF1050" i="1"/>
  <c r="CG1050" i="1" a="1"/>
  <c r="CG1050" i="1" s="1"/>
  <c r="CF915" i="1"/>
  <c r="CG915" i="1" a="1"/>
  <c r="CG915" i="1" s="1"/>
  <c r="CF723" i="1"/>
  <c r="CG723" i="1" a="1"/>
  <c r="CG723" i="1" s="1"/>
  <c r="CF90" i="1"/>
  <c r="CG90" i="1" a="1"/>
  <c r="CG90" i="1" s="1"/>
  <c r="CF1049" i="1"/>
  <c r="CG1049" i="1" a="1"/>
  <c r="CG1049" i="1" s="1"/>
  <c r="CG985" i="1" a="1"/>
  <c r="CG985" i="1" s="1"/>
  <c r="CF985" i="1"/>
  <c r="CF919" i="1"/>
  <c r="CG919" i="1" a="1"/>
  <c r="CG919" i="1" s="1"/>
  <c r="CG829" i="1" a="1"/>
  <c r="CG829" i="1" s="1"/>
  <c r="CF829" i="1"/>
  <c r="CG703" i="1" a="1"/>
  <c r="CG703" i="1" s="1"/>
  <c r="CF703" i="1"/>
  <c r="CF511" i="1"/>
  <c r="CG511" i="1" a="1"/>
  <c r="CG511" i="1" s="1"/>
  <c r="CG1162" i="1" a="1"/>
  <c r="CG1162" i="1" s="1"/>
  <c r="CF1162" i="1"/>
  <c r="CG1083" i="1" a="1"/>
  <c r="CG1083" i="1" s="1"/>
  <c r="CF1083" i="1"/>
  <c r="CF1021" i="1"/>
  <c r="CG1021" i="1" a="1"/>
  <c r="CG1021" i="1" s="1"/>
  <c r="CG955" i="1" a="1"/>
  <c r="CG955" i="1" s="1"/>
  <c r="CF955" i="1"/>
  <c r="CG886" i="1" a="1"/>
  <c r="CG886" i="1" s="1"/>
  <c r="CF886" i="1"/>
  <c r="CF749" i="1"/>
  <c r="CG749" i="1" a="1"/>
  <c r="CG749" i="1" s="1"/>
  <c r="CG604" i="1" a="1"/>
  <c r="CG604" i="1" s="1"/>
  <c r="CF604" i="1"/>
  <c r="CF346" i="1"/>
  <c r="CG346" i="1" a="1"/>
  <c r="CG346" i="1" s="1"/>
  <c r="CG1124" i="1" a="1"/>
  <c r="CG1124" i="1" s="1"/>
  <c r="CF1124" i="1"/>
  <c r="CG1016" i="1" a="1"/>
  <c r="CG1016" i="1" s="1"/>
  <c r="CF1016" i="1"/>
  <c r="CF869" i="1"/>
  <c r="CG869" i="1" a="1"/>
  <c r="CG869" i="1" s="1"/>
  <c r="CG640" i="1" a="1"/>
  <c r="CG640" i="1" s="1"/>
  <c r="CF640" i="1"/>
  <c r="CG1090" i="1" a="1"/>
  <c r="CG1090" i="1" s="1"/>
  <c r="CF1090" i="1"/>
  <c r="CF1030" i="1"/>
  <c r="CG1030" i="1" a="1"/>
  <c r="CG1030" i="1" s="1"/>
  <c r="CG963" i="1" a="1"/>
  <c r="CG963" i="1" s="1"/>
  <c r="CF963" i="1"/>
  <c r="CG891" i="1" a="1"/>
  <c r="CG891" i="1" s="1"/>
  <c r="CF891" i="1"/>
  <c r="CF790" i="1"/>
  <c r="CG790" i="1" a="1"/>
  <c r="CG790" i="1" s="1"/>
  <c r="CF636" i="1"/>
  <c r="CG636" i="1" a="1"/>
  <c r="CG636" i="1" s="1"/>
  <c r="CG406" i="1" a="1"/>
  <c r="CG406" i="1" s="1"/>
  <c r="CF406" i="1"/>
  <c r="CF1206" i="1"/>
  <c r="CG1206" i="1" a="1"/>
  <c r="CG1206" i="1" s="1"/>
  <c r="CG1137" i="1" a="1"/>
  <c r="CG1137" i="1" s="1"/>
  <c r="CF1137" i="1"/>
  <c r="CF1064" i="1"/>
  <c r="CG1064" i="1" a="1"/>
  <c r="CG1064" i="1" s="1"/>
  <c r="CF999" i="1"/>
  <c r="CG999" i="1" a="1"/>
  <c r="CG999" i="1" s="1"/>
  <c r="CF937" i="1"/>
  <c r="CG937" i="1" a="1"/>
  <c r="CG937" i="1" s="1"/>
  <c r="CG853" i="1" a="1"/>
  <c r="CG853" i="1" s="1"/>
  <c r="CF853" i="1"/>
  <c r="CG701" i="1" a="1"/>
  <c r="CG701" i="1" s="1"/>
  <c r="CF701" i="1"/>
  <c r="CF555" i="1"/>
  <c r="CG555" i="1" a="1"/>
  <c r="CG555" i="1" s="1"/>
  <c r="CF903" i="1"/>
  <c r="CG903" i="1" a="1"/>
  <c r="CG903" i="1" s="1"/>
  <c r="CG1085" i="1" a="1"/>
  <c r="CG1085" i="1" s="1"/>
  <c r="CF1085" i="1"/>
  <c r="CG975" i="1" a="1"/>
  <c r="CG975" i="1" s="1"/>
  <c r="CF975" i="1"/>
  <c r="CF809" i="1"/>
  <c r="CG809" i="1" a="1"/>
  <c r="CG809" i="1" s="1"/>
  <c r="CF426" i="1"/>
  <c r="CG426" i="1" a="1"/>
  <c r="CG426" i="1" s="1"/>
  <c r="CF1073" i="1"/>
  <c r="CG1073" i="1" a="1"/>
  <c r="CG1073" i="1" s="1"/>
  <c r="CF1007" i="1"/>
  <c r="CG1007" i="1" a="1"/>
  <c r="CG1007" i="1" s="1"/>
  <c r="CF942" i="1"/>
  <c r="CG942" i="1" a="1"/>
  <c r="CG942" i="1" s="1"/>
  <c r="CF863" i="1"/>
  <c r="CG863" i="1" a="1"/>
  <c r="CG863" i="1" s="1"/>
  <c r="CG759" i="1" a="1"/>
  <c r="CG759" i="1" s="1"/>
  <c r="CF759" i="1"/>
  <c r="CF578" i="1"/>
  <c r="CG578" i="1" a="1"/>
  <c r="CG578" i="1" s="1"/>
  <c r="CF268" i="1"/>
  <c r="CG268" i="1" a="1"/>
  <c r="CG268" i="1" s="1"/>
  <c r="CG1184" i="1" a="1"/>
  <c r="CG1184" i="1" s="1"/>
  <c r="CF1184" i="1"/>
  <c r="CG1113" i="1" a="1"/>
  <c r="CG1113" i="1" s="1"/>
  <c r="CF1113" i="1"/>
  <c r="CF1044" i="1"/>
  <c r="CG1044" i="1" a="1"/>
  <c r="CG1044" i="1" s="1"/>
  <c r="CG981" i="1" a="1"/>
  <c r="CG981" i="1" s="1"/>
  <c r="CF981" i="1"/>
  <c r="CF913" i="1"/>
  <c r="CG913" i="1" a="1"/>
  <c r="CG913" i="1" s="1"/>
  <c r="CF813" i="1"/>
  <c r="CG813" i="1" a="1"/>
  <c r="CG813" i="1" s="1"/>
  <c r="CF652" i="1"/>
  <c r="CG652" i="1" a="1"/>
  <c r="CG652" i="1" s="1"/>
  <c r="CG499" i="1" a="1"/>
  <c r="CG499" i="1" s="1"/>
  <c r="CF499" i="1"/>
  <c r="CF864" i="1"/>
  <c r="CG864" i="1" a="1"/>
  <c r="CG864" i="1" s="1"/>
  <c r="CG910" i="1" a="1"/>
  <c r="CG910" i="1" s="1"/>
  <c r="CF910" i="1"/>
  <c r="CF850" i="1"/>
  <c r="CG850" i="1" a="1"/>
  <c r="CG850" i="1" s="1"/>
  <c r="CF794" i="1"/>
  <c r="CG794" i="1" a="1"/>
  <c r="CG794" i="1" s="1"/>
  <c r="CF739" i="1"/>
  <c r="CG739" i="1" a="1"/>
  <c r="CG739" i="1" s="1"/>
  <c r="CF668" i="1"/>
  <c r="CG668" i="1" a="1"/>
  <c r="CG668" i="1" s="1"/>
  <c r="CF572" i="1"/>
  <c r="CG572" i="1" a="1"/>
  <c r="CG572" i="1" s="1"/>
  <c r="CG437" i="1" a="1"/>
  <c r="CG437" i="1" s="1"/>
  <c r="CF437" i="1"/>
  <c r="CF122" i="1"/>
  <c r="CG122" i="1" a="1"/>
  <c r="CG122" i="1" s="1"/>
  <c r="CF760" i="1"/>
  <c r="CG760" i="1" a="1"/>
  <c r="CG760" i="1" s="1"/>
  <c r="CF676" i="1"/>
  <c r="CG676" i="1" a="1"/>
  <c r="CG676" i="1" s="1"/>
  <c r="CG581" i="1" a="1"/>
  <c r="CG581" i="1" s="1"/>
  <c r="CF581" i="1"/>
  <c r="CG442" i="1" a="1"/>
  <c r="CG442" i="1" s="1"/>
  <c r="CF442" i="1"/>
  <c r="CF260" i="1"/>
  <c r="CG260" i="1" a="1"/>
  <c r="CG260" i="1" s="1"/>
  <c r="CF546" i="1"/>
  <c r="CG546" i="1" a="1"/>
  <c r="CG546" i="1" s="1"/>
  <c r="CF479" i="1"/>
  <c r="CG479" i="1" a="1"/>
  <c r="CG479" i="1" s="1"/>
  <c r="CG404" i="1" a="1"/>
  <c r="CG404" i="1" s="1"/>
  <c r="CF404" i="1"/>
  <c r="CF286" i="1"/>
  <c r="CG286" i="1" a="1"/>
  <c r="CG286" i="1" s="1"/>
  <c r="CG140" i="1" a="1"/>
  <c r="CG140" i="1" s="1"/>
  <c r="CF140" i="1"/>
  <c r="CF686" i="1"/>
  <c r="CG686" i="1" a="1"/>
  <c r="CG686" i="1" s="1"/>
  <c r="CF623" i="1"/>
  <c r="CG623" i="1" a="1"/>
  <c r="CG623" i="1" s="1"/>
  <c r="CF561" i="1"/>
  <c r="CG561" i="1" a="1"/>
  <c r="CG561" i="1" s="1"/>
  <c r="CF920" i="1"/>
  <c r="CG920" i="1" a="1"/>
  <c r="CG920" i="1" s="1"/>
  <c r="CF860" i="1"/>
  <c r="CG860" i="1" a="1"/>
  <c r="CG860" i="1" s="1"/>
  <c r="CG804" i="1" a="1"/>
  <c r="CG804" i="1" s="1"/>
  <c r="CF804" i="1"/>
  <c r="CF748" i="1"/>
  <c r="CG748" i="1" a="1"/>
  <c r="CG748" i="1" s="1"/>
  <c r="CG687" i="1" a="1"/>
  <c r="CG687" i="1" s="1"/>
  <c r="CF687" i="1"/>
  <c r="CG590" i="1" a="1"/>
  <c r="CG590" i="1" s="1"/>
  <c r="CF590" i="1"/>
  <c r="CF473" i="1"/>
  <c r="CG473" i="1" a="1"/>
  <c r="CG473" i="1" s="1"/>
  <c r="CG203" i="1" a="1"/>
  <c r="CG203" i="1" s="1"/>
  <c r="CF203" i="1"/>
  <c r="CG773" i="1" a="1"/>
  <c r="CG773" i="1" s="1"/>
  <c r="CF773" i="1"/>
  <c r="CF694" i="1"/>
  <c r="CG694" i="1" a="1"/>
  <c r="CG694" i="1" s="1"/>
  <c r="CF601" i="1"/>
  <c r="CG601" i="1" a="1"/>
  <c r="CG601" i="1" s="1"/>
  <c r="CF484" i="1"/>
  <c r="CG484" i="1" a="1"/>
  <c r="CG484" i="1" s="1"/>
  <c r="CG315" i="1" a="1"/>
  <c r="CG315" i="1" s="1"/>
  <c r="CF315" i="1"/>
  <c r="CG558" i="1" a="1"/>
  <c r="CG558" i="1" s="1"/>
  <c r="CF558" i="1"/>
  <c r="CF494" i="1"/>
  <c r="CG494" i="1" a="1"/>
  <c r="CG494" i="1" s="1"/>
  <c r="CG417" i="1" a="1"/>
  <c r="CG417" i="1" s="1"/>
  <c r="CF417" i="1"/>
  <c r="CF312" i="1"/>
  <c r="CG312" i="1" a="1"/>
  <c r="CG312" i="1" s="1"/>
  <c r="CG169" i="1" a="1"/>
  <c r="CG169" i="1" s="1"/>
  <c r="CF169" i="1"/>
  <c r="CG702" i="1" a="1"/>
  <c r="CG702" i="1" s="1"/>
  <c r="CF702" i="1"/>
  <c r="CG635" i="1" a="1"/>
  <c r="CG635" i="1" s="1"/>
  <c r="CF635" i="1"/>
  <c r="CF573" i="1"/>
  <c r="CG573" i="1" a="1"/>
  <c r="CG573" i="1" s="1"/>
  <c r="CF842" i="1"/>
  <c r="CG842" i="1" a="1"/>
  <c r="CG842" i="1" s="1"/>
  <c r="CG788" i="1" a="1"/>
  <c r="CG788" i="1" s="1"/>
  <c r="CF788" i="1"/>
  <c r="CF730" i="1"/>
  <c r="CG730" i="1" a="1"/>
  <c r="CG730" i="1" s="1"/>
  <c r="CF656" i="1"/>
  <c r="CG656" i="1" a="1"/>
  <c r="CG656" i="1" s="1"/>
  <c r="CG560" i="1" a="1"/>
  <c r="CG560" i="1" s="1"/>
  <c r="CF560" i="1"/>
  <c r="CG409" i="1" a="1"/>
  <c r="CG409" i="1" s="1"/>
  <c r="CF409" i="1"/>
  <c r="CG60" i="1" a="1"/>
  <c r="CG60" i="1" s="1"/>
  <c r="CF60" i="1"/>
  <c r="CG754" i="1" a="1"/>
  <c r="CG754" i="1" s="1"/>
  <c r="CF754" i="1"/>
  <c r="CG666" i="1" a="1"/>
  <c r="CG666" i="1" s="1"/>
  <c r="CF666" i="1"/>
  <c r="CG563" i="1" a="1"/>
  <c r="CG563" i="1" s="1"/>
  <c r="CF563" i="1"/>
  <c r="CF421" i="1"/>
  <c r="CG421" i="1" a="1"/>
  <c r="CG421" i="1" s="1"/>
  <c r="CF183" i="1"/>
  <c r="CG183" i="1" a="1"/>
  <c r="CG183" i="1" s="1"/>
  <c r="CG535" i="1" a="1"/>
  <c r="CG535" i="1" s="1"/>
  <c r="CF535" i="1"/>
  <c r="CF470" i="1"/>
  <c r="CG470" i="1" a="1"/>
  <c r="CG470" i="1" s="1"/>
  <c r="CG389" i="1" a="1"/>
  <c r="CG389" i="1" s="1"/>
  <c r="CF389" i="1"/>
  <c r="CF277" i="1"/>
  <c r="CG277" i="1" a="1"/>
  <c r="CG277" i="1" s="1"/>
  <c r="CF76" i="1"/>
  <c r="CG76" i="1" a="1"/>
  <c r="CG76" i="1" s="1"/>
  <c r="CF681" i="1"/>
  <c r="CG681" i="1" a="1"/>
  <c r="CG681" i="1" s="1"/>
  <c r="CF615" i="1"/>
  <c r="CG615" i="1" a="1"/>
  <c r="CG615" i="1" s="1"/>
  <c r="CF553" i="1"/>
  <c r="CG553" i="1" a="1"/>
  <c r="CG553" i="1" s="1"/>
  <c r="CG826" i="1" a="1"/>
  <c r="CG826" i="1" s="1"/>
  <c r="CF826" i="1"/>
  <c r="CG770" i="1" a="1"/>
  <c r="CG770" i="1" s="1"/>
  <c r="CF770" i="1"/>
  <c r="CG709" i="1" a="1"/>
  <c r="CG709" i="1" s="1"/>
  <c r="CF709" i="1"/>
  <c r="CF626" i="1"/>
  <c r="CG626" i="1" a="1"/>
  <c r="CG626" i="1" s="1"/>
  <c r="CF529" i="1"/>
  <c r="CG529" i="1" a="1"/>
  <c r="CG529" i="1" s="1"/>
  <c r="CF361" i="1"/>
  <c r="CG361" i="1" a="1"/>
  <c r="CG361" i="1" s="1"/>
  <c r="CF801" i="1"/>
  <c r="CG801" i="1" a="1"/>
  <c r="CG801" i="1" s="1"/>
  <c r="CG725" i="1" a="1"/>
  <c r="CG725" i="1" s="1"/>
  <c r="CF725" i="1"/>
  <c r="CG637" i="1" a="1"/>
  <c r="CG637" i="1" s="1"/>
  <c r="CF637" i="1"/>
  <c r="CG536" i="1" a="1"/>
  <c r="CG536" i="1" s="1"/>
  <c r="CF536" i="1"/>
  <c r="CF382" i="1"/>
  <c r="CG382" i="1" a="1"/>
  <c r="CG382" i="1" s="1"/>
  <c r="CF584" i="1"/>
  <c r="CG584" i="1" a="1"/>
  <c r="CG584" i="1" s="1"/>
  <c r="CF516" i="1"/>
  <c r="CG516" i="1" a="1"/>
  <c r="CG516" i="1" s="1"/>
  <c r="CF449" i="1"/>
  <c r="CG449" i="1" a="1"/>
  <c r="CG449" i="1" s="1"/>
  <c r="CF357" i="1"/>
  <c r="CG357" i="1" a="1"/>
  <c r="CG357" i="1" s="1"/>
  <c r="CG239" i="1" a="1"/>
  <c r="CG239" i="1" s="1"/>
  <c r="CF239" i="1"/>
  <c r="CG733" i="1" a="1"/>
  <c r="CG733" i="1" s="1"/>
  <c r="CF733" i="1"/>
  <c r="CG659" i="1" a="1"/>
  <c r="CG659" i="1" s="1"/>
  <c r="CF659" i="1"/>
  <c r="CF595" i="1"/>
  <c r="CG595" i="1" a="1"/>
  <c r="CG595" i="1" s="1"/>
  <c r="CF534" i="1"/>
  <c r="CG534" i="1" a="1"/>
  <c r="CG534" i="1" s="1"/>
  <c r="CG469" i="1" a="1"/>
  <c r="CG469" i="1" s="1"/>
  <c r="CF469" i="1"/>
  <c r="CF388" i="1"/>
  <c r="CG388" i="1" a="1"/>
  <c r="CG388" i="1" s="1"/>
  <c r="CG248" i="1" a="1"/>
  <c r="CG248" i="1" s="1"/>
  <c r="CF248" i="1"/>
  <c r="CF355" i="1"/>
  <c r="CG355" i="1" a="1"/>
  <c r="CG355" i="1" s="1"/>
  <c r="CF292" i="1"/>
  <c r="CG292" i="1" a="1"/>
  <c r="CG292" i="1" s="1"/>
  <c r="CG190" i="1" a="1"/>
  <c r="CG190" i="1" s="1"/>
  <c r="CF190" i="1"/>
  <c r="CG72" i="1" a="1"/>
  <c r="CG72" i="1" s="1"/>
  <c r="CF72" i="1"/>
  <c r="CG430" i="1" a="1"/>
  <c r="CG430" i="1" s="1"/>
  <c r="CF430" i="1"/>
  <c r="CF354" i="1"/>
  <c r="CG354" i="1" a="1"/>
  <c r="CG354" i="1" s="1"/>
  <c r="CG291" i="1" a="1"/>
  <c r="CG291" i="1" s="1"/>
  <c r="CF291" i="1"/>
  <c r="CG187" i="1" a="1"/>
  <c r="CG187" i="1" s="1"/>
  <c r="CF187" i="1"/>
  <c r="CF57" i="1"/>
  <c r="CG57" i="1" a="1"/>
  <c r="CG57" i="1" s="1"/>
  <c r="CG179" i="1" a="1"/>
  <c r="CG179" i="1" s="1"/>
  <c r="CF179" i="1"/>
  <c r="CG110" i="1" a="1"/>
  <c r="CG110" i="1" s="1"/>
  <c r="CF110" i="1"/>
  <c r="CG270" i="1" a="1"/>
  <c r="CG270" i="1" s="1"/>
  <c r="CF270" i="1"/>
  <c r="CG207" i="1" a="1"/>
  <c r="CG207" i="1" s="1"/>
  <c r="CF207" i="1"/>
  <c r="CG137" i="1" a="1"/>
  <c r="CG137" i="1" s="1"/>
  <c r="CF137" i="1"/>
  <c r="CG81" i="1" a="1"/>
  <c r="CG81" i="1" s="1"/>
  <c r="CF81" i="1"/>
  <c r="CG1002" i="1" a="1"/>
  <c r="CG1002" i="1" s="1"/>
  <c r="CF1002" i="1"/>
  <c r="CF1082" i="1"/>
  <c r="CG1082" i="1" a="1"/>
  <c r="CG1082" i="1" s="1"/>
  <c r="CG847" i="1" a="1"/>
  <c r="CG847" i="1" s="1"/>
  <c r="CF847" i="1"/>
  <c r="CG463" i="1" a="1"/>
  <c r="CG463" i="1" s="1"/>
  <c r="CF463" i="1"/>
  <c r="CF380" i="1"/>
  <c r="CG380" i="1" a="1"/>
  <c r="CG380" i="1" s="1"/>
  <c r="CF228" i="1"/>
  <c r="CG228" i="1" a="1"/>
  <c r="CG228" i="1" s="1"/>
  <c r="CG351" i="1" a="1"/>
  <c r="CG351" i="1" s="1"/>
  <c r="CF351" i="1"/>
  <c r="CF288" i="1"/>
  <c r="CG288" i="1" a="1"/>
  <c r="CG288" i="1" s="1"/>
  <c r="CF188" i="1"/>
  <c r="CG188" i="1" a="1"/>
  <c r="CG188" i="1" s="1"/>
  <c r="CF64" i="1"/>
  <c r="CG64" i="1" a="1"/>
  <c r="CG64" i="1" s="1"/>
  <c r="CF427" i="1"/>
  <c r="CG427" i="1" a="1"/>
  <c r="CG427" i="1" s="1"/>
  <c r="CG350" i="1" a="1"/>
  <c r="CG350" i="1" s="1"/>
  <c r="CF350" i="1"/>
  <c r="CF287" i="1"/>
  <c r="CG287" i="1" a="1"/>
  <c r="CG287" i="1" s="1"/>
  <c r="CG172" i="1" a="1"/>
  <c r="CG172" i="1" s="1"/>
  <c r="CF172" i="1"/>
  <c r="CF235" i="1"/>
  <c r="CG235" i="1" a="1"/>
  <c r="CG235" i="1" s="1"/>
  <c r="CG175" i="1" a="1"/>
  <c r="CG175" i="1" s="1"/>
  <c r="CF175" i="1"/>
  <c r="CG107" i="1" a="1"/>
  <c r="CG107" i="1" s="1"/>
  <c r="CF107" i="1"/>
  <c r="CF266" i="1"/>
  <c r="CG266" i="1" a="1"/>
  <c r="CG266" i="1" s="1"/>
  <c r="CG201" i="1" a="1"/>
  <c r="CG201" i="1" s="1"/>
  <c r="CF201" i="1"/>
  <c r="CF133" i="1"/>
  <c r="CG133" i="1" a="1"/>
  <c r="CG133" i="1" s="1"/>
  <c r="CG77" i="1" a="1"/>
  <c r="CG77" i="1" s="1"/>
  <c r="CF77" i="1"/>
  <c r="CG1024" i="1" a="1"/>
  <c r="CG1024" i="1" s="1"/>
  <c r="CF1024" i="1"/>
  <c r="CF991" i="1"/>
  <c r="CG991" i="1" a="1"/>
  <c r="CG991" i="1" s="1"/>
  <c r="CF617" i="1"/>
  <c r="CG617" i="1" a="1"/>
  <c r="CG617" i="1" s="1"/>
  <c r="CF482" i="1"/>
  <c r="CG482" i="1" a="1"/>
  <c r="CG482" i="1" s="1"/>
  <c r="CF394" i="1"/>
  <c r="CG394" i="1" a="1"/>
  <c r="CG394" i="1" s="1"/>
  <c r="CG272" i="1" a="1"/>
  <c r="CG272" i="1" s="1"/>
  <c r="CF272" i="1"/>
  <c r="CF367" i="1"/>
  <c r="CG367" i="1" a="1"/>
  <c r="CG367" i="1" s="1"/>
  <c r="CG299" i="1" a="1"/>
  <c r="CG299" i="1" s="1"/>
  <c r="CF299" i="1"/>
  <c r="CF206" i="1"/>
  <c r="CG206" i="1" a="1"/>
  <c r="CG206" i="1" s="1"/>
  <c r="CF87" i="1"/>
  <c r="CG87" i="1" a="1"/>
  <c r="CG87" i="1" s="1"/>
  <c r="CG436" i="1" a="1"/>
  <c r="CG436" i="1" s="1"/>
  <c r="CF436" i="1"/>
  <c r="CG362" i="1" a="1"/>
  <c r="CG362" i="1" s="1"/>
  <c r="CF362" i="1"/>
  <c r="CG298" i="1" a="1"/>
  <c r="CG298" i="1" s="1"/>
  <c r="CF298" i="1"/>
  <c r="CG205" i="1" a="1"/>
  <c r="CG205" i="1" s="1"/>
  <c r="CF205" i="1"/>
  <c r="CF79" i="1"/>
  <c r="CG79" i="1" a="1"/>
  <c r="CG79" i="1" s="1"/>
  <c r="CG186" i="1" a="1"/>
  <c r="CG186" i="1" s="1"/>
  <c r="CF186" i="1"/>
  <c r="CF120" i="1"/>
  <c r="CG120" i="1" a="1"/>
  <c r="CG120" i="1" s="1"/>
  <c r="CF48" i="1"/>
  <c r="CG48" i="1" a="1"/>
  <c r="CG48" i="1" s="1"/>
  <c r="CG217" i="1" a="1"/>
  <c r="CG217" i="1" s="1"/>
  <c r="CF217" i="1"/>
  <c r="CG147" i="1" a="1"/>
  <c r="CG147" i="1" s="1"/>
  <c r="CF147" i="1"/>
  <c r="CG84" i="1" a="1"/>
  <c r="CG84" i="1" s="1"/>
  <c r="CF84" i="1"/>
  <c r="CF934" i="1"/>
  <c r="CG934" i="1" a="1"/>
  <c r="CG934" i="1" s="1"/>
  <c r="CG1034" i="1" a="1"/>
  <c r="CG1034" i="1" s="1"/>
  <c r="CF1034" i="1"/>
  <c r="CF1102" i="1"/>
  <c r="CG1102" i="1" a="1"/>
  <c r="CG1102" i="1" s="1"/>
  <c r="CF493" i="1"/>
  <c r="CG493" i="1" a="1"/>
  <c r="CG493" i="1" s="1"/>
  <c r="CG410" i="1" a="1"/>
  <c r="CG410" i="1" s="1"/>
  <c r="CF410" i="1"/>
  <c r="CG293" i="1" a="1"/>
  <c r="CG293" i="1" s="1"/>
  <c r="CF293" i="1"/>
  <c r="CG75" i="1" a="1"/>
  <c r="CG75" i="1" s="1"/>
  <c r="CF75" i="1"/>
  <c r="CF311" i="1"/>
  <c r="CG311" i="1" a="1"/>
  <c r="CG311" i="1" s="1"/>
  <c r="CF233" i="1"/>
  <c r="CG233" i="1" a="1"/>
  <c r="CG233" i="1" s="1"/>
  <c r="CF108" i="1"/>
  <c r="CG108" i="1" a="1"/>
  <c r="CG108" i="1" s="1"/>
  <c r="CG446" i="1" a="1"/>
  <c r="CG446" i="1" s="1"/>
  <c r="CF446" i="1"/>
  <c r="CF374" i="1"/>
  <c r="CG374" i="1" a="1"/>
  <c r="CG374" i="1" s="1"/>
  <c r="CG313" i="1" a="1"/>
  <c r="CG313" i="1" s="1"/>
  <c r="CF313" i="1"/>
  <c r="CG232" i="1" a="1"/>
  <c r="CG232" i="1" s="1"/>
  <c r="CF232" i="1"/>
  <c r="CG104" i="1" a="1"/>
  <c r="CG104" i="1" s="1"/>
  <c r="CF104" i="1"/>
  <c r="CG198" i="1" a="1"/>
  <c r="CG198" i="1" s="1"/>
  <c r="CF198" i="1"/>
  <c r="CG131" i="1" a="1"/>
  <c r="CG131" i="1" s="1"/>
  <c r="CF131" i="1"/>
  <c r="CF62" i="1"/>
  <c r="CG62" i="1" a="1"/>
  <c r="CG62" i="1" s="1"/>
  <c r="CF226" i="1"/>
  <c r="CG226" i="1" a="1"/>
  <c r="CG226" i="1" s="1"/>
  <c r="CG158" i="1" a="1"/>
  <c r="CG158" i="1" s="1"/>
  <c r="CF158" i="1"/>
  <c r="CG95" i="1" a="1"/>
  <c r="CG95" i="1" s="1"/>
  <c r="CF95" i="1"/>
  <c r="CG648" i="1" a="1"/>
  <c r="CG648" i="1" s="1"/>
  <c r="CF648" i="1"/>
  <c r="CG771" i="1" a="1"/>
  <c r="CG771" i="1" s="1"/>
  <c r="CF771" i="1"/>
  <c r="CG924" i="1" a="1"/>
  <c r="CG924" i="1" s="1"/>
  <c r="CF924" i="1"/>
  <c r="O39" i="3" l="1"/>
  <c r="O38" i="3"/>
  <c r="O41" i="3"/>
  <c r="O40" i="3"/>
  <c r="EZ17" i="1"/>
  <c r="O42" i="10" s="1"/>
  <c r="BB8" i="1" a="1"/>
  <c r="BB8" i="1" s="1"/>
  <c r="BB9" i="1" a="1"/>
  <c r="BB9" i="1" s="1"/>
  <c r="AG10" i="1"/>
  <c r="BB10" i="1" a="1"/>
  <c r="BB10" i="1" s="1"/>
  <c r="BB11" i="1" a="1"/>
  <c r="BB11" i="1" s="1"/>
  <c r="DG11" i="1"/>
  <c r="DL11" i="1" s="1"/>
  <c r="BB12" i="1" a="1"/>
  <c r="BB12" i="1" s="1"/>
  <c r="EZ12" i="1"/>
  <c r="O37" i="10" s="1"/>
  <c r="FD12" i="1"/>
  <c r="AY37" i="10" s="1"/>
  <c r="FE12" i="1"/>
  <c r="BG37" i="10" s="1"/>
  <c r="BB13" i="1" a="1"/>
  <c r="BB13" i="1" s="1"/>
  <c r="BB14" i="1" a="1"/>
  <c r="BB14" i="1" s="1"/>
  <c r="BB15" i="1" a="1"/>
  <c r="BB15" i="1" s="1"/>
  <c r="BB16" i="1" a="1"/>
  <c r="BB16" i="1" s="1"/>
  <c r="BB17" i="1" a="1"/>
  <c r="BB17" i="1" s="1"/>
  <c r="BB18" i="1" a="1"/>
  <c r="BB18" i="1" s="1"/>
  <c r="BB19" i="1" a="1"/>
  <c r="BB19" i="1" s="1"/>
  <c r="BB20" i="1" a="1"/>
  <c r="BB20" i="1" s="1"/>
  <c r="BB21" i="1" a="1"/>
  <c r="BB21" i="1" s="1"/>
  <c r="BB22" i="1" a="1"/>
  <c r="BB22" i="1" s="1"/>
  <c r="BB23" i="1" a="1"/>
  <c r="BB23" i="1" s="1"/>
  <c r="BB24" i="1" a="1"/>
  <c r="BB24" i="1" s="1"/>
  <c r="BB25" i="1" a="1"/>
  <c r="BB25" i="1" s="1"/>
  <c r="BB26" i="1" a="1"/>
  <c r="BB26" i="1" s="1"/>
  <c r="BB27" i="1" a="1"/>
  <c r="BB27" i="1" s="1"/>
  <c r="BB28" i="1" a="1"/>
  <c r="BB28" i="1" s="1"/>
  <c r="BB29" i="1" a="1"/>
  <c r="BB29" i="1" s="1"/>
  <c r="BB30" i="1" a="1"/>
  <c r="BB30" i="1" s="1"/>
  <c r="BB31" i="1" a="1"/>
  <c r="BB31" i="1" s="1"/>
  <c r="BB32" i="1" a="1"/>
  <c r="BB32" i="1" s="1"/>
  <c r="BB33" i="1" a="1"/>
  <c r="BB33" i="1" s="1"/>
  <c r="BB34" i="1" a="1"/>
  <c r="BB34" i="1" s="1"/>
  <c r="BB35" i="1" a="1"/>
  <c r="BB35" i="1" s="1"/>
  <c r="BB36" i="1" a="1"/>
  <c r="BB36" i="1" s="1"/>
  <c r="BB37" i="1" a="1"/>
  <c r="BB37" i="1" s="1"/>
  <c r="BB38" i="1" a="1"/>
  <c r="BB38" i="1" s="1"/>
  <c r="BB39" i="1" a="1"/>
  <c r="BB39" i="1" s="1"/>
  <c r="BB40" i="1" a="1"/>
  <c r="BB40" i="1" s="1"/>
  <c r="BB41" i="1" a="1"/>
  <c r="BB41" i="1" s="1"/>
  <c r="BB42" i="1" a="1"/>
  <c r="BB42" i="1" s="1"/>
  <c r="BB43" i="1" a="1"/>
  <c r="BB43" i="1" s="1"/>
  <c r="BB44" i="1" a="1"/>
  <c r="BB44" i="1" s="1"/>
  <c r="BB45" i="1" a="1"/>
  <c r="BB45" i="1" s="1"/>
  <c r="BB46" i="1" a="1"/>
  <c r="BB46" i="1" s="1"/>
  <c r="BB47" i="1" a="1"/>
  <c r="BB47" i="1" s="1"/>
  <c r="BB48" i="1" a="1"/>
  <c r="BB48" i="1" s="1"/>
  <c r="BB49" i="1" a="1"/>
  <c r="BB49" i="1" s="1"/>
  <c r="BB50" i="1" a="1"/>
  <c r="BB50" i="1" s="1"/>
  <c r="BB51" i="1" a="1"/>
  <c r="BB51" i="1" s="1"/>
  <c r="BB52" i="1" a="1"/>
  <c r="BB52" i="1" s="1"/>
  <c r="BB53" i="1" a="1"/>
  <c r="BB53" i="1" s="1"/>
  <c r="BB54" i="1" a="1"/>
  <c r="BB54" i="1" s="1"/>
  <c r="BB55" i="1" a="1"/>
  <c r="BB55" i="1" s="1"/>
  <c r="BB56" i="1" a="1"/>
  <c r="BB56" i="1" s="1"/>
  <c r="BB57" i="1" a="1"/>
  <c r="BB57" i="1" s="1"/>
  <c r="BB58" i="1" a="1"/>
  <c r="BB58" i="1" s="1"/>
  <c r="BB59" i="1" a="1"/>
  <c r="BB59" i="1" s="1"/>
  <c r="BB60" i="1" a="1"/>
  <c r="BB60" i="1" s="1"/>
  <c r="BB61" i="1" a="1"/>
  <c r="BB61" i="1" s="1"/>
  <c r="BB62" i="1" a="1"/>
  <c r="BB62" i="1" s="1"/>
  <c r="BB63" i="1" a="1"/>
  <c r="BB63" i="1" s="1"/>
  <c r="BB64" i="1" a="1"/>
  <c r="BB64" i="1" s="1"/>
  <c r="BB65" i="1" a="1"/>
  <c r="BB65" i="1" s="1"/>
  <c r="BB66" i="1" a="1"/>
  <c r="BB66" i="1" s="1"/>
  <c r="BB67" i="1" a="1"/>
  <c r="BB67" i="1" s="1"/>
  <c r="BB68" i="1" a="1"/>
  <c r="BB68" i="1" s="1"/>
  <c r="BB69" i="1" a="1"/>
  <c r="BB69" i="1" s="1"/>
  <c r="BB70" i="1" a="1"/>
  <c r="BB70" i="1" s="1"/>
  <c r="BB71" i="1" a="1"/>
  <c r="BB71" i="1" s="1"/>
  <c r="BB72" i="1" a="1"/>
  <c r="BB72" i="1" s="1"/>
  <c r="BB73" i="1" a="1"/>
  <c r="BB73" i="1" s="1"/>
  <c r="BB74" i="1" a="1"/>
  <c r="BB74" i="1" s="1"/>
  <c r="BB75" i="1" a="1"/>
  <c r="BB75" i="1" s="1"/>
  <c r="BB76" i="1" a="1"/>
  <c r="BB76" i="1" s="1"/>
  <c r="BB77" i="1" a="1"/>
  <c r="BB77" i="1" s="1"/>
  <c r="BB78" i="1" a="1"/>
  <c r="BB78" i="1" s="1"/>
  <c r="BB79" i="1" a="1"/>
  <c r="BB79" i="1" s="1"/>
  <c r="BB80" i="1" a="1"/>
  <c r="BB80" i="1" s="1"/>
  <c r="BB81" i="1" a="1"/>
  <c r="BB81" i="1" s="1"/>
  <c r="BB82" i="1" a="1"/>
  <c r="BB82" i="1" s="1"/>
  <c r="BB83" i="1" a="1"/>
  <c r="BB83" i="1" s="1"/>
  <c r="BB84" i="1" a="1"/>
  <c r="BB84" i="1" s="1"/>
  <c r="BB85" i="1" a="1"/>
  <c r="BB85" i="1" s="1"/>
  <c r="BB86" i="1" a="1"/>
  <c r="BB86" i="1" s="1"/>
  <c r="BB87" i="1" a="1"/>
  <c r="BB87" i="1" s="1"/>
  <c r="BB88" i="1" a="1"/>
  <c r="BB88" i="1" s="1"/>
  <c r="BB89" i="1" a="1"/>
  <c r="BB89" i="1" s="1"/>
  <c r="BB90" i="1" a="1"/>
  <c r="BB90" i="1" s="1"/>
  <c r="BB91" i="1" a="1"/>
  <c r="BB91" i="1" s="1"/>
  <c r="BB92" i="1" a="1"/>
  <c r="BB92" i="1" s="1"/>
  <c r="BB93" i="1" a="1"/>
  <c r="BB93" i="1" s="1"/>
  <c r="BB94" i="1" a="1"/>
  <c r="BB94" i="1" s="1"/>
  <c r="BB95" i="1" a="1"/>
  <c r="BB95" i="1" s="1"/>
  <c r="BB96" i="1" a="1"/>
  <c r="BB96" i="1" s="1"/>
  <c r="BB97" i="1" a="1"/>
  <c r="BB97" i="1" s="1"/>
  <c r="BB98" i="1" a="1"/>
  <c r="BB98" i="1" s="1"/>
  <c r="BB99" i="1" a="1"/>
  <c r="BB99" i="1" s="1"/>
  <c r="BB100" i="1" a="1"/>
  <c r="BB100" i="1" s="1"/>
  <c r="BB101" i="1" a="1"/>
  <c r="BB101" i="1" s="1"/>
  <c r="BB102" i="1" a="1"/>
  <c r="BB102" i="1" s="1"/>
  <c r="BB103" i="1" a="1"/>
  <c r="BB103" i="1" s="1"/>
  <c r="BB104" i="1" a="1"/>
  <c r="BB104" i="1" s="1"/>
  <c r="BB105" i="1" a="1"/>
  <c r="BB105" i="1" s="1"/>
  <c r="BB106" i="1" a="1"/>
  <c r="BB106" i="1" s="1"/>
  <c r="BB107" i="1" a="1"/>
  <c r="BB107" i="1" s="1"/>
  <c r="BB108" i="1" a="1"/>
  <c r="BB108" i="1" s="1"/>
  <c r="BB109" i="1" a="1"/>
  <c r="BB109" i="1" s="1"/>
  <c r="BB110" i="1" a="1"/>
  <c r="BB110" i="1" s="1"/>
  <c r="BB111" i="1" a="1"/>
  <c r="BB111" i="1" s="1"/>
  <c r="BB112" i="1" a="1"/>
  <c r="BB112" i="1" s="1"/>
  <c r="BB113" i="1" a="1"/>
  <c r="BB113" i="1" s="1"/>
  <c r="BB114" i="1" a="1"/>
  <c r="BB114" i="1" s="1"/>
  <c r="BB115" i="1" a="1"/>
  <c r="BB115" i="1" s="1"/>
  <c r="BB116" i="1" a="1"/>
  <c r="BB116" i="1" s="1"/>
  <c r="BB117" i="1" a="1"/>
  <c r="BB117" i="1" s="1"/>
  <c r="BB118" i="1" a="1"/>
  <c r="BB118" i="1" s="1"/>
  <c r="BB119" i="1" a="1"/>
  <c r="BB119" i="1" s="1"/>
  <c r="BB120" i="1" a="1"/>
  <c r="BB120" i="1" s="1"/>
  <c r="BB121" i="1" a="1"/>
  <c r="BB121" i="1" s="1"/>
  <c r="BB122" i="1" a="1"/>
  <c r="BB122" i="1" s="1"/>
  <c r="BB123" i="1" a="1"/>
  <c r="BB123" i="1" s="1"/>
  <c r="BB124" i="1" a="1"/>
  <c r="BB124" i="1" s="1"/>
  <c r="BB125" i="1" a="1"/>
  <c r="BB125" i="1" s="1"/>
  <c r="BB126" i="1" a="1"/>
  <c r="BB126" i="1" s="1"/>
  <c r="BB127" i="1" a="1"/>
  <c r="BB127" i="1" s="1"/>
  <c r="BB128" i="1" a="1"/>
  <c r="BB128" i="1" s="1"/>
  <c r="BB129" i="1" a="1"/>
  <c r="BB129" i="1" s="1"/>
  <c r="BB130" i="1" a="1"/>
  <c r="BB130" i="1" s="1"/>
  <c r="BB131" i="1" a="1"/>
  <c r="BB131" i="1" s="1"/>
  <c r="BB132" i="1" a="1"/>
  <c r="BB132" i="1" s="1"/>
  <c r="BB133" i="1" a="1"/>
  <c r="BB133" i="1" s="1"/>
  <c r="BB134" i="1" a="1"/>
  <c r="BB134" i="1" s="1"/>
  <c r="BB135" i="1" a="1"/>
  <c r="BB135" i="1" s="1"/>
  <c r="BB136" i="1" a="1"/>
  <c r="BB136" i="1" s="1"/>
  <c r="BB137" i="1" a="1"/>
  <c r="BB137" i="1" s="1"/>
  <c r="BB138" i="1" a="1"/>
  <c r="BB138" i="1" s="1"/>
  <c r="BB139" i="1" a="1"/>
  <c r="BB139" i="1" s="1"/>
  <c r="BB140" i="1" a="1"/>
  <c r="BB140" i="1" s="1"/>
  <c r="BB141" i="1" a="1"/>
  <c r="BB141" i="1" s="1"/>
  <c r="BB142" i="1" a="1"/>
  <c r="BB142" i="1" s="1"/>
  <c r="BB143" i="1" a="1"/>
  <c r="BB143" i="1" s="1"/>
  <c r="BB144" i="1" a="1"/>
  <c r="BB144" i="1" s="1"/>
  <c r="BB145" i="1" a="1"/>
  <c r="BB145" i="1" s="1"/>
  <c r="BB146" i="1" a="1"/>
  <c r="BB146" i="1" s="1"/>
  <c r="BB147" i="1" a="1"/>
  <c r="BB147" i="1" s="1"/>
  <c r="BB148" i="1" a="1"/>
  <c r="BB148" i="1" s="1"/>
  <c r="BB149" i="1" a="1"/>
  <c r="BB149" i="1" s="1"/>
  <c r="BB150" i="1" a="1"/>
  <c r="BB150" i="1" s="1"/>
  <c r="BB151" i="1" a="1"/>
  <c r="BB151" i="1" s="1"/>
  <c r="BB152" i="1" a="1"/>
  <c r="BB152" i="1" s="1"/>
  <c r="BB153" i="1" a="1"/>
  <c r="BB153" i="1" s="1"/>
  <c r="BB154" i="1" a="1"/>
  <c r="BB154" i="1" s="1"/>
  <c r="BB155" i="1" a="1"/>
  <c r="BB155" i="1" s="1"/>
  <c r="BB156" i="1" a="1"/>
  <c r="BB156" i="1" s="1"/>
  <c r="BB157" i="1" a="1"/>
  <c r="BB157" i="1" s="1"/>
  <c r="BB158" i="1" a="1"/>
  <c r="BB158" i="1" s="1"/>
  <c r="BB159" i="1" a="1"/>
  <c r="BB159" i="1" s="1"/>
  <c r="BB160" i="1" a="1"/>
  <c r="BB160" i="1" s="1"/>
  <c r="BB161" i="1" a="1"/>
  <c r="BB161" i="1" s="1"/>
  <c r="BB162" i="1" a="1"/>
  <c r="BB162" i="1" s="1"/>
  <c r="BB163" i="1" a="1"/>
  <c r="BB163" i="1" s="1"/>
  <c r="BB164" i="1" a="1"/>
  <c r="BB164" i="1" s="1"/>
  <c r="BB165" i="1" a="1"/>
  <c r="BB165" i="1" s="1"/>
  <c r="BB166" i="1" a="1"/>
  <c r="BB166" i="1" s="1"/>
  <c r="BB167" i="1" a="1"/>
  <c r="BB167" i="1" s="1"/>
  <c r="BB168" i="1" a="1"/>
  <c r="BB168" i="1" s="1"/>
  <c r="BB169" i="1" a="1"/>
  <c r="BB169" i="1" s="1"/>
  <c r="BB170" i="1" a="1"/>
  <c r="BB170" i="1" s="1"/>
  <c r="BB171" i="1" a="1"/>
  <c r="BB171" i="1" s="1"/>
  <c r="BB172" i="1" a="1"/>
  <c r="BB172" i="1" s="1"/>
  <c r="BB173" i="1" a="1"/>
  <c r="BB173" i="1" s="1"/>
  <c r="BB174" i="1" a="1"/>
  <c r="BB174" i="1" s="1"/>
  <c r="BB175" i="1" a="1"/>
  <c r="BB175" i="1" s="1"/>
  <c r="BB176" i="1" a="1"/>
  <c r="BB176" i="1" s="1"/>
  <c r="BB177" i="1" a="1"/>
  <c r="BB177" i="1" s="1"/>
  <c r="BB178" i="1" a="1"/>
  <c r="BB178" i="1" s="1"/>
  <c r="BB179" i="1" a="1"/>
  <c r="BB179" i="1" s="1"/>
  <c r="BB180" i="1" a="1"/>
  <c r="BB180" i="1" s="1"/>
  <c r="BB181" i="1" a="1"/>
  <c r="BB181" i="1" s="1"/>
  <c r="BB182" i="1" a="1"/>
  <c r="BB182" i="1" s="1"/>
  <c r="BB183" i="1" a="1"/>
  <c r="BB183" i="1" s="1"/>
  <c r="BB184" i="1" a="1"/>
  <c r="BB184" i="1" s="1"/>
  <c r="BB185" i="1" a="1"/>
  <c r="BB185" i="1" s="1"/>
  <c r="BB186" i="1" a="1"/>
  <c r="BB186" i="1" s="1"/>
  <c r="BB187" i="1" a="1"/>
  <c r="BB187" i="1" s="1"/>
  <c r="BB188" i="1" a="1"/>
  <c r="BB188" i="1" s="1"/>
  <c r="BB189" i="1" a="1"/>
  <c r="BB189" i="1" s="1"/>
  <c r="BB190" i="1" a="1"/>
  <c r="BB190" i="1" s="1"/>
  <c r="BB191" i="1" a="1"/>
  <c r="BB191" i="1" s="1"/>
  <c r="BB192" i="1" a="1"/>
  <c r="BB192" i="1" s="1"/>
  <c r="BB193" i="1" a="1"/>
  <c r="BB193" i="1" s="1"/>
  <c r="BB194" i="1" a="1"/>
  <c r="BB194" i="1" s="1"/>
  <c r="BB195" i="1" a="1"/>
  <c r="BB195" i="1" s="1"/>
  <c r="BB196" i="1" a="1"/>
  <c r="BB196" i="1" s="1"/>
  <c r="BB197" i="1" a="1"/>
  <c r="BB197" i="1" s="1"/>
  <c r="BB198" i="1" a="1"/>
  <c r="BB198" i="1" s="1"/>
  <c r="BB199" i="1" a="1"/>
  <c r="BB199" i="1" s="1"/>
  <c r="BB200" i="1" a="1"/>
  <c r="BB200" i="1" s="1"/>
  <c r="BB201" i="1" a="1"/>
  <c r="BB201" i="1" s="1"/>
  <c r="BB202" i="1" a="1"/>
  <c r="BB202" i="1" s="1"/>
  <c r="BB203" i="1" a="1"/>
  <c r="BB203" i="1" s="1"/>
  <c r="BB204" i="1" a="1"/>
  <c r="BB204" i="1" s="1"/>
  <c r="BB205" i="1" a="1"/>
  <c r="BB205" i="1" s="1"/>
  <c r="BB206" i="1" a="1"/>
  <c r="BB206" i="1" s="1"/>
  <c r="BB207" i="1" a="1"/>
  <c r="BB207" i="1" s="1"/>
  <c r="BB208" i="1" a="1"/>
  <c r="BB208" i="1" s="1"/>
  <c r="BB209" i="1" a="1"/>
  <c r="BB209" i="1" s="1"/>
  <c r="BB210" i="1" a="1"/>
  <c r="BB210" i="1" s="1"/>
  <c r="BB211" i="1" a="1"/>
  <c r="BB211" i="1" s="1"/>
  <c r="BB212" i="1" a="1"/>
  <c r="BB212" i="1" s="1"/>
  <c r="BB213" i="1" a="1"/>
  <c r="BB213" i="1" s="1"/>
  <c r="BB214" i="1" a="1"/>
  <c r="BB214" i="1" s="1"/>
  <c r="BB215" i="1" a="1"/>
  <c r="BB215" i="1" s="1"/>
  <c r="BB216" i="1" a="1"/>
  <c r="BB216" i="1" s="1"/>
  <c r="BB217" i="1" a="1"/>
  <c r="BB217" i="1" s="1"/>
  <c r="BB218" i="1" a="1"/>
  <c r="BB218" i="1" s="1"/>
  <c r="BB219" i="1" a="1"/>
  <c r="BB219" i="1" s="1"/>
  <c r="BB220" i="1" a="1"/>
  <c r="BB220" i="1" s="1"/>
  <c r="BB221" i="1" a="1"/>
  <c r="BB221" i="1" s="1"/>
  <c r="BB222" i="1" a="1"/>
  <c r="BB222" i="1" s="1"/>
  <c r="BB223" i="1" a="1"/>
  <c r="BB223" i="1" s="1"/>
  <c r="BB224" i="1" a="1"/>
  <c r="BB224" i="1" s="1"/>
  <c r="BB225" i="1" a="1"/>
  <c r="BB225" i="1" s="1"/>
  <c r="BB226" i="1" a="1"/>
  <c r="BB226" i="1" s="1"/>
  <c r="BB227" i="1" a="1"/>
  <c r="BB227" i="1" s="1"/>
  <c r="BB228" i="1" a="1"/>
  <c r="BB228" i="1" s="1"/>
  <c r="BB229" i="1" a="1"/>
  <c r="BB229" i="1" s="1"/>
  <c r="BB230" i="1" a="1"/>
  <c r="BB230" i="1" s="1"/>
  <c r="BB231" i="1" a="1"/>
  <c r="BB231" i="1" s="1"/>
  <c r="BB232" i="1" a="1"/>
  <c r="BB232" i="1" s="1"/>
  <c r="BB233" i="1" a="1"/>
  <c r="BB233" i="1" s="1"/>
  <c r="BB234" i="1" a="1"/>
  <c r="BB234" i="1" s="1"/>
  <c r="BB235" i="1" a="1"/>
  <c r="BB235" i="1" s="1"/>
  <c r="BB236" i="1" a="1"/>
  <c r="BB236" i="1" s="1"/>
  <c r="BB237" i="1" a="1"/>
  <c r="BB237" i="1" s="1"/>
  <c r="BB238" i="1" a="1"/>
  <c r="BB238" i="1" s="1"/>
  <c r="BB239" i="1" a="1"/>
  <c r="BB239" i="1" s="1"/>
  <c r="BB240" i="1" a="1"/>
  <c r="BB240" i="1" s="1"/>
  <c r="BB241" i="1" a="1"/>
  <c r="BB241" i="1" s="1"/>
  <c r="BB242" i="1" a="1"/>
  <c r="BB242" i="1" s="1"/>
  <c r="BB243" i="1" a="1"/>
  <c r="BB243" i="1" s="1"/>
  <c r="BB244" i="1" a="1"/>
  <c r="BB244" i="1" s="1"/>
  <c r="BB245" i="1" a="1"/>
  <c r="BB245" i="1" s="1"/>
  <c r="BB246" i="1" a="1"/>
  <c r="BB246" i="1" s="1"/>
  <c r="BB247" i="1" a="1"/>
  <c r="BB247" i="1" s="1"/>
  <c r="BB248" i="1" a="1"/>
  <c r="BB248" i="1" s="1"/>
  <c r="BB249" i="1" a="1"/>
  <c r="BB249" i="1" s="1"/>
  <c r="BB250" i="1" a="1"/>
  <c r="BB250" i="1" s="1"/>
  <c r="BB251" i="1" a="1"/>
  <c r="BB251" i="1" s="1"/>
  <c r="BB252" i="1" a="1"/>
  <c r="BB252" i="1" s="1"/>
  <c r="BB253" i="1" a="1"/>
  <c r="BB253" i="1" s="1"/>
  <c r="BB254" i="1" a="1"/>
  <c r="BB254" i="1" s="1"/>
  <c r="BB255" i="1" a="1"/>
  <c r="BB255" i="1" s="1"/>
  <c r="BB256" i="1" a="1"/>
  <c r="BB256" i="1" s="1"/>
  <c r="BB257" i="1" a="1"/>
  <c r="BB257" i="1" s="1"/>
  <c r="BB258" i="1" a="1"/>
  <c r="BB258" i="1" s="1"/>
  <c r="BB259" i="1" a="1"/>
  <c r="BB259" i="1" s="1"/>
  <c r="BB260" i="1" a="1"/>
  <c r="BB260" i="1" s="1"/>
  <c r="BB261" i="1" a="1"/>
  <c r="BB261" i="1" s="1"/>
  <c r="BB262" i="1" a="1"/>
  <c r="BB262" i="1" s="1"/>
  <c r="BB263" i="1" a="1"/>
  <c r="BB263" i="1" s="1"/>
  <c r="BB264" i="1" a="1"/>
  <c r="BB264" i="1" s="1"/>
  <c r="BB265" i="1" a="1"/>
  <c r="BB265" i="1" s="1"/>
  <c r="BB266" i="1" a="1"/>
  <c r="BB266" i="1" s="1"/>
  <c r="BB267" i="1" a="1"/>
  <c r="BB267" i="1" s="1"/>
  <c r="BB268" i="1" a="1"/>
  <c r="BB268" i="1" s="1"/>
  <c r="BB269" i="1" a="1"/>
  <c r="BB269" i="1" s="1"/>
  <c r="BB270" i="1" a="1"/>
  <c r="BB270" i="1" s="1"/>
  <c r="BB271" i="1" a="1"/>
  <c r="BB271" i="1" s="1"/>
  <c r="BB272" i="1" a="1"/>
  <c r="BB272" i="1" s="1"/>
  <c r="BB273" i="1" a="1"/>
  <c r="BB273" i="1" s="1"/>
  <c r="BB274" i="1" a="1"/>
  <c r="BB274" i="1" s="1"/>
  <c r="BB275" i="1" a="1"/>
  <c r="BB275" i="1" s="1"/>
  <c r="BB276" i="1" a="1"/>
  <c r="BB276" i="1" s="1"/>
  <c r="BB277" i="1" a="1"/>
  <c r="BB277" i="1" s="1"/>
  <c r="BB278" i="1" a="1"/>
  <c r="BB278" i="1" s="1"/>
  <c r="BB279" i="1" a="1"/>
  <c r="BB279" i="1" s="1"/>
  <c r="BB280" i="1" a="1"/>
  <c r="BB280" i="1" s="1"/>
  <c r="BB281" i="1" a="1"/>
  <c r="BB281" i="1" s="1"/>
  <c r="BB282" i="1" a="1"/>
  <c r="BB282" i="1" s="1"/>
  <c r="BB283" i="1" a="1"/>
  <c r="BB283" i="1" s="1"/>
  <c r="BB284" i="1" a="1"/>
  <c r="BB284" i="1" s="1"/>
  <c r="BB285" i="1" a="1"/>
  <c r="BB285" i="1" s="1"/>
  <c r="BB286" i="1" a="1"/>
  <c r="BB286" i="1" s="1"/>
  <c r="BB287" i="1" a="1"/>
  <c r="BB287" i="1" s="1"/>
  <c r="BB288" i="1" a="1"/>
  <c r="BB288" i="1" s="1"/>
  <c r="BB289" i="1" a="1"/>
  <c r="BB289" i="1" s="1"/>
  <c r="BB290" i="1" a="1"/>
  <c r="BB290" i="1" s="1"/>
  <c r="BB291" i="1" a="1"/>
  <c r="BB291" i="1" s="1"/>
  <c r="BB292" i="1" a="1"/>
  <c r="BB292" i="1" s="1"/>
  <c r="BB293" i="1" a="1"/>
  <c r="BB293" i="1" s="1"/>
  <c r="BB294" i="1" a="1"/>
  <c r="BB294" i="1" s="1"/>
  <c r="BB295" i="1" a="1"/>
  <c r="BB295" i="1" s="1"/>
  <c r="BB296" i="1" a="1"/>
  <c r="BB296" i="1" s="1"/>
  <c r="BB297" i="1" a="1"/>
  <c r="BB297" i="1" s="1"/>
  <c r="BB298" i="1" a="1"/>
  <c r="BB298" i="1" s="1"/>
  <c r="BB299" i="1" a="1"/>
  <c r="BB299" i="1" s="1"/>
  <c r="BB300" i="1" a="1"/>
  <c r="BB300" i="1" s="1"/>
  <c r="BB301" i="1" a="1"/>
  <c r="BB301" i="1" s="1"/>
  <c r="BB302" i="1" a="1"/>
  <c r="BB302" i="1" s="1"/>
  <c r="BB303" i="1" a="1"/>
  <c r="BB303" i="1" s="1"/>
  <c r="BB304" i="1" a="1"/>
  <c r="BB304" i="1" s="1"/>
  <c r="BB305" i="1" a="1"/>
  <c r="BB305" i="1" s="1"/>
  <c r="BB306" i="1" a="1"/>
  <c r="BB306" i="1" s="1"/>
  <c r="BB307" i="1" a="1"/>
  <c r="BB307" i="1" s="1"/>
  <c r="BB308" i="1" a="1"/>
  <c r="BB308" i="1" s="1"/>
  <c r="BB309" i="1" a="1"/>
  <c r="BB309" i="1" s="1"/>
  <c r="BB310" i="1" a="1"/>
  <c r="BB310" i="1" s="1"/>
  <c r="BB311" i="1" a="1"/>
  <c r="BB311" i="1" s="1"/>
  <c r="BB312" i="1" a="1"/>
  <c r="BB312" i="1" s="1"/>
  <c r="BB313" i="1" a="1"/>
  <c r="BB313" i="1" s="1"/>
  <c r="BB314" i="1" a="1"/>
  <c r="BB314" i="1" s="1"/>
  <c r="BB315" i="1" a="1"/>
  <c r="BB315" i="1" s="1"/>
  <c r="BB316" i="1" a="1"/>
  <c r="BB316" i="1" s="1"/>
  <c r="BB317" i="1" a="1"/>
  <c r="BB317" i="1" s="1"/>
  <c r="BB318" i="1" a="1"/>
  <c r="BB318" i="1" s="1"/>
  <c r="BB319" i="1" a="1"/>
  <c r="BB319" i="1" s="1"/>
  <c r="BB320" i="1" a="1"/>
  <c r="BB320" i="1" s="1"/>
  <c r="BB321" i="1" a="1"/>
  <c r="BB321" i="1" s="1"/>
  <c r="BB322" i="1" a="1"/>
  <c r="BB322" i="1" s="1"/>
  <c r="BB323" i="1" a="1"/>
  <c r="BB323" i="1" s="1"/>
  <c r="BB324" i="1" a="1"/>
  <c r="BB324" i="1" s="1"/>
  <c r="BB325" i="1" a="1"/>
  <c r="BB325" i="1" s="1"/>
  <c r="BB326" i="1" a="1"/>
  <c r="BB326" i="1" s="1"/>
  <c r="BB327" i="1" a="1"/>
  <c r="BB327" i="1" s="1"/>
  <c r="BB328" i="1" a="1"/>
  <c r="BB328" i="1" s="1"/>
  <c r="BB329" i="1" a="1"/>
  <c r="BB329" i="1" s="1"/>
  <c r="BB330" i="1" a="1"/>
  <c r="BB330" i="1" s="1"/>
  <c r="BB331" i="1" a="1"/>
  <c r="BB331" i="1" s="1"/>
  <c r="BB332" i="1" a="1"/>
  <c r="BB332" i="1" s="1"/>
  <c r="BB333" i="1" a="1"/>
  <c r="BB333" i="1" s="1"/>
  <c r="BB334" i="1" a="1"/>
  <c r="BB334" i="1" s="1"/>
  <c r="BB335" i="1" a="1"/>
  <c r="BB335" i="1" s="1"/>
  <c r="BB336" i="1" a="1"/>
  <c r="BB336" i="1" s="1"/>
  <c r="BB337" i="1" a="1"/>
  <c r="BB337" i="1" s="1"/>
  <c r="BB338" i="1" a="1"/>
  <c r="BB338" i="1" s="1"/>
  <c r="BB339" i="1" a="1"/>
  <c r="BB339" i="1" s="1"/>
  <c r="BB340" i="1" a="1"/>
  <c r="BB340" i="1" s="1"/>
  <c r="BB341" i="1" a="1"/>
  <c r="BB341" i="1" s="1"/>
  <c r="BB342" i="1" a="1"/>
  <c r="BB342" i="1" s="1"/>
  <c r="BB343" i="1" a="1"/>
  <c r="BB343" i="1" s="1"/>
  <c r="BB344" i="1" a="1"/>
  <c r="BB344" i="1" s="1"/>
  <c r="BB345" i="1" a="1"/>
  <c r="BB345" i="1" s="1"/>
  <c r="BB346" i="1" a="1"/>
  <c r="BB346" i="1" s="1"/>
  <c r="BB347" i="1" a="1"/>
  <c r="BB347" i="1" s="1"/>
  <c r="BB348" i="1" a="1"/>
  <c r="BB348" i="1" s="1"/>
  <c r="BB349" i="1" a="1"/>
  <c r="BB349" i="1" s="1"/>
  <c r="BB350" i="1" a="1"/>
  <c r="BB350" i="1" s="1"/>
  <c r="BB351" i="1" a="1"/>
  <c r="BB351" i="1" s="1"/>
  <c r="BB352" i="1" a="1"/>
  <c r="BB352" i="1" s="1"/>
  <c r="BB353" i="1" a="1"/>
  <c r="BB353" i="1" s="1"/>
  <c r="BB354" i="1" a="1"/>
  <c r="BB354" i="1" s="1"/>
  <c r="BB355" i="1" a="1"/>
  <c r="BB355" i="1" s="1"/>
  <c r="BB356" i="1" a="1"/>
  <c r="BB356" i="1" s="1"/>
  <c r="BB357" i="1" a="1"/>
  <c r="BB357" i="1" s="1"/>
  <c r="BB358" i="1" a="1"/>
  <c r="BB358" i="1" s="1"/>
  <c r="BB359" i="1" a="1"/>
  <c r="BB359" i="1" s="1"/>
  <c r="BB360" i="1" a="1"/>
  <c r="BB360" i="1" s="1"/>
  <c r="BB361" i="1" a="1"/>
  <c r="BB361" i="1" s="1"/>
  <c r="BB362" i="1" a="1"/>
  <c r="BB362" i="1" s="1"/>
  <c r="BB363" i="1" a="1"/>
  <c r="BB363" i="1" s="1"/>
  <c r="BB364" i="1" a="1"/>
  <c r="BB364" i="1" s="1"/>
  <c r="BB365" i="1" a="1"/>
  <c r="BB365" i="1" s="1"/>
  <c r="BB366" i="1" a="1"/>
  <c r="BB366" i="1" s="1"/>
  <c r="BB367" i="1" a="1"/>
  <c r="BB367" i="1" s="1"/>
  <c r="BB368" i="1" a="1"/>
  <c r="BB368" i="1" s="1"/>
  <c r="BB369" i="1" a="1"/>
  <c r="BB369" i="1" s="1"/>
  <c r="BB370" i="1" a="1"/>
  <c r="BB370" i="1" s="1"/>
  <c r="BB371" i="1" a="1"/>
  <c r="BB371" i="1" s="1"/>
  <c r="BB372" i="1" a="1"/>
  <c r="BB372" i="1" s="1"/>
  <c r="BB373" i="1" a="1"/>
  <c r="BB373" i="1" s="1"/>
  <c r="BB374" i="1" a="1"/>
  <c r="BB374" i="1" s="1"/>
  <c r="BB375" i="1" a="1"/>
  <c r="BB375" i="1" s="1"/>
  <c r="BB376" i="1" a="1"/>
  <c r="BB376" i="1" s="1"/>
  <c r="BB377" i="1" a="1"/>
  <c r="BB377" i="1" s="1"/>
  <c r="BB378" i="1" a="1"/>
  <c r="BB378" i="1" s="1"/>
  <c r="BB379" i="1" a="1"/>
  <c r="BB379" i="1" s="1"/>
  <c r="BB380" i="1" a="1"/>
  <c r="BB380" i="1" s="1"/>
  <c r="BB381" i="1" a="1"/>
  <c r="BB381" i="1" s="1"/>
  <c r="BB382" i="1" a="1"/>
  <c r="BB382" i="1" s="1"/>
  <c r="BB383" i="1" a="1"/>
  <c r="BB383" i="1" s="1"/>
  <c r="BB384" i="1" a="1"/>
  <c r="BB384" i="1" s="1"/>
  <c r="BB385" i="1" a="1"/>
  <c r="BB385" i="1" s="1"/>
  <c r="BB386" i="1" a="1"/>
  <c r="BB386" i="1" s="1"/>
  <c r="BB387" i="1" a="1"/>
  <c r="BB387" i="1" s="1"/>
  <c r="BB388" i="1" a="1"/>
  <c r="BB388" i="1" s="1"/>
  <c r="BB389" i="1" a="1"/>
  <c r="BB389" i="1" s="1"/>
  <c r="BB390" i="1" a="1"/>
  <c r="BB390" i="1" s="1"/>
  <c r="BB391" i="1" a="1"/>
  <c r="BB391" i="1" s="1"/>
  <c r="BB392" i="1" a="1"/>
  <c r="BB392" i="1" s="1"/>
  <c r="BB393" i="1" a="1"/>
  <c r="BB393" i="1" s="1"/>
  <c r="BB394" i="1" a="1"/>
  <c r="BB394" i="1" s="1"/>
  <c r="BB395" i="1" a="1"/>
  <c r="BB395" i="1" s="1"/>
  <c r="BB396" i="1" a="1"/>
  <c r="BB396" i="1" s="1"/>
  <c r="BB397" i="1" a="1"/>
  <c r="BB397" i="1" s="1"/>
  <c r="BB398" i="1" a="1"/>
  <c r="BB398" i="1" s="1"/>
  <c r="BB399" i="1" a="1"/>
  <c r="BB399" i="1" s="1"/>
  <c r="BB400" i="1" a="1"/>
  <c r="BB400" i="1" s="1"/>
  <c r="BB401" i="1" a="1"/>
  <c r="BB401" i="1" s="1"/>
  <c r="BB402" i="1" a="1"/>
  <c r="BB402" i="1" s="1"/>
  <c r="BB403" i="1" a="1"/>
  <c r="BB403" i="1" s="1"/>
  <c r="BB404" i="1" a="1"/>
  <c r="BB404" i="1" s="1"/>
  <c r="BB405" i="1" a="1"/>
  <c r="BB405" i="1" s="1"/>
  <c r="BB406" i="1" a="1"/>
  <c r="BB406" i="1" s="1"/>
  <c r="BB407" i="1" a="1"/>
  <c r="BB407" i="1" s="1"/>
  <c r="BB408" i="1" a="1"/>
  <c r="BB408" i="1" s="1"/>
  <c r="BB409" i="1" a="1"/>
  <c r="BB409" i="1" s="1"/>
  <c r="BB410" i="1" a="1"/>
  <c r="BB410" i="1" s="1"/>
  <c r="BB411" i="1" a="1"/>
  <c r="BB411" i="1" s="1"/>
  <c r="BB412" i="1" a="1"/>
  <c r="BB412" i="1" s="1"/>
  <c r="BB413" i="1" a="1"/>
  <c r="BB413" i="1" s="1"/>
  <c r="BB414" i="1" a="1"/>
  <c r="BB414" i="1" s="1"/>
  <c r="BB415" i="1" a="1"/>
  <c r="BB415" i="1" s="1"/>
  <c r="BB416" i="1" a="1"/>
  <c r="BB416" i="1" s="1"/>
  <c r="BB417" i="1" a="1"/>
  <c r="BB417" i="1" s="1"/>
  <c r="BB418" i="1" a="1"/>
  <c r="BB418" i="1" s="1"/>
  <c r="BB419" i="1" a="1"/>
  <c r="BB419" i="1" s="1"/>
  <c r="BB420" i="1" a="1"/>
  <c r="BB420" i="1" s="1"/>
  <c r="BB421" i="1" a="1"/>
  <c r="BB421" i="1" s="1"/>
  <c r="BB422" i="1" a="1"/>
  <c r="BB422" i="1" s="1"/>
  <c r="BB423" i="1" a="1"/>
  <c r="BB423" i="1" s="1"/>
  <c r="BB424" i="1" a="1"/>
  <c r="BB424" i="1" s="1"/>
  <c r="BB425" i="1" a="1"/>
  <c r="BB425" i="1" s="1"/>
  <c r="BB426" i="1" a="1"/>
  <c r="BB426" i="1" s="1"/>
  <c r="BB427" i="1" a="1"/>
  <c r="BB427" i="1" s="1"/>
  <c r="BB428" i="1" a="1"/>
  <c r="BB428" i="1" s="1"/>
  <c r="BB429" i="1" a="1"/>
  <c r="BB429" i="1" s="1"/>
  <c r="BB430" i="1" a="1"/>
  <c r="BB430" i="1" s="1"/>
  <c r="BB431" i="1" a="1"/>
  <c r="BB431" i="1" s="1"/>
  <c r="BB432" i="1" a="1"/>
  <c r="BB432" i="1" s="1"/>
  <c r="BB433" i="1" a="1"/>
  <c r="BB433" i="1" s="1"/>
  <c r="BB434" i="1" a="1"/>
  <c r="BB434" i="1" s="1"/>
  <c r="BB435" i="1" a="1"/>
  <c r="BB435" i="1" s="1"/>
  <c r="BB436" i="1" a="1"/>
  <c r="BB436" i="1" s="1"/>
  <c r="BB437" i="1" a="1"/>
  <c r="BB437" i="1" s="1"/>
  <c r="BB438" i="1" a="1"/>
  <c r="BB438" i="1" s="1"/>
  <c r="BB439" i="1" a="1"/>
  <c r="BB439" i="1" s="1"/>
  <c r="BB440" i="1" a="1"/>
  <c r="BB440" i="1" s="1"/>
  <c r="BB441" i="1" a="1"/>
  <c r="BB441" i="1" s="1"/>
  <c r="BB442" i="1" a="1"/>
  <c r="BB442" i="1" s="1"/>
  <c r="BB443" i="1" a="1"/>
  <c r="BB443" i="1" s="1"/>
  <c r="BB444" i="1" a="1"/>
  <c r="BB444" i="1" s="1"/>
  <c r="BB445" i="1" a="1"/>
  <c r="BB445" i="1" s="1"/>
  <c r="BB446" i="1" a="1"/>
  <c r="BB446" i="1" s="1"/>
  <c r="BB447" i="1" a="1"/>
  <c r="BB447" i="1" s="1"/>
  <c r="BB448" i="1" a="1"/>
  <c r="BB448" i="1" s="1"/>
  <c r="BB449" i="1" a="1"/>
  <c r="BB449" i="1" s="1"/>
  <c r="BB450" i="1" a="1"/>
  <c r="BB450" i="1" s="1"/>
  <c r="BB451" i="1" a="1"/>
  <c r="BB451" i="1" s="1"/>
  <c r="BB452" i="1" a="1"/>
  <c r="BB452" i="1" s="1"/>
  <c r="BB453" i="1" a="1"/>
  <c r="BB453" i="1" s="1"/>
  <c r="BB454" i="1" a="1"/>
  <c r="BB454" i="1" s="1"/>
  <c r="BB455" i="1" a="1"/>
  <c r="BB455" i="1" s="1"/>
  <c r="BB456" i="1" a="1"/>
  <c r="BB456" i="1" s="1"/>
  <c r="BB457" i="1" a="1"/>
  <c r="BB457" i="1" s="1"/>
  <c r="BB458" i="1" a="1"/>
  <c r="BB458" i="1" s="1"/>
  <c r="BB459" i="1" a="1"/>
  <c r="BB459" i="1" s="1"/>
  <c r="BB460" i="1" a="1"/>
  <c r="BB460" i="1" s="1"/>
  <c r="BB461" i="1" a="1"/>
  <c r="BB461" i="1" s="1"/>
  <c r="BB462" i="1" a="1"/>
  <c r="BB462" i="1" s="1"/>
  <c r="BB463" i="1" a="1"/>
  <c r="BB463" i="1" s="1"/>
  <c r="BB464" i="1" a="1"/>
  <c r="BB464" i="1" s="1"/>
  <c r="BB465" i="1" a="1"/>
  <c r="BB465" i="1" s="1"/>
  <c r="BB466" i="1" a="1"/>
  <c r="BB466" i="1" s="1"/>
  <c r="BB467" i="1" a="1"/>
  <c r="BB467" i="1" s="1"/>
  <c r="BB468" i="1" a="1"/>
  <c r="BB468" i="1" s="1"/>
  <c r="BB469" i="1" a="1"/>
  <c r="BB469" i="1" s="1"/>
  <c r="BB470" i="1" a="1"/>
  <c r="BB470" i="1" s="1"/>
  <c r="BB471" i="1" a="1"/>
  <c r="BB471" i="1" s="1"/>
  <c r="BB472" i="1" a="1"/>
  <c r="BB472" i="1" s="1"/>
  <c r="BB473" i="1" a="1"/>
  <c r="BB473" i="1" s="1"/>
  <c r="BB474" i="1" a="1"/>
  <c r="BB474" i="1" s="1"/>
  <c r="BB475" i="1" a="1"/>
  <c r="BB475" i="1" s="1"/>
  <c r="BB476" i="1" a="1"/>
  <c r="BB476" i="1" s="1"/>
  <c r="BB477" i="1" a="1"/>
  <c r="BB477" i="1" s="1"/>
  <c r="BB478" i="1" a="1"/>
  <c r="BB478" i="1" s="1"/>
  <c r="BB479" i="1" a="1"/>
  <c r="BB479" i="1" s="1"/>
  <c r="BB480" i="1" a="1"/>
  <c r="BB480" i="1" s="1"/>
  <c r="BB481" i="1" a="1"/>
  <c r="BB481" i="1" s="1"/>
  <c r="BB482" i="1" a="1"/>
  <c r="BB482" i="1" s="1"/>
  <c r="BB483" i="1" a="1"/>
  <c r="BB483" i="1" s="1"/>
  <c r="BB484" i="1" a="1"/>
  <c r="BB484" i="1" s="1"/>
  <c r="BB485" i="1" a="1"/>
  <c r="BB485" i="1" s="1"/>
  <c r="BB486" i="1" a="1"/>
  <c r="BB486" i="1" s="1"/>
  <c r="BB487" i="1" a="1"/>
  <c r="BB487" i="1" s="1"/>
  <c r="BB488" i="1" a="1"/>
  <c r="BB488" i="1" s="1"/>
  <c r="BB489" i="1" a="1"/>
  <c r="BB489" i="1" s="1"/>
  <c r="BB490" i="1" a="1"/>
  <c r="BB490" i="1" s="1"/>
  <c r="BB491" i="1" a="1"/>
  <c r="BB491" i="1" s="1"/>
  <c r="BB492" i="1" a="1"/>
  <c r="BB492" i="1" s="1"/>
  <c r="BB493" i="1" a="1"/>
  <c r="BB493" i="1" s="1"/>
  <c r="BB494" i="1" a="1"/>
  <c r="BB494" i="1" s="1"/>
  <c r="BB495" i="1" a="1"/>
  <c r="BB495" i="1" s="1"/>
  <c r="BB496" i="1" a="1"/>
  <c r="BB496" i="1" s="1"/>
  <c r="BB497" i="1" a="1"/>
  <c r="BB497" i="1" s="1"/>
  <c r="BB498" i="1" a="1"/>
  <c r="BB498" i="1" s="1"/>
  <c r="BB499" i="1" a="1"/>
  <c r="BB499" i="1" s="1"/>
  <c r="BB500" i="1" a="1"/>
  <c r="BB500" i="1" s="1"/>
  <c r="BB501" i="1" a="1"/>
  <c r="BB501" i="1" s="1"/>
  <c r="BB502" i="1" a="1"/>
  <c r="BB502" i="1" s="1"/>
  <c r="BB503" i="1" a="1"/>
  <c r="BB503" i="1" s="1"/>
  <c r="BB504" i="1" a="1"/>
  <c r="BB504" i="1" s="1"/>
  <c r="BB505" i="1" a="1"/>
  <c r="BB505" i="1" s="1"/>
  <c r="BB506" i="1" a="1"/>
  <c r="BB506" i="1" s="1"/>
  <c r="BB507" i="1" a="1"/>
  <c r="BB507" i="1" s="1"/>
  <c r="BB508" i="1" a="1"/>
  <c r="BB508" i="1" s="1"/>
  <c r="BB509" i="1" a="1"/>
  <c r="BB509" i="1" s="1"/>
  <c r="BB510" i="1" a="1"/>
  <c r="BB510" i="1" s="1"/>
  <c r="BB511" i="1" a="1"/>
  <c r="BB511" i="1" s="1"/>
  <c r="BB512" i="1" a="1"/>
  <c r="BB512" i="1" s="1"/>
  <c r="BB513" i="1" a="1"/>
  <c r="BB513" i="1" s="1"/>
  <c r="BB514" i="1" a="1"/>
  <c r="BB514" i="1" s="1"/>
  <c r="BB515" i="1" a="1"/>
  <c r="BB515" i="1" s="1"/>
  <c r="BB516" i="1" a="1"/>
  <c r="BB516" i="1" s="1"/>
  <c r="BB517" i="1" a="1"/>
  <c r="BB517" i="1" s="1"/>
  <c r="BB518" i="1" a="1"/>
  <c r="BB518" i="1" s="1"/>
  <c r="BB519" i="1" a="1"/>
  <c r="BB519" i="1" s="1"/>
  <c r="BB520" i="1" a="1"/>
  <c r="BB520" i="1" s="1"/>
  <c r="BB521" i="1" a="1"/>
  <c r="BB521" i="1" s="1"/>
  <c r="BB522" i="1" a="1"/>
  <c r="BB522" i="1" s="1"/>
  <c r="BB523" i="1" a="1"/>
  <c r="BB523" i="1" s="1"/>
  <c r="BB524" i="1" a="1"/>
  <c r="BB524" i="1" s="1"/>
  <c r="BB525" i="1" a="1"/>
  <c r="BB525" i="1" s="1"/>
  <c r="BB526" i="1" a="1"/>
  <c r="BB526" i="1" s="1"/>
  <c r="BB527" i="1" a="1"/>
  <c r="BB527" i="1" s="1"/>
  <c r="BB528" i="1" a="1"/>
  <c r="BB528" i="1" s="1"/>
  <c r="BB529" i="1" a="1"/>
  <c r="BB529" i="1" s="1"/>
  <c r="BB530" i="1" a="1"/>
  <c r="BB530" i="1" s="1"/>
  <c r="BB531" i="1" a="1"/>
  <c r="BB531" i="1" s="1"/>
  <c r="BB532" i="1" a="1"/>
  <c r="BB532" i="1" s="1"/>
  <c r="BB533" i="1" a="1"/>
  <c r="BB533" i="1" s="1"/>
  <c r="BB534" i="1" a="1"/>
  <c r="BB534" i="1" s="1"/>
  <c r="BB535" i="1" a="1"/>
  <c r="BB535" i="1" s="1"/>
  <c r="BB536" i="1" a="1"/>
  <c r="BB536" i="1" s="1"/>
  <c r="BB537" i="1" a="1"/>
  <c r="BB537" i="1" s="1"/>
  <c r="BB538" i="1" a="1"/>
  <c r="BB538" i="1" s="1"/>
  <c r="BB539" i="1" a="1"/>
  <c r="BB539" i="1" s="1"/>
  <c r="BB540" i="1" a="1"/>
  <c r="BB540" i="1" s="1"/>
  <c r="BB541" i="1" a="1"/>
  <c r="BB541" i="1" s="1"/>
  <c r="BB542" i="1" a="1"/>
  <c r="BB542" i="1" s="1"/>
  <c r="BB543" i="1" a="1"/>
  <c r="BB543" i="1" s="1"/>
  <c r="BB544" i="1" a="1"/>
  <c r="BB544" i="1" s="1"/>
  <c r="BB545" i="1" a="1"/>
  <c r="BB545" i="1" s="1"/>
  <c r="BB546" i="1" a="1"/>
  <c r="BB546" i="1" s="1"/>
  <c r="BB547" i="1" a="1"/>
  <c r="BB547" i="1" s="1"/>
  <c r="BB548" i="1" a="1"/>
  <c r="BB548" i="1" s="1"/>
  <c r="BB549" i="1" a="1"/>
  <c r="BB549" i="1" s="1"/>
  <c r="BB550" i="1" a="1"/>
  <c r="BB550" i="1" s="1"/>
  <c r="BB551" i="1" a="1"/>
  <c r="BB551" i="1" s="1"/>
  <c r="BB552" i="1" a="1"/>
  <c r="BB552" i="1" s="1"/>
  <c r="BB553" i="1" a="1"/>
  <c r="BB553" i="1" s="1"/>
  <c r="BB554" i="1" a="1"/>
  <c r="BB554" i="1" s="1"/>
  <c r="BB555" i="1" a="1"/>
  <c r="BB555" i="1" s="1"/>
  <c r="BB556" i="1" a="1"/>
  <c r="BB556" i="1" s="1"/>
  <c r="BB557" i="1" a="1"/>
  <c r="BB557" i="1" s="1"/>
  <c r="BB558" i="1" a="1"/>
  <c r="BB558" i="1" s="1"/>
  <c r="BB559" i="1" a="1"/>
  <c r="BB559" i="1" s="1"/>
  <c r="BB560" i="1" a="1"/>
  <c r="BB560" i="1" s="1"/>
  <c r="BB561" i="1" a="1"/>
  <c r="BB561" i="1" s="1"/>
  <c r="BB562" i="1" a="1"/>
  <c r="BB562" i="1" s="1"/>
  <c r="BB563" i="1" a="1"/>
  <c r="BB563" i="1" s="1"/>
  <c r="BB564" i="1" a="1"/>
  <c r="BB564" i="1" s="1"/>
  <c r="BB565" i="1" a="1"/>
  <c r="BB565" i="1" s="1"/>
  <c r="BB566" i="1" a="1"/>
  <c r="BB566" i="1" s="1"/>
  <c r="BB567" i="1" a="1"/>
  <c r="BB567" i="1" s="1"/>
  <c r="BB568" i="1" a="1"/>
  <c r="BB568" i="1" s="1"/>
  <c r="BB569" i="1" a="1"/>
  <c r="BB569" i="1" s="1"/>
  <c r="BB570" i="1" a="1"/>
  <c r="BB570" i="1" s="1"/>
  <c r="BB571" i="1" a="1"/>
  <c r="BB571" i="1" s="1"/>
  <c r="BB572" i="1" a="1"/>
  <c r="BB572" i="1" s="1"/>
  <c r="BB573" i="1" a="1"/>
  <c r="BB573" i="1" s="1"/>
  <c r="BB574" i="1" a="1"/>
  <c r="BB574" i="1" s="1"/>
  <c r="BB575" i="1" a="1"/>
  <c r="BB575" i="1" s="1"/>
  <c r="BB576" i="1" a="1"/>
  <c r="BB576" i="1" s="1"/>
  <c r="BB577" i="1" a="1"/>
  <c r="BB577" i="1" s="1"/>
  <c r="BB578" i="1" a="1"/>
  <c r="BB578" i="1" s="1"/>
  <c r="BB579" i="1" a="1"/>
  <c r="BB579" i="1" s="1"/>
  <c r="BB580" i="1" a="1"/>
  <c r="BB580" i="1" s="1"/>
  <c r="BB581" i="1" a="1"/>
  <c r="BB581" i="1" s="1"/>
  <c r="BB582" i="1" a="1"/>
  <c r="BB582" i="1" s="1"/>
  <c r="BB583" i="1" a="1"/>
  <c r="BB583" i="1" s="1"/>
  <c r="BB584" i="1" a="1"/>
  <c r="BB584" i="1" s="1"/>
  <c r="BB585" i="1" a="1"/>
  <c r="BB585" i="1" s="1"/>
  <c r="BB586" i="1" a="1"/>
  <c r="BB586" i="1" s="1"/>
  <c r="BB587" i="1" a="1"/>
  <c r="BB587" i="1" s="1"/>
  <c r="BB588" i="1" a="1"/>
  <c r="BB588" i="1" s="1"/>
  <c r="BB589" i="1" a="1"/>
  <c r="BB589" i="1" s="1"/>
  <c r="BB590" i="1" a="1"/>
  <c r="BB590" i="1" s="1"/>
  <c r="BB591" i="1" a="1"/>
  <c r="BB591" i="1" s="1"/>
  <c r="BB592" i="1" a="1"/>
  <c r="BB592" i="1" s="1"/>
  <c r="BB593" i="1" a="1"/>
  <c r="BB593" i="1" s="1"/>
  <c r="BB594" i="1" a="1"/>
  <c r="BB594" i="1" s="1"/>
  <c r="BB595" i="1" a="1"/>
  <c r="BB595" i="1" s="1"/>
  <c r="BB596" i="1" a="1"/>
  <c r="BB596" i="1" s="1"/>
  <c r="BB597" i="1" a="1"/>
  <c r="BB597" i="1" s="1"/>
  <c r="BB598" i="1" a="1"/>
  <c r="BB598" i="1" s="1"/>
  <c r="BB599" i="1" a="1"/>
  <c r="BB599" i="1" s="1"/>
  <c r="BB600" i="1" a="1"/>
  <c r="BB600" i="1" s="1"/>
  <c r="BB601" i="1" a="1"/>
  <c r="BB601" i="1" s="1"/>
  <c r="BB602" i="1" a="1"/>
  <c r="BB602" i="1" s="1"/>
  <c r="BB603" i="1" a="1"/>
  <c r="BB603" i="1" s="1"/>
  <c r="BB604" i="1" a="1"/>
  <c r="BB604" i="1" s="1"/>
  <c r="BB605" i="1" a="1"/>
  <c r="BB605" i="1" s="1"/>
  <c r="BB606" i="1" a="1"/>
  <c r="BB606" i="1" s="1"/>
  <c r="BB607" i="1" a="1"/>
  <c r="BB607" i="1" s="1"/>
  <c r="BB608" i="1" a="1"/>
  <c r="BB608" i="1" s="1"/>
  <c r="BB609" i="1" a="1"/>
  <c r="BB609" i="1" s="1"/>
  <c r="BB610" i="1" a="1"/>
  <c r="BB610" i="1" s="1"/>
  <c r="BB611" i="1" a="1"/>
  <c r="BB611" i="1" s="1"/>
  <c r="BB612" i="1" a="1"/>
  <c r="BB612" i="1" s="1"/>
  <c r="BB613" i="1" a="1"/>
  <c r="BB613" i="1" s="1"/>
  <c r="BB614" i="1" a="1"/>
  <c r="BB614" i="1" s="1"/>
  <c r="BB615" i="1" a="1"/>
  <c r="BB615" i="1" s="1"/>
  <c r="BB616" i="1" a="1"/>
  <c r="BB616" i="1" s="1"/>
  <c r="BB617" i="1" a="1"/>
  <c r="BB617" i="1" s="1"/>
  <c r="BB618" i="1" a="1"/>
  <c r="BB618" i="1" s="1"/>
  <c r="BB619" i="1" a="1"/>
  <c r="BB619" i="1" s="1"/>
  <c r="BB620" i="1" a="1"/>
  <c r="BB620" i="1" s="1"/>
  <c r="BB621" i="1" a="1"/>
  <c r="BB621" i="1" s="1"/>
  <c r="BB622" i="1" a="1"/>
  <c r="BB622" i="1" s="1"/>
  <c r="BB623" i="1" a="1"/>
  <c r="BB623" i="1" s="1"/>
  <c r="BB624" i="1" a="1"/>
  <c r="BB624" i="1" s="1"/>
  <c r="BB625" i="1" a="1"/>
  <c r="BB625" i="1" s="1"/>
  <c r="BB626" i="1" a="1"/>
  <c r="BB626" i="1" s="1"/>
  <c r="BB627" i="1" a="1"/>
  <c r="BB627" i="1" s="1"/>
  <c r="BB628" i="1" a="1"/>
  <c r="BB628" i="1" s="1"/>
  <c r="BB629" i="1" a="1"/>
  <c r="BB629" i="1" s="1"/>
  <c r="BB630" i="1" a="1"/>
  <c r="BB630" i="1" s="1"/>
  <c r="BB631" i="1" a="1"/>
  <c r="BB631" i="1" s="1"/>
  <c r="BB632" i="1" a="1"/>
  <c r="BB632" i="1" s="1"/>
  <c r="BB633" i="1" a="1"/>
  <c r="BB633" i="1" s="1"/>
  <c r="BB634" i="1" a="1"/>
  <c r="BB634" i="1" s="1"/>
  <c r="BB635" i="1" a="1"/>
  <c r="BB635" i="1" s="1"/>
  <c r="BB636" i="1" a="1"/>
  <c r="BB636" i="1" s="1"/>
  <c r="BB637" i="1" a="1"/>
  <c r="BB637" i="1" s="1"/>
  <c r="BB638" i="1" a="1"/>
  <c r="BB638" i="1" s="1"/>
  <c r="BB639" i="1" a="1"/>
  <c r="BB639" i="1" s="1"/>
  <c r="BB640" i="1" a="1"/>
  <c r="BB640" i="1" s="1"/>
  <c r="BB641" i="1" a="1"/>
  <c r="BB641" i="1" s="1"/>
  <c r="BB642" i="1" a="1"/>
  <c r="BB642" i="1" s="1"/>
  <c r="BB643" i="1" a="1"/>
  <c r="BB643" i="1" s="1"/>
  <c r="BB644" i="1" a="1"/>
  <c r="BB644" i="1" s="1"/>
  <c r="BB645" i="1" a="1"/>
  <c r="BB645" i="1" s="1"/>
  <c r="BB646" i="1" a="1"/>
  <c r="BB646" i="1" s="1"/>
  <c r="BB647" i="1" a="1"/>
  <c r="BB647" i="1" s="1"/>
  <c r="BB648" i="1" a="1"/>
  <c r="BB648" i="1" s="1"/>
  <c r="BB649" i="1" a="1"/>
  <c r="BB649" i="1" s="1"/>
  <c r="BB650" i="1" a="1"/>
  <c r="BB650" i="1" s="1"/>
  <c r="BB651" i="1" a="1"/>
  <c r="BB651" i="1" s="1"/>
  <c r="BB652" i="1" a="1"/>
  <c r="BB652" i="1" s="1"/>
  <c r="BB653" i="1" a="1"/>
  <c r="BB653" i="1" s="1"/>
  <c r="BB654" i="1" a="1"/>
  <c r="BB654" i="1" s="1"/>
  <c r="BB655" i="1" a="1"/>
  <c r="BB655" i="1" s="1"/>
  <c r="BB656" i="1" a="1"/>
  <c r="BB656" i="1" s="1"/>
  <c r="BB657" i="1" a="1"/>
  <c r="BB657" i="1" s="1"/>
  <c r="BB658" i="1" a="1"/>
  <c r="BB658" i="1" s="1"/>
  <c r="BB659" i="1" a="1"/>
  <c r="BB659" i="1" s="1"/>
  <c r="BB660" i="1" a="1"/>
  <c r="BB660" i="1" s="1"/>
  <c r="BB661" i="1" a="1"/>
  <c r="BB661" i="1" s="1"/>
  <c r="BB662" i="1" a="1"/>
  <c r="BB662" i="1" s="1"/>
  <c r="BB663" i="1" a="1"/>
  <c r="BB663" i="1" s="1"/>
  <c r="BB664" i="1" a="1"/>
  <c r="BB664" i="1" s="1"/>
  <c r="BB665" i="1" a="1"/>
  <c r="BB665" i="1" s="1"/>
  <c r="BB666" i="1" a="1"/>
  <c r="BB666" i="1" s="1"/>
  <c r="BB667" i="1" a="1"/>
  <c r="BB667" i="1" s="1"/>
  <c r="BB668" i="1" a="1"/>
  <c r="BB668" i="1" s="1"/>
  <c r="BB669" i="1" a="1"/>
  <c r="BB669" i="1" s="1"/>
  <c r="BB670" i="1" a="1"/>
  <c r="BB670" i="1" s="1"/>
  <c r="BB671" i="1" a="1"/>
  <c r="BB671" i="1" s="1"/>
  <c r="BB672" i="1" a="1"/>
  <c r="BB672" i="1" s="1"/>
  <c r="BB673" i="1" a="1"/>
  <c r="BB673" i="1" s="1"/>
  <c r="BB674" i="1" a="1"/>
  <c r="BB674" i="1" s="1"/>
  <c r="BB675" i="1" a="1"/>
  <c r="BB675" i="1" s="1"/>
  <c r="BB676" i="1" a="1"/>
  <c r="BB676" i="1" s="1"/>
  <c r="BB677" i="1" a="1"/>
  <c r="BB677" i="1" s="1"/>
  <c r="BB678" i="1" a="1"/>
  <c r="BB678" i="1" s="1"/>
  <c r="BB679" i="1" a="1"/>
  <c r="BB679" i="1" s="1"/>
  <c r="BB680" i="1" a="1"/>
  <c r="BB680" i="1" s="1"/>
  <c r="BB681" i="1" a="1"/>
  <c r="BB681" i="1" s="1"/>
  <c r="BB682" i="1" a="1"/>
  <c r="BB682" i="1" s="1"/>
  <c r="BB683" i="1" a="1"/>
  <c r="BB683" i="1" s="1"/>
  <c r="BB684" i="1" a="1"/>
  <c r="BB684" i="1" s="1"/>
  <c r="BB685" i="1" a="1"/>
  <c r="BB685" i="1" s="1"/>
  <c r="BB686" i="1" a="1"/>
  <c r="BB686" i="1" s="1"/>
  <c r="BB687" i="1" a="1"/>
  <c r="BB687" i="1" s="1"/>
  <c r="BB688" i="1" a="1"/>
  <c r="BB688" i="1" s="1"/>
  <c r="BB689" i="1" a="1"/>
  <c r="BB689" i="1" s="1"/>
  <c r="BB690" i="1" a="1"/>
  <c r="BB690" i="1" s="1"/>
  <c r="BB691" i="1" a="1"/>
  <c r="BB691" i="1" s="1"/>
  <c r="BB692" i="1" a="1"/>
  <c r="BB692" i="1" s="1"/>
  <c r="BB693" i="1" a="1"/>
  <c r="BB693" i="1" s="1"/>
  <c r="BB694" i="1" a="1"/>
  <c r="BB694" i="1" s="1"/>
  <c r="BB695" i="1" a="1"/>
  <c r="BB695" i="1" s="1"/>
  <c r="BB696" i="1" a="1"/>
  <c r="BB696" i="1" s="1"/>
  <c r="BB697" i="1" a="1"/>
  <c r="BB697" i="1" s="1"/>
  <c r="BB698" i="1" a="1"/>
  <c r="BB698" i="1" s="1"/>
  <c r="BB699" i="1" a="1"/>
  <c r="BB699" i="1" s="1"/>
  <c r="BB700" i="1" a="1"/>
  <c r="BB700" i="1" s="1"/>
  <c r="BB701" i="1" a="1"/>
  <c r="BB701" i="1" s="1"/>
  <c r="BB702" i="1" a="1"/>
  <c r="BB702" i="1" s="1"/>
  <c r="BB703" i="1" a="1"/>
  <c r="BB703" i="1" s="1"/>
  <c r="BB704" i="1" a="1"/>
  <c r="BB704" i="1" s="1"/>
  <c r="BB705" i="1" a="1"/>
  <c r="BB705" i="1" s="1"/>
  <c r="BB706" i="1" a="1"/>
  <c r="BB706" i="1" s="1"/>
  <c r="BB707" i="1" a="1"/>
  <c r="BB707" i="1" s="1"/>
  <c r="BB708" i="1" a="1"/>
  <c r="BB708" i="1" s="1"/>
  <c r="BB709" i="1" a="1"/>
  <c r="BB709" i="1" s="1"/>
  <c r="BB710" i="1" a="1"/>
  <c r="BB710" i="1" s="1"/>
  <c r="BB711" i="1" a="1"/>
  <c r="BB711" i="1" s="1"/>
  <c r="BB712" i="1" a="1"/>
  <c r="BB712" i="1" s="1"/>
  <c r="BB713" i="1" a="1"/>
  <c r="BB713" i="1" s="1"/>
  <c r="BB714" i="1" a="1"/>
  <c r="BB714" i="1" s="1"/>
  <c r="BB715" i="1" a="1"/>
  <c r="BB715" i="1" s="1"/>
  <c r="BB716" i="1" a="1"/>
  <c r="BB716" i="1" s="1"/>
  <c r="BB717" i="1" a="1"/>
  <c r="BB717" i="1" s="1"/>
  <c r="BB718" i="1" a="1"/>
  <c r="BB718" i="1" s="1"/>
  <c r="BB719" i="1" a="1"/>
  <c r="BB719" i="1" s="1"/>
  <c r="BB720" i="1" a="1"/>
  <c r="BB720" i="1" s="1"/>
  <c r="BB721" i="1" a="1"/>
  <c r="BB721" i="1" s="1"/>
  <c r="BB722" i="1" a="1"/>
  <c r="BB722" i="1" s="1"/>
  <c r="BB723" i="1" a="1"/>
  <c r="BB723" i="1" s="1"/>
  <c r="BB724" i="1" a="1"/>
  <c r="BB724" i="1" s="1"/>
  <c r="BB725" i="1" a="1"/>
  <c r="BB725" i="1" s="1"/>
  <c r="BB726" i="1" a="1"/>
  <c r="BB726" i="1" s="1"/>
  <c r="BB727" i="1" a="1"/>
  <c r="BB727" i="1" s="1"/>
  <c r="BB728" i="1" a="1"/>
  <c r="BB728" i="1" s="1"/>
  <c r="BB729" i="1" a="1"/>
  <c r="BB729" i="1" s="1"/>
  <c r="BB730" i="1" a="1"/>
  <c r="BB730" i="1" s="1"/>
  <c r="BB731" i="1" a="1"/>
  <c r="BB731" i="1" s="1"/>
  <c r="BB732" i="1" a="1"/>
  <c r="BB732" i="1" s="1"/>
  <c r="BB733" i="1" a="1"/>
  <c r="BB733" i="1" s="1"/>
  <c r="BB734" i="1" a="1"/>
  <c r="BB734" i="1" s="1"/>
  <c r="BB735" i="1" a="1"/>
  <c r="BB735" i="1" s="1"/>
  <c r="BB736" i="1" a="1"/>
  <c r="BB736" i="1" s="1"/>
  <c r="BB737" i="1" a="1"/>
  <c r="BB737" i="1" s="1"/>
  <c r="BB738" i="1" a="1"/>
  <c r="BB738" i="1" s="1"/>
  <c r="BB739" i="1" a="1"/>
  <c r="BB739" i="1" s="1"/>
  <c r="BB740" i="1" a="1"/>
  <c r="BB740" i="1" s="1"/>
  <c r="BB741" i="1" a="1"/>
  <c r="BB741" i="1" s="1"/>
  <c r="BB742" i="1" a="1"/>
  <c r="BB742" i="1" s="1"/>
  <c r="BB743" i="1" a="1"/>
  <c r="BB743" i="1" s="1"/>
  <c r="BB744" i="1" a="1"/>
  <c r="BB744" i="1" s="1"/>
  <c r="BB745" i="1" a="1"/>
  <c r="BB745" i="1" s="1"/>
  <c r="BB746" i="1" a="1"/>
  <c r="BB746" i="1" s="1"/>
  <c r="BB747" i="1" a="1"/>
  <c r="BB747" i="1" s="1"/>
  <c r="BB748" i="1" a="1"/>
  <c r="BB748" i="1" s="1"/>
  <c r="BB749" i="1" a="1"/>
  <c r="BB749" i="1" s="1"/>
  <c r="BB750" i="1" a="1"/>
  <c r="BB750" i="1" s="1"/>
  <c r="BB751" i="1" a="1"/>
  <c r="BB751" i="1" s="1"/>
  <c r="BB752" i="1" a="1"/>
  <c r="BB752" i="1" s="1"/>
  <c r="BB753" i="1" a="1"/>
  <c r="BB753" i="1" s="1"/>
  <c r="BB754" i="1" a="1"/>
  <c r="BB754" i="1" s="1"/>
  <c r="BB755" i="1" a="1"/>
  <c r="BB755" i="1" s="1"/>
  <c r="BB756" i="1" a="1"/>
  <c r="BB756" i="1" s="1"/>
  <c r="BB757" i="1" a="1"/>
  <c r="BB757" i="1" s="1"/>
  <c r="BB758" i="1" a="1"/>
  <c r="BB758" i="1" s="1"/>
  <c r="BB759" i="1" a="1"/>
  <c r="BB759" i="1" s="1"/>
  <c r="BB760" i="1" a="1"/>
  <c r="BB760" i="1" s="1"/>
  <c r="BB761" i="1" a="1"/>
  <c r="BB761" i="1" s="1"/>
  <c r="BB762" i="1" a="1"/>
  <c r="BB762" i="1" s="1"/>
  <c r="BB763" i="1" a="1"/>
  <c r="BB763" i="1" s="1"/>
  <c r="BB764" i="1" a="1"/>
  <c r="BB764" i="1" s="1"/>
  <c r="BB765" i="1" a="1"/>
  <c r="BB765" i="1" s="1"/>
  <c r="BB766" i="1" a="1"/>
  <c r="BB766" i="1" s="1"/>
  <c r="BB767" i="1" a="1"/>
  <c r="BB767" i="1" s="1"/>
  <c r="BB768" i="1" a="1"/>
  <c r="BB768" i="1" s="1"/>
  <c r="BB769" i="1" a="1"/>
  <c r="BB769" i="1" s="1"/>
  <c r="BB770" i="1" a="1"/>
  <c r="BB770" i="1" s="1"/>
  <c r="BB771" i="1" a="1"/>
  <c r="BB771" i="1" s="1"/>
  <c r="BB772" i="1" a="1"/>
  <c r="BB772" i="1" s="1"/>
  <c r="BB773" i="1" a="1"/>
  <c r="BB773" i="1" s="1"/>
  <c r="BB774" i="1" a="1"/>
  <c r="BB774" i="1" s="1"/>
  <c r="BB775" i="1" a="1"/>
  <c r="BB775" i="1" s="1"/>
  <c r="BB776" i="1" a="1"/>
  <c r="BB776" i="1" s="1"/>
  <c r="BB777" i="1" a="1"/>
  <c r="BB777" i="1" s="1"/>
  <c r="BB778" i="1" a="1"/>
  <c r="BB778" i="1" s="1"/>
  <c r="BB779" i="1" a="1"/>
  <c r="BB779" i="1" s="1"/>
  <c r="BB780" i="1" a="1"/>
  <c r="BB780" i="1" s="1"/>
  <c r="BB781" i="1" a="1"/>
  <c r="BB781" i="1" s="1"/>
  <c r="BB782" i="1" a="1"/>
  <c r="BB782" i="1" s="1"/>
  <c r="BB783" i="1" a="1"/>
  <c r="BB783" i="1" s="1"/>
  <c r="BB784" i="1" a="1"/>
  <c r="BB784" i="1" s="1"/>
  <c r="BB785" i="1" a="1"/>
  <c r="BB785" i="1" s="1"/>
  <c r="BB786" i="1" a="1"/>
  <c r="BB786" i="1" s="1"/>
  <c r="BB787" i="1" a="1"/>
  <c r="BB787" i="1" s="1"/>
  <c r="BB788" i="1" a="1"/>
  <c r="BB788" i="1" s="1"/>
  <c r="BB789" i="1" a="1"/>
  <c r="BB789" i="1" s="1"/>
  <c r="BB790" i="1" a="1"/>
  <c r="BB790" i="1" s="1"/>
  <c r="BB791" i="1" a="1"/>
  <c r="BB791" i="1" s="1"/>
  <c r="BB792" i="1" a="1"/>
  <c r="BB792" i="1" s="1"/>
  <c r="BB793" i="1" a="1"/>
  <c r="BB793" i="1" s="1"/>
  <c r="BB794" i="1" a="1"/>
  <c r="BB794" i="1" s="1"/>
  <c r="BB795" i="1" a="1"/>
  <c r="BB795" i="1" s="1"/>
  <c r="BB796" i="1" a="1"/>
  <c r="BB796" i="1" s="1"/>
  <c r="BB797" i="1" a="1"/>
  <c r="BB797" i="1" s="1"/>
  <c r="BB798" i="1" a="1"/>
  <c r="BB798" i="1" s="1"/>
  <c r="BB799" i="1" a="1"/>
  <c r="BB799" i="1" s="1"/>
  <c r="BB800" i="1" a="1"/>
  <c r="BB800" i="1" s="1"/>
  <c r="BB801" i="1" a="1"/>
  <c r="BB801" i="1" s="1"/>
  <c r="BB802" i="1" a="1"/>
  <c r="BB802" i="1" s="1"/>
  <c r="BB803" i="1" a="1"/>
  <c r="BB803" i="1" s="1"/>
  <c r="BB804" i="1" a="1"/>
  <c r="BB804" i="1" s="1"/>
  <c r="BB805" i="1" a="1"/>
  <c r="BB805" i="1" s="1"/>
  <c r="BB806" i="1" a="1"/>
  <c r="BB806" i="1" s="1"/>
  <c r="BB807" i="1" a="1"/>
  <c r="BB807" i="1" s="1"/>
  <c r="BB808" i="1" a="1"/>
  <c r="BB808" i="1" s="1"/>
  <c r="BB809" i="1" a="1"/>
  <c r="BB809" i="1" s="1"/>
  <c r="BB810" i="1" a="1"/>
  <c r="BB810" i="1" s="1"/>
  <c r="BB811" i="1" a="1"/>
  <c r="BB811" i="1" s="1"/>
  <c r="BB812" i="1" a="1"/>
  <c r="BB812" i="1" s="1"/>
  <c r="BB813" i="1" a="1"/>
  <c r="BB813" i="1" s="1"/>
  <c r="BB814" i="1" a="1"/>
  <c r="BB814" i="1" s="1"/>
  <c r="BB815" i="1" a="1"/>
  <c r="BB815" i="1" s="1"/>
  <c r="BB816" i="1" a="1"/>
  <c r="BB816" i="1" s="1"/>
  <c r="BB817" i="1" a="1"/>
  <c r="BB817" i="1" s="1"/>
  <c r="BB818" i="1" a="1"/>
  <c r="BB818" i="1" s="1"/>
  <c r="BB819" i="1" a="1"/>
  <c r="BB819" i="1" s="1"/>
  <c r="BB820" i="1" a="1"/>
  <c r="BB820" i="1" s="1"/>
  <c r="BB821" i="1" a="1"/>
  <c r="BB821" i="1" s="1"/>
  <c r="BB822" i="1" a="1"/>
  <c r="BB822" i="1" s="1"/>
  <c r="BB823" i="1" a="1"/>
  <c r="BB823" i="1" s="1"/>
  <c r="BB824" i="1" a="1"/>
  <c r="BB824" i="1" s="1"/>
  <c r="BB825" i="1" a="1"/>
  <c r="BB825" i="1" s="1"/>
  <c r="BB826" i="1" a="1"/>
  <c r="BB826" i="1" s="1"/>
  <c r="BB827" i="1" a="1"/>
  <c r="BB827" i="1" s="1"/>
  <c r="BB828" i="1" a="1"/>
  <c r="BB828" i="1" s="1"/>
  <c r="BB829" i="1" a="1"/>
  <c r="BB829" i="1" s="1"/>
  <c r="BB830" i="1" a="1"/>
  <c r="BB830" i="1" s="1"/>
  <c r="BB831" i="1" a="1"/>
  <c r="BB831" i="1" s="1"/>
  <c r="BB832" i="1" a="1"/>
  <c r="BB832" i="1" s="1"/>
  <c r="BB833" i="1" a="1"/>
  <c r="BB833" i="1" s="1"/>
  <c r="BB834" i="1" a="1"/>
  <c r="BB834" i="1" s="1"/>
  <c r="BB835" i="1" a="1"/>
  <c r="BB835" i="1" s="1"/>
  <c r="BB836" i="1" a="1"/>
  <c r="BB836" i="1" s="1"/>
  <c r="BB837" i="1" a="1"/>
  <c r="BB837" i="1" s="1"/>
  <c r="BB838" i="1" a="1"/>
  <c r="BB838" i="1" s="1"/>
  <c r="BB839" i="1" a="1"/>
  <c r="BB839" i="1" s="1"/>
  <c r="BB840" i="1" a="1"/>
  <c r="BB840" i="1" s="1"/>
  <c r="BB841" i="1" a="1"/>
  <c r="BB841" i="1" s="1"/>
  <c r="BB842" i="1" a="1"/>
  <c r="BB842" i="1" s="1"/>
  <c r="BB843" i="1" a="1"/>
  <c r="BB843" i="1" s="1"/>
  <c r="BB844" i="1" a="1"/>
  <c r="BB844" i="1" s="1"/>
  <c r="BB845" i="1" a="1"/>
  <c r="BB845" i="1" s="1"/>
  <c r="BB846" i="1" a="1"/>
  <c r="BB846" i="1" s="1"/>
  <c r="BB847" i="1" a="1"/>
  <c r="BB847" i="1" s="1"/>
  <c r="BB848" i="1" a="1"/>
  <c r="BB848" i="1" s="1"/>
  <c r="BB849" i="1" a="1"/>
  <c r="BB849" i="1" s="1"/>
  <c r="BB850" i="1" a="1"/>
  <c r="BB850" i="1" s="1"/>
  <c r="BB851" i="1" a="1"/>
  <c r="BB851" i="1" s="1"/>
  <c r="BB852" i="1" a="1"/>
  <c r="BB852" i="1" s="1"/>
  <c r="BB853" i="1" a="1"/>
  <c r="BB853" i="1" s="1"/>
  <c r="BB854" i="1" a="1"/>
  <c r="BB854" i="1" s="1"/>
  <c r="BB855" i="1" a="1"/>
  <c r="BB855" i="1" s="1"/>
  <c r="BB856" i="1" a="1"/>
  <c r="BB856" i="1" s="1"/>
  <c r="BB857" i="1" a="1"/>
  <c r="BB857" i="1" s="1"/>
  <c r="BB858" i="1" a="1"/>
  <c r="BB858" i="1" s="1"/>
  <c r="BB859" i="1" a="1"/>
  <c r="BB859" i="1" s="1"/>
  <c r="BB860" i="1" a="1"/>
  <c r="BB860" i="1" s="1"/>
  <c r="BB861" i="1" a="1"/>
  <c r="BB861" i="1" s="1"/>
  <c r="BB862" i="1" a="1"/>
  <c r="BB862" i="1" s="1"/>
  <c r="BB863" i="1" a="1"/>
  <c r="BB863" i="1" s="1"/>
  <c r="BB864" i="1" a="1"/>
  <c r="BB864" i="1" s="1"/>
  <c r="BB865" i="1" a="1"/>
  <c r="BB865" i="1" s="1"/>
  <c r="BB866" i="1" a="1"/>
  <c r="BB866" i="1" s="1"/>
  <c r="BB867" i="1" a="1"/>
  <c r="BB867" i="1" s="1"/>
  <c r="BB868" i="1" a="1"/>
  <c r="BB868" i="1" s="1"/>
  <c r="BB869" i="1" a="1"/>
  <c r="BB869" i="1" s="1"/>
  <c r="BB870" i="1" a="1"/>
  <c r="BB870" i="1" s="1"/>
  <c r="BB871" i="1" a="1"/>
  <c r="BB871" i="1" s="1"/>
  <c r="BB872" i="1" a="1"/>
  <c r="BB872" i="1" s="1"/>
  <c r="BB873" i="1" a="1"/>
  <c r="BB873" i="1" s="1"/>
  <c r="BB874" i="1" a="1"/>
  <c r="BB874" i="1" s="1"/>
  <c r="BB875" i="1" a="1"/>
  <c r="BB875" i="1" s="1"/>
  <c r="BB876" i="1" a="1"/>
  <c r="BB876" i="1" s="1"/>
  <c r="BB877" i="1" a="1"/>
  <c r="BB877" i="1" s="1"/>
  <c r="BB878" i="1" a="1"/>
  <c r="BB878" i="1" s="1"/>
  <c r="BB879" i="1" a="1"/>
  <c r="BB879" i="1" s="1"/>
  <c r="BB880" i="1" a="1"/>
  <c r="BB880" i="1" s="1"/>
  <c r="BB881" i="1" a="1"/>
  <c r="BB881" i="1" s="1"/>
  <c r="BB882" i="1" a="1"/>
  <c r="BB882" i="1" s="1"/>
  <c r="BB883" i="1" a="1"/>
  <c r="BB883" i="1" s="1"/>
  <c r="BB884" i="1" a="1"/>
  <c r="BB884" i="1" s="1"/>
  <c r="BB885" i="1" a="1"/>
  <c r="BB885" i="1" s="1"/>
  <c r="BB886" i="1" a="1"/>
  <c r="BB886" i="1" s="1"/>
  <c r="BB887" i="1" a="1"/>
  <c r="BB887" i="1" s="1"/>
  <c r="BB888" i="1" a="1"/>
  <c r="BB888" i="1" s="1"/>
  <c r="BB889" i="1" a="1"/>
  <c r="BB889" i="1" s="1"/>
  <c r="BB890" i="1" a="1"/>
  <c r="BB890" i="1" s="1"/>
  <c r="BB891" i="1" a="1"/>
  <c r="BB891" i="1" s="1"/>
  <c r="BB892" i="1" a="1"/>
  <c r="BB892" i="1" s="1"/>
  <c r="BB893" i="1" a="1"/>
  <c r="BB893" i="1" s="1"/>
  <c r="BB894" i="1" a="1"/>
  <c r="BB894" i="1" s="1"/>
  <c r="BB895" i="1" a="1"/>
  <c r="BB895" i="1" s="1"/>
  <c r="BB896" i="1" a="1"/>
  <c r="BB896" i="1" s="1"/>
  <c r="BB897" i="1" a="1"/>
  <c r="BB897" i="1" s="1"/>
  <c r="BB898" i="1" a="1"/>
  <c r="BB898" i="1" s="1"/>
  <c r="BB899" i="1" a="1"/>
  <c r="BB899" i="1" s="1"/>
  <c r="BB900" i="1" a="1"/>
  <c r="BB900" i="1" s="1"/>
  <c r="BB901" i="1" a="1"/>
  <c r="BB901" i="1" s="1"/>
  <c r="BB902" i="1" a="1"/>
  <c r="BB902" i="1" s="1"/>
  <c r="BB903" i="1" a="1"/>
  <c r="BB903" i="1" s="1"/>
  <c r="BB904" i="1" a="1"/>
  <c r="BB904" i="1" s="1"/>
  <c r="BB905" i="1" a="1"/>
  <c r="BB905" i="1" s="1"/>
  <c r="BB906" i="1" a="1"/>
  <c r="BB906" i="1" s="1"/>
  <c r="BB907" i="1" a="1"/>
  <c r="BB907" i="1" s="1"/>
  <c r="BB908" i="1" a="1"/>
  <c r="BB908" i="1" s="1"/>
  <c r="BB909" i="1" a="1"/>
  <c r="BB909" i="1" s="1"/>
  <c r="BB910" i="1" a="1"/>
  <c r="BB910" i="1" s="1"/>
  <c r="BB911" i="1" a="1"/>
  <c r="BB911" i="1" s="1"/>
  <c r="BB912" i="1" a="1"/>
  <c r="BB912" i="1" s="1"/>
  <c r="BB913" i="1" a="1"/>
  <c r="BB913" i="1" s="1"/>
  <c r="BB914" i="1" a="1"/>
  <c r="BB914" i="1" s="1"/>
  <c r="BB915" i="1" a="1"/>
  <c r="BB915" i="1" s="1"/>
  <c r="BB916" i="1" a="1"/>
  <c r="BB916" i="1" s="1"/>
  <c r="BB917" i="1" a="1"/>
  <c r="BB917" i="1" s="1"/>
  <c r="BB918" i="1" a="1"/>
  <c r="BB918" i="1" s="1"/>
  <c r="BB919" i="1" a="1"/>
  <c r="BB919" i="1" s="1"/>
  <c r="BB920" i="1" a="1"/>
  <c r="BB920" i="1" s="1"/>
  <c r="BB921" i="1" a="1"/>
  <c r="BB921" i="1" s="1"/>
  <c r="BB922" i="1" a="1"/>
  <c r="BB922" i="1" s="1"/>
  <c r="BB923" i="1" a="1"/>
  <c r="BB923" i="1" s="1"/>
  <c r="BB924" i="1" a="1"/>
  <c r="BB924" i="1" s="1"/>
  <c r="BB925" i="1" a="1"/>
  <c r="BB925" i="1" s="1"/>
  <c r="BB926" i="1" a="1"/>
  <c r="BB926" i="1" s="1"/>
  <c r="BB927" i="1" a="1"/>
  <c r="BB927" i="1" s="1"/>
  <c r="BB928" i="1" a="1"/>
  <c r="BB928" i="1" s="1"/>
  <c r="BB929" i="1" a="1"/>
  <c r="BB929" i="1" s="1"/>
  <c r="BB930" i="1" a="1"/>
  <c r="BB930" i="1" s="1"/>
  <c r="BB931" i="1" a="1"/>
  <c r="BB931" i="1" s="1"/>
  <c r="BB932" i="1" a="1"/>
  <c r="BB932" i="1" s="1"/>
  <c r="BB933" i="1" a="1"/>
  <c r="BB933" i="1" s="1"/>
  <c r="BB934" i="1" a="1"/>
  <c r="BB934" i="1" s="1"/>
  <c r="BB935" i="1" a="1"/>
  <c r="BB935" i="1" s="1"/>
  <c r="BB936" i="1" a="1"/>
  <c r="BB936" i="1" s="1"/>
  <c r="BB937" i="1" a="1"/>
  <c r="BB937" i="1" s="1"/>
  <c r="BB938" i="1" a="1"/>
  <c r="BB938" i="1" s="1"/>
  <c r="BB939" i="1" a="1"/>
  <c r="BB939" i="1" s="1"/>
  <c r="BB940" i="1" a="1"/>
  <c r="BB940" i="1" s="1"/>
  <c r="BB941" i="1" a="1"/>
  <c r="BB941" i="1" s="1"/>
  <c r="BB942" i="1" a="1"/>
  <c r="BB942" i="1" s="1"/>
  <c r="BB943" i="1" a="1"/>
  <c r="BB943" i="1" s="1"/>
  <c r="BB944" i="1" a="1"/>
  <c r="BB944" i="1" s="1"/>
  <c r="BB945" i="1" a="1"/>
  <c r="BB945" i="1" s="1"/>
  <c r="BB946" i="1" a="1"/>
  <c r="BB946" i="1" s="1"/>
  <c r="BB947" i="1" a="1"/>
  <c r="BB947" i="1" s="1"/>
  <c r="BB948" i="1" a="1"/>
  <c r="BB948" i="1" s="1"/>
  <c r="BB949" i="1" a="1"/>
  <c r="BB949" i="1" s="1"/>
  <c r="BB950" i="1" a="1"/>
  <c r="BB950" i="1" s="1"/>
  <c r="BB951" i="1" a="1"/>
  <c r="BB951" i="1" s="1"/>
  <c r="BB952" i="1" a="1"/>
  <c r="BB952" i="1" s="1"/>
  <c r="BB953" i="1" a="1"/>
  <c r="BB953" i="1" s="1"/>
  <c r="BB954" i="1" a="1"/>
  <c r="BB954" i="1" s="1"/>
  <c r="BB955" i="1" a="1"/>
  <c r="BB955" i="1" s="1"/>
  <c r="BB956" i="1" a="1"/>
  <c r="BB956" i="1" s="1"/>
  <c r="BB957" i="1" a="1"/>
  <c r="BB957" i="1" s="1"/>
  <c r="BB958" i="1" a="1"/>
  <c r="BB958" i="1" s="1"/>
  <c r="BB959" i="1" a="1"/>
  <c r="BB959" i="1" s="1"/>
  <c r="BB960" i="1" a="1"/>
  <c r="BB960" i="1" s="1"/>
  <c r="BB961" i="1" a="1"/>
  <c r="BB961" i="1" s="1"/>
  <c r="BB962" i="1" a="1"/>
  <c r="BB962" i="1" s="1"/>
  <c r="BB963" i="1" a="1"/>
  <c r="BB963" i="1" s="1"/>
  <c r="BB964" i="1" a="1"/>
  <c r="BB964" i="1" s="1"/>
  <c r="BB965" i="1" a="1"/>
  <c r="BB965" i="1" s="1"/>
  <c r="BB966" i="1" a="1"/>
  <c r="BB966" i="1" s="1"/>
  <c r="BB967" i="1" a="1"/>
  <c r="BB967" i="1" s="1"/>
  <c r="BB968" i="1" a="1"/>
  <c r="BB968" i="1" s="1"/>
  <c r="BB969" i="1" a="1"/>
  <c r="BB969" i="1" s="1"/>
  <c r="BB970" i="1" a="1"/>
  <c r="BB970" i="1" s="1"/>
  <c r="BB971" i="1" a="1"/>
  <c r="BB971" i="1" s="1"/>
  <c r="BB972" i="1" a="1"/>
  <c r="BB972" i="1" s="1"/>
  <c r="BB973" i="1" a="1"/>
  <c r="BB973" i="1" s="1"/>
  <c r="BB974" i="1" a="1"/>
  <c r="BB974" i="1" s="1"/>
  <c r="BB975" i="1" a="1"/>
  <c r="BB975" i="1" s="1"/>
  <c r="BB976" i="1" a="1"/>
  <c r="BB976" i="1" s="1"/>
  <c r="BB977" i="1" a="1"/>
  <c r="BB977" i="1" s="1"/>
  <c r="BB978" i="1" a="1"/>
  <c r="BB978" i="1" s="1"/>
  <c r="BB979" i="1" a="1"/>
  <c r="BB979" i="1" s="1"/>
  <c r="BB980" i="1" a="1"/>
  <c r="BB980" i="1" s="1"/>
  <c r="BB981" i="1" a="1"/>
  <c r="BB981" i="1" s="1"/>
  <c r="BB982" i="1" a="1"/>
  <c r="BB982" i="1" s="1"/>
  <c r="BB983" i="1" a="1"/>
  <c r="BB983" i="1" s="1"/>
  <c r="BB984" i="1" a="1"/>
  <c r="BB984" i="1" s="1"/>
  <c r="BB985" i="1" a="1"/>
  <c r="BB985" i="1" s="1"/>
  <c r="BB986" i="1" a="1"/>
  <c r="BB986" i="1" s="1"/>
  <c r="BB987" i="1" a="1"/>
  <c r="BB987" i="1" s="1"/>
  <c r="BB988" i="1" a="1"/>
  <c r="BB988" i="1" s="1"/>
  <c r="BB989" i="1" a="1"/>
  <c r="BB989" i="1" s="1"/>
  <c r="BB990" i="1" a="1"/>
  <c r="BB990" i="1" s="1"/>
  <c r="BB991" i="1" a="1"/>
  <c r="BB991" i="1" s="1"/>
  <c r="BB992" i="1" a="1"/>
  <c r="BB992" i="1" s="1"/>
  <c r="BB993" i="1" a="1"/>
  <c r="BB993" i="1" s="1"/>
  <c r="BB994" i="1" a="1"/>
  <c r="BB994" i="1" s="1"/>
  <c r="BB995" i="1" a="1"/>
  <c r="BB995" i="1" s="1"/>
  <c r="BB996" i="1" a="1"/>
  <c r="BB996" i="1" s="1"/>
  <c r="BB997" i="1" a="1"/>
  <c r="BB997" i="1" s="1"/>
  <c r="BB998" i="1" a="1"/>
  <c r="BB998" i="1" s="1"/>
  <c r="BB999" i="1" a="1"/>
  <c r="BB999" i="1" s="1"/>
  <c r="BB1000" i="1" a="1"/>
  <c r="BB1000" i="1" s="1"/>
  <c r="BB1001" i="1" a="1"/>
  <c r="BB1001" i="1" s="1"/>
  <c r="BB1002" i="1" a="1"/>
  <c r="BB1002" i="1" s="1"/>
  <c r="BB1003" i="1" a="1"/>
  <c r="BB1003" i="1" s="1"/>
  <c r="BB1004" i="1" a="1"/>
  <c r="BB1004" i="1" s="1"/>
  <c r="BB1005" i="1" a="1"/>
  <c r="BB1005" i="1" s="1"/>
  <c r="BB1006" i="1" a="1"/>
  <c r="BB1006" i="1" s="1"/>
  <c r="BB1007" i="1" a="1"/>
  <c r="BB1007" i="1" s="1"/>
  <c r="BB1008" i="1" a="1"/>
  <c r="BB1008" i="1" s="1"/>
  <c r="BB1009" i="1" a="1"/>
  <c r="BB1009" i="1" s="1"/>
  <c r="BB1010" i="1" a="1"/>
  <c r="BB1010" i="1" s="1"/>
  <c r="BB1011" i="1" a="1"/>
  <c r="BB1011" i="1" s="1"/>
  <c r="BB1012" i="1" a="1"/>
  <c r="BB1012" i="1" s="1"/>
  <c r="BB1013" i="1" a="1"/>
  <c r="BB1013" i="1" s="1"/>
  <c r="BB1014" i="1" a="1"/>
  <c r="BB1014" i="1" s="1"/>
  <c r="BB1015" i="1" a="1"/>
  <c r="BB1015" i="1" s="1"/>
  <c r="BB1016" i="1" a="1"/>
  <c r="BB1016" i="1" s="1"/>
  <c r="BB1017" i="1" a="1"/>
  <c r="BB1017" i="1" s="1"/>
  <c r="BB1018" i="1" a="1"/>
  <c r="BB1018" i="1" s="1"/>
  <c r="BB1019" i="1" a="1"/>
  <c r="BB1019" i="1" s="1"/>
  <c r="BB1020" i="1" a="1"/>
  <c r="BB1020" i="1" s="1"/>
  <c r="BB1021" i="1" a="1"/>
  <c r="BB1021" i="1" s="1"/>
  <c r="BB1022" i="1" a="1"/>
  <c r="BB1022" i="1" s="1"/>
  <c r="BB1023" i="1" a="1"/>
  <c r="BB1023" i="1" s="1"/>
  <c r="BB1024" i="1" a="1"/>
  <c r="BB1024" i="1" s="1"/>
  <c r="BB1025" i="1" a="1"/>
  <c r="BB1025" i="1" s="1"/>
  <c r="BB1026" i="1" a="1"/>
  <c r="BB1026" i="1" s="1"/>
  <c r="BB1027" i="1" a="1"/>
  <c r="BB1027" i="1" s="1"/>
  <c r="BB1028" i="1" a="1"/>
  <c r="BB1028" i="1" s="1"/>
  <c r="BB1029" i="1" a="1"/>
  <c r="BB1029" i="1" s="1"/>
  <c r="BB1030" i="1" a="1"/>
  <c r="BB1030" i="1" s="1"/>
  <c r="BB1031" i="1" a="1"/>
  <c r="BB1031" i="1" s="1"/>
  <c r="BB1032" i="1" a="1"/>
  <c r="BB1032" i="1" s="1"/>
  <c r="BB1033" i="1" a="1"/>
  <c r="BB1033" i="1" s="1"/>
  <c r="BB1034" i="1" a="1"/>
  <c r="BB1034" i="1" s="1"/>
  <c r="BB1035" i="1" a="1"/>
  <c r="BB1035" i="1" s="1"/>
  <c r="BB1036" i="1" a="1"/>
  <c r="BB1036" i="1" s="1"/>
  <c r="BB1037" i="1" a="1"/>
  <c r="BB1037" i="1" s="1"/>
  <c r="BB1038" i="1" a="1"/>
  <c r="BB1038" i="1" s="1"/>
  <c r="BB1039" i="1" a="1"/>
  <c r="BB1039" i="1" s="1"/>
  <c r="BB1040" i="1" a="1"/>
  <c r="BB1040" i="1" s="1"/>
  <c r="BB1041" i="1" a="1"/>
  <c r="BB1041" i="1" s="1"/>
  <c r="BB1042" i="1" a="1"/>
  <c r="BB1042" i="1" s="1"/>
  <c r="BB1043" i="1" a="1"/>
  <c r="BB1043" i="1" s="1"/>
  <c r="BB1044" i="1" a="1"/>
  <c r="BB1044" i="1" s="1"/>
  <c r="BB1045" i="1" a="1"/>
  <c r="BB1045" i="1" s="1"/>
  <c r="BB1046" i="1" a="1"/>
  <c r="BB1046" i="1" s="1"/>
  <c r="BB1047" i="1" a="1"/>
  <c r="BB1047" i="1" s="1"/>
  <c r="BB1048" i="1" a="1"/>
  <c r="BB1048" i="1" s="1"/>
  <c r="BB1049" i="1" a="1"/>
  <c r="BB1049" i="1" s="1"/>
  <c r="BB1050" i="1" a="1"/>
  <c r="BB1050" i="1" s="1"/>
  <c r="BB1051" i="1" a="1"/>
  <c r="BB1051" i="1" s="1"/>
  <c r="BB1052" i="1" a="1"/>
  <c r="BB1052" i="1" s="1"/>
  <c r="BB1053" i="1" a="1"/>
  <c r="BB1053" i="1" s="1"/>
  <c r="BB1054" i="1" a="1"/>
  <c r="BB1054" i="1" s="1"/>
  <c r="BB1055" i="1" a="1"/>
  <c r="BB1055" i="1" s="1"/>
  <c r="BB1056" i="1" a="1"/>
  <c r="BB1056" i="1" s="1"/>
  <c r="BB1057" i="1" a="1"/>
  <c r="BB1057" i="1" s="1"/>
  <c r="BB1058" i="1" a="1"/>
  <c r="BB1058" i="1" s="1"/>
  <c r="BB1059" i="1" a="1"/>
  <c r="BB1059" i="1" s="1"/>
  <c r="BB1060" i="1" a="1"/>
  <c r="BB1060" i="1" s="1"/>
  <c r="BB1061" i="1" a="1"/>
  <c r="BB1061" i="1" s="1"/>
  <c r="BB1062" i="1" a="1"/>
  <c r="BB1062" i="1" s="1"/>
  <c r="BB1063" i="1" a="1"/>
  <c r="BB1063" i="1" s="1"/>
  <c r="BB1064" i="1" a="1"/>
  <c r="BB1064" i="1" s="1"/>
  <c r="BB1065" i="1" a="1"/>
  <c r="BB1065" i="1" s="1"/>
  <c r="BB1066" i="1" a="1"/>
  <c r="BB1066" i="1" s="1"/>
  <c r="BB1067" i="1" a="1"/>
  <c r="BB1067" i="1" s="1"/>
  <c r="BB1068" i="1" a="1"/>
  <c r="BB1068" i="1" s="1"/>
  <c r="BB1069" i="1" a="1"/>
  <c r="BB1069" i="1" s="1"/>
  <c r="BB1070" i="1" a="1"/>
  <c r="BB1070" i="1" s="1"/>
  <c r="BB1071" i="1" a="1"/>
  <c r="BB1071" i="1" s="1"/>
  <c r="BB1072" i="1" a="1"/>
  <c r="BB1072" i="1" s="1"/>
  <c r="BB1073" i="1" a="1"/>
  <c r="BB1073" i="1" s="1"/>
  <c r="BB1074" i="1" a="1"/>
  <c r="BB1074" i="1" s="1"/>
  <c r="BB1075" i="1" a="1"/>
  <c r="BB1075" i="1" s="1"/>
  <c r="BB1076" i="1" a="1"/>
  <c r="BB1076" i="1" s="1"/>
  <c r="BB1077" i="1" a="1"/>
  <c r="BB1077" i="1" s="1"/>
  <c r="BB1078" i="1" a="1"/>
  <c r="BB1078" i="1" s="1"/>
  <c r="BB1079" i="1" a="1"/>
  <c r="BB1079" i="1" s="1"/>
  <c r="BB1080" i="1" a="1"/>
  <c r="BB1080" i="1" s="1"/>
  <c r="BB1081" i="1" a="1"/>
  <c r="BB1081" i="1" s="1"/>
  <c r="BB1082" i="1" a="1"/>
  <c r="BB1082" i="1" s="1"/>
  <c r="BB1083" i="1" a="1"/>
  <c r="BB1083" i="1" s="1"/>
  <c r="BB1084" i="1" a="1"/>
  <c r="BB1084" i="1" s="1"/>
  <c r="BB1085" i="1" a="1"/>
  <c r="BB1085" i="1" s="1"/>
  <c r="BB1086" i="1" a="1"/>
  <c r="BB1086" i="1" s="1"/>
  <c r="BB1087" i="1" a="1"/>
  <c r="BB1087" i="1" s="1"/>
  <c r="BB1088" i="1" a="1"/>
  <c r="BB1088" i="1" s="1"/>
  <c r="BB1089" i="1" a="1"/>
  <c r="BB1089" i="1" s="1"/>
  <c r="BB1090" i="1" a="1"/>
  <c r="BB1090" i="1" s="1"/>
  <c r="BB1091" i="1" a="1"/>
  <c r="BB1091" i="1" s="1"/>
  <c r="BB1092" i="1" a="1"/>
  <c r="BB1092" i="1" s="1"/>
  <c r="BB1093" i="1" a="1"/>
  <c r="BB1093" i="1" s="1"/>
  <c r="BB1094" i="1" a="1"/>
  <c r="BB1094" i="1" s="1"/>
  <c r="BB1095" i="1" a="1"/>
  <c r="BB1095" i="1" s="1"/>
  <c r="BB1096" i="1" a="1"/>
  <c r="BB1096" i="1" s="1"/>
  <c r="BB1097" i="1" a="1"/>
  <c r="BB1097" i="1" s="1"/>
  <c r="BB1098" i="1" a="1"/>
  <c r="BB1098" i="1" s="1"/>
  <c r="BB1099" i="1" a="1"/>
  <c r="BB1099" i="1" s="1"/>
  <c r="BB1100" i="1" a="1"/>
  <c r="BB1100" i="1" s="1"/>
  <c r="BB1101" i="1" a="1"/>
  <c r="BB1101" i="1" s="1"/>
  <c r="BB1102" i="1" a="1"/>
  <c r="BB1102" i="1" s="1"/>
  <c r="BB1103" i="1" a="1"/>
  <c r="BB1103" i="1" s="1"/>
  <c r="BB1104" i="1" a="1"/>
  <c r="BB1104" i="1" s="1"/>
  <c r="BB1105" i="1" a="1"/>
  <c r="BB1105" i="1" s="1"/>
  <c r="BB1106" i="1" a="1"/>
  <c r="BB1106" i="1" s="1"/>
  <c r="BB1107" i="1" a="1"/>
  <c r="BB1107" i="1" s="1"/>
  <c r="BB1108" i="1" a="1"/>
  <c r="BB1108" i="1" s="1"/>
  <c r="BB1109" i="1" a="1"/>
  <c r="BB1109" i="1" s="1"/>
  <c r="BB1110" i="1" a="1"/>
  <c r="BB1110" i="1" s="1"/>
  <c r="BB1111" i="1" a="1"/>
  <c r="BB1111" i="1" s="1"/>
  <c r="BB1112" i="1" a="1"/>
  <c r="BB1112" i="1" s="1"/>
  <c r="BB1113" i="1" a="1"/>
  <c r="BB1113" i="1" s="1"/>
  <c r="BB1114" i="1" a="1"/>
  <c r="BB1114" i="1" s="1"/>
  <c r="BB1115" i="1" a="1"/>
  <c r="BB1115" i="1" s="1"/>
  <c r="BB1116" i="1" a="1"/>
  <c r="BB1116" i="1" s="1"/>
  <c r="BB1117" i="1" a="1"/>
  <c r="BB1117" i="1" s="1"/>
  <c r="BB1118" i="1" a="1"/>
  <c r="BB1118" i="1" s="1"/>
  <c r="BB1119" i="1" a="1"/>
  <c r="BB1119" i="1" s="1"/>
  <c r="BB1120" i="1" a="1"/>
  <c r="BB1120" i="1" s="1"/>
  <c r="BB1121" i="1" a="1"/>
  <c r="BB1121" i="1" s="1"/>
  <c r="BB1122" i="1" a="1"/>
  <c r="BB1122" i="1" s="1"/>
  <c r="BB1123" i="1" a="1"/>
  <c r="BB1123" i="1" s="1"/>
  <c r="BB1124" i="1" a="1"/>
  <c r="BB1124" i="1" s="1"/>
  <c r="BB1125" i="1" a="1"/>
  <c r="BB1125" i="1" s="1"/>
  <c r="BB1126" i="1" a="1"/>
  <c r="BB1126" i="1" s="1"/>
  <c r="BB1127" i="1" a="1"/>
  <c r="BB1127" i="1" s="1"/>
  <c r="BB1128" i="1" a="1"/>
  <c r="BB1128" i="1" s="1"/>
  <c r="BB1129" i="1" a="1"/>
  <c r="BB1129" i="1" s="1"/>
  <c r="BB1130" i="1" a="1"/>
  <c r="BB1130" i="1" s="1"/>
  <c r="BB1131" i="1" a="1"/>
  <c r="BB1131" i="1" s="1"/>
  <c r="BB1132" i="1" a="1"/>
  <c r="BB1132" i="1" s="1"/>
  <c r="BB1133" i="1" a="1"/>
  <c r="BB1133" i="1" s="1"/>
  <c r="BB1134" i="1" a="1"/>
  <c r="BB1134" i="1" s="1"/>
  <c r="BB1135" i="1" a="1"/>
  <c r="BB1135" i="1" s="1"/>
  <c r="BB1136" i="1" a="1"/>
  <c r="BB1136" i="1" s="1"/>
  <c r="BB1137" i="1" a="1"/>
  <c r="BB1137" i="1" s="1"/>
  <c r="BB1138" i="1" a="1"/>
  <c r="BB1138" i="1" s="1"/>
  <c r="BB1139" i="1" a="1"/>
  <c r="BB1139" i="1" s="1"/>
  <c r="BB1140" i="1" a="1"/>
  <c r="BB1140" i="1" s="1"/>
  <c r="BB1141" i="1" a="1"/>
  <c r="BB1141" i="1" s="1"/>
  <c r="BB1142" i="1" a="1"/>
  <c r="BB1142" i="1" s="1"/>
  <c r="BB1143" i="1" a="1"/>
  <c r="BB1143" i="1" s="1"/>
  <c r="BB1144" i="1" a="1"/>
  <c r="BB1144" i="1" s="1"/>
  <c r="BB1145" i="1" a="1"/>
  <c r="BB1145" i="1" s="1"/>
  <c r="BB1146" i="1" a="1"/>
  <c r="BB1146" i="1" s="1"/>
  <c r="BB1147" i="1" a="1"/>
  <c r="BB1147" i="1" s="1"/>
  <c r="BB1148" i="1" a="1"/>
  <c r="BB1148" i="1" s="1"/>
  <c r="BB1149" i="1" a="1"/>
  <c r="BB1149" i="1" s="1"/>
  <c r="BB1150" i="1" a="1"/>
  <c r="BB1150" i="1" s="1"/>
  <c r="BB1151" i="1" a="1"/>
  <c r="BB1151" i="1" s="1"/>
  <c r="BB1152" i="1" a="1"/>
  <c r="BB1152" i="1" s="1"/>
  <c r="BB1153" i="1" a="1"/>
  <c r="BB1153" i="1" s="1"/>
  <c r="BB1154" i="1" a="1"/>
  <c r="BB1154" i="1" s="1"/>
  <c r="BB1155" i="1" a="1"/>
  <c r="BB1155" i="1" s="1"/>
  <c r="BB1156" i="1" a="1"/>
  <c r="BB1156" i="1" s="1"/>
  <c r="BB1157" i="1" a="1"/>
  <c r="BB1157" i="1" s="1"/>
  <c r="BB1158" i="1" a="1"/>
  <c r="BB1158" i="1" s="1"/>
  <c r="BB1159" i="1" a="1"/>
  <c r="BB1159" i="1" s="1"/>
  <c r="BB1160" i="1" a="1"/>
  <c r="BB1160" i="1" s="1"/>
  <c r="BB1161" i="1" a="1"/>
  <c r="BB1161" i="1" s="1"/>
  <c r="BB1162" i="1" a="1"/>
  <c r="BB1162" i="1" s="1"/>
  <c r="BB1163" i="1" a="1"/>
  <c r="BB1163" i="1" s="1"/>
  <c r="BB1164" i="1" a="1"/>
  <c r="BB1164" i="1" s="1"/>
  <c r="BB1165" i="1" a="1"/>
  <c r="BB1165" i="1" s="1"/>
  <c r="BB1166" i="1" a="1"/>
  <c r="BB1166" i="1" s="1"/>
  <c r="BB1167" i="1" a="1"/>
  <c r="BB1167" i="1" s="1"/>
  <c r="BB1168" i="1" a="1"/>
  <c r="BB1168" i="1" s="1"/>
  <c r="BB1169" i="1" a="1"/>
  <c r="BB1169" i="1" s="1"/>
  <c r="BB1170" i="1" a="1"/>
  <c r="BB1170" i="1" s="1"/>
  <c r="BB1171" i="1" a="1"/>
  <c r="BB1171" i="1" s="1"/>
  <c r="BB1172" i="1" a="1"/>
  <c r="BB1172" i="1" s="1"/>
  <c r="BB1173" i="1" a="1"/>
  <c r="BB1173" i="1" s="1"/>
  <c r="BB1174" i="1" a="1"/>
  <c r="BB1174" i="1" s="1"/>
  <c r="BB1175" i="1" a="1"/>
  <c r="BB1175" i="1" s="1"/>
  <c r="BB1176" i="1" a="1"/>
  <c r="BB1176" i="1" s="1"/>
  <c r="BB1177" i="1" a="1"/>
  <c r="BB1177" i="1" s="1"/>
  <c r="BB1178" i="1" a="1"/>
  <c r="BB1178" i="1" s="1"/>
  <c r="BB1179" i="1" a="1"/>
  <c r="BB1179" i="1" s="1"/>
  <c r="BB1180" i="1" a="1"/>
  <c r="BB1180" i="1" s="1"/>
  <c r="BB1181" i="1" a="1"/>
  <c r="BB1181" i="1" s="1"/>
  <c r="BB1182" i="1" a="1"/>
  <c r="BB1182" i="1" s="1"/>
  <c r="BB1183" i="1" a="1"/>
  <c r="BB1183" i="1" s="1"/>
  <c r="BB1184" i="1" a="1"/>
  <c r="BB1184" i="1" s="1"/>
  <c r="BB1185" i="1" a="1"/>
  <c r="BB1185" i="1" s="1"/>
  <c r="BB1186" i="1" a="1"/>
  <c r="BB1186" i="1" s="1"/>
  <c r="BB1187" i="1" a="1"/>
  <c r="BB1187" i="1" s="1"/>
  <c r="BB1188" i="1" a="1"/>
  <c r="BB1188" i="1" s="1"/>
  <c r="BB1189" i="1" a="1"/>
  <c r="BB1189" i="1" s="1"/>
  <c r="BB1190" i="1" a="1"/>
  <c r="BB1190" i="1" s="1"/>
  <c r="BB1191" i="1" a="1"/>
  <c r="BB1191" i="1" s="1"/>
  <c r="BB1192" i="1" a="1"/>
  <c r="BB1192" i="1" s="1"/>
  <c r="BB1193" i="1" a="1"/>
  <c r="BB1193" i="1" s="1"/>
  <c r="BB1194" i="1" a="1"/>
  <c r="BB1194" i="1" s="1"/>
  <c r="BB1195" i="1" a="1"/>
  <c r="BB1195" i="1" s="1"/>
  <c r="BB1196" i="1" a="1"/>
  <c r="BB1196" i="1" s="1"/>
  <c r="BB1197" i="1" a="1"/>
  <c r="BB1197" i="1" s="1"/>
  <c r="BB1198" i="1" a="1"/>
  <c r="BB1198" i="1" s="1"/>
  <c r="BB1199" i="1" a="1"/>
  <c r="BB1199" i="1" s="1"/>
  <c r="BB1200" i="1" a="1"/>
  <c r="BB1200" i="1" s="1"/>
  <c r="BB1201" i="1" a="1"/>
  <c r="BB1201" i="1" s="1"/>
  <c r="BB1202" i="1" a="1"/>
  <c r="BB1202" i="1" s="1"/>
  <c r="BB1203" i="1" a="1"/>
  <c r="BB1203" i="1" s="1"/>
  <c r="BB1204" i="1" a="1"/>
  <c r="BB1204" i="1" s="1"/>
  <c r="BB1205" i="1" a="1"/>
  <c r="BB1205" i="1" s="1"/>
  <c r="BB1206" i="1" a="1"/>
  <c r="BB1206" i="1" s="1"/>
  <c r="BB1207" i="1" a="1"/>
  <c r="BB1207" i="1" s="1"/>
  <c r="BB1208" i="1" a="1"/>
  <c r="BB1208" i="1" s="1"/>
  <c r="BB1209" i="1" a="1"/>
  <c r="BB1209" i="1" s="1"/>
  <c r="BB1210" i="1" a="1"/>
  <c r="BB1210" i="1" s="1"/>
  <c r="BB1211" i="1" a="1"/>
  <c r="BB1211" i="1" s="1"/>
  <c r="BB1212" i="1" a="1"/>
  <c r="BB1212" i="1" s="1"/>
  <c r="BB1213" i="1" a="1"/>
  <c r="BB1213" i="1" s="1"/>
  <c r="BB1214" i="1" a="1"/>
  <c r="BB1214" i="1" s="1"/>
  <c r="BB1215" i="1" a="1"/>
  <c r="BB1215" i="1" s="1"/>
  <c r="BB1216" i="1" a="1"/>
  <c r="BB1216" i="1" s="1"/>
  <c r="BB1217" i="1" a="1"/>
  <c r="BB1217" i="1" s="1"/>
  <c r="BB1218" i="1" a="1"/>
  <c r="BB1218" i="1" s="1"/>
  <c r="BB1219" i="1" a="1"/>
  <c r="BB1219" i="1" s="1"/>
  <c r="AY37" i="3" l="1"/>
  <c r="BG37" i="3"/>
  <c r="O37" i="3"/>
  <c r="O42" i="3"/>
  <c r="EN110" i="1"/>
  <c r="EQ110" i="1" s="1"/>
  <c r="ER110" i="1" l="1"/>
  <c r="CY11" i="1"/>
  <c r="ER60" i="1" s="1"/>
  <c r="FE14" i="1" s="1"/>
  <c r="BG39" i="10" s="1"/>
  <c r="FE11" i="1"/>
  <c r="BG36" i="10" s="1"/>
  <c r="AW164" i="1" a="1"/>
  <c r="AW164" i="1" s="1"/>
  <c r="AW166" i="1" a="1"/>
  <c r="AW166" i="1" s="1"/>
  <c r="AW167" i="1" a="1"/>
  <c r="AW167" i="1" s="1"/>
  <c r="AZ167" i="1" s="1"/>
  <c r="AW169" i="1" a="1"/>
  <c r="AW169" i="1" s="1"/>
  <c r="AZ169" i="1" s="1"/>
  <c r="AW170" i="1" a="1"/>
  <c r="AW170" i="1" s="1"/>
  <c r="AW171" i="1" a="1"/>
  <c r="AW171" i="1" s="1"/>
  <c r="AZ171" i="1" s="1"/>
  <c r="AW172" i="1" a="1"/>
  <c r="AW172" i="1" s="1"/>
  <c r="AW173" i="1" a="1"/>
  <c r="AW173" i="1" s="1"/>
  <c r="AZ173" i="1" s="1"/>
  <c r="AW174" i="1" a="1"/>
  <c r="AW174" i="1" s="1"/>
  <c r="AW175" i="1" a="1"/>
  <c r="AW175" i="1" s="1"/>
  <c r="AZ175" i="1" s="1"/>
  <c r="AW176" i="1" a="1"/>
  <c r="AW176" i="1" s="1"/>
  <c r="AW177" i="1" a="1"/>
  <c r="AW177" i="1" s="1"/>
  <c r="AZ177" i="1" s="1"/>
  <c r="AW178" i="1" a="1"/>
  <c r="AW178" i="1" s="1"/>
  <c r="AW179" i="1" a="1"/>
  <c r="AW179" i="1" s="1"/>
  <c r="AZ179" i="1" s="1"/>
  <c r="AW180" i="1" a="1"/>
  <c r="AW180" i="1" s="1"/>
  <c r="AW181" i="1" a="1"/>
  <c r="AW181" i="1" s="1"/>
  <c r="AZ181" i="1" s="1"/>
  <c r="AW182" i="1" a="1"/>
  <c r="AW182" i="1" s="1"/>
  <c r="AY182" i="1" s="1"/>
  <c r="AW183" i="1" a="1"/>
  <c r="AW183" i="1" s="1"/>
  <c r="AX183" i="1" s="1"/>
  <c r="AW184" i="1" a="1"/>
  <c r="AW184" i="1" s="1"/>
  <c r="AY184" i="1" s="1"/>
  <c r="AW185" i="1" a="1"/>
  <c r="AW185" i="1" s="1"/>
  <c r="AX185" i="1" s="1"/>
  <c r="AW186" i="1" a="1"/>
  <c r="AW186" i="1" s="1"/>
  <c r="AY186" i="1" s="1"/>
  <c r="AW187" i="1" a="1"/>
  <c r="AW187" i="1" s="1"/>
  <c r="AX187" i="1" s="1"/>
  <c r="AW188" i="1" a="1"/>
  <c r="AW188" i="1" s="1"/>
  <c r="AW189" i="1" a="1"/>
  <c r="AW189" i="1" s="1"/>
  <c r="AX189" i="1" s="1"/>
  <c r="AW190" i="1" a="1"/>
  <c r="AW190" i="1" s="1"/>
  <c r="AY190" i="1" s="1"/>
  <c r="AW191" i="1" a="1"/>
  <c r="AW191" i="1" s="1"/>
  <c r="AX191" i="1" s="1"/>
  <c r="AW192" i="1" a="1"/>
  <c r="AW192" i="1" s="1"/>
  <c r="AY192" i="1" s="1"/>
  <c r="AW193" i="1" a="1"/>
  <c r="AW193" i="1" s="1"/>
  <c r="AX193" i="1" s="1"/>
  <c r="AW194" i="1" a="1"/>
  <c r="AW194" i="1" s="1"/>
  <c r="AY194" i="1" s="1"/>
  <c r="AW195" i="1" a="1"/>
  <c r="AW195" i="1" s="1"/>
  <c r="AX195" i="1" s="1"/>
  <c r="AW196" i="1" a="1"/>
  <c r="AW196" i="1" s="1"/>
  <c r="AY196" i="1" s="1"/>
  <c r="AW197" i="1" a="1"/>
  <c r="AW197" i="1" s="1"/>
  <c r="AX197" i="1" s="1"/>
  <c r="AW198" i="1" a="1"/>
  <c r="AW198" i="1" s="1"/>
  <c r="AY198" i="1" s="1"/>
  <c r="AW199" i="1" a="1"/>
  <c r="AW199" i="1" s="1"/>
  <c r="AY199" i="1" s="1"/>
  <c r="AW200" i="1" a="1"/>
  <c r="AW200" i="1" s="1"/>
  <c r="AW201" i="1" a="1"/>
  <c r="AW201" i="1" s="1"/>
  <c r="AW202" i="1" a="1"/>
  <c r="AW202" i="1" s="1"/>
  <c r="AW203" i="1" a="1"/>
  <c r="AW203" i="1" s="1"/>
  <c r="AY203" i="1" s="1"/>
  <c r="AW204" i="1" a="1"/>
  <c r="AW204" i="1" s="1"/>
  <c r="AW205" i="1" a="1"/>
  <c r="AW205" i="1" s="1"/>
  <c r="AY205" i="1" s="1"/>
  <c r="AW206" i="1" a="1"/>
  <c r="AW206" i="1" s="1"/>
  <c r="AW207" i="1" a="1"/>
  <c r="AW207" i="1" s="1"/>
  <c r="AX207" i="1" s="1"/>
  <c r="AW208" i="1" a="1"/>
  <c r="AW208" i="1" s="1"/>
  <c r="AW209" i="1" a="1"/>
  <c r="AW209" i="1" s="1"/>
  <c r="AW210" i="1" a="1"/>
  <c r="AW210" i="1" s="1"/>
  <c r="AW211" i="1" a="1"/>
  <c r="AW211" i="1" s="1"/>
  <c r="AW212" i="1" a="1"/>
  <c r="AW212" i="1" s="1"/>
  <c r="AY212" i="1" s="1"/>
  <c r="AW213" i="1" a="1"/>
  <c r="AW213" i="1" s="1"/>
  <c r="AW214" i="1" a="1"/>
  <c r="AW214" i="1" s="1"/>
  <c r="AY214" i="1" s="1"/>
  <c r="AW215" i="1" a="1"/>
  <c r="AW215" i="1" s="1"/>
  <c r="AX215" i="1" s="1"/>
  <c r="AW216" i="1" a="1"/>
  <c r="AW216" i="1" s="1"/>
  <c r="AY216" i="1" s="1"/>
  <c r="AW217" i="1" a="1"/>
  <c r="AW217" i="1" s="1"/>
  <c r="AW218" i="1" a="1"/>
  <c r="AW218" i="1" s="1"/>
  <c r="AW219" i="1" a="1"/>
  <c r="AW219" i="1" s="1"/>
  <c r="AW220" i="1" a="1"/>
  <c r="AW220" i="1" s="1"/>
  <c r="AY220" i="1" s="1"/>
  <c r="AW221" i="1" a="1"/>
  <c r="AW221" i="1" s="1"/>
  <c r="AY221" i="1" s="1"/>
  <c r="AW222" i="1" a="1"/>
  <c r="AW222" i="1" s="1"/>
  <c r="AW223" i="1" a="1"/>
  <c r="AW223" i="1" s="1"/>
  <c r="AX223" i="1" s="1"/>
  <c r="AW224" i="1" a="1"/>
  <c r="AW224" i="1" s="1"/>
  <c r="AW225" i="1" a="1"/>
  <c r="AW225" i="1" s="1"/>
  <c r="AW226" i="1" a="1"/>
  <c r="AW226" i="1" s="1"/>
  <c r="AX226" i="1" s="1"/>
  <c r="AW227" i="1" a="1"/>
  <c r="AW227" i="1" s="1"/>
  <c r="AW228" i="1" a="1"/>
  <c r="AW228" i="1" s="1"/>
  <c r="AZ228" i="1" s="1"/>
  <c r="AW229" i="1" a="1"/>
  <c r="AW229" i="1" s="1"/>
  <c r="AZ229" i="1" s="1"/>
  <c r="AW230" i="1" a="1"/>
  <c r="AW230" i="1" s="1"/>
  <c r="AW231" i="1" a="1"/>
  <c r="AW231" i="1" s="1"/>
  <c r="AW232" i="1" a="1"/>
  <c r="AW232" i="1" s="1"/>
  <c r="AW233" i="1" a="1"/>
  <c r="AW233" i="1" s="1"/>
  <c r="AW234" i="1" a="1"/>
  <c r="AW234" i="1" s="1"/>
  <c r="AZ234" i="1" s="1"/>
  <c r="AW235" i="1" a="1"/>
  <c r="AW235" i="1" s="1"/>
  <c r="AZ235" i="1" s="1"/>
  <c r="AW236" i="1" a="1"/>
  <c r="AW236" i="1" s="1"/>
  <c r="AW237" i="1" a="1"/>
  <c r="AW237" i="1" s="1"/>
  <c r="AW238" i="1" a="1"/>
  <c r="AW238" i="1" s="1"/>
  <c r="AW239" i="1" a="1"/>
  <c r="AW239" i="1" s="1"/>
  <c r="AW240" i="1" a="1"/>
  <c r="AW240" i="1" s="1"/>
  <c r="AW241" i="1" a="1"/>
  <c r="AW241" i="1" s="1"/>
  <c r="AW242" i="1" a="1"/>
  <c r="AW242" i="1" s="1"/>
  <c r="AW243" i="1" a="1"/>
  <c r="AW243" i="1" s="1"/>
  <c r="AW244" i="1" a="1"/>
  <c r="AW244" i="1" s="1"/>
  <c r="AW245" i="1" a="1"/>
  <c r="AW245" i="1" s="1"/>
  <c r="AW246" i="1" a="1"/>
  <c r="AW246" i="1" s="1"/>
  <c r="AW247" i="1" a="1"/>
  <c r="AW247" i="1" s="1"/>
  <c r="AW248" i="1" a="1"/>
  <c r="AW248" i="1" s="1"/>
  <c r="AW249" i="1" a="1"/>
  <c r="AW249" i="1" s="1"/>
  <c r="AW250" i="1" a="1"/>
  <c r="AW250" i="1" s="1"/>
  <c r="AW251" i="1" a="1"/>
  <c r="AW251" i="1" s="1"/>
  <c r="AW252" i="1" a="1"/>
  <c r="AW252" i="1" s="1"/>
  <c r="AX252" i="1" s="1"/>
  <c r="AW253" i="1" a="1"/>
  <c r="AW253" i="1" s="1"/>
  <c r="AW254" i="1" a="1"/>
  <c r="AW254" i="1" s="1"/>
  <c r="AX254" i="1" s="1"/>
  <c r="AW255" i="1" a="1"/>
  <c r="AW255" i="1" s="1"/>
  <c r="AY255" i="1" s="1"/>
  <c r="AW256" i="1" a="1"/>
  <c r="AW256" i="1" s="1"/>
  <c r="AW257" i="1" a="1"/>
  <c r="AW257" i="1" s="1"/>
  <c r="AW258" i="1" a="1"/>
  <c r="AW258" i="1" s="1"/>
  <c r="AW259" i="1" a="1"/>
  <c r="AW259" i="1" s="1"/>
  <c r="AW260" i="1" a="1"/>
  <c r="AW260" i="1" s="1"/>
  <c r="AW261" i="1" a="1"/>
  <c r="AW261" i="1" s="1"/>
  <c r="AW262" i="1" a="1"/>
  <c r="AW262" i="1" s="1"/>
  <c r="AW263" i="1" a="1"/>
  <c r="AW263" i="1" s="1"/>
  <c r="AW264" i="1" a="1"/>
  <c r="AW264" i="1" s="1"/>
  <c r="AW265" i="1" a="1"/>
  <c r="AW265" i="1" s="1"/>
  <c r="AW266" i="1" a="1"/>
  <c r="AW266" i="1" s="1"/>
  <c r="AW267" i="1" a="1"/>
  <c r="AW267" i="1" s="1"/>
  <c r="AW268" i="1" a="1"/>
  <c r="AW268" i="1" s="1"/>
  <c r="AW269" i="1" a="1"/>
  <c r="AW269" i="1" s="1"/>
  <c r="AW270" i="1" a="1"/>
  <c r="AW270" i="1" s="1"/>
  <c r="AW271" i="1" a="1"/>
  <c r="AW271" i="1" s="1"/>
  <c r="AW272" i="1" a="1"/>
  <c r="AW272" i="1" s="1"/>
  <c r="AW273" i="1" a="1"/>
  <c r="AW273" i="1" s="1"/>
  <c r="AW274" i="1" a="1"/>
  <c r="AW274" i="1" s="1"/>
  <c r="AW275" i="1" a="1"/>
  <c r="AW275" i="1" s="1"/>
  <c r="AW276" i="1" a="1"/>
  <c r="AW276" i="1" s="1"/>
  <c r="AW277" i="1" a="1"/>
  <c r="AW277" i="1" s="1"/>
  <c r="AW278" i="1" a="1"/>
  <c r="AW278" i="1" s="1"/>
  <c r="AW279" i="1" a="1"/>
  <c r="AW279" i="1" s="1"/>
  <c r="AW280" i="1" a="1"/>
  <c r="AW280" i="1" s="1"/>
  <c r="AW281" i="1" a="1"/>
  <c r="AW281" i="1" s="1"/>
  <c r="AW282" i="1" a="1"/>
  <c r="AW282" i="1" s="1"/>
  <c r="AW283" i="1" a="1"/>
  <c r="AW283" i="1" s="1"/>
  <c r="AW284" i="1" a="1"/>
  <c r="AW284" i="1" s="1"/>
  <c r="AW285" i="1" a="1"/>
  <c r="AW285" i="1" s="1"/>
  <c r="AW286" i="1" a="1"/>
  <c r="AW286" i="1" s="1"/>
  <c r="AW287" i="1" a="1"/>
  <c r="AW287" i="1" s="1"/>
  <c r="AW288" i="1" a="1"/>
  <c r="AW288" i="1" s="1"/>
  <c r="AW289" i="1" a="1"/>
  <c r="AW289" i="1" s="1"/>
  <c r="AW290" i="1" a="1"/>
  <c r="AW290" i="1" s="1"/>
  <c r="AW291" i="1" a="1"/>
  <c r="AW291" i="1" s="1"/>
  <c r="AW292" i="1" a="1"/>
  <c r="AW292" i="1" s="1"/>
  <c r="AY292" i="1" s="1"/>
  <c r="AW293" i="1" a="1"/>
  <c r="AW293" i="1" s="1"/>
  <c r="AY293" i="1" s="1"/>
  <c r="AW294" i="1" a="1"/>
  <c r="AW294" i="1" s="1"/>
  <c r="AY294" i="1" s="1"/>
  <c r="AW295" i="1" a="1"/>
  <c r="AW295" i="1" s="1"/>
  <c r="AY295" i="1" s="1"/>
  <c r="AW296" i="1" a="1"/>
  <c r="AW296" i="1" s="1"/>
  <c r="AY296" i="1" s="1"/>
  <c r="AW297" i="1" a="1"/>
  <c r="AW297" i="1" s="1"/>
  <c r="AY297" i="1" s="1"/>
  <c r="AW298" i="1" a="1"/>
  <c r="AW298" i="1" s="1"/>
  <c r="AY298" i="1" s="1"/>
  <c r="AW299" i="1" a="1"/>
  <c r="AW299" i="1" s="1"/>
  <c r="AY299" i="1" s="1"/>
  <c r="AW300" i="1" a="1"/>
  <c r="AW300" i="1" s="1"/>
  <c r="AZ300" i="1" s="1"/>
  <c r="AW301" i="1" a="1"/>
  <c r="AW301" i="1" s="1"/>
  <c r="AZ301" i="1" s="1"/>
  <c r="AW302" i="1" a="1"/>
  <c r="AW302" i="1" s="1"/>
  <c r="AZ302" i="1" s="1"/>
  <c r="AW303" i="1" a="1"/>
  <c r="AW303" i="1" s="1"/>
  <c r="AZ303" i="1" s="1"/>
  <c r="AW304" i="1" a="1"/>
  <c r="AW304" i="1" s="1"/>
  <c r="AZ304" i="1" s="1"/>
  <c r="AW305" i="1" a="1"/>
  <c r="AW305" i="1" s="1"/>
  <c r="AZ305" i="1" s="1"/>
  <c r="AW306" i="1" a="1"/>
  <c r="AW306" i="1" s="1"/>
  <c r="AZ306" i="1" s="1"/>
  <c r="AW307" i="1" a="1"/>
  <c r="AW307" i="1" s="1"/>
  <c r="AZ307" i="1" s="1"/>
  <c r="AW308" i="1" a="1"/>
  <c r="AW308" i="1" s="1"/>
  <c r="AZ308" i="1" s="1"/>
  <c r="AW309" i="1" a="1"/>
  <c r="AW309" i="1" s="1"/>
  <c r="AZ309" i="1" s="1"/>
  <c r="AW310" i="1" a="1"/>
  <c r="AW310" i="1" s="1"/>
  <c r="AZ310" i="1" s="1"/>
  <c r="AW311" i="1" a="1"/>
  <c r="AW311" i="1" s="1"/>
  <c r="AZ311" i="1" s="1"/>
  <c r="AW312" i="1" a="1"/>
  <c r="AW312" i="1" s="1"/>
  <c r="AZ312" i="1" s="1"/>
  <c r="AW313" i="1" a="1"/>
  <c r="AW313" i="1" s="1"/>
  <c r="AZ313" i="1" s="1"/>
  <c r="AW314" i="1" a="1"/>
  <c r="AW314" i="1" s="1"/>
  <c r="AZ314" i="1" s="1"/>
  <c r="AW315" i="1" a="1"/>
  <c r="AW315" i="1" s="1"/>
  <c r="AZ315" i="1" s="1"/>
  <c r="AW316" i="1" a="1"/>
  <c r="AW316" i="1" s="1"/>
  <c r="AZ316" i="1" s="1"/>
  <c r="AW317" i="1" a="1"/>
  <c r="AW317" i="1" s="1"/>
  <c r="AZ317" i="1" s="1"/>
  <c r="AW318" i="1" a="1"/>
  <c r="AW318" i="1" s="1"/>
  <c r="AZ318" i="1" s="1"/>
  <c r="AW319" i="1" a="1"/>
  <c r="AW319" i="1" s="1"/>
  <c r="AZ319" i="1" s="1"/>
  <c r="AW320" i="1" a="1"/>
  <c r="AW320" i="1" s="1"/>
  <c r="AZ320" i="1" s="1"/>
  <c r="AW321" i="1" a="1"/>
  <c r="AW321" i="1" s="1"/>
  <c r="AY321" i="1" s="1"/>
  <c r="AW322" i="1" a="1"/>
  <c r="AW322" i="1" s="1"/>
  <c r="AY322" i="1" s="1"/>
  <c r="AW323" i="1" a="1"/>
  <c r="AW323" i="1" s="1"/>
  <c r="AY323" i="1" s="1"/>
  <c r="AW324" i="1" a="1"/>
  <c r="AW324" i="1" s="1"/>
  <c r="AY324" i="1" s="1"/>
  <c r="AW325" i="1" a="1"/>
  <c r="AW325" i="1" s="1"/>
  <c r="AY325" i="1" s="1"/>
  <c r="AW326" i="1" a="1"/>
  <c r="AW326" i="1" s="1"/>
  <c r="AY326" i="1" s="1"/>
  <c r="AW327" i="1" a="1"/>
  <c r="AW327" i="1" s="1"/>
  <c r="AY327" i="1" s="1"/>
  <c r="AW328" i="1" a="1"/>
  <c r="AW328" i="1" s="1"/>
  <c r="AY328" i="1" s="1"/>
  <c r="AW329" i="1" a="1"/>
  <c r="AW329" i="1" s="1"/>
  <c r="AY329" i="1" s="1"/>
  <c r="AW330" i="1" a="1"/>
  <c r="AW330" i="1" s="1"/>
  <c r="AY330" i="1" s="1"/>
  <c r="AW331" i="1" a="1"/>
  <c r="AW331" i="1" s="1"/>
  <c r="AY331" i="1" s="1"/>
  <c r="AW332" i="1" a="1"/>
  <c r="AW332" i="1" s="1"/>
  <c r="AY332" i="1" s="1"/>
  <c r="AW333" i="1" a="1"/>
  <c r="AW333" i="1" s="1"/>
  <c r="AY333" i="1" s="1"/>
  <c r="AW334" i="1" a="1"/>
  <c r="AW334" i="1" s="1"/>
  <c r="AY334" i="1" s="1"/>
  <c r="AW335" i="1" a="1"/>
  <c r="AW335" i="1" s="1"/>
  <c r="AY335" i="1" s="1"/>
  <c r="AW336" i="1" a="1"/>
  <c r="AW336" i="1" s="1"/>
  <c r="AY336" i="1" s="1"/>
  <c r="AW337" i="1" a="1"/>
  <c r="AW337" i="1" s="1"/>
  <c r="AY337" i="1" s="1"/>
  <c r="AW338" i="1" a="1"/>
  <c r="AW338" i="1" s="1"/>
  <c r="AY338" i="1" s="1"/>
  <c r="AW339" i="1" a="1"/>
  <c r="AW339" i="1" s="1"/>
  <c r="AY339" i="1" s="1"/>
  <c r="AW340" i="1" a="1"/>
  <c r="AW340" i="1" s="1"/>
  <c r="AY340" i="1" s="1"/>
  <c r="AW341" i="1" a="1"/>
  <c r="AW341" i="1" s="1"/>
  <c r="AY341" i="1" s="1"/>
  <c r="AW342" i="1" a="1"/>
  <c r="AW342" i="1" s="1"/>
  <c r="AY342" i="1" s="1"/>
  <c r="AW343" i="1" a="1"/>
  <c r="AW343" i="1" s="1"/>
  <c r="AW344" i="1" a="1"/>
  <c r="AW344" i="1" s="1"/>
  <c r="AW345" i="1" a="1"/>
  <c r="AW345" i="1" s="1"/>
  <c r="AW346" i="1" a="1"/>
  <c r="AW346" i="1" s="1"/>
  <c r="AW347" i="1" a="1"/>
  <c r="AW347" i="1" s="1"/>
  <c r="AW348" i="1" a="1"/>
  <c r="AW348" i="1" s="1"/>
  <c r="AW349" i="1" a="1"/>
  <c r="AW349" i="1" s="1"/>
  <c r="AW350" i="1" a="1"/>
  <c r="AW350" i="1" s="1"/>
  <c r="AW351" i="1" a="1"/>
  <c r="AW351" i="1" s="1"/>
  <c r="AW352" i="1" a="1"/>
  <c r="AW352" i="1" s="1"/>
  <c r="AW353" i="1" a="1"/>
  <c r="AW353" i="1" s="1"/>
  <c r="AW354" i="1" a="1"/>
  <c r="AW354" i="1" s="1"/>
  <c r="AW355" i="1" a="1"/>
  <c r="AW355" i="1" s="1"/>
  <c r="AY355" i="1" s="1"/>
  <c r="AW356" i="1" a="1"/>
  <c r="AW356" i="1" s="1"/>
  <c r="AW357" i="1" a="1"/>
  <c r="AW357" i="1" s="1"/>
  <c r="AY357" i="1" s="1"/>
  <c r="AW358" i="1" a="1"/>
  <c r="AW358" i="1" s="1"/>
  <c r="AW359" i="1" a="1"/>
  <c r="AW359" i="1" s="1"/>
  <c r="AY359" i="1" s="1"/>
  <c r="AW360" i="1" a="1"/>
  <c r="AW360" i="1" s="1"/>
  <c r="AW361" i="1" a="1"/>
  <c r="AW361" i="1" s="1"/>
  <c r="AY361" i="1" s="1"/>
  <c r="AW362" i="1" a="1"/>
  <c r="AW362" i="1" s="1"/>
  <c r="AW363" i="1" a="1"/>
  <c r="AW363" i="1" s="1"/>
  <c r="AY363" i="1" s="1"/>
  <c r="AW364" i="1" a="1"/>
  <c r="AW364" i="1" s="1"/>
  <c r="AW365" i="1" a="1"/>
  <c r="AW365" i="1" s="1"/>
  <c r="AY365" i="1" s="1"/>
  <c r="AW366" i="1" a="1"/>
  <c r="AW366" i="1" s="1"/>
  <c r="AW367" i="1" a="1"/>
  <c r="AW367" i="1" s="1"/>
  <c r="AY367" i="1" s="1"/>
  <c r="AW368" i="1" a="1"/>
  <c r="AW368" i="1" s="1"/>
  <c r="AW369" i="1" a="1"/>
  <c r="AW369" i="1" s="1"/>
  <c r="AY369" i="1" s="1"/>
  <c r="AW370" i="1" a="1"/>
  <c r="AW370" i="1" s="1"/>
  <c r="AW371" i="1" a="1"/>
  <c r="AW371" i="1" s="1"/>
  <c r="AW372" i="1" a="1"/>
  <c r="AW372" i="1" s="1"/>
  <c r="AW373" i="1" a="1"/>
  <c r="AW373" i="1" s="1"/>
  <c r="AW374" i="1" a="1"/>
  <c r="AW374" i="1" s="1"/>
  <c r="AW375" i="1" a="1"/>
  <c r="AW375" i="1" s="1"/>
  <c r="AW376" i="1" a="1"/>
  <c r="AW376" i="1" s="1"/>
  <c r="AW377" i="1" a="1"/>
  <c r="AW377" i="1" s="1"/>
  <c r="AW378" i="1" a="1"/>
  <c r="AW378" i="1" s="1"/>
  <c r="AW379" i="1" a="1"/>
  <c r="AW379" i="1" s="1"/>
  <c r="AW380" i="1" a="1"/>
  <c r="AW380" i="1" s="1"/>
  <c r="AW381" i="1" a="1"/>
  <c r="AW381" i="1" s="1"/>
  <c r="AW382" i="1" a="1"/>
  <c r="AW382" i="1" s="1"/>
  <c r="AY382" i="1" s="1"/>
  <c r="AW383" i="1" a="1"/>
  <c r="AW383" i="1" s="1"/>
  <c r="AW384" i="1" a="1"/>
  <c r="AW384" i="1" s="1"/>
  <c r="AW385" i="1" a="1"/>
  <c r="AW385" i="1" s="1"/>
  <c r="AW386" i="1" a="1"/>
  <c r="AW386" i="1" s="1"/>
  <c r="AY386" i="1" s="1"/>
  <c r="AW387" i="1" a="1"/>
  <c r="AW387" i="1" s="1"/>
  <c r="AW388" i="1" a="1"/>
  <c r="AW388" i="1" s="1"/>
  <c r="AY388" i="1" s="1"/>
  <c r="AW389" i="1" a="1"/>
  <c r="AW389" i="1" s="1"/>
  <c r="AW390" i="1" a="1"/>
  <c r="AW390" i="1" s="1"/>
  <c r="AY390" i="1" s="1"/>
  <c r="AW391" i="1" a="1"/>
  <c r="AW391" i="1" s="1"/>
  <c r="AX391" i="1" s="1"/>
  <c r="AW392" i="1" a="1"/>
  <c r="AW392" i="1" s="1"/>
  <c r="AY392" i="1" s="1"/>
  <c r="AW393" i="1" a="1"/>
  <c r="AW393" i="1" s="1"/>
  <c r="AX393" i="1" s="1"/>
  <c r="AW394" i="1" a="1"/>
  <c r="AW394" i="1" s="1"/>
  <c r="AY394" i="1" s="1"/>
  <c r="AW395" i="1" a="1"/>
  <c r="AW395" i="1" s="1"/>
  <c r="AX395" i="1" s="1"/>
  <c r="AW396" i="1" a="1"/>
  <c r="AW396" i="1" s="1"/>
  <c r="AY396" i="1" s="1"/>
  <c r="AW397" i="1" a="1"/>
  <c r="AW397" i="1" s="1"/>
  <c r="AX397" i="1" s="1"/>
  <c r="AW398" i="1" a="1"/>
  <c r="AW398" i="1" s="1"/>
  <c r="AX398" i="1" s="1"/>
  <c r="AW399" i="1" a="1"/>
  <c r="AW399" i="1" s="1"/>
  <c r="AX399" i="1" s="1"/>
  <c r="AW400" i="1" a="1"/>
  <c r="AW400" i="1" s="1"/>
  <c r="AW401" i="1" a="1"/>
  <c r="AW401" i="1" s="1"/>
  <c r="AW402" i="1" a="1"/>
  <c r="AW402" i="1" s="1"/>
  <c r="AW403" i="1" a="1"/>
  <c r="AW403" i="1" s="1"/>
  <c r="AX403" i="1" s="1"/>
  <c r="AW404" i="1" a="1"/>
  <c r="AW404" i="1" s="1"/>
  <c r="AW405" i="1" a="1"/>
  <c r="AW405" i="1" s="1"/>
  <c r="AX405" i="1" s="1"/>
  <c r="AW406" i="1" a="1"/>
  <c r="AW406" i="1" s="1"/>
  <c r="AX406" i="1" s="1"/>
  <c r="AW407" i="1" a="1"/>
  <c r="AW407" i="1" s="1"/>
  <c r="AX407" i="1" s="1"/>
  <c r="AW408" i="1" a="1"/>
  <c r="AW408" i="1" s="1"/>
  <c r="AX408" i="1" s="1"/>
  <c r="AW409" i="1" a="1"/>
  <c r="AW409" i="1" s="1"/>
  <c r="AX409" i="1" s="1"/>
  <c r="AW410" i="1" a="1"/>
  <c r="AW410" i="1" s="1"/>
  <c r="AW411" i="1" a="1"/>
  <c r="AW411" i="1" s="1"/>
  <c r="AW412" i="1" a="1"/>
  <c r="AW412" i="1" s="1"/>
  <c r="AW413" i="1" a="1"/>
  <c r="AW413" i="1" s="1"/>
  <c r="AW414" i="1" a="1"/>
  <c r="AW414" i="1" s="1"/>
  <c r="AW415" i="1" a="1"/>
  <c r="AW415" i="1" s="1"/>
  <c r="AW416" i="1" a="1"/>
  <c r="AW416" i="1" s="1"/>
  <c r="AW417" i="1" a="1"/>
  <c r="AW417" i="1" s="1"/>
  <c r="AW418" i="1" a="1"/>
  <c r="AW418" i="1" s="1"/>
  <c r="AW419" i="1" a="1"/>
  <c r="AW419" i="1" s="1"/>
  <c r="AW420" i="1" a="1"/>
  <c r="AW420" i="1" s="1"/>
  <c r="AW421" i="1" a="1"/>
  <c r="AW421" i="1" s="1"/>
  <c r="AW422" i="1" a="1"/>
  <c r="AW422" i="1" s="1"/>
  <c r="AW423" i="1" a="1"/>
  <c r="AW423" i="1" s="1"/>
  <c r="AW424" i="1" a="1"/>
  <c r="AW424" i="1" s="1"/>
  <c r="AW425" i="1" a="1"/>
  <c r="AW425" i="1" s="1"/>
  <c r="AW426" i="1" a="1"/>
  <c r="AW426" i="1" s="1"/>
  <c r="AW427" i="1" a="1"/>
  <c r="AW427" i="1" s="1"/>
  <c r="AW428" i="1" a="1"/>
  <c r="AW428" i="1" s="1"/>
  <c r="AW429" i="1" a="1"/>
  <c r="AW429" i="1" s="1"/>
  <c r="AW430" i="1" a="1"/>
  <c r="AW430" i="1" s="1"/>
  <c r="AW431" i="1" a="1"/>
  <c r="AW431" i="1" s="1"/>
  <c r="AW432" i="1" a="1"/>
  <c r="AW432" i="1" s="1"/>
  <c r="AW433" i="1" a="1"/>
  <c r="AW433" i="1" s="1"/>
  <c r="AW434" i="1" a="1"/>
  <c r="AW434" i="1" s="1"/>
  <c r="AW435" i="1" a="1"/>
  <c r="AW435" i="1" s="1"/>
  <c r="AW436" i="1" a="1"/>
  <c r="AW436" i="1" s="1"/>
  <c r="AW437" i="1" a="1"/>
  <c r="AW437" i="1" s="1"/>
  <c r="AW438" i="1" a="1"/>
  <c r="AW438" i="1" s="1"/>
  <c r="AW439" i="1" a="1"/>
  <c r="AW439" i="1" s="1"/>
  <c r="AW440" i="1" a="1"/>
  <c r="AW440" i="1" s="1"/>
  <c r="AW441" i="1" a="1"/>
  <c r="AW441" i="1" s="1"/>
  <c r="AW442" i="1" a="1"/>
  <c r="AW442" i="1" s="1"/>
  <c r="AW443" i="1" a="1"/>
  <c r="AW443" i="1" s="1"/>
  <c r="AW444" i="1" a="1"/>
  <c r="AW444" i="1" s="1"/>
  <c r="AW445" i="1" a="1"/>
  <c r="AW445" i="1" s="1"/>
  <c r="AW446" i="1" a="1"/>
  <c r="AW446" i="1" s="1"/>
  <c r="AW447" i="1" a="1"/>
  <c r="AW447" i="1" s="1"/>
  <c r="AW448" i="1" a="1"/>
  <c r="AW448" i="1" s="1"/>
  <c r="AW449" i="1" a="1"/>
  <c r="AW449" i="1" s="1"/>
  <c r="AW450" i="1" a="1"/>
  <c r="AW450" i="1" s="1"/>
  <c r="AW451" i="1" a="1"/>
  <c r="AW451" i="1" s="1"/>
  <c r="AW452" i="1" a="1"/>
  <c r="AW452" i="1" s="1"/>
  <c r="AW453" i="1" a="1"/>
  <c r="AW453" i="1" s="1"/>
  <c r="AW454" i="1" a="1"/>
  <c r="AW454" i="1" s="1"/>
  <c r="AW455" i="1" a="1"/>
  <c r="AW455" i="1" s="1"/>
  <c r="AW456" i="1" a="1"/>
  <c r="AW456" i="1" s="1"/>
  <c r="AW457" i="1" a="1"/>
  <c r="AW457" i="1" s="1"/>
  <c r="AW458" i="1" a="1"/>
  <c r="AW458" i="1" s="1"/>
  <c r="AW459" i="1" a="1"/>
  <c r="AW459" i="1" s="1"/>
  <c r="AW460" i="1" a="1"/>
  <c r="AW460" i="1" s="1"/>
  <c r="AW461" i="1" a="1"/>
  <c r="AW461" i="1" s="1"/>
  <c r="AW462" i="1" a="1"/>
  <c r="AW462" i="1" s="1"/>
  <c r="AW463" i="1" a="1"/>
  <c r="AW463" i="1" s="1"/>
  <c r="AW464" i="1" a="1"/>
  <c r="AW464" i="1" s="1"/>
  <c r="AW465" i="1" a="1"/>
  <c r="AW465" i="1" s="1"/>
  <c r="AW466" i="1" a="1"/>
  <c r="AW466" i="1" s="1"/>
  <c r="AW467" i="1" a="1"/>
  <c r="AW467" i="1" s="1"/>
  <c r="AW468" i="1" a="1"/>
  <c r="AW468" i="1" s="1"/>
  <c r="AW469" i="1" a="1"/>
  <c r="AW469" i="1" s="1"/>
  <c r="AW470" i="1" a="1"/>
  <c r="AW470" i="1" s="1"/>
  <c r="AW471" i="1" a="1"/>
  <c r="AW471" i="1" s="1"/>
  <c r="AW472" i="1" a="1"/>
  <c r="AW472" i="1" s="1"/>
  <c r="AW473" i="1" a="1"/>
  <c r="AW473" i="1" s="1"/>
  <c r="AW474" i="1" a="1"/>
  <c r="AW474" i="1" s="1"/>
  <c r="AW475" i="1" a="1"/>
  <c r="AW475" i="1" s="1"/>
  <c r="AW476" i="1" a="1"/>
  <c r="AW476" i="1" s="1"/>
  <c r="AW477" i="1" a="1"/>
  <c r="AW477" i="1" s="1"/>
  <c r="AW478" i="1" a="1"/>
  <c r="AW478" i="1" s="1"/>
  <c r="AW479" i="1" a="1"/>
  <c r="AW479" i="1" s="1"/>
  <c r="AW480" i="1" a="1"/>
  <c r="AW480" i="1" s="1"/>
  <c r="AW481" i="1" a="1"/>
  <c r="AW481" i="1" s="1"/>
  <c r="AW482" i="1" a="1"/>
  <c r="AW482" i="1" s="1"/>
  <c r="AW483" i="1" a="1"/>
  <c r="AW483" i="1" s="1"/>
  <c r="AW484" i="1" a="1"/>
  <c r="AW484" i="1" s="1"/>
  <c r="AW485" i="1" a="1"/>
  <c r="AW485" i="1" s="1"/>
  <c r="AW486" i="1" a="1"/>
  <c r="AW486" i="1" s="1"/>
  <c r="AW487" i="1" a="1"/>
  <c r="AW487" i="1" s="1"/>
  <c r="AW488" i="1" a="1"/>
  <c r="AW488" i="1" s="1"/>
  <c r="AW489" i="1" a="1"/>
  <c r="AW489" i="1" s="1"/>
  <c r="AW490" i="1" a="1"/>
  <c r="AW490" i="1" s="1"/>
  <c r="AW491" i="1" a="1"/>
  <c r="AW491" i="1" s="1"/>
  <c r="AW492" i="1" a="1"/>
  <c r="AW492" i="1" s="1"/>
  <c r="AW493" i="1" a="1"/>
  <c r="AW493" i="1" s="1"/>
  <c r="AW494" i="1" a="1"/>
  <c r="AW494" i="1" s="1"/>
  <c r="AW495" i="1" a="1"/>
  <c r="AW495" i="1" s="1"/>
  <c r="AW496" i="1" a="1"/>
  <c r="AW496" i="1" s="1"/>
  <c r="AW497" i="1" a="1"/>
  <c r="AW497" i="1" s="1"/>
  <c r="AW498" i="1" a="1"/>
  <c r="AW498" i="1" s="1"/>
  <c r="AW499" i="1" a="1"/>
  <c r="AW499" i="1" s="1"/>
  <c r="AW500" i="1" a="1"/>
  <c r="AW500" i="1" s="1"/>
  <c r="AW501" i="1" a="1"/>
  <c r="AW501" i="1" s="1"/>
  <c r="AW502" i="1" a="1"/>
  <c r="AW502" i="1" s="1"/>
  <c r="AW503" i="1" a="1"/>
  <c r="AW503" i="1" s="1"/>
  <c r="AW504" i="1" a="1"/>
  <c r="AW504" i="1" s="1"/>
  <c r="AW505" i="1" a="1"/>
  <c r="AW505" i="1" s="1"/>
  <c r="AW506" i="1" a="1"/>
  <c r="AW506" i="1" s="1"/>
  <c r="AZ506" i="1" s="1"/>
  <c r="AW507" i="1" a="1"/>
  <c r="AW507" i="1" s="1"/>
  <c r="AW508" i="1" a="1"/>
  <c r="AW508" i="1" s="1"/>
  <c r="AW509" i="1" a="1"/>
  <c r="AW509" i="1" s="1"/>
  <c r="AW510" i="1" a="1"/>
  <c r="AW510" i="1" s="1"/>
  <c r="AW511" i="1" a="1"/>
  <c r="AW511" i="1" s="1"/>
  <c r="AW512" i="1" a="1"/>
  <c r="AW512" i="1" s="1"/>
  <c r="AW513" i="1" a="1"/>
  <c r="AW513" i="1" s="1"/>
  <c r="AW514" i="1" a="1"/>
  <c r="AW514" i="1" s="1"/>
  <c r="AW515" i="1" a="1"/>
  <c r="AW515" i="1" s="1"/>
  <c r="AW516" i="1" a="1"/>
  <c r="AW516" i="1" s="1"/>
  <c r="AZ516" i="1" s="1"/>
  <c r="AW517" i="1" a="1"/>
  <c r="AW517" i="1" s="1"/>
  <c r="AZ517" i="1" s="1"/>
  <c r="AW518" i="1" a="1"/>
  <c r="AW518" i="1" s="1"/>
  <c r="AZ518" i="1" s="1"/>
  <c r="AW519" i="1" a="1"/>
  <c r="AW519" i="1" s="1"/>
  <c r="AZ519" i="1" s="1"/>
  <c r="AW520" i="1" a="1"/>
  <c r="AW520" i="1" s="1"/>
  <c r="AZ520" i="1" s="1"/>
  <c r="AW521" i="1" a="1"/>
  <c r="AW521" i="1" s="1"/>
  <c r="AZ521" i="1" s="1"/>
  <c r="AW522" i="1" a="1"/>
  <c r="AW522" i="1" s="1"/>
  <c r="AZ522" i="1" s="1"/>
  <c r="AW523" i="1" a="1"/>
  <c r="AW523" i="1" s="1"/>
  <c r="AZ523" i="1" s="1"/>
  <c r="AW524" i="1" a="1"/>
  <c r="AW524" i="1" s="1"/>
  <c r="AZ524" i="1" s="1"/>
  <c r="AW525" i="1" a="1"/>
  <c r="AW525" i="1" s="1"/>
  <c r="AZ525" i="1" s="1"/>
  <c r="AW526" i="1" a="1"/>
  <c r="AW526" i="1" s="1"/>
  <c r="AW527" i="1" a="1"/>
  <c r="AW527" i="1" s="1"/>
  <c r="AX527" i="1" s="1"/>
  <c r="AW528" i="1" a="1"/>
  <c r="AW528" i="1" s="1"/>
  <c r="AW529" i="1" a="1"/>
  <c r="AW529" i="1" s="1"/>
  <c r="AW530" i="1" a="1"/>
  <c r="AW530" i="1" s="1"/>
  <c r="AW531" i="1" a="1"/>
  <c r="AW531" i="1" s="1"/>
  <c r="AX531" i="1" s="1"/>
  <c r="AW532" i="1" a="1"/>
  <c r="AW532" i="1" s="1"/>
  <c r="AW533" i="1" a="1"/>
  <c r="AW533" i="1" s="1"/>
  <c r="AW534" i="1" a="1"/>
  <c r="AW534" i="1" s="1"/>
  <c r="AW535" i="1" a="1"/>
  <c r="AW535" i="1" s="1"/>
  <c r="AW536" i="1" a="1"/>
  <c r="AW536" i="1" s="1"/>
  <c r="AW537" i="1" a="1"/>
  <c r="AW537" i="1" s="1"/>
  <c r="AW538" i="1" a="1"/>
  <c r="AW538" i="1" s="1"/>
  <c r="AW539" i="1" a="1"/>
  <c r="AW539" i="1" s="1"/>
  <c r="AW540" i="1" a="1"/>
  <c r="AW540" i="1" s="1"/>
  <c r="AW541" i="1" a="1"/>
  <c r="AW541" i="1" s="1"/>
  <c r="AW542" i="1" a="1"/>
  <c r="AW542" i="1" s="1"/>
  <c r="AW543" i="1" a="1"/>
  <c r="AW543" i="1" s="1"/>
  <c r="AW544" i="1" a="1"/>
  <c r="AW544" i="1" s="1"/>
  <c r="AW545" i="1" a="1"/>
  <c r="AW545" i="1" s="1"/>
  <c r="AW546" i="1" a="1"/>
  <c r="AW546" i="1" s="1"/>
  <c r="AW547" i="1" a="1"/>
  <c r="AW547" i="1" s="1"/>
  <c r="AW548" i="1" a="1"/>
  <c r="AW548" i="1" s="1"/>
  <c r="AW549" i="1" a="1"/>
  <c r="AW549" i="1" s="1"/>
  <c r="AW550" i="1" a="1"/>
  <c r="AW550" i="1" s="1"/>
  <c r="AW551" i="1" a="1"/>
  <c r="AW551" i="1" s="1"/>
  <c r="AW552" i="1" a="1"/>
  <c r="AW552" i="1" s="1"/>
  <c r="AW553" i="1" a="1"/>
  <c r="AW553" i="1" s="1"/>
  <c r="AW554" i="1" a="1"/>
  <c r="AW554" i="1" s="1"/>
  <c r="AW555" i="1" a="1"/>
  <c r="AW555" i="1" s="1"/>
  <c r="AW556" i="1" a="1"/>
  <c r="AW556" i="1" s="1"/>
  <c r="AW557" i="1" a="1"/>
  <c r="AW557" i="1" s="1"/>
  <c r="AW558" i="1" a="1"/>
  <c r="AW558" i="1" s="1"/>
  <c r="AW559" i="1" a="1"/>
  <c r="AW559" i="1" s="1"/>
  <c r="AW560" i="1" a="1"/>
  <c r="AW560" i="1" s="1"/>
  <c r="AW561" i="1" a="1"/>
  <c r="AW561" i="1" s="1"/>
  <c r="AW562" i="1" a="1"/>
  <c r="AW562" i="1" s="1"/>
  <c r="AW563" i="1" a="1"/>
  <c r="AW563" i="1" s="1"/>
  <c r="AW564" i="1" a="1"/>
  <c r="AW564" i="1" s="1"/>
  <c r="AW565" i="1" a="1"/>
  <c r="AW565" i="1" s="1"/>
  <c r="AW566" i="1" a="1"/>
  <c r="AW566" i="1" s="1"/>
  <c r="AW567" i="1" a="1"/>
  <c r="AW567" i="1" s="1"/>
  <c r="AW568" i="1" a="1"/>
  <c r="AW568" i="1" s="1"/>
  <c r="AW569" i="1" a="1"/>
  <c r="AW569" i="1" s="1"/>
  <c r="AW570" i="1" a="1"/>
  <c r="AW570" i="1" s="1"/>
  <c r="AW571" i="1" a="1"/>
  <c r="AW571" i="1" s="1"/>
  <c r="AW572" i="1" a="1"/>
  <c r="AW572" i="1" s="1"/>
  <c r="AW573" i="1" a="1"/>
  <c r="AW573" i="1" s="1"/>
  <c r="AW574" i="1" a="1"/>
  <c r="AW574" i="1" s="1"/>
  <c r="AW575" i="1" a="1"/>
  <c r="AW575" i="1" s="1"/>
  <c r="AW576" i="1" a="1"/>
  <c r="AW576" i="1" s="1"/>
  <c r="AW577" i="1" a="1"/>
  <c r="AW577" i="1" s="1"/>
  <c r="AW578" i="1" a="1"/>
  <c r="AW578" i="1" s="1"/>
  <c r="AW579" i="1" a="1"/>
  <c r="AW579" i="1" s="1"/>
  <c r="AW580" i="1" a="1"/>
  <c r="AW580" i="1" s="1"/>
  <c r="AW581" i="1" a="1"/>
  <c r="AW581" i="1" s="1"/>
  <c r="AW582" i="1" a="1"/>
  <c r="AW582" i="1" s="1"/>
  <c r="AW583" i="1" a="1"/>
  <c r="AW583" i="1" s="1"/>
  <c r="AW584" i="1" a="1"/>
  <c r="AW584" i="1" s="1"/>
  <c r="AW585" i="1" a="1"/>
  <c r="AW585" i="1" s="1"/>
  <c r="AW586" i="1" a="1"/>
  <c r="AW586" i="1" s="1"/>
  <c r="AW587" i="1" a="1"/>
  <c r="AW587" i="1" s="1"/>
  <c r="AW588" i="1" a="1"/>
  <c r="AW588" i="1" s="1"/>
  <c r="AX588" i="1" s="1"/>
  <c r="AW589" i="1" a="1"/>
  <c r="AW589" i="1" s="1"/>
  <c r="AW590" i="1" a="1"/>
  <c r="AW590" i="1" s="1"/>
  <c r="AX590" i="1" s="1"/>
  <c r="AW591" i="1" a="1"/>
  <c r="AW591" i="1" s="1"/>
  <c r="AW592" i="1" a="1"/>
  <c r="AW592" i="1" s="1"/>
  <c r="AX592" i="1" s="1"/>
  <c r="AW593" i="1" a="1"/>
  <c r="AW593" i="1" s="1"/>
  <c r="AW594" i="1" a="1"/>
  <c r="AW594" i="1" s="1"/>
  <c r="AX594" i="1" s="1"/>
  <c r="AW595" i="1" a="1"/>
  <c r="AW595" i="1" s="1"/>
  <c r="AW596" i="1" a="1"/>
  <c r="AW596" i="1" s="1"/>
  <c r="AX596" i="1" s="1"/>
  <c r="AW597" i="1" a="1"/>
  <c r="AW597" i="1" s="1"/>
  <c r="AW598" i="1" a="1"/>
  <c r="AW598" i="1" s="1"/>
  <c r="AX598" i="1" s="1"/>
  <c r="AW599" i="1" a="1"/>
  <c r="AW599" i="1" s="1"/>
  <c r="AW600" i="1" a="1"/>
  <c r="AW600" i="1" s="1"/>
  <c r="AW601" i="1" a="1"/>
  <c r="AW601" i="1" s="1"/>
  <c r="AW602" i="1" a="1"/>
  <c r="AW602" i="1" s="1"/>
  <c r="AW603" i="1" a="1"/>
  <c r="AW603" i="1" s="1"/>
  <c r="AW604" i="1" a="1"/>
  <c r="AW604" i="1" s="1"/>
  <c r="AW605" i="1" a="1"/>
  <c r="AW605" i="1" s="1"/>
  <c r="AW606" i="1" a="1"/>
  <c r="AW606" i="1" s="1"/>
  <c r="AW607" i="1" a="1"/>
  <c r="AW607" i="1" s="1"/>
  <c r="AW608" i="1" a="1"/>
  <c r="AW608" i="1" s="1"/>
  <c r="AW609" i="1" a="1"/>
  <c r="AW609" i="1" s="1"/>
  <c r="AW610" i="1" a="1"/>
  <c r="AW610" i="1" s="1"/>
  <c r="AW611" i="1" a="1"/>
  <c r="AW611" i="1" s="1"/>
  <c r="AW612" i="1" a="1"/>
  <c r="AW612" i="1" s="1"/>
  <c r="AW613" i="1" a="1"/>
  <c r="AW613" i="1" s="1"/>
  <c r="AW614" i="1" a="1"/>
  <c r="AW614" i="1" s="1"/>
  <c r="AW615" i="1" a="1"/>
  <c r="AW615" i="1" s="1"/>
  <c r="AW616" i="1" a="1"/>
  <c r="AW616" i="1" s="1"/>
  <c r="AW617" i="1" a="1"/>
  <c r="AW617" i="1" s="1"/>
  <c r="AW618" i="1" a="1"/>
  <c r="AW618" i="1" s="1"/>
  <c r="AW619" i="1" a="1"/>
  <c r="AW619" i="1" s="1"/>
  <c r="AW620" i="1" a="1"/>
  <c r="AW620" i="1" s="1"/>
  <c r="AW621" i="1" a="1"/>
  <c r="AW621" i="1" s="1"/>
  <c r="AW622" i="1" a="1"/>
  <c r="AW622" i="1" s="1"/>
  <c r="AW623" i="1" a="1"/>
  <c r="AW623" i="1" s="1"/>
  <c r="AZ623" i="1" s="1"/>
  <c r="AW624" i="1" a="1"/>
  <c r="AW624" i="1" s="1"/>
  <c r="AZ624" i="1" s="1"/>
  <c r="AW625" i="1" a="1"/>
  <c r="AW625" i="1" s="1"/>
  <c r="AZ625" i="1" s="1"/>
  <c r="AW626" i="1" a="1"/>
  <c r="AW626" i="1" s="1"/>
  <c r="AZ626" i="1" s="1"/>
  <c r="AW627" i="1" a="1"/>
  <c r="AW627" i="1" s="1"/>
  <c r="AZ627" i="1" s="1"/>
  <c r="AW628" i="1" a="1"/>
  <c r="AW628" i="1" s="1"/>
  <c r="AZ628" i="1" s="1"/>
  <c r="AW629" i="1" a="1"/>
  <c r="AW629" i="1" s="1"/>
  <c r="AZ629" i="1" s="1"/>
  <c r="AW630" i="1" a="1"/>
  <c r="AW630" i="1" s="1"/>
  <c r="AZ630" i="1" s="1"/>
  <c r="AW631" i="1" a="1"/>
  <c r="AW631" i="1" s="1"/>
  <c r="AZ631" i="1" s="1"/>
  <c r="AW632" i="1" a="1"/>
  <c r="AW632" i="1" s="1"/>
  <c r="AZ632" i="1" s="1"/>
  <c r="AW633" i="1" a="1"/>
  <c r="AW633" i="1" s="1"/>
  <c r="AZ633" i="1" s="1"/>
  <c r="AW634" i="1" a="1"/>
  <c r="AW634" i="1" s="1"/>
  <c r="AZ634" i="1" s="1"/>
  <c r="AW635" i="1" a="1"/>
  <c r="AW635" i="1" s="1"/>
  <c r="AZ635" i="1" s="1"/>
  <c r="AW636" i="1" a="1"/>
  <c r="AW636" i="1" s="1"/>
  <c r="AZ636" i="1" s="1"/>
  <c r="AW637" i="1" a="1"/>
  <c r="AW637" i="1" s="1"/>
  <c r="AZ637" i="1" s="1"/>
  <c r="AW638" i="1" a="1"/>
  <c r="AW638" i="1" s="1"/>
  <c r="AZ638" i="1" s="1"/>
  <c r="AW639" i="1" a="1"/>
  <c r="AW639" i="1" s="1"/>
  <c r="AZ639" i="1" s="1"/>
  <c r="AW640" i="1" a="1"/>
  <c r="AW640" i="1" s="1"/>
  <c r="AZ640" i="1" s="1"/>
  <c r="AW641" i="1" a="1"/>
  <c r="AW641" i="1" s="1"/>
  <c r="AZ641" i="1" s="1"/>
  <c r="AW642" i="1" a="1"/>
  <c r="AW642" i="1" s="1"/>
  <c r="AZ642" i="1" s="1"/>
  <c r="AW643" i="1" a="1"/>
  <c r="AW643" i="1" s="1"/>
  <c r="AZ643" i="1" s="1"/>
  <c r="AW644" i="1" a="1"/>
  <c r="AW644" i="1" s="1"/>
  <c r="AZ644" i="1" s="1"/>
  <c r="AW645" i="1" a="1"/>
  <c r="AW645" i="1" s="1"/>
  <c r="AZ645" i="1" s="1"/>
  <c r="AW646" i="1" a="1"/>
  <c r="AW646" i="1" s="1"/>
  <c r="AZ646" i="1" s="1"/>
  <c r="AW647" i="1" a="1"/>
  <c r="AW647" i="1" s="1"/>
  <c r="AW648" i="1" a="1"/>
  <c r="AW648" i="1" s="1"/>
  <c r="AW649" i="1" a="1"/>
  <c r="AW649" i="1" s="1"/>
  <c r="AW650" i="1" a="1"/>
  <c r="AW650" i="1" s="1"/>
  <c r="AW651" i="1" a="1"/>
  <c r="AW651" i="1" s="1"/>
  <c r="AW652" i="1" a="1"/>
  <c r="AW652" i="1" s="1"/>
  <c r="AW653" i="1" a="1"/>
  <c r="AW653" i="1" s="1"/>
  <c r="AW654" i="1" a="1"/>
  <c r="AW654" i="1" s="1"/>
  <c r="AW655" i="1" a="1"/>
  <c r="AW655" i="1" s="1"/>
  <c r="AW656" i="1" a="1"/>
  <c r="AW656" i="1" s="1"/>
  <c r="AW657" i="1" a="1"/>
  <c r="AW657" i="1" s="1"/>
  <c r="AW658" i="1" a="1"/>
  <c r="AW658" i="1" s="1"/>
  <c r="AW659" i="1" a="1"/>
  <c r="AW659" i="1" s="1"/>
  <c r="AW660" i="1" a="1"/>
  <c r="AW660" i="1" s="1"/>
  <c r="AW661" i="1" a="1"/>
  <c r="AW661" i="1" s="1"/>
  <c r="AW662" i="1" a="1"/>
  <c r="AW662" i="1" s="1"/>
  <c r="AW663" i="1" a="1"/>
  <c r="AW663" i="1" s="1"/>
  <c r="AW664" i="1" a="1"/>
  <c r="AW664" i="1" s="1"/>
  <c r="AZ664" i="1" s="1"/>
  <c r="AW665" i="1" a="1"/>
  <c r="AW665" i="1" s="1"/>
  <c r="AW666" i="1" a="1"/>
  <c r="AW666" i="1" s="1"/>
  <c r="AZ666" i="1" s="1"/>
  <c r="AW667" i="1" a="1"/>
  <c r="AW667" i="1" s="1"/>
  <c r="AW668" i="1" a="1"/>
  <c r="AW668" i="1" s="1"/>
  <c r="AY668" i="1" s="1"/>
  <c r="AW669" i="1" a="1"/>
  <c r="AW669" i="1" s="1"/>
  <c r="AY669" i="1" s="1"/>
  <c r="AW670" i="1" a="1"/>
  <c r="AW670" i="1" s="1"/>
  <c r="AW671" i="1" a="1"/>
  <c r="AW671" i="1" s="1"/>
  <c r="AW672" i="1" a="1"/>
  <c r="AW672" i="1" s="1"/>
  <c r="AW673" i="1" a="1"/>
  <c r="AW673" i="1" s="1"/>
  <c r="AW674" i="1" a="1"/>
  <c r="AW674" i="1" s="1"/>
  <c r="AW675" i="1" a="1"/>
  <c r="AW675" i="1" s="1"/>
  <c r="AW676" i="1" a="1"/>
  <c r="AW676" i="1" s="1"/>
  <c r="AW677" i="1" a="1"/>
  <c r="AW677" i="1" s="1"/>
  <c r="AW678" i="1" a="1"/>
  <c r="AW678" i="1" s="1"/>
  <c r="AW679" i="1" a="1"/>
  <c r="AW679" i="1" s="1"/>
  <c r="AW680" i="1" a="1"/>
  <c r="AW680" i="1" s="1"/>
  <c r="AW681" i="1" a="1"/>
  <c r="AW681" i="1" s="1"/>
  <c r="AW682" i="1" a="1"/>
  <c r="AW682" i="1" s="1"/>
  <c r="AW683" i="1" a="1"/>
  <c r="AW683" i="1" s="1"/>
  <c r="AW684" i="1" a="1"/>
  <c r="AW684" i="1" s="1"/>
  <c r="AW685" i="1" a="1"/>
  <c r="AW685" i="1" s="1"/>
  <c r="AW686" i="1" a="1"/>
  <c r="AW686" i="1" s="1"/>
  <c r="AW687" i="1" a="1"/>
  <c r="AW687" i="1" s="1"/>
  <c r="AW688" i="1" a="1"/>
  <c r="AW688" i="1" s="1"/>
  <c r="AW689" i="1" a="1"/>
  <c r="AW689" i="1" s="1"/>
  <c r="AW690" i="1" a="1"/>
  <c r="AW690" i="1" s="1"/>
  <c r="AW691" i="1" a="1"/>
  <c r="AW691" i="1" s="1"/>
  <c r="AW692" i="1" a="1"/>
  <c r="AW692" i="1" s="1"/>
  <c r="AW693" i="1" a="1"/>
  <c r="AW693" i="1" s="1"/>
  <c r="AW694" i="1" a="1"/>
  <c r="AW694" i="1" s="1"/>
  <c r="AW695" i="1" a="1"/>
  <c r="AW695" i="1" s="1"/>
  <c r="AW696" i="1" a="1"/>
  <c r="AW696" i="1" s="1"/>
  <c r="AW697" i="1" a="1"/>
  <c r="AW697" i="1" s="1"/>
  <c r="AW698" i="1" a="1"/>
  <c r="AW698" i="1" s="1"/>
  <c r="AW699" i="1" a="1"/>
  <c r="AW699" i="1" s="1"/>
  <c r="AW700" i="1" a="1"/>
  <c r="AW700" i="1" s="1"/>
  <c r="AW701" i="1" a="1"/>
  <c r="AW701" i="1" s="1"/>
  <c r="AW702" i="1" a="1"/>
  <c r="AW702" i="1" s="1"/>
  <c r="AW703" i="1" a="1"/>
  <c r="AW703" i="1" s="1"/>
  <c r="AW704" i="1" a="1"/>
  <c r="AW704" i="1" s="1"/>
  <c r="AW705" i="1" a="1"/>
  <c r="AW705" i="1" s="1"/>
  <c r="AW706" i="1" a="1"/>
  <c r="AW706" i="1" s="1"/>
  <c r="AW707" i="1" a="1"/>
  <c r="AW707" i="1" s="1"/>
  <c r="AX707" i="1" s="1"/>
  <c r="AW708" i="1" a="1"/>
  <c r="AW708" i="1" s="1"/>
  <c r="AZ708" i="1" s="1"/>
  <c r="AW709" i="1" a="1"/>
  <c r="AW709" i="1" s="1"/>
  <c r="AX709" i="1" s="1"/>
  <c r="AW710" i="1" a="1"/>
  <c r="AW710" i="1" s="1"/>
  <c r="AZ710" i="1" s="1"/>
  <c r="AW711" i="1" a="1"/>
  <c r="AW711" i="1" s="1"/>
  <c r="AZ711" i="1" s="1"/>
  <c r="AW712" i="1" a="1"/>
  <c r="AW712" i="1" s="1"/>
  <c r="AZ712" i="1" s="1"/>
  <c r="AW713" i="1" a="1"/>
  <c r="AW713" i="1" s="1"/>
  <c r="AZ713" i="1" s="1"/>
  <c r="AW714" i="1" a="1"/>
  <c r="AW714" i="1" s="1"/>
  <c r="AZ714" i="1" s="1"/>
  <c r="AW715" i="1" a="1"/>
  <c r="AW715" i="1" s="1"/>
  <c r="AZ715" i="1" s="1"/>
  <c r="AW716" i="1" a="1"/>
  <c r="AW716" i="1" s="1"/>
  <c r="AZ716" i="1" s="1"/>
  <c r="AW717" i="1" a="1"/>
  <c r="AW717" i="1" s="1"/>
  <c r="AZ717" i="1" s="1"/>
  <c r="AW718" i="1" a="1"/>
  <c r="AW718" i="1" s="1"/>
  <c r="AZ718" i="1" s="1"/>
  <c r="AW719" i="1" a="1"/>
  <c r="AW719" i="1" s="1"/>
  <c r="AZ719" i="1" s="1"/>
  <c r="AW720" i="1" a="1"/>
  <c r="AW720" i="1" s="1"/>
  <c r="AZ720" i="1" s="1"/>
  <c r="AW721" i="1" a="1"/>
  <c r="AW721" i="1" s="1"/>
  <c r="AZ721" i="1" s="1"/>
  <c r="AW722" i="1" a="1"/>
  <c r="AW722" i="1" s="1"/>
  <c r="AZ722" i="1" s="1"/>
  <c r="AW723" i="1" a="1"/>
  <c r="AW723" i="1" s="1"/>
  <c r="AZ723" i="1" s="1"/>
  <c r="AW724" i="1" a="1"/>
  <c r="AW724" i="1" s="1"/>
  <c r="AZ724" i="1" s="1"/>
  <c r="AW725" i="1" a="1"/>
  <c r="AW725" i="1" s="1"/>
  <c r="AZ725" i="1" s="1"/>
  <c r="AW726" i="1" a="1"/>
  <c r="AW726" i="1" s="1"/>
  <c r="AZ726" i="1" s="1"/>
  <c r="AW727" i="1" a="1"/>
  <c r="AW727" i="1" s="1"/>
  <c r="AZ727" i="1" s="1"/>
  <c r="AW728" i="1" a="1"/>
  <c r="AW728" i="1" s="1"/>
  <c r="AZ728" i="1" s="1"/>
  <c r="AW729" i="1" a="1"/>
  <c r="AW729" i="1" s="1"/>
  <c r="AZ729" i="1" s="1"/>
  <c r="AW730" i="1" a="1"/>
  <c r="AW730" i="1" s="1"/>
  <c r="AW731" i="1" a="1"/>
  <c r="AW731" i="1" s="1"/>
  <c r="AW732" i="1" a="1"/>
  <c r="AW732" i="1" s="1"/>
  <c r="AW733" i="1" a="1"/>
  <c r="AW733" i="1" s="1"/>
  <c r="AW734" i="1" a="1"/>
  <c r="AW734" i="1" s="1"/>
  <c r="AW735" i="1" a="1"/>
  <c r="AW735" i="1" s="1"/>
  <c r="AW736" i="1" a="1"/>
  <c r="AW736" i="1" s="1"/>
  <c r="AW737" i="1" a="1"/>
  <c r="AW737" i="1" s="1"/>
  <c r="AW738" i="1" a="1"/>
  <c r="AW738" i="1" s="1"/>
  <c r="AW739" i="1" a="1"/>
  <c r="AW739" i="1" s="1"/>
  <c r="AW740" i="1" a="1"/>
  <c r="AW740" i="1" s="1"/>
  <c r="AW741" i="1" a="1"/>
  <c r="AW741" i="1" s="1"/>
  <c r="AW742" i="1" a="1"/>
  <c r="AW742" i="1" s="1"/>
  <c r="AW743" i="1" a="1"/>
  <c r="AW743" i="1" s="1"/>
  <c r="AW744" i="1" a="1"/>
  <c r="AW744" i="1" s="1"/>
  <c r="AW745" i="1" a="1"/>
  <c r="AW745" i="1" s="1"/>
  <c r="AW746" i="1" a="1"/>
  <c r="AW746" i="1" s="1"/>
  <c r="AW747" i="1" a="1"/>
  <c r="AW747" i="1" s="1"/>
  <c r="AW748" i="1" a="1"/>
  <c r="AW748" i="1" s="1"/>
  <c r="AW749" i="1" a="1"/>
  <c r="AW749" i="1" s="1"/>
  <c r="AW750" i="1" a="1"/>
  <c r="AW750" i="1" s="1"/>
  <c r="AW751" i="1" a="1"/>
  <c r="AW751" i="1" s="1"/>
  <c r="AW752" i="1" a="1"/>
  <c r="AW752" i="1" s="1"/>
  <c r="AW753" i="1" a="1"/>
  <c r="AW753" i="1" s="1"/>
  <c r="AW754" i="1" a="1"/>
  <c r="AW754" i="1" s="1"/>
  <c r="AW755" i="1" a="1"/>
  <c r="AW755" i="1" s="1"/>
  <c r="AW756" i="1" a="1"/>
  <c r="AW756" i="1" s="1"/>
  <c r="AW757" i="1" a="1"/>
  <c r="AW757" i="1" s="1"/>
  <c r="AW758" i="1" a="1"/>
  <c r="AW758" i="1" s="1"/>
  <c r="AW759" i="1" a="1"/>
  <c r="AW759" i="1" s="1"/>
  <c r="AW760" i="1" a="1"/>
  <c r="AW760" i="1" s="1"/>
  <c r="AW761" i="1" a="1"/>
  <c r="AW761" i="1" s="1"/>
  <c r="AW762" i="1" a="1"/>
  <c r="AW762" i="1" s="1"/>
  <c r="AW763" i="1" a="1"/>
  <c r="AW763" i="1" s="1"/>
  <c r="AW764" i="1" a="1"/>
  <c r="AW764" i="1" s="1"/>
  <c r="AW765" i="1" a="1"/>
  <c r="AW765" i="1" s="1"/>
  <c r="AW766" i="1" a="1"/>
  <c r="AW766" i="1" s="1"/>
  <c r="AW767" i="1" a="1"/>
  <c r="AW767" i="1" s="1"/>
  <c r="AW768" i="1" a="1"/>
  <c r="AW768" i="1" s="1"/>
  <c r="AW769" i="1" a="1"/>
  <c r="AW769" i="1" s="1"/>
  <c r="AW770" i="1" a="1"/>
  <c r="AW770" i="1" s="1"/>
  <c r="AW771" i="1" a="1"/>
  <c r="AW771" i="1" s="1"/>
  <c r="AW772" i="1" a="1"/>
  <c r="AW772" i="1" s="1"/>
  <c r="AW773" i="1" a="1"/>
  <c r="AW773" i="1" s="1"/>
  <c r="AW774" i="1" a="1"/>
  <c r="AW774" i="1" s="1"/>
  <c r="AW775" i="1" a="1"/>
  <c r="AW775" i="1" s="1"/>
  <c r="AW776" i="1" a="1"/>
  <c r="AW776" i="1" s="1"/>
  <c r="AW777" i="1" a="1"/>
  <c r="AW777" i="1" s="1"/>
  <c r="AW778" i="1" a="1"/>
  <c r="AW778" i="1" s="1"/>
  <c r="AX778" i="1" s="1"/>
  <c r="AW779" i="1" a="1"/>
  <c r="AW779" i="1" s="1"/>
  <c r="AW780" i="1" a="1"/>
  <c r="AW780" i="1" s="1"/>
  <c r="AW781" i="1" a="1"/>
  <c r="AW781" i="1" s="1"/>
  <c r="AW782" i="1" a="1"/>
  <c r="AW782" i="1" s="1"/>
  <c r="AX782" i="1" s="1"/>
  <c r="AW783" i="1" a="1"/>
  <c r="AW783" i="1" s="1"/>
  <c r="AW784" i="1" a="1"/>
  <c r="AW784" i="1" s="1"/>
  <c r="AW785" i="1" a="1"/>
  <c r="AW785" i="1" s="1"/>
  <c r="AW786" i="1" a="1"/>
  <c r="AW786" i="1" s="1"/>
  <c r="AW787" i="1" a="1"/>
  <c r="AW787" i="1" s="1"/>
  <c r="AW788" i="1" a="1"/>
  <c r="AW788" i="1" s="1"/>
  <c r="AW789" i="1" a="1"/>
  <c r="AW789" i="1" s="1"/>
  <c r="AW790" i="1" a="1"/>
  <c r="AW790" i="1" s="1"/>
  <c r="AW791" i="1" a="1"/>
  <c r="AW791" i="1" s="1"/>
  <c r="AW792" i="1" a="1"/>
  <c r="AW792" i="1" s="1"/>
  <c r="AW793" i="1" a="1"/>
  <c r="AW793" i="1" s="1"/>
  <c r="AW794" i="1" a="1"/>
  <c r="AW794" i="1" s="1"/>
  <c r="AW795" i="1" a="1"/>
  <c r="AW795" i="1" s="1"/>
  <c r="AW796" i="1" a="1"/>
  <c r="AW796" i="1" s="1"/>
  <c r="AW797" i="1" a="1"/>
  <c r="AW797" i="1" s="1"/>
  <c r="AW798" i="1" a="1"/>
  <c r="AW798" i="1" s="1"/>
  <c r="AW799" i="1" a="1"/>
  <c r="AW799" i="1" s="1"/>
  <c r="AW800" i="1" a="1"/>
  <c r="AW800" i="1" s="1"/>
  <c r="AW801" i="1" a="1"/>
  <c r="AW801" i="1" s="1"/>
  <c r="AW802" i="1" a="1"/>
  <c r="AW802" i="1" s="1"/>
  <c r="AW803" i="1" a="1"/>
  <c r="AW803" i="1" s="1"/>
  <c r="AW804" i="1" a="1"/>
  <c r="AW804" i="1" s="1"/>
  <c r="AW805" i="1" a="1"/>
  <c r="AW805" i="1" s="1"/>
  <c r="AW806" i="1" a="1"/>
  <c r="AW806" i="1" s="1"/>
  <c r="AW807" i="1" a="1"/>
  <c r="AW807" i="1" s="1"/>
  <c r="AW808" i="1" a="1"/>
  <c r="AW808" i="1" s="1"/>
  <c r="AW809" i="1" a="1"/>
  <c r="AW809" i="1" s="1"/>
  <c r="AW810" i="1" a="1"/>
  <c r="AW810" i="1" s="1"/>
  <c r="AW811" i="1" a="1"/>
  <c r="AW811" i="1" s="1"/>
  <c r="AW812" i="1" a="1"/>
  <c r="AW812" i="1" s="1"/>
  <c r="AW813" i="1" a="1"/>
  <c r="AW813" i="1" s="1"/>
  <c r="AW814" i="1" a="1"/>
  <c r="AW814" i="1" s="1"/>
  <c r="AW815" i="1" a="1"/>
  <c r="AW815" i="1" s="1"/>
  <c r="AW816" i="1" a="1"/>
  <c r="AW816" i="1" s="1"/>
  <c r="AW817" i="1" a="1"/>
  <c r="AW817" i="1" s="1"/>
  <c r="AW818" i="1" a="1"/>
  <c r="AW818" i="1" s="1"/>
  <c r="AW819" i="1" a="1"/>
  <c r="AW819" i="1" s="1"/>
  <c r="AW820" i="1" a="1"/>
  <c r="AW820" i="1" s="1"/>
  <c r="AW821" i="1" a="1"/>
  <c r="AW821" i="1" s="1"/>
  <c r="AW822" i="1" a="1"/>
  <c r="AW822" i="1" s="1"/>
  <c r="AW823" i="1" a="1"/>
  <c r="AW823" i="1" s="1"/>
  <c r="AW824" i="1" a="1"/>
  <c r="AW824" i="1" s="1"/>
  <c r="AW825" i="1" a="1"/>
  <c r="AW825" i="1" s="1"/>
  <c r="AW826" i="1" a="1"/>
  <c r="AW826" i="1" s="1"/>
  <c r="AW827" i="1" a="1"/>
  <c r="AW827" i="1" s="1"/>
  <c r="AW828" i="1" a="1"/>
  <c r="AW828" i="1" s="1"/>
  <c r="AZ828" i="1" s="1"/>
  <c r="AW829" i="1" a="1"/>
  <c r="AW829" i="1" s="1"/>
  <c r="AZ829" i="1" s="1"/>
  <c r="AW830" i="1" a="1"/>
  <c r="AW830" i="1" s="1"/>
  <c r="AZ830" i="1" s="1"/>
  <c r="AW831" i="1" a="1"/>
  <c r="AW831" i="1" s="1"/>
  <c r="AZ831" i="1" s="1"/>
  <c r="AW832" i="1" a="1"/>
  <c r="AW832" i="1" s="1"/>
  <c r="AZ832" i="1" s="1"/>
  <c r="AW833" i="1" a="1"/>
  <c r="AW833" i="1" s="1"/>
  <c r="AZ833" i="1" s="1"/>
  <c r="AW834" i="1" a="1"/>
  <c r="AW834" i="1" s="1"/>
  <c r="AZ834" i="1" s="1"/>
  <c r="AW835" i="1" a="1"/>
  <c r="AW835" i="1" s="1"/>
  <c r="AZ835" i="1" s="1"/>
  <c r="AW836" i="1" a="1"/>
  <c r="AW836" i="1" s="1"/>
  <c r="AW837" i="1" a="1"/>
  <c r="AW837" i="1" s="1"/>
  <c r="AW838" i="1" a="1"/>
  <c r="AW838" i="1" s="1"/>
  <c r="AW839" i="1" a="1"/>
  <c r="AW839" i="1" s="1"/>
  <c r="AW840" i="1" a="1"/>
  <c r="AW840" i="1" s="1"/>
  <c r="AW841" i="1" a="1"/>
  <c r="AW841" i="1" s="1"/>
  <c r="AW842" i="1" a="1"/>
  <c r="AW842" i="1" s="1"/>
  <c r="AW843" i="1" a="1"/>
  <c r="AW843" i="1" s="1"/>
  <c r="AW844" i="1" a="1"/>
  <c r="AW844" i="1" s="1"/>
  <c r="AW845" i="1" a="1"/>
  <c r="AW845" i="1" s="1"/>
  <c r="AW846" i="1" a="1"/>
  <c r="AW846" i="1" s="1"/>
  <c r="AW847" i="1" a="1"/>
  <c r="AW847" i="1" s="1"/>
  <c r="AW848" i="1" a="1"/>
  <c r="AW848" i="1" s="1"/>
  <c r="AW849" i="1" a="1"/>
  <c r="AW849" i="1" s="1"/>
  <c r="AW850" i="1" a="1"/>
  <c r="AW850" i="1" s="1"/>
  <c r="AW851" i="1" a="1"/>
  <c r="AW851" i="1" s="1"/>
  <c r="AW852" i="1" a="1"/>
  <c r="AW852" i="1" s="1"/>
  <c r="AW853" i="1" a="1"/>
  <c r="AW853" i="1" s="1"/>
  <c r="AW854" i="1" a="1"/>
  <c r="AW854" i="1" s="1"/>
  <c r="AW855" i="1" a="1"/>
  <c r="AW855" i="1" s="1"/>
  <c r="AW856" i="1" a="1"/>
  <c r="AW856" i="1" s="1"/>
  <c r="AW857" i="1" a="1"/>
  <c r="AW857" i="1" s="1"/>
  <c r="AW858" i="1" a="1"/>
  <c r="AW858" i="1" s="1"/>
  <c r="AW859" i="1" a="1"/>
  <c r="AW859" i="1" s="1"/>
  <c r="AW860" i="1" a="1"/>
  <c r="AW860" i="1" s="1"/>
  <c r="AW861" i="1" a="1"/>
  <c r="AW861" i="1" s="1"/>
  <c r="AW862" i="1" a="1"/>
  <c r="AW862" i="1" s="1"/>
  <c r="AW863" i="1" a="1"/>
  <c r="AW863" i="1" s="1"/>
  <c r="AW864" i="1" a="1"/>
  <c r="AW864" i="1" s="1"/>
  <c r="AW865" i="1" a="1"/>
  <c r="AW865" i="1" s="1"/>
  <c r="AW866" i="1" a="1"/>
  <c r="AW866" i="1" s="1"/>
  <c r="AW867" i="1" a="1"/>
  <c r="AW867" i="1" s="1"/>
  <c r="AW868" i="1" a="1"/>
  <c r="AW868" i="1" s="1"/>
  <c r="AW869" i="1" a="1"/>
  <c r="AW869" i="1" s="1"/>
  <c r="AW870" i="1" a="1"/>
  <c r="AW870" i="1" s="1"/>
  <c r="AW871" i="1" a="1"/>
  <c r="AW871" i="1" s="1"/>
  <c r="AW872" i="1" a="1"/>
  <c r="AW872" i="1" s="1"/>
  <c r="AW873" i="1" a="1"/>
  <c r="AW873" i="1" s="1"/>
  <c r="AW874" i="1" a="1"/>
  <c r="AW874" i="1" s="1"/>
  <c r="AW875" i="1" a="1"/>
  <c r="AW875" i="1" s="1"/>
  <c r="AW876" i="1" a="1"/>
  <c r="AW876" i="1" s="1"/>
  <c r="AW877" i="1" a="1"/>
  <c r="AW877" i="1" s="1"/>
  <c r="AW878" i="1" a="1"/>
  <c r="AW878" i="1" s="1"/>
  <c r="AW879" i="1" a="1"/>
  <c r="AW879" i="1" s="1"/>
  <c r="AW880" i="1" a="1"/>
  <c r="AW880" i="1" s="1"/>
  <c r="AW881" i="1" a="1"/>
  <c r="AW881" i="1" s="1"/>
  <c r="AW882" i="1" a="1"/>
  <c r="AW882" i="1" s="1"/>
  <c r="AW883" i="1" a="1"/>
  <c r="AW883" i="1" s="1"/>
  <c r="AW884" i="1" a="1"/>
  <c r="AW884" i="1" s="1"/>
  <c r="AW885" i="1" a="1"/>
  <c r="AW885" i="1" s="1"/>
  <c r="AW886" i="1" a="1"/>
  <c r="AW886" i="1" s="1"/>
  <c r="AW887" i="1" a="1"/>
  <c r="AW887" i="1" s="1"/>
  <c r="AW888" i="1" a="1"/>
  <c r="AW888" i="1" s="1"/>
  <c r="AW889" i="1" a="1"/>
  <c r="AW889" i="1" s="1"/>
  <c r="AY889" i="1" s="1"/>
  <c r="AW890" i="1" a="1"/>
  <c r="AW890" i="1" s="1"/>
  <c r="AY890" i="1" s="1"/>
  <c r="AW891" i="1" a="1"/>
  <c r="AW891" i="1" s="1"/>
  <c r="AW892" i="1" a="1"/>
  <c r="AW892" i="1" s="1"/>
  <c r="AY892" i="1" s="1"/>
  <c r="AW893" i="1" a="1"/>
  <c r="AW893" i="1" s="1"/>
  <c r="AY893" i="1" s="1"/>
  <c r="AW894" i="1" a="1"/>
  <c r="AW894" i="1" s="1"/>
  <c r="AY894" i="1" s="1"/>
  <c r="AW895" i="1" a="1"/>
  <c r="AW895" i="1" s="1"/>
  <c r="AY895" i="1" s="1"/>
  <c r="AW896" i="1" a="1"/>
  <c r="AW896" i="1" s="1"/>
  <c r="AY896" i="1" s="1"/>
  <c r="AW897" i="1" a="1"/>
  <c r="AW897" i="1" s="1"/>
  <c r="AY897" i="1" s="1"/>
  <c r="AW898" i="1" a="1"/>
  <c r="AW898" i="1" s="1"/>
  <c r="AY898" i="1" s="1"/>
  <c r="AW899" i="1" a="1"/>
  <c r="AW899" i="1" s="1"/>
  <c r="AW900" i="1" a="1"/>
  <c r="AW900" i="1" s="1"/>
  <c r="AY900" i="1" s="1"/>
  <c r="AW901" i="1" a="1"/>
  <c r="AW901" i="1" s="1"/>
  <c r="AY901" i="1" s="1"/>
  <c r="AW902" i="1" a="1"/>
  <c r="AW902" i="1" s="1"/>
  <c r="AY902" i="1" s="1"/>
  <c r="AW903" i="1" a="1"/>
  <c r="AW903" i="1" s="1"/>
  <c r="AY903" i="1" s="1"/>
  <c r="AW904" i="1" a="1"/>
  <c r="AW904" i="1" s="1"/>
  <c r="AW905" i="1" a="1"/>
  <c r="AW905" i="1" s="1"/>
  <c r="AZ905" i="1" s="1"/>
  <c r="AW906" i="1" a="1"/>
  <c r="AW906" i="1" s="1"/>
  <c r="AW907" i="1" a="1"/>
  <c r="AW907" i="1" s="1"/>
  <c r="AZ907" i="1" s="1"/>
  <c r="AW908" i="1" a="1"/>
  <c r="AW908" i="1" s="1"/>
  <c r="AW909" i="1" a="1"/>
  <c r="AW909" i="1" s="1"/>
  <c r="AZ909" i="1" s="1"/>
  <c r="AW910" i="1" a="1"/>
  <c r="AW910" i="1" s="1"/>
  <c r="AW911" i="1" a="1"/>
  <c r="AW911" i="1" s="1"/>
  <c r="AZ911" i="1" s="1"/>
  <c r="AW912" i="1" a="1"/>
  <c r="AW912" i="1" s="1"/>
  <c r="AW913" i="1" a="1"/>
  <c r="AW913" i="1" s="1"/>
  <c r="AZ913" i="1" s="1"/>
  <c r="AW914" i="1" a="1"/>
  <c r="AW914" i="1" s="1"/>
  <c r="AW915" i="1" a="1"/>
  <c r="AW915" i="1" s="1"/>
  <c r="AZ915" i="1" s="1"/>
  <c r="AW916" i="1" a="1"/>
  <c r="AW916" i="1" s="1"/>
  <c r="AW917" i="1" a="1"/>
  <c r="AW917" i="1" s="1"/>
  <c r="AZ917" i="1" s="1"/>
  <c r="AW918" i="1" a="1"/>
  <c r="AW918" i="1" s="1"/>
  <c r="AW919" i="1" a="1"/>
  <c r="AW919" i="1" s="1"/>
  <c r="AZ919" i="1" s="1"/>
  <c r="AW920" i="1" a="1"/>
  <c r="AW920" i="1" s="1"/>
  <c r="AW921" i="1" a="1"/>
  <c r="AW921" i="1" s="1"/>
  <c r="AZ921" i="1" s="1"/>
  <c r="AW922" i="1" a="1"/>
  <c r="AW922" i="1" s="1"/>
  <c r="AW923" i="1" a="1"/>
  <c r="AW923" i="1" s="1"/>
  <c r="AZ923" i="1" s="1"/>
  <c r="AW924" i="1" a="1"/>
  <c r="AW924" i="1" s="1"/>
  <c r="AW925" i="1" a="1"/>
  <c r="AW925" i="1" s="1"/>
  <c r="AZ925" i="1" s="1"/>
  <c r="AW926" i="1" a="1"/>
  <c r="AW926" i="1" s="1"/>
  <c r="AW927" i="1" a="1"/>
  <c r="AW927" i="1" s="1"/>
  <c r="AZ927" i="1" s="1"/>
  <c r="AW928" i="1" a="1"/>
  <c r="AW928" i="1" s="1"/>
  <c r="AW929" i="1" a="1"/>
  <c r="AW929" i="1" s="1"/>
  <c r="AZ929" i="1" s="1"/>
  <c r="AW930" i="1" a="1"/>
  <c r="AW930" i="1" s="1"/>
  <c r="AW931" i="1" a="1"/>
  <c r="AW931" i="1" s="1"/>
  <c r="AZ931" i="1" s="1"/>
  <c r="AW932" i="1" a="1"/>
  <c r="AW932" i="1" s="1"/>
  <c r="AW933" i="1" a="1"/>
  <c r="AW933" i="1" s="1"/>
  <c r="AZ933" i="1" s="1"/>
  <c r="AW934" i="1" a="1"/>
  <c r="AW934" i="1" s="1"/>
  <c r="AW935" i="1" a="1"/>
  <c r="AW935" i="1" s="1"/>
  <c r="AZ935" i="1" s="1"/>
  <c r="AW936" i="1" a="1"/>
  <c r="AW936" i="1" s="1"/>
  <c r="AW937" i="1" a="1"/>
  <c r="AW937" i="1" s="1"/>
  <c r="AZ937" i="1" s="1"/>
  <c r="AW938" i="1" a="1"/>
  <c r="AW938" i="1" s="1"/>
  <c r="AW939" i="1" a="1"/>
  <c r="AW939" i="1" s="1"/>
  <c r="AZ939" i="1" s="1"/>
  <c r="AW940" i="1" a="1"/>
  <c r="AW940" i="1" s="1"/>
  <c r="AW941" i="1" a="1"/>
  <c r="AW941" i="1" s="1"/>
  <c r="AZ941" i="1" s="1"/>
  <c r="AW942" i="1" a="1"/>
  <c r="AW942" i="1" s="1"/>
  <c r="AW943" i="1" a="1"/>
  <c r="AW943" i="1" s="1"/>
  <c r="AZ943" i="1" s="1"/>
  <c r="AW944" i="1" a="1"/>
  <c r="AW944" i="1" s="1"/>
  <c r="AW945" i="1" a="1"/>
  <c r="AW945" i="1" s="1"/>
  <c r="AZ945" i="1" s="1"/>
  <c r="AW946" i="1" a="1"/>
  <c r="AW946" i="1" s="1"/>
  <c r="AZ946" i="1" s="1"/>
  <c r="AW947" i="1" a="1"/>
  <c r="AW947" i="1" s="1"/>
  <c r="AZ947" i="1" s="1"/>
  <c r="AW948" i="1" a="1"/>
  <c r="AW948" i="1" s="1"/>
  <c r="AZ948" i="1" s="1"/>
  <c r="AW949" i="1" a="1"/>
  <c r="AW949" i="1" s="1"/>
  <c r="AZ949" i="1" s="1"/>
  <c r="AW950" i="1" a="1"/>
  <c r="AW950" i="1" s="1"/>
  <c r="AZ950" i="1" s="1"/>
  <c r="AW951" i="1" a="1"/>
  <c r="AW951" i="1" s="1"/>
  <c r="AZ951" i="1" s="1"/>
  <c r="AW952" i="1" a="1"/>
  <c r="AW952" i="1" s="1"/>
  <c r="AW953" i="1" a="1"/>
  <c r="AW953" i="1" s="1"/>
  <c r="AZ953" i="1" s="1"/>
  <c r="AW954" i="1" a="1"/>
  <c r="AW954" i="1" s="1"/>
  <c r="AZ954" i="1" s="1"/>
  <c r="AW955" i="1" a="1"/>
  <c r="AW955" i="1" s="1"/>
  <c r="AZ955" i="1" s="1"/>
  <c r="AW956" i="1" a="1"/>
  <c r="AW956" i="1" s="1"/>
  <c r="AZ956" i="1" s="1"/>
  <c r="AW957" i="1" a="1"/>
  <c r="AW957" i="1" s="1"/>
  <c r="AZ957" i="1" s="1"/>
  <c r="AW958" i="1" a="1"/>
  <c r="AW958" i="1" s="1"/>
  <c r="AZ958" i="1" s="1"/>
  <c r="AW959" i="1" a="1"/>
  <c r="AW959" i="1" s="1"/>
  <c r="AZ959" i="1" s="1"/>
  <c r="AW960" i="1" a="1"/>
  <c r="AW960" i="1" s="1"/>
  <c r="AW961" i="1" a="1"/>
  <c r="AW961" i="1" s="1"/>
  <c r="AZ961" i="1" s="1"/>
  <c r="AW962" i="1" a="1"/>
  <c r="AW962" i="1" s="1"/>
  <c r="AZ962" i="1" s="1"/>
  <c r="AW963" i="1" a="1"/>
  <c r="AW963" i="1" s="1"/>
  <c r="AZ963" i="1" s="1"/>
  <c r="AW964" i="1" a="1"/>
  <c r="AW964" i="1" s="1"/>
  <c r="AZ964" i="1" s="1"/>
  <c r="AW965" i="1" a="1"/>
  <c r="AW965" i="1" s="1"/>
  <c r="AZ965" i="1" s="1"/>
  <c r="AW966" i="1" a="1"/>
  <c r="AW966" i="1" s="1"/>
  <c r="AZ966" i="1" s="1"/>
  <c r="AW967" i="1" a="1"/>
  <c r="AW967" i="1" s="1"/>
  <c r="AW968" i="1" a="1"/>
  <c r="AW968" i="1" s="1"/>
  <c r="AZ968" i="1" s="1"/>
  <c r="AW969" i="1" a="1"/>
  <c r="AW969" i="1" s="1"/>
  <c r="AW970" i="1" a="1"/>
  <c r="AW970" i="1" s="1"/>
  <c r="AZ970" i="1" s="1"/>
  <c r="AW971" i="1" a="1"/>
  <c r="AW971" i="1" s="1"/>
  <c r="AW972" i="1" a="1"/>
  <c r="AW972" i="1" s="1"/>
  <c r="AZ972" i="1" s="1"/>
  <c r="AW973" i="1" a="1"/>
  <c r="AW973" i="1" s="1"/>
  <c r="AW974" i="1" a="1"/>
  <c r="AW974" i="1" s="1"/>
  <c r="AZ974" i="1" s="1"/>
  <c r="AW975" i="1" a="1"/>
  <c r="AW975" i="1" s="1"/>
  <c r="AW976" i="1" a="1"/>
  <c r="AW976" i="1" s="1"/>
  <c r="AZ976" i="1" s="1"/>
  <c r="AW977" i="1" a="1"/>
  <c r="AW977" i="1" s="1"/>
  <c r="AW978" i="1" a="1"/>
  <c r="AW978" i="1" s="1"/>
  <c r="AZ978" i="1" s="1"/>
  <c r="AW979" i="1" a="1"/>
  <c r="AW979" i="1" s="1"/>
  <c r="AW980" i="1" a="1"/>
  <c r="AW980" i="1" s="1"/>
  <c r="AW981" i="1" a="1"/>
  <c r="AW981" i="1" s="1"/>
  <c r="AW982" i="1" a="1"/>
  <c r="AW982" i="1" s="1"/>
  <c r="AW983" i="1" a="1"/>
  <c r="AW983" i="1" s="1"/>
  <c r="AW984" i="1" a="1"/>
  <c r="AW984" i="1" s="1"/>
  <c r="AW985" i="1" a="1"/>
  <c r="AW985" i="1" s="1"/>
  <c r="AW986" i="1" a="1"/>
  <c r="AW986" i="1" s="1"/>
  <c r="AW987" i="1" a="1"/>
  <c r="AW987" i="1" s="1"/>
  <c r="AW988" i="1" a="1"/>
  <c r="AW988" i="1" s="1"/>
  <c r="AW989" i="1" a="1"/>
  <c r="AW989" i="1" s="1"/>
  <c r="AW990" i="1" a="1"/>
  <c r="AW990" i="1" s="1"/>
  <c r="AW991" i="1" a="1"/>
  <c r="AW991" i="1" s="1"/>
  <c r="AW992" i="1" a="1"/>
  <c r="AW992" i="1" s="1"/>
  <c r="AW993" i="1" a="1"/>
  <c r="AW993" i="1" s="1"/>
  <c r="AW994" i="1" a="1"/>
  <c r="AW994" i="1" s="1"/>
  <c r="AW995" i="1" a="1"/>
  <c r="AW995" i="1" s="1"/>
  <c r="AW996" i="1" a="1"/>
  <c r="AW996" i="1" s="1"/>
  <c r="AW997" i="1" a="1"/>
  <c r="AW997" i="1" s="1"/>
  <c r="AW998" i="1" a="1"/>
  <c r="AW998" i="1" s="1"/>
  <c r="AW999" i="1" a="1"/>
  <c r="AW999" i="1" s="1"/>
  <c r="AW1000" i="1" a="1"/>
  <c r="AW1000" i="1" s="1"/>
  <c r="AW1001" i="1" a="1"/>
  <c r="AW1001" i="1" s="1"/>
  <c r="AW1002" i="1" a="1"/>
  <c r="AW1002" i="1" s="1"/>
  <c r="AW1003" i="1" a="1"/>
  <c r="AW1003" i="1" s="1"/>
  <c r="AW1004" i="1" a="1"/>
  <c r="AW1004" i="1" s="1"/>
  <c r="AZ1004" i="1" s="1"/>
  <c r="AW1005" i="1" a="1"/>
  <c r="AW1005" i="1" s="1"/>
  <c r="AZ1005" i="1" s="1"/>
  <c r="AW1006" i="1" a="1"/>
  <c r="AW1006" i="1" s="1"/>
  <c r="AZ1006" i="1" s="1"/>
  <c r="AW1007" i="1" a="1"/>
  <c r="AW1007" i="1" s="1"/>
  <c r="AZ1007" i="1" s="1"/>
  <c r="AW1008" i="1" a="1"/>
  <c r="AW1008" i="1" s="1"/>
  <c r="AZ1008" i="1" s="1"/>
  <c r="AW1009" i="1" a="1"/>
  <c r="AW1009" i="1" s="1"/>
  <c r="AZ1009" i="1" s="1"/>
  <c r="AW1010" i="1" a="1"/>
  <c r="AW1010" i="1" s="1"/>
  <c r="AZ1010" i="1" s="1"/>
  <c r="AW1011" i="1" a="1"/>
  <c r="AW1011" i="1" s="1"/>
  <c r="AZ1011" i="1" s="1"/>
  <c r="AW1012" i="1" a="1"/>
  <c r="AW1012" i="1" s="1"/>
  <c r="AZ1012" i="1" s="1"/>
  <c r="AW1013" i="1" a="1"/>
  <c r="AW1013" i="1" s="1"/>
  <c r="AZ1013" i="1" s="1"/>
  <c r="AW1014" i="1" a="1"/>
  <c r="AW1014" i="1" s="1"/>
  <c r="AZ1014" i="1" s="1"/>
  <c r="AW1015" i="1" a="1"/>
  <c r="AW1015" i="1" s="1"/>
  <c r="AZ1015" i="1" s="1"/>
  <c r="AW1016" i="1" a="1"/>
  <c r="AW1016" i="1" s="1"/>
  <c r="AW1017" i="1" a="1"/>
  <c r="AW1017" i="1" s="1"/>
  <c r="AW1018" i="1" a="1"/>
  <c r="AW1018" i="1" s="1"/>
  <c r="AW1019" i="1" a="1"/>
  <c r="AW1019" i="1" s="1"/>
  <c r="AW1020" i="1" a="1"/>
  <c r="AW1020" i="1" s="1"/>
  <c r="AW1021" i="1" a="1"/>
  <c r="AW1021" i="1" s="1"/>
  <c r="AW1022" i="1" a="1"/>
  <c r="AW1022" i="1" s="1"/>
  <c r="AW1023" i="1" a="1"/>
  <c r="AW1023" i="1" s="1"/>
  <c r="AW1024" i="1" a="1"/>
  <c r="AW1024" i="1" s="1"/>
  <c r="AW1025" i="1" a="1"/>
  <c r="AW1025" i="1" s="1"/>
  <c r="AW1026" i="1" a="1"/>
  <c r="AW1026" i="1" s="1"/>
  <c r="AW1027" i="1" a="1"/>
  <c r="AW1027" i="1" s="1"/>
  <c r="AW1028" i="1" a="1"/>
  <c r="AW1028" i="1" s="1"/>
  <c r="AW1029" i="1" a="1"/>
  <c r="AW1029" i="1" s="1"/>
  <c r="AW1030" i="1" a="1"/>
  <c r="AW1030" i="1" s="1"/>
  <c r="AW1031" i="1" a="1"/>
  <c r="AW1031" i="1" s="1"/>
  <c r="AW1032" i="1" a="1"/>
  <c r="AW1032" i="1" s="1"/>
  <c r="AW1033" i="1" a="1"/>
  <c r="AW1033" i="1" s="1"/>
  <c r="AW1034" i="1" a="1"/>
  <c r="AW1034" i="1" s="1"/>
  <c r="AW1035" i="1" a="1"/>
  <c r="AW1035" i="1" s="1"/>
  <c r="AW1036" i="1" a="1"/>
  <c r="AW1036" i="1" s="1"/>
  <c r="AW1037" i="1" a="1"/>
  <c r="AW1037" i="1" s="1"/>
  <c r="AW1038" i="1" a="1"/>
  <c r="AW1038" i="1" s="1"/>
  <c r="AW1039" i="1" a="1"/>
  <c r="AW1039" i="1" s="1"/>
  <c r="AW1040" i="1" a="1"/>
  <c r="AW1040" i="1" s="1"/>
  <c r="AW1041" i="1" a="1"/>
  <c r="AW1041" i="1" s="1"/>
  <c r="AW1042" i="1" a="1"/>
  <c r="AW1042" i="1" s="1"/>
  <c r="AW1043" i="1" a="1"/>
  <c r="AW1043" i="1" s="1"/>
  <c r="AW1044" i="1" a="1"/>
  <c r="AW1044" i="1" s="1"/>
  <c r="AW1045" i="1" a="1"/>
  <c r="AW1045" i="1" s="1"/>
  <c r="AW1046" i="1" a="1"/>
  <c r="AW1046" i="1" s="1"/>
  <c r="AW1047" i="1" a="1"/>
  <c r="AW1047" i="1" s="1"/>
  <c r="AW1048" i="1" a="1"/>
  <c r="AW1048" i="1" s="1"/>
  <c r="AW1049" i="1" a="1"/>
  <c r="AW1049" i="1" s="1"/>
  <c r="AW1050" i="1" a="1"/>
  <c r="AW1050" i="1" s="1"/>
  <c r="AW1051" i="1" a="1"/>
  <c r="AW1051" i="1" s="1"/>
  <c r="AW1052" i="1" a="1"/>
  <c r="AW1052" i="1" s="1"/>
  <c r="AW1053" i="1" a="1"/>
  <c r="AW1053" i="1" s="1"/>
  <c r="AW1054" i="1" a="1"/>
  <c r="AW1054" i="1" s="1"/>
  <c r="AW1055" i="1" a="1"/>
  <c r="AW1055" i="1" s="1"/>
  <c r="AW1056" i="1" a="1"/>
  <c r="AW1056" i="1" s="1"/>
  <c r="AW1057" i="1" a="1"/>
  <c r="AW1057" i="1" s="1"/>
  <c r="AW1058" i="1" a="1"/>
  <c r="AW1058" i="1" s="1"/>
  <c r="AW1059" i="1" a="1"/>
  <c r="AW1059" i="1" s="1"/>
  <c r="AW1060" i="1" a="1"/>
  <c r="AW1060" i="1" s="1"/>
  <c r="AW1061" i="1" a="1"/>
  <c r="AW1061" i="1" s="1"/>
  <c r="AW1062" i="1" a="1"/>
  <c r="AW1062" i="1" s="1"/>
  <c r="AW1063" i="1" a="1"/>
  <c r="AW1063" i="1" s="1"/>
  <c r="AW1064" i="1" a="1"/>
  <c r="AW1064" i="1" s="1"/>
  <c r="AW1065" i="1" a="1"/>
  <c r="AW1065" i="1" s="1"/>
  <c r="AW1066" i="1" a="1"/>
  <c r="AW1066" i="1" s="1"/>
  <c r="AW1067" i="1" a="1"/>
  <c r="AW1067" i="1" s="1"/>
  <c r="AW1068" i="1" a="1"/>
  <c r="AW1068" i="1" s="1"/>
  <c r="AW1069" i="1" a="1"/>
  <c r="AW1069" i="1" s="1"/>
  <c r="AW1070" i="1" a="1"/>
  <c r="AW1070" i="1" s="1"/>
  <c r="AW1071" i="1" a="1"/>
  <c r="AW1071" i="1" s="1"/>
  <c r="AW1072" i="1" a="1"/>
  <c r="AW1072" i="1" s="1"/>
  <c r="AW1073" i="1" a="1"/>
  <c r="AW1073" i="1" s="1"/>
  <c r="AW1074" i="1" a="1"/>
  <c r="AW1074" i="1" s="1"/>
  <c r="AW1075" i="1" a="1"/>
  <c r="AW1075" i="1" s="1"/>
  <c r="AW1076" i="1" a="1"/>
  <c r="AW1076" i="1" s="1"/>
  <c r="AW1077" i="1" a="1"/>
  <c r="AW1077" i="1" s="1"/>
  <c r="AW1078" i="1" a="1"/>
  <c r="AW1078" i="1" s="1"/>
  <c r="AW1079" i="1" a="1"/>
  <c r="AW1079" i="1" s="1"/>
  <c r="AW1080" i="1" a="1"/>
  <c r="AW1080" i="1" s="1"/>
  <c r="AW1081" i="1" a="1"/>
  <c r="AW1081" i="1" s="1"/>
  <c r="AW1082" i="1" a="1"/>
  <c r="AW1082" i="1" s="1"/>
  <c r="AW1083" i="1" a="1"/>
  <c r="AW1083" i="1" s="1"/>
  <c r="AW1084" i="1" a="1"/>
  <c r="AW1084" i="1" s="1"/>
  <c r="AW1085" i="1" a="1"/>
  <c r="AW1085" i="1" s="1"/>
  <c r="AW1086" i="1" a="1"/>
  <c r="AW1086" i="1" s="1"/>
  <c r="AW1087" i="1" a="1"/>
  <c r="AW1087" i="1" s="1"/>
  <c r="AW1088" i="1" a="1"/>
  <c r="AW1088" i="1" s="1"/>
  <c r="AW1089" i="1" a="1"/>
  <c r="AW1089" i="1" s="1"/>
  <c r="AW1090" i="1" a="1"/>
  <c r="AW1090" i="1" s="1"/>
  <c r="AW1091" i="1" a="1"/>
  <c r="AW1091" i="1" s="1"/>
  <c r="AW1092" i="1" a="1"/>
  <c r="AW1092" i="1" s="1"/>
  <c r="AW1093" i="1" a="1"/>
  <c r="AW1093" i="1" s="1"/>
  <c r="AW1094" i="1" a="1"/>
  <c r="AW1094" i="1" s="1"/>
  <c r="AW1095" i="1" a="1"/>
  <c r="AW1095" i="1" s="1"/>
  <c r="AW1096" i="1" a="1"/>
  <c r="AW1096" i="1" s="1"/>
  <c r="AW1097" i="1" a="1"/>
  <c r="AW1097" i="1" s="1"/>
  <c r="AW1098" i="1" a="1"/>
  <c r="AW1098" i="1" s="1"/>
  <c r="AW1099" i="1" a="1"/>
  <c r="AW1099" i="1" s="1"/>
  <c r="AW1100" i="1" a="1"/>
  <c r="AW1100" i="1" s="1"/>
  <c r="AW1101" i="1" a="1"/>
  <c r="AW1101" i="1" s="1"/>
  <c r="AW1102" i="1" a="1"/>
  <c r="AW1102" i="1" s="1"/>
  <c r="AW1103" i="1" a="1"/>
  <c r="AW1103" i="1" s="1"/>
  <c r="AW1104" i="1" a="1"/>
  <c r="AW1104" i="1" s="1"/>
  <c r="AW1105" i="1" a="1"/>
  <c r="AW1105" i="1" s="1"/>
  <c r="AW1106" i="1" a="1"/>
  <c r="AW1106" i="1" s="1"/>
  <c r="AW1107" i="1" a="1"/>
  <c r="AW1107" i="1" s="1"/>
  <c r="AW1108" i="1" a="1"/>
  <c r="AW1108" i="1" s="1"/>
  <c r="AW1109" i="1" a="1"/>
  <c r="AW1109" i="1" s="1"/>
  <c r="AW1110" i="1" a="1"/>
  <c r="AW1110" i="1" s="1"/>
  <c r="AW1111" i="1" a="1"/>
  <c r="AW1111" i="1" s="1"/>
  <c r="AW1112" i="1" a="1"/>
  <c r="AW1112" i="1" s="1"/>
  <c r="AW1113" i="1" a="1"/>
  <c r="AW1113" i="1" s="1"/>
  <c r="AW1114" i="1" a="1"/>
  <c r="AW1114" i="1" s="1"/>
  <c r="AW1115" i="1" a="1"/>
  <c r="AW1115" i="1" s="1"/>
  <c r="AW1116" i="1" a="1"/>
  <c r="AW1116" i="1" s="1"/>
  <c r="AW1117" i="1" a="1"/>
  <c r="AW1117" i="1" s="1"/>
  <c r="AW1118" i="1" a="1"/>
  <c r="AW1118" i="1" s="1"/>
  <c r="AW1119" i="1" a="1"/>
  <c r="AW1119" i="1" s="1"/>
  <c r="AW1120" i="1" a="1"/>
  <c r="AW1120" i="1" s="1"/>
  <c r="AW1121" i="1" a="1"/>
  <c r="AW1121" i="1" s="1"/>
  <c r="AW1122" i="1" a="1"/>
  <c r="AW1122" i="1" s="1"/>
  <c r="AW1123" i="1" a="1"/>
  <c r="AW1123" i="1" s="1"/>
  <c r="AW1124" i="1" a="1"/>
  <c r="AW1124" i="1" s="1"/>
  <c r="AW1125" i="1" a="1"/>
  <c r="AW1125" i="1" s="1"/>
  <c r="AX1125" i="1" s="1"/>
  <c r="AW1126" i="1" a="1"/>
  <c r="AW1126" i="1" s="1"/>
  <c r="AW1127" i="1" a="1"/>
  <c r="AW1127" i="1" s="1"/>
  <c r="AX1127" i="1" s="1"/>
  <c r="AW1128" i="1" a="1"/>
  <c r="AW1128" i="1" s="1"/>
  <c r="AW1129" i="1" a="1"/>
  <c r="AW1129" i="1" s="1"/>
  <c r="AX1129" i="1" s="1"/>
  <c r="AW1130" i="1" a="1"/>
  <c r="AW1130" i="1" s="1"/>
  <c r="AW1131" i="1" a="1"/>
  <c r="AW1131" i="1" s="1"/>
  <c r="AX1131" i="1" s="1"/>
  <c r="AW1132" i="1" a="1"/>
  <c r="AW1132" i="1" s="1"/>
  <c r="AW1133" i="1" a="1"/>
  <c r="AW1133" i="1" s="1"/>
  <c r="AX1133" i="1" s="1"/>
  <c r="AW1134" i="1" a="1"/>
  <c r="AW1134" i="1" s="1"/>
  <c r="AW1135" i="1" a="1"/>
  <c r="AW1135" i="1" s="1"/>
  <c r="AX1135" i="1" s="1"/>
  <c r="AW1136" i="1" a="1"/>
  <c r="AW1136" i="1" s="1"/>
  <c r="AW1137" i="1" a="1"/>
  <c r="AW1137" i="1" s="1"/>
  <c r="AW1138" i="1" a="1"/>
  <c r="AW1138" i="1" s="1"/>
  <c r="AZ1138" i="1" s="1"/>
  <c r="AW1139" i="1" a="1"/>
  <c r="AW1139" i="1" s="1"/>
  <c r="AW1140" i="1" a="1"/>
  <c r="AW1140" i="1" s="1"/>
  <c r="AZ1140" i="1" s="1"/>
  <c r="AW1141" i="1" a="1"/>
  <c r="AW1141" i="1" s="1"/>
  <c r="AX1141" i="1" s="1"/>
  <c r="AW1142" i="1" a="1"/>
  <c r="AW1142" i="1" s="1"/>
  <c r="AZ1142" i="1" s="1"/>
  <c r="AW1143" i="1" a="1"/>
  <c r="AW1143" i="1" s="1"/>
  <c r="AW1144" i="1" a="1"/>
  <c r="AW1144" i="1" s="1"/>
  <c r="AZ1144" i="1" s="1"/>
  <c r="AW1145" i="1" a="1"/>
  <c r="AW1145" i="1" s="1"/>
  <c r="AX1145" i="1" s="1"/>
  <c r="AW1146" i="1" a="1"/>
  <c r="AW1146" i="1" s="1"/>
  <c r="AZ1146" i="1" s="1"/>
  <c r="AW1147" i="1" a="1"/>
  <c r="AW1147" i="1" s="1"/>
  <c r="AW1148" i="1" a="1"/>
  <c r="AW1148" i="1" s="1"/>
  <c r="AZ1148" i="1" s="1"/>
  <c r="AW1149" i="1" a="1"/>
  <c r="AW1149" i="1" s="1"/>
  <c r="AW1150" i="1" a="1"/>
  <c r="AW1150" i="1" s="1"/>
  <c r="AZ1150" i="1" s="1"/>
  <c r="AW1151" i="1" a="1"/>
  <c r="AW1151" i="1" s="1"/>
  <c r="AW1152" i="1" a="1"/>
  <c r="AW1152" i="1" s="1"/>
  <c r="AZ1152" i="1" s="1"/>
  <c r="AW1153" i="1" a="1"/>
  <c r="AW1153" i="1" s="1"/>
  <c r="AW1154" i="1" a="1"/>
  <c r="AW1154" i="1" s="1"/>
  <c r="AZ1154" i="1" s="1"/>
  <c r="AW1155" i="1" a="1"/>
  <c r="AW1155" i="1" s="1"/>
  <c r="AW1156" i="1" a="1"/>
  <c r="AW1156" i="1" s="1"/>
  <c r="AZ1156" i="1" s="1"/>
  <c r="AW1157" i="1" a="1"/>
  <c r="AW1157" i="1" s="1"/>
  <c r="AW1158" i="1" a="1"/>
  <c r="AW1158" i="1" s="1"/>
  <c r="AZ1158" i="1" s="1"/>
  <c r="AW1159" i="1" a="1"/>
  <c r="AW1159" i="1" s="1"/>
  <c r="AW1160" i="1" a="1"/>
  <c r="AW1160" i="1" s="1"/>
  <c r="AZ1160" i="1" s="1"/>
  <c r="AW1161" i="1" a="1"/>
  <c r="AW1161" i="1" s="1"/>
  <c r="AW1162" i="1" a="1"/>
  <c r="AW1162" i="1" s="1"/>
  <c r="AZ1162" i="1" s="1"/>
  <c r="AW1163" i="1" a="1"/>
  <c r="AW1163" i="1" s="1"/>
  <c r="AW1164" i="1" a="1"/>
  <c r="AW1164" i="1" s="1"/>
  <c r="AZ1164" i="1" s="1"/>
  <c r="AW1165" i="1" a="1"/>
  <c r="AW1165" i="1" s="1"/>
  <c r="AZ1165" i="1" s="1"/>
  <c r="AW1166" i="1" a="1"/>
  <c r="AW1166" i="1" s="1"/>
  <c r="AW1167" i="1" a="1"/>
  <c r="AW1167" i="1" s="1"/>
  <c r="AZ1167" i="1" s="1"/>
  <c r="AW1168" i="1" a="1"/>
  <c r="AW1168" i="1" s="1"/>
  <c r="AW1169" i="1" a="1"/>
  <c r="AW1169" i="1" s="1"/>
  <c r="AZ1169" i="1" s="1"/>
  <c r="AW1170" i="1" a="1"/>
  <c r="AW1170" i="1" s="1"/>
  <c r="AW1171" i="1" a="1"/>
  <c r="AW1171" i="1" s="1"/>
  <c r="AZ1171" i="1" s="1"/>
  <c r="AW1172" i="1" a="1"/>
  <c r="AW1172" i="1" s="1"/>
  <c r="AW1173" i="1" a="1"/>
  <c r="AW1173" i="1" s="1"/>
  <c r="AZ1173" i="1" s="1"/>
  <c r="AW1174" i="1" a="1"/>
  <c r="AW1174" i="1" s="1"/>
  <c r="AW1175" i="1" a="1"/>
  <c r="AW1175" i="1" s="1"/>
  <c r="AZ1175" i="1" s="1"/>
  <c r="AW1176" i="1" a="1"/>
  <c r="AW1176" i="1" s="1"/>
  <c r="AW1177" i="1" a="1"/>
  <c r="AW1177" i="1" s="1"/>
  <c r="AZ1177" i="1" s="1"/>
  <c r="AW1178" i="1" a="1"/>
  <c r="AW1178" i="1" s="1"/>
  <c r="AW1179" i="1" a="1"/>
  <c r="AW1179" i="1" s="1"/>
  <c r="AZ1179" i="1" s="1"/>
  <c r="AW1180" i="1" a="1"/>
  <c r="AW1180" i="1" s="1"/>
  <c r="AW1181" i="1" a="1"/>
  <c r="AW1181" i="1" s="1"/>
  <c r="AZ1181" i="1" s="1"/>
  <c r="AW1182" i="1" a="1"/>
  <c r="AW1182" i="1" s="1"/>
  <c r="AW1183" i="1" a="1"/>
  <c r="AW1183" i="1" s="1"/>
  <c r="AZ1183" i="1" s="1"/>
  <c r="AW1184" i="1" a="1"/>
  <c r="AW1184" i="1" s="1"/>
  <c r="AW1185" i="1" a="1"/>
  <c r="AW1185" i="1" s="1"/>
  <c r="AZ1185" i="1" s="1"/>
  <c r="AW1186" i="1" a="1"/>
  <c r="AW1186" i="1" s="1"/>
  <c r="AW1187" i="1" a="1"/>
  <c r="AW1187" i="1" s="1"/>
  <c r="AZ1187" i="1" s="1"/>
  <c r="AW1188" i="1" a="1"/>
  <c r="AW1188" i="1" s="1"/>
  <c r="AW1189" i="1" a="1"/>
  <c r="AW1189" i="1" s="1"/>
  <c r="AZ1189" i="1" s="1"/>
  <c r="AW1190" i="1" a="1"/>
  <c r="AW1190" i="1" s="1"/>
  <c r="AW1191" i="1" a="1"/>
  <c r="AW1191" i="1" s="1"/>
  <c r="AZ1191" i="1" s="1"/>
  <c r="AW1192" i="1" a="1"/>
  <c r="AW1192" i="1" s="1"/>
  <c r="AW1193" i="1" a="1"/>
  <c r="AW1193" i="1" s="1"/>
  <c r="AZ1193" i="1" s="1"/>
  <c r="AW1194" i="1" a="1"/>
  <c r="AW1194" i="1" s="1"/>
  <c r="AW1195" i="1" a="1"/>
  <c r="AW1195" i="1" s="1"/>
  <c r="AZ1195" i="1" s="1"/>
  <c r="AW1196" i="1" a="1"/>
  <c r="AW1196" i="1" s="1"/>
  <c r="AW1197" i="1" a="1"/>
  <c r="AW1197" i="1" s="1"/>
  <c r="AZ1197" i="1" s="1"/>
  <c r="AW1198" i="1" a="1"/>
  <c r="AW1198" i="1" s="1"/>
  <c r="AW1199" i="1" a="1"/>
  <c r="AW1199" i="1" s="1"/>
  <c r="AZ1199" i="1" s="1"/>
  <c r="AW1200" i="1" a="1"/>
  <c r="AW1200" i="1" s="1"/>
  <c r="AW1201" i="1" a="1"/>
  <c r="AW1201" i="1" s="1"/>
  <c r="AZ1201" i="1" s="1"/>
  <c r="AW1202" i="1" a="1"/>
  <c r="AW1202" i="1" s="1"/>
  <c r="AW1203" i="1" a="1"/>
  <c r="AW1203" i="1" s="1"/>
  <c r="AZ1203" i="1" s="1"/>
  <c r="AW1204" i="1" a="1"/>
  <c r="AW1204" i="1" s="1"/>
  <c r="AW1205" i="1" a="1"/>
  <c r="AW1205" i="1" s="1"/>
  <c r="AZ1205" i="1" s="1"/>
  <c r="AW1206" i="1" a="1"/>
  <c r="AW1206" i="1" s="1"/>
  <c r="AZ1206" i="1" s="1"/>
  <c r="AW1207" i="1" a="1"/>
  <c r="AW1207" i="1" s="1"/>
  <c r="AZ1207" i="1" s="1"/>
  <c r="AW1208" i="1" a="1"/>
  <c r="AW1208" i="1" s="1"/>
  <c r="AW1209" i="1" a="1"/>
  <c r="AW1209" i="1" s="1"/>
  <c r="AW1210" i="1" a="1"/>
  <c r="AW1210" i="1" s="1"/>
  <c r="AW1211" i="1" a="1"/>
  <c r="AW1211" i="1" s="1"/>
  <c r="AW1212" i="1" a="1"/>
  <c r="AW1212" i="1" s="1"/>
  <c r="AZ1212" i="1" s="1"/>
  <c r="AW1213" i="1" a="1"/>
  <c r="AW1213" i="1" s="1"/>
  <c r="AW1214" i="1" a="1"/>
  <c r="AW1214" i="1" s="1"/>
  <c r="AZ1214" i="1" s="1"/>
  <c r="AW1215" i="1" a="1"/>
  <c r="AW1215" i="1" s="1"/>
  <c r="AZ1215" i="1" s="1"/>
  <c r="AW1216" i="1" a="1"/>
  <c r="AW1216" i="1" s="1"/>
  <c r="AW1217" i="1" a="1"/>
  <c r="AW1217" i="1" s="1"/>
  <c r="AW1218" i="1" a="1"/>
  <c r="AW1218" i="1" s="1"/>
  <c r="AW1219" i="1" a="1"/>
  <c r="AW1219" i="1" s="1"/>
  <c r="AZ1219" i="1" s="1"/>
  <c r="AW163" i="1" l="1" a="1"/>
  <c r="AW163" i="1" s="1"/>
  <c r="AZ163" i="1" s="1"/>
  <c r="AW122" i="1" a="1"/>
  <c r="AW122" i="1" s="1"/>
  <c r="AX122" i="1" s="1"/>
  <c r="AW168" i="1" a="1"/>
  <c r="AW168" i="1" s="1"/>
  <c r="AZ168" i="1" s="1"/>
  <c r="AW165" i="1" a="1"/>
  <c r="AW165" i="1" s="1"/>
  <c r="AZ165" i="1" s="1"/>
  <c r="AW161" i="1" a="1"/>
  <c r="AW161" i="1" s="1"/>
  <c r="AZ161" i="1" s="1"/>
  <c r="AW159" i="1" a="1"/>
  <c r="AW159" i="1" s="1"/>
  <c r="AZ159" i="1" s="1"/>
  <c r="AW157" i="1" a="1"/>
  <c r="AW157" i="1" s="1"/>
  <c r="AX157" i="1" s="1"/>
  <c r="AW153" i="1" a="1"/>
  <c r="AW153" i="1" s="1"/>
  <c r="AZ153" i="1" s="1"/>
  <c r="AW152" i="1" a="1"/>
  <c r="AW152" i="1" s="1"/>
  <c r="AY152" i="1" s="1"/>
  <c r="AW162" i="1" a="1"/>
  <c r="AW162" i="1" s="1"/>
  <c r="AX162" i="1" s="1"/>
  <c r="AW160" i="1" a="1"/>
  <c r="AW160" i="1" s="1"/>
  <c r="AX160" i="1" s="1"/>
  <c r="AW154" i="1" a="1"/>
  <c r="AW154" i="1" s="1"/>
  <c r="AX154" i="1" s="1"/>
  <c r="AW151" i="1" a="1"/>
  <c r="AW151" i="1" s="1"/>
  <c r="AY151" i="1" s="1"/>
  <c r="AW158" i="1" a="1"/>
  <c r="AW158" i="1" s="1"/>
  <c r="AX158" i="1" s="1"/>
  <c r="AW150" i="1" a="1"/>
  <c r="AW150" i="1" s="1"/>
  <c r="AX150" i="1" s="1"/>
  <c r="AW149" i="1" a="1"/>
  <c r="AW149" i="1" s="1"/>
  <c r="AY149" i="1" s="1"/>
  <c r="AW156" i="1" a="1"/>
  <c r="AW156" i="1" s="1"/>
  <c r="AY156" i="1" s="1"/>
  <c r="AW148" i="1" a="1"/>
  <c r="AW148" i="1" s="1"/>
  <c r="AX148" i="1" s="1"/>
  <c r="AW155" i="1" a="1"/>
  <c r="AW155" i="1" s="1"/>
  <c r="AX155" i="1" s="1"/>
  <c r="AW145" i="1" a="1"/>
  <c r="AW145" i="1" s="1"/>
  <c r="AX145" i="1" s="1"/>
  <c r="AW142" i="1" a="1"/>
  <c r="AW142" i="1" s="1"/>
  <c r="AZ142" i="1" s="1"/>
  <c r="AW141" i="1" a="1"/>
  <c r="AW141" i="1" s="1"/>
  <c r="AY141" i="1" s="1"/>
  <c r="AW140" i="1" a="1"/>
  <c r="AW140" i="1" s="1"/>
  <c r="AY140" i="1" s="1"/>
  <c r="AW137" i="1" a="1"/>
  <c r="AW137" i="1" s="1"/>
  <c r="AX137" i="1" s="1"/>
  <c r="AW146" i="1" a="1"/>
  <c r="AW146" i="1" s="1"/>
  <c r="AY146" i="1" s="1"/>
  <c r="AW138" i="1" a="1"/>
  <c r="AW138" i="1" s="1"/>
  <c r="AX138" i="1" s="1"/>
  <c r="AW144" i="1" a="1"/>
  <c r="AW144" i="1" s="1"/>
  <c r="AY144" i="1" s="1"/>
  <c r="AW135" i="1" a="1"/>
  <c r="AW135" i="1" s="1"/>
  <c r="AX135" i="1" s="1"/>
  <c r="AW143" i="1" a="1"/>
  <c r="AW143" i="1" s="1"/>
  <c r="AY143" i="1" s="1"/>
  <c r="AW132" i="1" a="1"/>
  <c r="AW132" i="1" s="1"/>
  <c r="AY132" i="1" s="1"/>
  <c r="AW147" i="1" a="1"/>
  <c r="AW147" i="1" s="1"/>
  <c r="AY147" i="1" s="1"/>
  <c r="AW139" i="1" a="1"/>
  <c r="AW139" i="1" s="1"/>
  <c r="AY139" i="1" s="1"/>
  <c r="AW130" i="1" a="1"/>
  <c r="AW130" i="1" s="1"/>
  <c r="AY130" i="1" s="1"/>
  <c r="AW129" i="1" a="1"/>
  <c r="AW129" i="1" s="1"/>
  <c r="AZ129" i="1" s="1"/>
  <c r="AW127" i="1" a="1"/>
  <c r="AW127" i="1" s="1"/>
  <c r="AY127" i="1" s="1"/>
  <c r="AW125" i="1" a="1"/>
  <c r="AW125" i="1" s="1"/>
  <c r="AX125" i="1" s="1"/>
  <c r="AW134" i="1" a="1"/>
  <c r="AW134" i="1" s="1"/>
  <c r="AY134" i="1" s="1"/>
  <c r="AW131" i="1" a="1"/>
  <c r="AW131" i="1" s="1"/>
  <c r="AX131" i="1" s="1"/>
  <c r="AW136" i="1" a="1"/>
  <c r="AW136" i="1" s="1"/>
  <c r="AX136" i="1" s="1"/>
  <c r="AW128" i="1" a="1"/>
  <c r="AW128" i="1" s="1"/>
  <c r="AX128" i="1" s="1"/>
  <c r="AW133" i="1" a="1"/>
  <c r="AW133" i="1" s="1"/>
  <c r="AY133" i="1" s="1"/>
  <c r="AW124" i="1" a="1"/>
  <c r="AW124" i="1" s="1"/>
  <c r="AX124" i="1" s="1"/>
  <c r="AW123" i="1" a="1"/>
  <c r="AW123" i="1" s="1"/>
  <c r="AY123" i="1" s="1"/>
  <c r="AW121" i="1" a="1"/>
  <c r="AW121" i="1" s="1"/>
  <c r="AY121" i="1" s="1"/>
  <c r="AW118" i="1" a="1"/>
  <c r="AW118" i="1" s="1"/>
  <c r="AX118" i="1" s="1"/>
  <c r="AW110" i="1" a="1"/>
  <c r="AW110" i="1" s="1"/>
  <c r="AX110" i="1" s="1"/>
  <c r="AW126" i="1" a="1"/>
  <c r="AW126" i="1" s="1"/>
  <c r="AX126" i="1" s="1"/>
  <c r="AW119" i="1" a="1"/>
  <c r="AW119" i="1" s="1"/>
  <c r="AZ119" i="1" s="1"/>
  <c r="AW117" i="1" a="1"/>
  <c r="AW117" i="1" s="1"/>
  <c r="AX117" i="1" s="1"/>
  <c r="AW112" i="1" a="1"/>
  <c r="AW112" i="1" s="1"/>
  <c r="AX112" i="1" s="1"/>
  <c r="AW120" i="1" a="1"/>
  <c r="AW120" i="1" s="1"/>
  <c r="AZ120" i="1" s="1"/>
  <c r="AW115" i="1" a="1"/>
  <c r="AW115" i="1" s="1"/>
  <c r="AZ115" i="1" s="1"/>
  <c r="AW107" i="1" a="1"/>
  <c r="AW107" i="1" s="1"/>
  <c r="AX107" i="1" s="1"/>
  <c r="AW96" i="1" a="1"/>
  <c r="AW96" i="1" s="1"/>
  <c r="AX96" i="1" s="1"/>
  <c r="AW116" i="1" a="1"/>
  <c r="AW116" i="1" s="1"/>
  <c r="AX116" i="1" s="1"/>
  <c r="AW108" i="1" a="1"/>
  <c r="AW108" i="1" s="1"/>
  <c r="AZ108" i="1" s="1"/>
  <c r="AW114" i="1" a="1"/>
  <c r="AW114" i="1" s="1"/>
  <c r="AX114" i="1" s="1"/>
  <c r="AW106" i="1" a="1"/>
  <c r="AW106" i="1" s="1"/>
  <c r="AY106" i="1" s="1"/>
  <c r="AW113" i="1" a="1"/>
  <c r="AW113" i="1" s="1"/>
  <c r="AZ113" i="1" s="1"/>
  <c r="AW103" i="1" a="1"/>
  <c r="AW103" i="1" s="1"/>
  <c r="AZ103" i="1" s="1"/>
  <c r="AW111" i="1" a="1"/>
  <c r="AW111" i="1" s="1"/>
  <c r="AX111" i="1" s="1"/>
  <c r="AW109" i="1" a="1"/>
  <c r="AW109" i="1" s="1"/>
  <c r="AY109" i="1" s="1"/>
  <c r="AW104" i="1" a="1"/>
  <c r="AW104" i="1" s="1"/>
  <c r="AY104" i="1" s="1"/>
  <c r="AW101" i="1" a="1"/>
  <c r="AW101" i="1" s="1"/>
  <c r="AY101" i="1" s="1"/>
  <c r="AW98" i="1" a="1"/>
  <c r="AW98" i="1" s="1"/>
  <c r="AX98" i="1" s="1"/>
  <c r="AW105" i="1" a="1"/>
  <c r="AW105" i="1" s="1"/>
  <c r="AX105" i="1" s="1"/>
  <c r="AW97" i="1" a="1"/>
  <c r="AW97" i="1" s="1"/>
  <c r="AZ97" i="1" s="1"/>
  <c r="AW95" i="1" a="1"/>
  <c r="AW95" i="1" s="1"/>
  <c r="AX95" i="1" s="1"/>
  <c r="AW86" i="1" a="1"/>
  <c r="AW86" i="1" s="1"/>
  <c r="AZ86" i="1" s="1"/>
  <c r="AW80" i="1" a="1"/>
  <c r="AW80" i="1" s="1"/>
  <c r="AX80" i="1" s="1"/>
  <c r="AW102" i="1" a="1"/>
  <c r="AW102" i="1" s="1"/>
  <c r="AZ102" i="1" s="1"/>
  <c r="BG39" i="3"/>
  <c r="AW94" i="1" a="1"/>
  <c r="AW94" i="1" s="1"/>
  <c r="AZ94" i="1" s="1"/>
  <c r="AW78" i="1" a="1"/>
  <c r="AW78" i="1" s="1"/>
  <c r="AY78" i="1" s="1"/>
  <c r="AW89" i="1" a="1"/>
  <c r="AW89" i="1" s="1"/>
  <c r="AX89" i="1" s="1"/>
  <c r="AW73" i="1" a="1"/>
  <c r="AW73" i="1" s="1"/>
  <c r="AX73" i="1" s="1"/>
  <c r="AW100" i="1" a="1"/>
  <c r="AW100" i="1" s="1"/>
  <c r="AZ100" i="1" s="1"/>
  <c r="AW88" i="1" a="1"/>
  <c r="AW88" i="1" s="1"/>
  <c r="AX88" i="1" s="1"/>
  <c r="AW72" i="1" a="1"/>
  <c r="AW72" i="1" s="1"/>
  <c r="AZ72" i="1" s="1"/>
  <c r="AW99" i="1" a="1"/>
  <c r="AW99" i="1" s="1"/>
  <c r="AX99" i="1" s="1"/>
  <c r="AW87" i="1" a="1"/>
  <c r="AW87" i="1" s="1"/>
  <c r="AX87" i="1" s="1"/>
  <c r="AW70" i="1" a="1"/>
  <c r="AW70" i="1" s="1"/>
  <c r="AZ70" i="1" s="1"/>
  <c r="AW55" i="1" a="1"/>
  <c r="AW55" i="1" s="1"/>
  <c r="AY55" i="1" s="1"/>
  <c r="AW81" i="1" a="1"/>
  <c r="AW81" i="1" s="1"/>
  <c r="AX81" i="1" s="1"/>
  <c r="AW79" i="1" a="1"/>
  <c r="AW79" i="1" s="1"/>
  <c r="AZ79" i="1" s="1"/>
  <c r="AW64" i="1" a="1"/>
  <c r="AW64" i="1" s="1"/>
  <c r="AX64" i="1" s="1"/>
  <c r="AW63" i="1" a="1"/>
  <c r="AW63" i="1" s="1"/>
  <c r="AX63" i="1" s="1"/>
  <c r="AW62" i="1" a="1"/>
  <c r="AW62" i="1" s="1"/>
  <c r="AZ62" i="1" s="1"/>
  <c r="AW56" i="1" a="1"/>
  <c r="AW56" i="1" s="1"/>
  <c r="AX56" i="1" s="1"/>
  <c r="AW71" i="1" a="1"/>
  <c r="AW71" i="1" s="1"/>
  <c r="AX71" i="1" s="1"/>
  <c r="AW65" i="1" a="1"/>
  <c r="AW65" i="1" s="1"/>
  <c r="AZ65" i="1" s="1"/>
  <c r="AW49" i="1" a="1"/>
  <c r="AW49" i="1" s="1"/>
  <c r="AZ49" i="1" s="1"/>
  <c r="AW47" i="1" a="1"/>
  <c r="AW47" i="1" s="1"/>
  <c r="AZ47" i="1" s="1"/>
  <c r="AW46" i="1" a="1"/>
  <c r="AW46" i="1" s="1"/>
  <c r="AZ46" i="1" s="1"/>
  <c r="AW39" i="1" a="1"/>
  <c r="AW39" i="1" s="1"/>
  <c r="AY39" i="1" s="1"/>
  <c r="AW31" i="1" a="1"/>
  <c r="AW31" i="1" s="1"/>
  <c r="AY31" i="1" s="1"/>
  <c r="AW57" i="1" a="1"/>
  <c r="AW57" i="1" s="1"/>
  <c r="AZ57" i="1" s="1"/>
  <c r="AW54" i="1" a="1"/>
  <c r="AW54" i="1" s="1"/>
  <c r="AZ54" i="1" s="1"/>
  <c r="AW41" i="1" a="1"/>
  <c r="AW41" i="1" s="1"/>
  <c r="AZ41" i="1" s="1"/>
  <c r="AW27" i="1" a="1"/>
  <c r="AW27" i="1" s="1"/>
  <c r="AY27" i="1" s="1"/>
  <c r="AW15" i="1" a="1"/>
  <c r="AW15" i="1" s="1"/>
  <c r="AY15" i="1" s="1"/>
  <c r="AW48" i="1" a="1"/>
  <c r="AW48" i="1" s="1"/>
  <c r="AZ48" i="1" s="1"/>
  <c r="AW93" i="1" a="1"/>
  <c r="AW93" i="1" s="1"/>
  <c r="AZ93" i="1" s="1"/>
  <c r="AW85" i="1" a="1"/>
  <c r="AW85" i="1" s="1"/>
  <c r="AX85" i="1" s="1"/>
  <c r="AW77" i="1" a="1"/>
  <c r="AW77" i="1" s="1"/>
  <c r="AX77" i="1" s="1"/>
  <c r="AW69" i="1" a="1"/>
  <c r="AW69" i="1" s="1"/>
  <c r="AX69" i="1" s="1"/>
  <c r="AW61" i="1" a="1"/>
  <c r="AW61" i="1" s="1"/>
  <c r="AY61" i="1" s="1"/>
  <c r="AW53" i="1" a="1"/>
  <c r="AW53" i="1" s="1"/>
  <c r="AY53" i="1" s="1"/>
  <c r="AW45" i="1" a="1"/>
  <c r="AW45" i="1" s="1"/>
  <c r="AZ45" i="1" s="1"/>
  <c r="AW37" i="1" a="1"/>
  <c r="AW37" i="1" s="1"/>
  <c r="AX37" i="1" s="1"/>
  <c r="AW23" i="1" a="1"/>
  <c r="AW23" i="1" s="1"/>
  <c r="AY23" i="1" s="1"/>
  <c r="AW92" i="1" a="1"/>
  <c r="AW92" i="1" s="1"/>
  <c r="AZ92" i="1" s="1"/>
  <c r="AW84" i="1" a="1"/>
  <c r="AW84" i="1" s="1"/>
  <c r="AY84" i="1" s="1"/>
  <c r="AW76" i="1" a="1"/>
  <c r="AW76" i="1" s="1"/>
  <c r="AZ76" i="1" s="1"/>
  <c r="AW68" i="1" a="1"/>
  <c r="AW68" i="1" s="1"/>
  <c r="AY68" i="1" s="1"/>
  <c r="AW60" i="1" a="1"/>
  <c r="AW60" i="1" s="1"/>
  <c r="AZ60" i="1" s="1"/>
  <c r="AW52" i="1" a="1"/>
  <c r="AW52" i="1" s="1"/>
  <c r="AZ52" i="1" s="1"/>
  <c r="AW44" i="1" a="1"/>
  <c r="AW44" i="1" s="1"/>
  <c r="AY44" i="1" s="1"/>
  <c r="AW36" i="1" a="1"/>
  <c r="AW36" i="1" s="1"/>
  <c r="AX36" i="1" s="1"/>
  <c r="AW20" i="1" a="1"/>
  <c r="AW20" i="1" s="1"/>
  <c r="AZ20" i="1" s="1"/>
  <c r="AW91" i="1" a="1"/>
  <c r="AW91" i="1" s="1"/>
  <c r="AX91" i="1" s="1"/>
  <c r="AW83" i="1" a="1"/>
  <c r="AW83" i="1" s="1"/>
  <c r="AX83" i="1" s="1"/>
  <c r="AW75" i="1" a="1"/>
  <c r="AW75" i="1" s="1"/>
  <c r="AX75" i="1" s="1"/>
  <c r="AW67" i="1" a="1"/>
  <c r="AW67" i="1" s="1"/>
  <c r="AX67" i="1" s="1"/>
  <c r="AW59" i="1" a="1"/>
  <c r="AW59" i="1" s="1"/>
  <c r="AZ59" i="1" s="1"/>
  <c r="AW51" i="1" a="1"/>
  <c r="AW51" i="1" s="1"/>
  <c r="AY51" i="1" s="1"/>
  <c r="AW43" i="1" a="1"/>
  <c r="AW43" i="1" s="1"/>
  <c r="AY43" i="1" s="1"/>
  <c r="AW35" i="1" a="1"/>
  <c r="AW35" i="1" s="1"/>
  <c r="AY35" i="1" s="1"/>
  <c r="AW19" i="1" a="1"/>
  <c r="AW19" i="1" s="1"/>
  <c r="AX19" i="1" s="1"/>
  <c r="AW90" i="1" a="1"/>
  <c r="AW90" i="1" s="1"/>
  <c r="AX90" i="1" s="1"/>
  <c r="AW82" i="1" a="1"/>
  <c r="AW82" i="1" s="1"/>
  <c r="AY82" i="1" s="1"/>
  <c r="AW74" i="1" a="1"/>
  <c r="AW74" i="1" s="1"/>
  <c r="AZ74" i="1" s="1"/>
  <c r="AW66" i="1" a="1"/>
  <c r="AW66" i="1" s="1"/>
  <c r="AZ66" i="1" s="1"/>
  <c r="AW58" i="1" a="1"/>
  <c r="AW58" i="1" s="1"/>
  <c r="AY58" i="1" s="1"/>
  <c r="AW50" i="1" a="1"/>
  <c r="AW50" i="1" s="1"/>
  <c r="AZ50" i="1" s="1"/>
  <c r="AW42" i="1" a="1"/>
  <c r="AW42" i="1" s="1"/>
  <c r="AY42" i="1" s="1"/>
  <c r="AW32" i="1" a="1"/>
  <c r="AW32" i="1" s="1"/>
  <c r="AZ32" i="1" s="1"/>
  <c r="AW16" i="1" a="1"/>
  <c r="AW16" i="1" s="1"/>
  <c r="AX16" i="1" s="1"/>
  <c r="AW40" i="1" a="1"/>
  <c r="AW40" i="1" s="1"/>
  <c r="AX40" i="1" s="1"/>
  <c r="AW28" i="1" a="1"/>
  <c r="AW28" i="1" s="1"/>
  <c r="AY28" i="1" s="1"/>
  <c r="AW38" i="1" a="1"/>
  <c r="AW38" i="1" s="1"/>
  <c r="AX38" i="1" s="1"/>
  <c r="AW24" i="1" a="1"/>
  <c r="AW24" i="1" s="1"/>
  <c r="AY24" i="1" s="1"/>
  <c r="AW33" i="1" a="1"/>
  <c r="AW33" i="1" s="1"/>
  <c r="AX33" i="1" s="1"/>
  <c r="AW25" i="1" a="1"/>
  <c r="AW25" i="1" s="1"/>
  <c r="AX25" i="1" s="1"/>
  <c r="AW17" i="1" a="1"/>
  <c r="AW17" i="1" s="1"/>
  <c r="AZ17" i="1" s="1"/>
  <c r="AW30" i="1" a="1"/>
  <c r="AW30" i="1" s="1"/>
  <c r="AX30" i="1" s="1"/>
  <c r="AW22" i="1" a="1"/>
  <c r="AW22" i="1" s="1"/>
  <c r="AY22" i="1" s="1"/>
  <c r="AW14" i="1" a="1"/>
  <c r="AW14" i="1" s="1"/>
  <c r="AY14" i="1" s="1"/>
  <c r="AW29" i="1" a="1"/>
  <c r="AW29" i="1" s="1"/>
  <c r="AX29" i="1" s="1"/>
  <c r="AW21" i="1" a="1"/>
  <c r="AW21" i="1" s="1"/>
  <c r="AX21" i="1" s="1"/>
  <c r="AW12" i="1" a="1"/>
  <c r="AW12" i="1" s="1"/>
  <c r="AX12" i="1" s="1"/>
  <c r="AW34" i="1" a="1"/>
  <c r="AW34" i="1" s="1"/>
  <c r="AY34" i="1" s="1"/>
  <c r="AW26" i="1" a="1"/>
  <c r="AW26" i="1" s="1"/>
  <c r="AY26" i="1" s="1"/>
  <c r="AW18" i="1" a="1"/>
  <c r="AW18" i="1" s="1"/>
  <c r="AY18" i="1" s="1"/>
  <c r="AW11" i="1" a="1"/>
  <c r="AW11" i="1" s="1"/>
  <c r="AX11" i="1" s="1"/>
  <c r="AW10" i="1" a="1"/>
  <c r="AW10" i="1" s="1"/>
  <c r="AY10" i="1" s="1"/>
  <c r="AW9" i="1" a="1"/>
  <c r="AW9" i="1" s="1"/>
  <c r="AY9" i="1" s="1"/>
  <c r="AW8" i="1" a="1"/>
  <c r="AW8" i="1" s="1"/>
  <c r="AX8" i="1" s="1"/>
  <c r="AW13" i="1" a="1"/>
  <c r="AW13" i="1" s="1"/>
  <c r="AY13" i="1" s="1"/>
  <c r="BG36" i="3"/>
  <c r="AY1219" i="1"/>
  <c r="AY319" i="1"/>
  <c r="AX537" i="1"/>
  <c r="AZ537" i="1"/>
  <c r="AX529" i="1"/>
  <c r="AZ529" i="1"/>
  <c r="AX535" i="1"/>
  <c r="AZ535" i="1"/>
  <c r="AZ1211" i="1"/>
  <c r="AY1211" i="1"/>
  <c r="AY1134" i="1"/>
  <c r="AZ1134" i="1"/>
  <c r="AY1132" i="1"/>
  <c r="AZ1132" i="1"/>
  <c r="AX533" i="1"/>
  <c r="AZ533" i="1"/>
  <c r="AX318" i="1"/>
  <c r="AY1212" i="1"/>
  <c r="AZ531" i="1"/>
  <c r="AZ527" i="1"/>
  <c r="AX315" i="1"/>
  <c r="AY318" i="1"/>
  <c r="AY410" i="1"/>
  <c r="AX410" i="1"/>
  <c r="AY404" i="1"/>
  <c r="AX404" i="1"/>
  <c r="AZ404" i="1"/>
  <c r="AX272" i="1"/>
  <c r="AY272" i="1"/>
  <c r="AZ272" i="1"/>
  <c r="AZ232" i="1"/>
  <c r="AX232" i="1"/>
  <c r="AY232" i="1"/>
  <c r="AY1128" i="1"/>
  <c r="AZ1128" i="1"/>
  <c r="AX287" i="1"/>
  <c r="AY287" i="1"/>
  <c r="AX279" i="1"/>
  <c r="AY279" i="1"/>
  <c r="AZ239" i="1"/>
  <c r="AX239" i="1"/>
  <c r="AZ231" i="1"/>
  <c r="AX231" i="1"/>
  <c r="AZ1210" i="1"/>
  <c r="AY1210" i="1"/>
  <c r="AX784" i="1"/>
  <c r="AZ784" i="1"/>
  <c r="AZ230" i="1"/>
  <c r="AX230" i="1"/>
  <c r="AY230" i="1"/>
  <c r="AZ1213" i="1"/>
  <c r="AY1213" i="1"/>
  <c r="AZ1209" i="1"/>
  <c r="AY1209" i="1"/>
  <c r="AY1126" i="1"/>
  <c r="AZ1126" i="1"/>
  <c r="AX402" i="1"/>
  <c r="AY402" i="1"/>
  <c r="AZ402" i="1"/>
  <c r="AX285" i="1"/>
  <c r="AY285" i="1"/>
  <c r="AX277" i="1"/>
  <c r="AY277" i="1"/>
  <c r="AZ245" i="1"/>
  <c r="AX245" i="1"/>
  <c r="AZ237" i="1"/>
  <c r="AX237" i="1"/>
  <c r="AZ1218" i="1"/>
  <c r="AY1218" i="1"/>
  <c r="AZ1208" i="1"/>
  <c r="AY1208" i="1"/>
  <c r="AX776" i="1"/>
  <c r="AZ776" i="1"/>
  <c r="AZ1217" i="1"/>
  <c r="AY1217" i="1"/>
  <c r="AY1124" i="1"/>
  <c r="AZ1124" i="1"/>
  <c r="AX400" i="1"/>
  <c r="AZ400" i="1"/>
  <c r="AY385" i="1"/>
  <c r="AZ385" i="1"/>
  <c r="AX291" i="1"/>
  <c r="AY291" i="1"/>
  <c r="AX283" i="1"/>
  <c r="AY283" i="1"/>
  <c r="AX275" i="1"/>
  <c r="AY275" i="1"/>
  <c r="AZ243" i="1"/>
  <c r="AX243" i="1"/>
  <c r="AZ227" i="1"/>
  <c r="AX227" i="1"/>
  <c r="AY227" i="1"/>
  <c r="AZ1216" i="1"/>
  <c r="AY1216" i="1"/>
  <c r="AY384" i="1"/>
  <c r="AZ384" i="1"/>
  <c r="AX274" i="1"/>
  <c r="AY274" i="1"/>
  <c r="AZ274" i="1"/>
  <c r="AY1130" i="1"/>
  <c r="AZ1130" i="1"/>
  <c r="AX780" i="1"/>
  <c r="AZ780" i="1"/>
  <c r="AY411" i="1"/>
  <c r="AX411" i="1"/>
  <c r="AY383" i="1"/>
  <c r="AZ383" i="1"/>
  <c r="AX289" i="1"/>
  <c r="AY289" i="1"/>
  <c r="AX281" i="1"/>
  <c r="AY281" i="1"/>
  <c r="AX273" i="1"/>
  <c r="AY273" i="1"/>
  <c r="AZ241" i="1"/>
  <c r="AX241" i="1"/>
  <c r="AZ233" i="1"/>
  <c r="AX233" i="1"/>
  <c r="AZ386" i="1"/>
  <c r="AZ189" i="1"/>
  <c r="AY320" i="1"/>
  <c r="AY309" i="1"/>
  <c r="AY305" i="1"/>
  <c r="AY301" i="1"/>
  <c r="AZ193" i="1"/>
  <c r="AZ398" i="1"/>
  <c r="AX320" i="1"/>
  <c r="AY317" i="1"/>
  <c r="AX309" i="1"/>
  <c r="AX305" i="1"/>
  <c r="AX301" i="1"/>
  <c r="AY197" i="1"/>
  <c r="AY193" i="1"/>
  <c r="AZ187" i="1"/>
  <c r="AY1215" i="1"/>
  <c r="AY1207" i="1"/>
  <c r="AY398" i="1"/>
  <c r="AZ382" i="1"/>
  <c r="AX317" i="1"/>
  <c r="AX313" i="1"/>
  <c r="AY187" i="1"/>
  <c r="AX319" i="1"/>
  <c r="AY316" i="1"/>
  <c r="AY307" i="1"/>
  <c r="AY303" i="1"/>
  <c r="AZ207" i="1"/>
  <c r="AZ195" i="1"/>
  <c r="AY1214" i="1"/>
  <c r="AY1206" i="1"/>
  <c r="AZ782" i="1"/>
  <c r="AZ778" i="1"/>
  <c r="AX316" i="1"/>
  <c r="AX311" i="1"/>
  <c r="AX307" i="1"/>
  <c r="AX303" i="1"/>
  <c r="AY207" i="1"/>
  <c r="AY195" i="1"/>
  <c r="AY185" i="1"/>
  <c r="AX1196" i="1"/>
  <c r="AY1196" i="1"/>
  <c r="AZ1196" i="1"/>
  <c r="AX1180" i="1"/>
  <c r="AY1180" i="1"/>
  <c r="AZ1180" i="1"/>
  <c r="AY1139" i="1"/>
  <c r="AZ1139" i="1"/>
  <c r="AX1139" i="1"/>
  <c r="AX1190" i="1"/>
  <c r="AY1190" i="1"/>
  <c r="AZ1190" i="1"/>
  <c r="AX1174" i="1"/>
  <c r="AY1174" i="1"/>
  <c r="AZ1174" i="1"/>
  <c r="AY1159" i="1"/>
  <c r="AZ1159" i="1"/>
  <c r="AX1159" i="1"/>
  <c r="AX1168" i="1"/>
  <c r="AY1168" i="1"/>
  <c r="AZ1168" i="1"/>
  <c r="AY1163" i="1"/>
  <c r="AZ1163" i="1"/>
  <c r="AX1163" i="1"/>
  <c r="AY1155" i="1"/>
  <c r="AZ1155" i="1"/>
  <c r="AX1155" i="1"/>
  <c r="AX1200" i="1"/>
  <c r="AY1200" i="1"/>
  <c r="AZ1200" i="1"/>
  <c r="AX1184" i="1"/>
  <c r="AY1184" i="1"/>
  <c r="AZ1184" i="1"/>
  <c r="AX1194" i="1"/>
  <c r="AY1194" i="1"/>
  <c r="AZ1194" i="1"/>
  <c r="AX1178" i="1"/>
  <c r="AY1178" i="1"/>
  <c r="AZ1178" i="1"/>
  <c r="AY1149" i="1"/>
  <c r="AZ1149" i="1"/>
  <c r="AX1149" i="1"/>
  <c r="AY1137" i="1"/>
  <c r="AZ1137" i="1"/>
  <c r="AX1137" i="1"/>
  <c r="AX1204" i="1"/>
  <c r="AY1204" i="1"/>
  <c r="AZ1204" i="1"/>
  <c r="AX1188" i="1"/>
  <c r="AY1188" i="1"/>
  <c r="AZ1188" i="1"/>
  <c r="AX1172" i="1"/>
  <c r="AY1172" i="1"/>
  <c r="AZ1172" i="1"/>
  <c r="AY1153" i="1"/>
  <c r="AZ1153" i="1"/>
  <c r="AX1153" i="1"/>
  <c r="AX1198" i="1"/>
  <c r="AY1198" i="1"/>
  <c r="AZ1198" i="1"/>
  <c r="AX1182" i="1"/>
  <c r="AY1182" i="1"/>
  <c r="AZ1182" i="1"/>
  <c r="AX1166" i="1"/>
  <c r="AY1166" i="1"/>
  <c r="AZ1166" i="1"/>
  <c r="AY1157" i="1"/>
  <c r="AZ1157" i="1"/>
  <c r="AX1157" i="1"/>
  <c r="AX1192" i="1"/>
  <c r="AY1192" i="1"/>
  <c r="AZ1192" i="1"/>
  <c r="AX1176" i="1"/>
  <c r="AY1176" i="1"/>
  <c r="AZ1176" i="1"/>
  <c r="AY1161" i="1"/>
  <c r="AZ1161" i="1"/>
  <c r="AX1161" i="1"/>
  <c r="AY1147" i="1"/>
  <c r="AZ1147" i="1"/>
  <c r="AX1147" i="1"/>
  <c r="AX1202" i="1"/>
  <c r="AY1202" i="1"/>
  <c r="AZ1202" i="1"/>
  <c r="AX1186" i="1"/>
  <c r="AY1186" i="1"/>
  <c r="AZ1186" i="1"/>
  <c r="AX1170" i="1"/>
  <c r="AY1170" i="1"/>
  <c r="AZ1170" i="1"/>
  <c r="AY1151" i="1"/>
  <c r="AZ1151" i="1"/>
  <c r="AX1151" i="1"/>
  <c r="AY1143" i="1"/>
  <c r="AZ1143" i="1"/>
  <c r="AX1143" i="1"/>
  <c r="AY1105" i="1"/>
  <c r="AX1105" i="1"/>
  <c r="AZ1105" i="1"/>
  <c r="AY1103" i="1"/>
  <c r="AX1103" i="1"/>
  <c r="AZ1103" i="1"/>
  <c r="AY1101" i="1"/>
  <c r="AX1101" i="1"/>
  <c r="AZ1101" i="1"/>
  <c r="AY1099" i="1"/>
  <c r="AX1099" i="1"/>
  <c r="AZ1099" i="1"/>
  <c r="AY1097" i="1"/>
  <c r="AX1097" i="1"/>
  <c r="AZ1097" i="1"/>
  <c r="AY1095" i="1"/>
  <c r="AX1095" i="1"/>
  <c r="AZ1095" i="1"/>
  <c r="AY1093" i="1"/>
  <c r="AX1093" i="1"/>
  <c r="AZ1093" i="1"/>
  <c r="AY1091" i="1"/>
  <c r="AX1091" i="1"/>
  <c r="AZ1091" i="1"/>
  <c r="AY1089" i="1"/>
  <c r="AX1089" i="1"/>
  <c r="AZ1089" i="1"/>
  <c r="AY1087" i="1"/>
  <c r="AX1087" i="1"/>
  <c r="AZ1087" i="1"/>
  <c r="AY1085" i="1"/>
  <c r="AX1085" i="1"/>
  <c r="AZ1085" i="1"/>
  <c r="AY1083" i="1"/>
  <c r="AX1083" i="1"/>
  <c r="AZ1083" i="1"/>
  <c r="AX1078" i="1"/>
  <c r="AY1078" i="1"/>
  <c r="AZ1078" i="1"/>
  <c r="AX1070" i="1"/>
  <c r="AY1070" i="1"/>
  <c r="AZ1070" i="1"/>
  <c r="AX1051" i="1"/>
  <c r="AY1051" i="1"/>
  <c r="AZ1051" i="1"/>
  <c r="AX1048" i="1"/>
  <c r="AY1048" i="1"/>
  <c r="AZ1048" i="1"/>
  <c r="AX1033" i="1"/>
  <c r="AY1033" i="1"/>
  <c r="AZ1033" i="1"/>
  <c r="AY852" i="1"/>
  <c r="AX852" i="1"/>
  <c r="AZ852" i="1"/>
  <c r="AY844" i="1"/>
  <c r="AX844" i="1"/>
  <c r="AZ844" i="1"/>
  <c r="AY836" i="1"/>
  <c r="AX836" i="1"/>
  <c r="AZ836" i="1"/>
  <c r="AY1162" i="1"/>
  <c r="AX1162" i="1"/>
  <c r="AY1158" i="1"/>
  <c r="AX1158" i="1"/>
  <c r="AY1154" i="1"/>
  <c r="AX1154" i="1"/>
  <c r="AY1150" i="1"/>
  <c r="AX1150" i="1"/>
  <c r="AY1146" i="1"/>
  <c r="AX1146" i="1"/>
  <c r="AY1142" i="1"/>
  <c r="AX1142" i="1"/>
  <c r="AY1138" i="1"/>
  <c r="AX1138" i="1"/>
  <c r="AY1121" i="1"/>
  <c r="AX1121" i="1"/>
  <c r="AZ1121" i="1"/>
  <c r="AY1117" i="1"/>
  <c r="AX1117" i="1"/>
  <c r="AZ1117" i="1"/>
  <c r="AY1113" i="1"/>
  <c r="AX1113" i="1"/>
  <c r="AZ1113" i="1"/>
  <c r="AY1109" i="1"/>
  <c r="AX1109" i="1"/>
  <c r="AZ1109" i="1"/>
  <c r="AX1075" i="1"/>
  <c r="AY1075" i="1"/>
  <c r="AZ1075" i="1"/>
  <c r="AX1041" i="1"/>
  <c r="AY1041" i="1"/>
  <c r="AZ1041" i="1"/>
  <c r="AX1197" i="1"/>
  <c r="AY1197" i="1"/>
  <c r="AX1191" i="1"/>
  <c r="AY1191" i="1"/>
  <c r="AX1169" i="1"/>
  <c r="AY1169" i="1"/>
  <c r="AX1044" i="1"/>
  <c r="AY1044" i="1"/>
  <c r="AZ1044" i="1"/>
  <c r="AX1219" i="1"/>
  <c r="AX1217" i="1"/>
  <c r="AX1216" i="1"/>
  <c r="AX1215" i="1"/>
  <c r="AX1214" i="1"/>
  <c r="AX1213" i="1"/>
  <c r="AX1212" i="1"/>
  <c r="AX1211" i="1"/>
  <c r="AX1210" i="1"/>
  <c r="AX1209" i="1"/>
  <c r="AX1208" i="1"/>
  <c r="AX1207" i="1"/>
  <c r="AX1206" i="1"/>
  <c r="AY1145" i="1"/>
  <c r="AZ1145" i="1"/>
  <c r="AY1141" i="1"/>
  <c r="AZ1141" i="1"/>
  <c r="AY1129" i="1"/>
  <c r="AZ1129" i="1"/>
  <c r="AY1122" i="1"/>
  <c r="AX1122" i="1"/>
  <c r="AZ1122" i="1"/>
  <c r="AY1118" i="1"/>
  <c r="AX1118" i="1"/>
  <c r="AZ1118" i="1"/>
  <c r="AY1114" i="1"/>
  <c r="AX1114" i="1"/>
  <c r="AZ1114" i="1"/>
  <c r="AY1110" i="1"/>
  <c r="AX1110" i="1"/>
  <c r="AZ1110" i="1"/>
  <c r="AY1106" i="1"/>
  <c r="AX1106" i="1"/>
  <c r="AZ1106" i="1"/>
  <c r="AX1077" i="1"/>
  <c r="AY1077" i="1"/>
  <c r="AZ1077" i="1"/>
  <c r="AX1069" i="1"/>
  <c r="AY1069" i="1"/>
  <c r="AZ1069" i="1"/>
  <c r="AX1050" i="1"/>
  <c r="AY1050" i="1"/>
  <c r="AZ1050" i="1"/>
  <c r="AX982" i="1"/>
  <c r="AY982" i="1"/>
  <c r="AZ982" i="1"/>
  <c r="AX910" i="1"/>
  <c r="AY910" i="1"/>
  <c r="AZ910" i="1"/>
  <c r="AX1193" i="1"/>
  <c r="AY1193" i="1"/>
  <c r="AX1179" i="1"/>
  <c r="AY1179" i="1"/>
  <c r="AX1177" i="1"/>
  <c r="AY1177" i="1"/>
  <c r="AX1072" i="1"/>
  <c r="AY1072" i="1"/>
  <c r="AZ1072" i="1"/>
  <c r="AX1218" i="1"/>
  <c r="AY1127" i="1"/>
  <c r="AZ1127" i="1"/>
  <c r="AY1104" i="1"/>
  <c r="AX1104" i="1"/>
  <c r="AZ1104" i="1"/>
  <c r="AY1102" i="1"/>
  <c r="AX1102" i="1"/>
  <c r="AZ1102" i="1"/>
  <c r="AY1100" i="1"/>
  <c r="AX1100" i="1"/>
  <c r="AZ1100" i="1"/>
  <c r="AY1098" i="1"/>
  <c r="AX1098" i="1"/>
  <c r="AZ1098" i="1"/>
  <c r="AY1096" i="1"/>
  <c r="AX1096" i="1"/>
  <c r="AZ1096" i="1"/>
  <c r="AY1094" i="1"/>
  <c r="AX1094" i="1"/>
  <c r="AZ1094" i="1"/>
  <c r="AY1092" i="1"/>
  <c r="AX1092" i="1"/>
  <c r="AZ1092" i="1"/>
  <c r="AY1090" i="1"/>
  <c r="AX1090" i="1"/>
  <c r="AZ1090" i="1"/>
  <c r="AY1088" i="1"/>
  <c r="AX1088" i="1"/>
  <c r="AZ1088" i="1"/>
  <c r="AY1086" i="1"/>
  <c r="AX1086" i="1"/>
  <c r="AZ1086" i="1"/>
  <c r="AY1084" i="1"/>
  <c r="AX1084" i="1"/>
  <c r="AZ1084" i="1"/>
  <c r="AY1082" i="1"/>
  <c r="AX1082" i="1"/>
  <c r="AZ1082" i="1"/>
  <c r="AX1074" i="1"/>
  <c r="AY1074" i="1"/>
  <c r="AZ1074" i="1"/>
  <c r="AX1043" i="1"/>
  <c r="AY1043" i="1"/>
  <c r="AZ1043" i="1"/>
  <c r="AX1203" i="1"/>
  <c r="AY1203" i="1"/>
  <c r="AX1201" i="1"/>
  <c r="AY1201" i="1"/>
  <c r="AX1165" i="1"/>
  <c r="AY1165" i="1"/>
  <c r="AX960" i="1"/>
  <c r="AY960" i="1"/>
  <c r="AZ960" i="1"/>
  <c r="AY1164" i="1"/>
  <c r="AX1164" i="1"/>
  <c r="AY1160" i="1"/>
  <c r="AX1160" i="1"/>
  <c r="AY1156" i="1"/>
  <c r="AX1156" i="1"/>
  <c r="AY1152" i="1"/>
  <c r="AX1152" i="1"/>
  <c r="AY1148" i="1"/>
  <c r="AX1148" i="1"/>
  <c r="AY1144" i="1"/>
  <c r="AX1144" i="1"/>
  <c r="AY1140" i="1"/>
  <c r="AX1140" i="1"/>
  <c r="AY1135" i="1"/>
  <c r="AZ1135" i="1"/>
  <c r="AY1133" i="1"/>
  <c r="AZ1133" i="1"/>
  <c r="AY1125" i="1"/>
  <c r="AZ1125" i="1"/>
  <c r="AY1123" i="1"/>
  <c r="AX1123" i="1"/>
  <c r="AZ1123" i="1"/>
  <c r="AY1119" i="1"/>
  <c r="AX1119" i="1"/>
  <c r="AZ1119" i="1"/>
  <c r="AY1115" i="1"/>
  <c r="AX1115" i="1"/>
  <c r="AZ1115" i="1"/>
  <c r="AY1111" i="1"/>
  <c r="AX1111" i="1"/>
  <c r="AZ1111" i="1"/>
  <c r="AY1107" i="1"/>
  <c r="AX1107" i="1"/>
  <c r="AZ1107" i="1"/>
  <c r="AX1079" i="1"/>
  <c r="AY1079" i="1"/>
  <c r="AZ1079" i="1"/>
  <c r="AX1071" i="1"/>
  <c r="AY1071" i="1"/>
  <c r="AZ1071" i="1"/>
  <c r="AX1049" i="1"/>
  <c r="AY1049" i="1"/>
  <c r="AZ1049" i="1"/>
  <c r="AX1046" i="1"/>
  <c r="AY1046" i="1"/>
  <c r="AZ1046" i="1"/>
  <c r="AX1205" i="1"/>
  <c r="AY1205" i="1"/>
  <c r="AX1199" i="1"/>
  <c r="AY1199" i="1"/>
  <c r="AX1195" i="1"/>
  <c r="AY1195" i="1"/>
  <c r="AX1189" i="1"/>
  <c r="AY1189" i="1"/>
  <c r="AX1187" i="1"/>
  <c r="AY1187" i="1"/>
  <c r="AX1185" i="1"/>
  <c r="AY1185" i="1"/>
  <c r="AX1183" i="1"/>
  <c r="AY1183" i="1"/>
  <c r="AX1181" i="1"/>
  <c r="AY1181" i="1"/>
  <c r="AX1175" i="1"/>
  <c r="AY1175" i="1"/>
  <c r="AX1173" i="1"/>
  <c r="AY1173" i="1"/>
  <c r="AX1171" i="1"/>
  <c r="AY1171" i="1"/>
  <c r="AX1167" i="1"/>
  <c r="AY1167" i="1"/>
  <c r="AY1131" i="1"/>
  <c r="AZ1131" i="1"/>
  <c r="AX1080" i="1"/>
  <c r="AY1080" i="1"/>
  <c r="AZ1080" i="1"/>
  <c r="AX1047" i="1"/>
  <c r="AY1047" i="1"/>
  <c r="AZ1047" i="1"/>
  <c r="AY1136" i="1"/>
  <c r="AX1136" i="1"/>
  <c r="AZ1136" i="1"/>
  <c r="AX1076" i="1"/>
  <c r="AY1076" i="1"/>
  <c r="AZ1076" i="1"/>
  <c r="AX1052" i="1"/>
  <c r="AY1052" i="1"/>
  <c r="AZ1052" i="1"/>
  <c r="AX1017" i="1"/>
  <c r="AY1017" i="1"/>
  <c r="AZ1017" i="1"/>
  <c r="AX998" i="1"/>
  <c r="AY998" i="1"/>
  <c r="AZ998" i="1"/>
  <c r="AX952" i="1"/>
  <c r="AY952" i="1"/>
  <c r="AZ952" i="1"/>
  <c r="AY1120" i="1"/>
  <c r="AX1120" i="1"/>
  <c r="AZ1120" i="1"/>
  <c r="AY1116" i="1"/>
  <c r="AX1116" i="1"/>
  <c r="AZ1116" i="1"/>
  <c r="AY1112" i="1"/>
  <c r="AX1112" i="1"/>
  <c r="AZ1112" i="1"/>
  <c r="AY1108" i="1"/>
  <c r="AX1108" i="1"/>
  <c r="AZ1108" i="1"/>
  <c r="AX1081" i="1"/>
  <c r="AY1081" i="1"/>
  <c r="AZ1081" i="1"/>
  <c r="AX1073" i="1"/>
  <c r="AY1073" i="1"/>
  <c r="AZ1073" i="1"/>
  <c r="AX1045" i="1"/>
  <c r="AY1045" i="1"/>
  <c r="AZ1045" i="1"/>
  <c r="AX1042" i="1"/>
  <c r="AY1042" i="1"/>
  <c r="AZ1042" i="1"/>
  <c r="AX1025" i="1"/>
  <c r="AY1025" i="1"/>
  <c r="AZ1025" i="1"/>
  <c r="AX991" i="1"/>
  <c r="AY991" i="1"/>
  <c r="AZ991" i="1"/>
  <c r="AX1040" i="1"/>
  <c r="AY1040" i="1"/>
  <c r="AZ1040" i="1"/>
  <c r="AX1032" i="1"/>
  <c r="AY1032" i="1"/>
  <c r="AZ1032" i="1"/>
  <c r="AX1024" i="1"/>
  <c r="AY1024" i="1"/>
  <c r="AZ1024" i="1"/>
  <c r="AX1016" i="1"/>
  <c r="AY1016" i="1"/>
  <c r="AZ1016" i="1"/>
  <c r="AY1015" i="1"/>
  <c r="AX1015" i="1"/>
  <c r="AY1011" i="1"/>
  <c r="AX1011" i="1"/>
  <c r="AX1000" i="1"/>
  <c r="AY1000" i="1"/>
  <c r="AZ1000" i="1"/>
  <c r="AX993" i="1"/>
  <c r="AY993" i="1"/>
  <c r="AZ993" i="1"/>
  <c r="AX984" i="1"/>
  <c r="AY984" i="1"/>
  <c r="AZ984" i="1"/>
  <c r="AX965" i="1"/>
  <c r="AY965" i="1"/>
  <c r="AX957" i="1"/>
  <c r="AY957" i="1"/>
  <c r="AX949" i="1"/>
  <c r="AY949" i="1"/>
  <c r="AX888" i="1"/>
  <c r="AY888" i="1"/>
  <c r="AZ888" i="1"/>
  <c r="AX1134" i="1"/>
  <c r="AX1132" i="1"/>
  <c r="AX1130" i="1"/>
  <c r="AX1128" i="1"/>
  <c r="AX1126" i="1"/>
  <c r="AX1124" i="1"/>
  <c r="AX1039" i="1"/>
  <c r="AY1039" i="1"/>
  <c r="AZ1039" i="1"/>
  <c r="AX1031" i="1"/>
  <c r="AY1031" i="1"/>
  <c r="AZ1031" i="1"/>
  <c r="AX1023" i="1"/>
  <c r="AY1023" i="1"/>
  <c r="AZ1023" i="1"/>
  <c r="AX1002" i="1"/>
  <c r="AY1002" i="1"/>
  <c r="AZ1002" i="1"/>
  <c r="AX995" i="1"/>
  <c r="AY995" i="1"/>
  <c r="AZ995" i="1"/>
  <c r="AX986" i="1"/>
  <c r="AY986" i="1"/>
  <c r="AZ986" i="1"/>
  <c r="AX979" i="1"/>
  <c r="AY979" i="1"/>
  <c r="AZ979" i="1"/>
  <c r="AX977" i="1"/>
  <c r="AY977" i="1"/>
  <c r="AZ977" i="1"/>
  <c r="AX975" i="1"/>
  <c r="AY975" i="1"/>
  <c r="AZ975" i="1"/>
  <c r="AX973" i="1"/>
  <c r="AY973" i="1"/>
  <c r="AZ973" i="1"/>
  <c r="AX971" i="1"/>
  <c r="AY971" i="1"/>
  <c r="AZ971" i="1"/>
  <c r="AX969" i="1"/>
  <c r="AY969" i="1"/>
  <c r="AZ969" i="1"/>
  <c r="AX967" i="1"/>
  <c r="AY967" i="1"/>
  <c r="AZ967" i="1"/>
  <c r="AX962" i="1"/>
  <c r="AY962" i="1"/>
  <c r="AX954" i="1"/>
  <c r="AY954" i="1"/>
  <c r="AX906" i="1"/>
  <c r="AY906" i="1"/>
  <c r="AZ906" i="1"/>
  <c r="AX899" i="1"/>
  <c r="AZ899" i="1"/>
  <c r="AY899" i="1"/>
  <c r="AX1038" i="1"/>
  <c r="AY1038" i="1"/>
  <c r="AZ1038" i="1"/>
  <c r="AX1030" i="1"/>
  <c r="AY1030" i="1"/>
  <c r="AZ1030" i="1"/>
  <c r="AX1022" i="1"/>
  <c r="AY1022" i="1"/>
  <c r="AZ1022" i="1"/>
  <c r="AY1012" i="1"/>
  <c r="AX1012" i="1"/>
  <c r="AY1008" i="1"/>
  <c r="AX1008" i="1"/>
  <c r="AY1006" i="1"/>
  <c r="AX1006" i="1"/>
  <c r="AY1004" i="1"/>
  <c r="AX1004" i="1"/>
  <c r="AX997" i="1"/>
  <c r="AY997" i="1"/>
  <c r="AZ997" i="1"/>
  <c r="AX988" i="1"/>
  <c r="AY988" i="1"/>
  <c r="AZ988" i="1"/>
  <c r="AX981" i="1"/>
  <c r="AY981" i="1"/>
  <c r="AZ981" i="1"/>
  <c r="AX959" i="1"/>
  <c r="AY959" i="1"/>
  <c r="AX951" i="1"/>
  <c r="AY951" i="1"/>
  <c r="AX944" i="1"/>
  <c r="AY944" i="1"/>
  <c r="AZ944" i="1"/>
  <c r="AX940" i="1"/>
  <c r="AY940" i="1"/>
  <c r="AZ940" i="1"/>
  <c r="AX936" i="1"/>
  <c r="AY936" i="1"/>
  <c r="AZ936" i="1"/>
  <c r="AX932" i="1"/>
  <c r="AY932" i="1"/>
  <c r="AZ932" i="1"/>
  <c r="AX928" i="1"/>
  <c r="AY928" i="1"/>
  <c r="AZ928" i="1"/>
  <c r="AX924" i="1"/>
  <c r="AY924" i="1"/>
  <c r="AZ924" i="1"/>
  <c r="AX920" i="1"/>
  <c r="AY920" i="1"/>
  <c r="AZ920" i="1"/>
  <c r="AX916" i="1"/>
  <c r="AY916" i="1"/>
  <c r="AZ916" i="1"/>
  <c r="AX912" i="1"/>
  <c r="AY912" i="1"/>
  <c r="AZ912" i="1"/>
  <c r="AX876" i="1"/>
  <c r="AY876" i="1"/>
  <c r="AZ876" i="1"/>
  <c r="AY870" i="1"/>
  <c r="AX870" i="1"/>
  <c r="AZ870" i="1"/>
  <c r="AX1037" i="1"/>
  <c r="AY1037" i="1"/>
  <c r="AZ1037" i="1"/>
  <c r="AX1029" i="1"/>
  <c r="AY1029" i="1"/>
  <c r="AZ1029" i="1"/>
  <c r="AX1021" i="1"/>
  <c r="AY1021" i="1"/>
  <c r="AZ1021" i="1"/>
  <c r="AX999" i="1"/>
  <c r="AY999" i="1"/>
  <c r="AZ999" i="1"/>
  <c r="AX990" i="1"/>
  <c r="AY990" i="1"/>
  <c r="AZ990" i="1"/>
  <c r="AX983" i="1"/>
  <c r="AY983" i="1"/>
  <c r="AZ983" i="1"/>
  <c r="AX964" i="1"/>
  <c r="AY964" i="1"/>
  <c r="AX956" i="1"/>
  <c r="AY956" i="1"/>
  <c r="AX891" i="1"/>
  <c r="AZ891" i="1"/>
  <c r="AY891" i="1"/>
  <c r="AX1068" i="1"/>
  <c r="AY1068" i="1"/>
  <c r="AZ1068" i="1"/>
  <c r="AX1067" i="1"/>
  <c r="AY1067" i="1"/>
  <c r="AZ1067" i="1"/>
  <c r="AX1066" i="1"/>
  <c r="AY1066" i="1"/>
  <c r="AZ1066" i="1"/>
  <c r="AX1065" i="1"/>
  <c r="AY1065" i="1"/>
  <c r="AZ1065" i="1"/>
  <c r="AX1064" i="1"/>
  <c r="AY1064" i="1"/>
  <c r="AZ1064" i="1"/>
  <c r="AX1063" i="1"/>
  <c r="AY1063" i="1"/>
  <c r="AZ1063" i="1"/>
  <c r="AX1062" i="1"/>
  <c r="AY1062" i="1"/>
  <c r="AZ1062" i="1"/>
  <c r="AX1061" i="1"/>
  <c r="AY1061" i="1"/>
  <c r="AZ1061" i="1"/>
  <c r="AX1060" i="1"/>
  <c r="AY1060" i="1"/>
  <c r="AZ1060" i="1"/>
  <c r="AX1059" i="1"/>
  <c r="AY1059" i="1"/>
  <c r="AZ1059" i="1"/>
  <c r="AX1058" i="1"/>
  <c r="AY1058" i="1"/>
  <c r="AZ1058" i="1"/>
  <c r="AX1057" i="1"/>
  <c r="AY1057" i="1"/>
  <c r="AZ1057" i="1"/>
  <c r="AX1056" i="1"/>
  <c r="AY1056" i="1"/>
  <c r="AZ1056" i="1"/>
  <c r="AX1055" i="1"/>
  <c r="AY1055" i="1"/>
  <c r="AZ1055" i="1"/>
  <c r="AX1054" i="1"/>
  <c r="AY1054" i="1"/>
  <c r="AZ1054" i="1"/>
  <c r="AX1053" i="1"/>
  <c r="AY1053" i="1"/>
  <c r="AZ1053" i="1"/>
  <c r="AX1036" i="1"/>
  <c r="AY1036" i="1"/>
  <c r="AZ1036" i="1"/>
  <c r="AX1028" i="1"/>
  <c r="AY1028" i="1"/>
  <c r="AZ1028" i="1"/>
  <c r="AX1020" i="1"/>
  <c r="AY1020" i="1"/>
  <c r="AZ1020" i="1"/>
  <c r="AY1013" i="1"/>
  <c r="AX1013" i="1"/>
  <c r="AY1009" i="1"/>
  <c r="AX1009" i="1"/>
  <c r="AX1001" i="1"/>
  <c r="AY1001" i="1"/>
  <c r="AZ1001" i="1"/>
  <c r="AX992" i="1"/>
  <c r="AY992" i="1"/>
  <c r="AZ992" i="1"/>
  <c r="AX985" i="1"/>
  <c r="AY985" i="1"/>
  <c r="AZ985" i="1"/>
  <c r="AX961" i="1"/>
  <c r="AY961" i="1"/>
  <c r="AX953" i="1"/>
  <c r="AY953" i="1"/>
  <c r="AX908" i="1"/>
  <c r="AY908" i="1"/>
  <c r="AZ908" i="1"/>
  <c r="AX880" i="1"/>
  <c r="AY880" i="1"/>
  <c r="AZ880" i="1"/>
  <c r="AY862" i="1"/>
  <c r="AX862" i="1"/>
  <c r="AZ862" i="1"/>
  <c r="AX1035" i="1"/>
  <c r="AY1035" i="1"/>
  <c r="AZ1035" i="1"/>
  <c r="AX1027" i="1"/>
  <c r="AY1027" i="1"/>
  <c r="AZ1027" i="1"/>
  <c r="AX1019" i="1"/>
  <c r="AY1019" i="1"/>
  <c r="AZ1019" i="1"/>
  <c r="AX1003" i="1"/>
  <c r="AY1003" i="1"/>
  <c r="AZ1003" i="1"/>
  <c r="AX994" i="1"/>
  <c r="AY994" i="1"/>
  <c r="AZ994" i="1"/>
  <c r="AX987" i="1"/>
  <c r="AY987" i="1"/>
  <c r="AZ987" i="1"/>
  <c r="AX966" i="1"/>
  <c r="AY966" i="1"/>
  <c r="AX958" i="1"/>
  <c r="AY958" i="1"/>
  <c r="AX950" i="1"/>
  <c r="AY950" i="1"/>
  <c r="AX1034" i="1"/>
  <c r="AY1034" i="1"/>
  <c r="AZ1034" i="1"/>
  <c r="AX1026" i="1"/>
  <c r="AY1026" i="1"/>
  <c r="AZ1026" i="1"/>
  <c r="AX1018" i="1"/>
  <c r="AY1018" i="1"/>
  <c r="AZ1018" i="1"/>
  <c r="AY1014" i="1"/>
  <c r="AX1014" i="1"/>
  <c r="AY1010" i="1"/>
  <c r="AX1010" i="1"/>
  <c r="AY1007" i="1"/>
  <c r="AX1007" i="1"/>
  <c r="AY1005" i="1"/>
  <c r="AX1005" i="1"/>
  <c r="AX996" i="1"/>
  <c r="AY996" i="1"/>
  <c r="AZ996" i="1"/>
  <c r="AX989" i="1"/>
  <c r="AY989" i="1"/>
  <c r="AZ989" i="1"/>
  <c r="AX980" i="1"/>
  <c r="AY980" i="1"/>
  <c r="AZ980" i="1"/>
  <c r="AX963" i="1"/>
  <c r="AY963" i="1"/>
  <c r="AX955" i="1"/>
  <c r="AY955" i="1"/>
  <c r="AX942" i="1"/>
  <c r="AY942" i="1"/>
  <c r="AZ942" i="1"/>
  <c r="AX938" i="1"/>
  <c r="AY938" i="1"/>
  <c r="AZ938" i="1"/>
  <c r="AX934" i="1"/>
  <c r="AY934" i="1"/>
  <c r="AZ934" i="1"/>
  <c r="AX930" i="1"/>
  <c r="AY930" i="1"/>
  <c r="AZ930" i="1"/>
  <c r="AX926" i="1"/>
  <c r="AY926" i="1"/>
  <c r="AZ926" i="1"/>
  <c r="AX922" i="1"/>
  <c r="AY922" i="1"/>
  <c r="AZ922" i="1"/>
  <c r="AX918" i="1"/>
  <c r="AY918" i="1"/>
  <c r="AZ918" i="1"/>
  <c r="AX914" i="1"/>
  <c r="AY914" i="1"/>
  <c r="AZ914" i="1"/>
  <c r="AX904" i="1"/>
  <c r="AZ904" i="1"/>
  <c r="AY904" i="1"/>
  <c r="AX884" i="1"/>
  <c r="AY884" i="1"/>
  <c r="AZ884" i="1"/>
  <c r="AX948" i="1"/>
  <c r="AY948" i="1"/>
  <c r="AX947" i="1"/>
  <c r="AY947" i="1"/>
  <c r="AX946" i="1"/>
  <c r="AY946" i="1"/>
  <c r="AX945" i="1"/>
  <c r="AY945" i="1"/>
  <c r="AX898" i="1"/>
  <c r="AZ898" i="1"/>
  <c r="AX890" i="1"/>
  <c r="AZ890" i="1"/>
  <c r="AY867" i="1"/>
  <c r="AX867" i="1"/>
  <c r="AZ867" i="1"/>
  <c r="AY859" i="1"/>
  <c r="AX859" i="1"/>
  <c r="AZ859" i="1"/>
  <c r="AY851" i="1"/>
  <c r="AX851" i="1"/>
  <c r="AZ851" i="1"/>
  <c r="AY843" i="1"/>
  <c r="AX843" i="1"/>
  <c r="AZ843" i="1"/>
  <c r="AX978" i="1"/>
  <c r="AY978" i="1"/>
  <c r="AX976" i="1"/>
  <c r="AY976" i="1"/>
  <c r="AX974" i="1"/>
  <c r="AY974" i="1"/>
  <c r="AX972" i="1"/>
  <c r="AY972" i="1"/>
  <c r="AX970" i="1"/>
  <c r="AY970" i="1"/>
  <c r="AX968" i="1"/>
  <c r="AY968" i="1"/>
  <c r="AX897" i="1"/>
  <c r="AZ897" i="1"/>
  <c r="AX889" i="1"/>
  <c r="AZ889" i="1"/>
  <c r="AX885" i="1"/>
  <c r="AY885" i="1"/>
  <c r="AZ885" i="1"/>
  <c r="AX881" i="1"/>
  <c r="AY881" i="1"/>
  <c r="AZ881" i="1"/>
  <c r="AX877" i="1"/>
  <c r="AY877" i="1"/>
  <c r="AZ877" i="1"/>
  <c r="AY872" i="1"/>
  <c r="AX872" i="1"/>
  <c r="AZ872" i="1"/>
  <c r="AY864" i="1"/>
  <c r="AX864" i="1"/>
  <c r="AZ864" i="1"/>
  <c r="AY858" i="1"/>
  <c r="AX858" i="1"/>
  <c r="AZ858" i="1"/>
  <c r="AY850" i="1"/>
  <c r="AX850" i="1"/>
  <c r="AZ850" i="1"/>
  <c r="AY842" i="1"/>
  <c r="AX842" i="1"/>
  <c r="AZ842" i="1"/>
  <c r="AX903" i="1"/>
  <c r="AZ903" i="1"/>
  <c r="AX896" i="1"/>
  <c r="AZ896" i="1"/>
  <c r="AY869" i="1"/>
  <c r="AX869" i="1"/>
  <c r="AZ869" i="1"/>
  <c r="AY861" i="1"/>
  <c r="AX861" i="1"/>
  <c r="AZ861" i="1"/>
  <c r="AY857" i="1"/>
  <c r="AX857" i="1"/>
  <c r="AZ857" i="1"/>
  <c r="AY849" i="1"/>
  <c r="AX849" i="1"/>
  <c r="AZ849" i="1"/>
  <c r="AY841" i="1"/>
  <c r="AX841" i="1"/>
  <c r="AZ841" i="1"/>
  <c r="AX943" i="1"/>
  <c r="AY943" i="1"/>
  <c r="AX941" i="1"/>
  <c r="AY941" i="1"/>
  <c r="AX939" i="1"/>
  <c r="AY939" i="1"/>
  <c r="AX937" i="1"/>
  <c r="AY937" i="1"/>
  <c r="AX935" i="1"/>
  <c r="AY935" i="1"/>
  <c r="AX933" i="1"/>
  <c r="AY933" i="1"/>
  <c r="AX931" i="1"/>
  <c r="AY931" i="1"/>
  <c r="AX929" i="1"/>
  <c r="AY929" i="1"/>
  <c r="AX927" i="1"/>
  <c r="AY927" i="1"/>
  <c r="AX925" i="1"/>
  <c r="AY925" i="1"/>
  <c r="AX923" i="1"/>
  <c r="AY923" i="1"/>
  <c r="AX921" i="1"/>
  <c r="AY921" i="1"/>
  <c r="AX919" i="1"/>
  <c r="AY919" i="1"/>
  <c r="AX917" i="1"/>
  <c r="AY917" i="1"/>
  <c r="AX915" i="1"/>
  <c r="AY915" i="1"/>
  <c r="AX913" i="1"/>
  <c r="AY913" i="1"/>
  <c r="AX911" i="1"/>
  <c r="AY911" i="1"/>
  <c r="AX909" i="1"/>
  <c r="AY909" i="1"/>
  <c r="AX907" i="1"/>
  <c r="AY907" i="1"/>
  <c r="AX905" i="1"/>
  <c r="AY905" i="1"/>
  <c r="AX895" i="1"/>
  <c r="AZ895" i="1"/>
  <c r="AX886" i="1"/>
  <c r="AY886" i="1"/>
  <c r="AZ886" i="1"/>
  <c r="AX882" i="1"/>
  <c r="AY882" i="1"/>
  <c r="AZ882" i="1"/>
  <c r="AX878" i="1"/>
  <c r="AY878" i="1"/>
  <c r="AZ878" i="1"/>
  <c r="AX874" i="1"/>
  <c r="AY874" i="1"/>
  <c r="AZ874" i="1"/>
  <c r="AY866" i="1"/>
  <c r="AX866" i="1"/>
  <c r="AZ866" i="1"/>
  <c r="AY856" i="1"/>
  <c r="AX856" i="1"/>
  <c r="AZ856" i="1"/>
  <c r="AY848" i="1"/>
  <c r="AX848" i="1"/>
  <c r="AZ848" i="1"/>
  <c r="AY840" i="1"/>
  <c r="AX840" i="1"/>
  <c r="AZ840" i="1"/>
  <c r="AX902" i="1"/>
  <c r="AZ902" i="1"/>
  <c r="AX894" i="1"/>
  <c r="AZ894" i="1"/>
  <c r="AY871" i="1"/>
  <c r="AX871" i="1"/>
  <c r="AZ871" i="1"/>
  <c r="AY863" i="1"/>
  <c r="AX863" i="1"/>
  <c r="AZ863" i="1"/>
  <c r="AY855" i="1"/>
  <c r="AX855" i="1"/>
  <c r="AZ855" i="1"/>
  <c r="AY847" i="1"/>
  <c r="AX847" i="1"/>
  <c r="AZ847" i="1"/>
  <c r="AY839" i="1"/>
  <c r="AX839" i="1"/>
  <c r="AZ839" i="1"/>
  <c r="AX901" i="1"/>
  <c r="AZ901" i="1"/>
  <c r="AX893" i="1"/>
  <c r="AZ893" i="1"/>
  <c r="AX887" i="1"/>
  <c r="AY887" i="1"/>
  <c r="AZ887" i="1"/>
  <c r="AX883" i="1"/>
  <c r="AY883" i="1"/>
  <c r="AZ883" i="1"/>
  <c r="AX879" i="1"/>
  <c r="AY879" i="1"/>
  <c r="AZ879" i="1"/>
  <c r="AX875" i="1"/>
  <c r="AY875" i="1"/>
  <c r="AZ875" i="1"/>
  <c r="AY868" i="1"/>
  <c r="AX868" i="1"/>
  <c r="AZ868" i="1"/>
  <c r="AY860" i="1"/>
  <c r="AX860" i="1"/>
  <c r="AZ860" i="1"/>
  <c r="AY854" i="1"/>
  <c r="AX854" i="1"/>
  <c r="AZ854" i="1"/>
  <c r="AY846" i="1"/>
  <c r="AX846" i="1"/>
  <c r="AZ846" i="1"/>
  <c r="AY838" i="1"/>
  <c r="AX838" i="1"/>
  <c r="AZ838" i="1"/>
  <c r="AX900" i="1"/>
  <c r="AZ900" i="1"/>
  <c r="AX892" i="1"/>
  <c r="AZ892" i="1"/>
  <c r="AY873" i="1"/>
  <c r="AX873" i="1"/>
  <c r="AZ873" i="1"/>
  <c r="AY865" i="1"/>
  <c r="AX865" i="1"/>
  <c r="AZ865" i="1"/>
  <c r="AY853" i="1"/>
  <c r="AX853" i="1"/>
  <c r="AZ853" i="1"/>
  <c r="AY845" i="1"/>
  <c r="AX845" i="1"/>
  <c r="AZ845" i="1"/>
  <c r="AY837" i="1"/>
  <c r="AX837" i="1"/>
  <c r="AZ837" i="1"/>
  <c r="AY828" i="1"/>
  <c r="AX828" i="1"/>
  <c r="AY821" i="1"/>
  <c r="AZ821" i="1"/>
  <c r="AX821" i="1"/>
  <c r="AX773" i="1"/>
  <c r="AY773" i="1"/>
  <c r="AZ773" i="1"/>
  <c r="AX765" i="1"/>
  <c r="AY765" i="1"/>
  <c r="AZ765" i="1"/>
  <c r="AX757" i="1"/>
  <c r="AY757" i="1"/>
  <c r="AZ757" i="1"/>
  <c r="AX749" i="1"/>
  <c r="AY749" i="1"/>
  <c r="AZ749" i="1"/>
  <c r="AX741" i="1"/>
  <c r="AY741" i="1"/>
  <c r="AZ741" i="1"/>
  <c r="AY733" i="1"/>
  <c r="AX733" i="1"/>
  <c r="AZ733" i="1"/>
  <c r="AY831" i="1"/>
  <c r="AX831" i="1"/>
  <c r="AY820" i="1"/>
  <c r="AZ820" i="1"/>
  <c r="AX820" i="1"/>
  <c r="AX812" i="1"/>
  <c r="AY812" i="1"/>
  <c r="AZ812" i="1"/>
  <c r="AX810" i="1"/>
  <c r="AY810" i="1"/>
  <c r="AZ810" i="1"/>
  <c r="AX808" i="1"/>
  <c r="AY808" i="1"/>
  <c r="AZ808" i="1"/>
  <c r="AX806" i="1"/>
  <c r="AY806" i="1"/>
  <c r="AZ806" i="1"/>
  <c r="AX804" i="1"/>
  <c r="AY804" i="1"/>
  <c r="AZ804" i="1"/>
  <c r="AX802" i="1"/>
  <c r="AY802" i="1"/>
  <c r="AZ802" i="1"/>
  <c r="AX800" i="1"/>
  <c r="AY800" i="1"/>
  <c r="AZ800" i="1"/>
  <c r="AX798" i="1"/>
  <c r="AY798" i="1"/>
  <c r="AZ798" i="1"/>
  <c r="AX796" i="1"/>
  <c r="AY796" i="1"/>
  <c r="AZ796" i="1"/>
  <c r="AX794" i="1"/>
  <c r="AY794" i="1"/>
  <c r="AZ794" i="1"/>
  <c r="AX792" i="1"/>
  <c r="AY792" i="1"/>
  <c r="AZ792" i="1"/>
  <c r="AX790" i="1"/>
  <c r="AY790" i="1"/>
  <c r="AZ790" i="1"/>
  <c r="AX788" i="1"/>
  <c r="AY788" i="1"/>
  <c r="AZ788" i="1"/>
  <c r="AX786" i="1"/>
  <c r="AY786" i="1"/>
  <c r="AZ786" i="1"/>
  <c r="AX781" i="1"/>
  <c r="AY781" i="1"/>
  <c r="AZ781" i="1"/>
  <c r="AX772" i="1"/>
  <c r="AY772" i="1"/>
  <c r="AZ772" i="1"/>
  <c r="AX764" i="1"/>
  <c r="AY764" i="1"/>
  <c r="AZ764" i="1"/>
  <c r="AX756" i="1"/>
  <c r="AY756" i="1"/>
  <c r="AZ756" i="1"/>
  <c r="AX748" i="1"/>
  <c r="AY748" i="1"/>
  <c r="AZ748" i="1"/>
  <c r="AX740" i="1"/>
  <c r="AY740" i="1"/>
  <c r="AZ740" i="1"/>
  <c r="AY732" i="1"/>
  <c r="AX732" i="1"/>
  <c r="AZ732" i="1"/>
  <c r="AY827" i="1"/>
  <c r="AZ827" i="1"/>
  <c r="AX827" i="1"/>
  <c r="AY819" i="1"/>
  <c r="AZ819" i="1"/>
  <c r="AX819" i="1"/>
  <c r="AX813" i="1"/>
  <c r="AY813" i="1"/>
  <c r="AZ813" i="1"/>
  <c r="AX771" i="1"/>
  <c r="AY771" i="1"/>
  <c r="AZ771" i="1"/>
  <c r="AX763" i="1"/>
  <c r="AY763" i="1"/>
  <c r="AZ763" i="1"/>
  <c r="AX755" i="1"/>
  <c r="AY755" i="1"/>
  <c r="AZ755" i="1"/>
  <c r="AX747" i="1"/>
  <c r="AY747" i="1"/>
  <c r="AZ747" i="1"/>
  <c r="AX739" i="1"/>
  <c r="AY739" i="1"/>
  <c r="AZ739" i="1"/>
  <c r="AY731" i="1"/>
  <c r="AX731" i="1"/>
  <c r="AZ731" i="1"/>
  <c r="AY829" i="1"/>
  <c r="AX829" i="1"/>
  <c r="AY826" i="1"/>
  <c r="AZ826" i="1"/>
  <c r="AX826" i="1"/>
  <c r="AY818" i="1"/>
  <c r="AZ818" i="1"/>
  <c r="AX818" i="1"/>
  <c r="AX814" i="1"/>
  <c r="AY814" i="1"/>
  <c r="AZ814" i="1"/>
  <c r="AX779" i="1"/>
  <c r="AY779" i="1"/>
  <c r="AZ779" i="1"/>
  <c r="AX770" i="1"/>
  <c r="AY770" i="1"/>
  <c r="AZ770" i="1"/>
  <c r="AX762" i="1"/>
  <c r="AY762" i="1"/>
  <c r="AZ762" i="1"/>
  <c r="AX754" i="1"/>
  <c r="AY754" i="1"/>
  <c r="AZ754" i="1"/>
  <c r="AX746" i="1"/>
  <c r="AY746" i="1"/>
  <c r="AZ746" i="1"/>
  <c r="AY738" i="1"/>
  <c r="AX738" i="1"/>
  <c r="AZ738" i="1"/>
  <c r="AY730" i="1"/>
  <c r="AX730" i="1"/>
  <c r="AZ730" i="1"/>
  <c r="AY832" i="1"/>
  <c r="AX832" i="1"/>
  <c r="AY825" i="1"/>
  <c r="AZ825" i="1"/>
  <c r="AX825" i="1"/>
  <c r="AY817" i="1"/>
  <c r="AZ817" i="1"/>
  <c r="AX817" i="1"/>
  <c r="AX815" i="1"/>
  <c r="AY815" i="1"/>
  <c r="AZ815" i="1"/>
  <c r="AX769" i="1"/>
  <c r="AY769" i="1"/>
  <c r="AZ769" i="1"/>
  <c r="AX761" i="1"/>
  <c r="AY761" i="1"/>
  <c r="AZ761" i="1"/>
  <c r="AX753" i="1"/>
  <c r="AY753" i="1"/>
  <c r="AZ753" i="1"/>
  <c r="AX745" i="1"/>
  <c r="AY745" i="1"/>
  <c r="AZ745" i="1"/>
  <c r="AY737" i="1"/>
  <c r="AX737" i="1"/>
  <c r="AZ737" i="1"/>
  <c r="AY824" i="1"/>
  <c r="AZ824" i="1"/>
  <c r="AX824" i="1"/>
  <c r="AX816" i="1"/>
  <c r="AY816" i="1"/>
  <c r="AZ816" i="1"/>
  <c r="AX811" i="1"/>
  <c r="AY811" i="1"/>
  <c r="AZ811" i="1"/>
  <c r="AX809" i="1"/>
  <c r="AY809" i="1"/>
  <c r="AZ809" i="1"/>
  <c r="AX807" i="1"/>
  <c r="AY807" i="1"/>
  <c r="AZ807" i="1"/>
  <c r="AX805" i="1"/>
  <c r="AY805" i="1"/>
  <c r="AZ805" i="1"/>
  <c r="AX803" i="1"/>
  <c r="AY803" i="1"/>
  <c r="AZ803" i="1"/>
  <c r="AX801" i="1"/>
  <c r="AY801" i="1"/>
  <c r="AZ801" i="1"/>
  <c r="AX799" i="1"/>
  <c r="AY799" i="1"/>
  <c r="AZ799" i="1"/>
  <c r="AX797" i="1"/>
  <c r="AY797" i="1"/>
  <c r="AZ797" i="1"/>
  <c r="AX795" i="1"/>
  <c r="AY795" i="1"/>
  <c r="AZ795" i="1"/>
  <c r="AX793" i="1"/>
  <c r="AY793" i="1"/>
  <c r="AZ793" i="1"/>
  <c r="AX791" i="1"/>
  <c r="AY791" i="1"/>
  <c r="AZ791" i="1"/>
  <c r="AX789" i="1"/>
  <c r="AY789" i="1"/>
  <c r="AZ789" i="1"/>
  <c r="AX787" i="1"/>
  <c r="AY787" i="1"/>
  <c r="AZ787" i="1"/>
  <c r="AX785" i="1"/>
  <c r="AY785" i="1"/>
  <c r="AZ785" i="1"/>
  <c r="AX777" i="1"/>
  <c r="AY777" i="1"/>
  <c r="AZ777" i="1"/>
  <c r="AX768" i="1"/>
  <c r="AY768" i="1"/>
  <c r="AZ768" i="1"/>
  <c r="AX760" i="1"/>
  <c r="AY760" i="1"/>
  <c r="AZ760" i="1"/>
  <c r="AX752" i="1"/>
  <c r="AY752" i="1"/>
  <c r="AZ752" i="1"/>
  <c r="AX744" i="1"/>
  <c r="AY744" i="1"/>
  <c r="AZ744" i="1"/>
  <c r="AY736" i="1"/>
  <c r="AX736" i="1"/>
  <c r="AZ736" i="1"/>
  <c r="AY830" i="1"/>
  <c r="AX830" i="1"/>
  <c r="AY823" i="1"/>
  <c r="AZ823" i="1"/>
  <c r="AX823" i="1"/>
  <c r="AX775" i="1"/>
  <c r="AY775" i="1"/>
  <c r="AZ775" i="1"/>
  <c r="AX767" i="1"/>
  <c r="AY767" i="1"/>
  <c r="AZ767" i="1"/>
  <c r="AX759" i="1"/>
  <c r="AY759" i="1"/>
  <c r="AZ759" i="1"/>
  <c r="AX751" i="1"/>
  <c r="AY751" i="1"/>
  <c r="AZ751" i="1"/>
  <c r="AX743" i="1"/>
  <c r="AY743" i="1"/>
  <c r="AZ743" i="1"/>
  <c r="AY735" i="1"/>
  <c r="AX735" i="1"/>
  <c r="AZ735" i="1"/>
  <c r="AY835" i="1"/>
  <c r="AX835" i="1"/>
  <c r="AY834" i="1"/>
  <c r="AX834" i="1"/>
  <c r="AY833" i="1"/>
  <c r="AX833" i="1"/>
  <c r="AY822" i="1"/>
  <c r="AZ822" i="1"/>
  <c r="AX822" i="1"/>
  <c r="AX783" i="1"/>
  <c r="AY783" i="1"/>
  <c r="AZ783" i="1"/>
  <c r="AX774" i="1"/>
  <c r="AY774" i="1"/>
  <c r="AZ774" i="1"/>
  <c r="AX766" i="1"/>
  <c r="AY766" i="1"/>
  <c r="AZ766" i="1"/>
  <c r="AX758" i="1"/>
  <c r="AY758" i="1"/>
  <c r="AZ758" i="1"/>
  <c r="AX750" i="1"/>
  <c r="AY750" i="1"/>
  <c r="AZ750" i="1"/>
  <c r="AX742" i="1"/>
  <c r="AY742" i="1"/>
  <c r="AZ742" i="1"/>
  <c r="AY734" i="1"/>
  <c r="AX734" i="1"/>
  <c r="AZ734" i="1"/>
  <c r="AY723" i="1"/>
  <c r="AX723" i="1"/>
  <c r="AY715" i="1"/>
  <c r="AX715" i="1"/>
  <c r="AY703" i="1"/>
  <c r="AX703" i="1"/>
  <c r="AZ703" i="1"/>
  <c r="AY689" i="1"/>
  <c r="AX689" i="1"/>
  <c r="AZ689" i="1"/>
  <c r="AY681" i="1"/>
  <c r="AX681" i="1"/>
  <c r="AZ681" i="1"/>
  <c r="AY673" i="1"/>
  <c r="AX673" i="1"/>
  <c r="AZ673" i="1"/>
  <c r="AX667" i="1"/>
  <c r="AY667" i="1"/>
  <c r="AZ667" i="1"/>
  <c r="AX661" i="1"/>
  <c r="AY661" i="1"/>
  <c r="AZ661" i="1"/>
  <c r="AX653" i="1"/>
  <c r="AY653" i="1"/>
  <c r="AZ653" i="1"/>
  <c r="AY728" i="1"/>
  <c r="AX728" i="1"/>
  <c r="AY722" i="1"/>
  <c r="AX722" i="1"/>
  <c r="AY714" i="1"/>
  <c r="AX714" i="1"/>
  <c r="AY708" i="1"/>
  <c r="AX708" i="1"/>
  <c r="AY704" i="1"/>
  <c r="AX704" i="1"/>
  <c r="AZ704" i="1"/>
  <c r="AY697" i="1"/>
  <c r="AX697" i="1"/>
  <c r="AZ697" i="1"/>
  <c r="AY695" i="1"/>
  <c r="AX695" i="1"/>
  <c r="AZ695" i="1"/>
  <c r="AY693" i="1"/>
  <c r="AX693" i="1"/>
  <c r="AZ693" i="1"/>
  <c r="AY688" i="1"/>
  <c r="AX688" i="1"/>
  <c r="AZ688" i="1"/>
  <c r="AY680" i="1"/>
  <c r="AX680" i="1"/>
  <c r="AZ680" i="1"/>
  <c r="AY672" i="1"/>
  <c r="AX672" i="1"/>
  <c r="AZ672" i="1"/>
  <c r="AX660" i="1"/>
  <c r="AY660" i="1"/>
  <c r="AZ660" i="1"/>
  <c r="AX652" i="1"/>
  <c r="AY652" i="1"/>
  <c r="AZ652" i="1"/>
  <c r="AY721" i="1"/>
  <c r="AX721" i="1"/>
  <c r="AY713" i="1"/>
  <c r="AX713" i="1"/>
  <c r="AY705" i="1"/>
  <c r="AX705" i="1"/>
  <c r="AZ705" i="1"/>
  <c r="AY687" i="1"/>
  <c r="AX687" i="1"/>
  <c r="AZ687" i="1"/>
  <c r="AY679" i="1"/>
  <c r="AX679" i="1"/>
  <c r="AZ679" i="1"/>
  <c r="AY671" i="1"/>
  <c r="AX671" i="1"/>
  <c r="AZ671" i="1"/>
  <c r="AX659" i="1"/>
  <c r="AY659" i="1"/>
  <c r="AZ659" i="1"/>
  <c r="AX651" i="1"/>
  <c r="AY651" i="1"/>
  <c r="AZ651" i="1"/>
  <c r="AY720" i="1"/>
  <c r="AX720" i="1"/>
  <c r="AY712" i="1"/>
  <c r="AX712" i="1"/>
  <c r="AY709" i="1"/>
  <c r="AZ709" i="1"/>
  <c r="AY706" i="1"/>
  <c r="AX706" i="1"/>
  <c r="AZ706" i="1"/>
  <c r="AY698" i="1"/>
  <c r="AX698" i="1"/>
  <c r="AZ698" i="1"/>
  <c r="AY686" i="1"/>
  <c r="AX686" i="1"/>
  <c r="AZ686" i="1"/>
  <c r="AY678" i="1"/>
  <c r="AX678" i="1"/>
  <c r="AZ678" i="1"/>
  <c r="AY670" i="1"/>
  <c r="AX670" i="1"/>
  <c r="AZ670" i="1"/>
  <c r="AX665" i="1"/>
  <c r="AY665" i="1"/>
  <c r="AZ665" i="1"/>
  <c r="AX658" i="1"/>
  <c r="AY658" i="1"/>
  <c r="AZ658" i="1"/>
  <c r="AX650" i="1"/>
  <c r="AY650" i="1"/>
  <c r="AZ650" i="1"/>
  <c r="AY727" i="1"/>
  <c r="AX727" i="1"/>
  <c r="AY719" i="1"/>
  <c r="AX719" i="1"/>
  <c r="AY711" i="1"/>
  <c r="AX711" i="1"/>
  <c r="AY699" i="1"/>
  <c r="AX699" i="1"/>
  <c r="AZ699" i="1"/>
  <c r="AY685" i="1"/>
  <c r="AX685" i="1"/>
  <c r="AZ685" i="1"/>
  <c r="AY677" i="1"/>
  <c r="AX677" i="1"/>
  <c r="AZ677" i="1"/>
  <c r="AX657" i="1"/>
  <c r="AY657" i="1"/>
  <c r="AZ657" i="1"/>
  <c r="AX649" i="1"/>
  <c r="AY649" i="1"/>
  <c r="AZ649" i="1"/>
  <c r="AY729" i="1"/>
  <c r="AX729" i="1"/>
  <c r="AY726" i="1"/>
  <c r="AX726" i="1"/>
  <c r="AY718" i="1"/>
  <c r="AX718" i="1"/>
  <c r="AY710" i="1"/>
  <c r="AX710" i="1"/>
  <c r="AY700" i="1"/>
  <c r="AX700" i="1"/>
  <c r="AZ700" i="1"/>
  <c r="AY696" i="1"/>
  <c r="AX696" i="1"/>
  <c r="AZ696" i="1"/>
  <c r="AY694" i="1"/>
  <c r="AX694" i="1"/>
  <c r="AZ694" i="1"/>
  <c r="AY692" i="1"/>
  <c r="AX692" i="1"/>
  <c r="AZ692" i="1"/>
  <c r="AY684" i="1"/>
  <c r="AX684" i="1"/>
  <c r="AZ684" i="1"/>
  <c r="AY676" i="1"/>
  <c r="AX676" i="1"/>
  <c r="AZ676" i="1"/>
  <c r="AX656" i="1"/>
  <c r="AY656" i="1"/>
  <c r="AZ656" i="1"/>
  <c r="AX648" i="1"/>
  <c r="AY648" i="1"/>
  <c r="AZ648" i="1"/>
  <c r="AY725" i="1"/>
  <c r="AX725" i="1"/>
  <c r="AY717" i="1"/>
  <c r="AX717" i="1"/>
  <c r="AY701" i="1"/>
  <c r="AX701" i="1"/>
  <c r="AZ701" i="1"/>
  <c r="AY691" i="1"/>
  <c r="AX691" i="1"/>
  <c r="AZ691" i="1"/>
  <c r="AY683" i="1"/>
  <c r="AX683" i="1"/>
  <c r="AZ683" i="1"/>
  <c r="AY675" i="1"/>
  <c r="AX675" i="1"/>
  <c r="AZ675" i="1"/>
  <c r="AX663" i="1"/>
  <c r="AY663" i="1"/>
  <c r="AZ663" i="1"/>
  <c r="AX655" i="1"/>
  <c r="AY655" i="1"/>
  <c r="AZ655" i="1"/>
  <c r="AX647" i="1"/>
  <c r="AY647" i="1"/>
  <c r="AZ647" i="1"/>
  <c r="AY784" i="1"/>
  <c r="AY782" i="1"/>
  <c r="AY780" i="1"/>
  <c r="AY778" i="1"/>
  <c r="AY776" i="1"/>
  <c r="AY724" i="1"/>
  <c r="AX724" i="1"/>
  <c r="AY716" i="1"/>
  <c r="AX716" i="1"/>
  <c r="AY707" i="1"/>
  <c r="AZ707" i="1"/>
  <c r="AY702" i="1"/>
  <c r="AX702" i="1"/>
  <c r="AZ702" i="1"/>
  <c r="AY690" i="1"/>
  <c r="AX690" i="1"/>
  <c r="AZ690" i="1"/>
  <c r="AY682" i="1"/>
  <c r="AX682" i="1"/>
  <c r="AZ682" i="1"/>
  <c r="AY674" i="1"/>
  <c r="AX674" i="1"/>
  <c r="AZ674" i="1"/>
  <c r="AX662" i="1"/>
  <c r="AY662" i="1"/>
  <c r="AZ662" i="1"/>
  <c r="AX654" i="1"/>
  <c r="AY654" i="1"/>
  <c r="AZ654" i="1"/>
  <c r="AX645" i="1"/>
  <c r="AY645" i="1"/>
  <c r="AX643" i="1"/>
  <c r="AY643" i="1"/>
  <c r="AX641" i="1"/>
  <c r="AY641" i="1"/>
  <c r="AX639" i="1"/>
  <c r="AY639" i="1"/>
  <c r="AX637" i="1"/>
  <c r="AY637" i="1"/>
  <c r="AX635" i="1"/>
  <c r="AY635" i="1"/>
  <c r="AX617" i="1"/>
  <c r="AY617" i="1"/>
  <c r="AZ617" i="1"/>
  <c r="AX586" i="1"/>
  <c r="AZ586" i="1"/>
  <c r="AY586" i="1"/>
  <c r="AX578" i="1"/>
  <c r="AY578" i="1"/>
  <c r="AZ578" i="1"/>
  <c r="AX570" i="1"/>
  <c r="AY570" i="1"/>
  <c r="AZ570" i="1"/>
  <c r="AX562" i="1"/>
  <c r="AY562" i="1"/>
  <c r="AZ562" i="1"/>
  <c r="AZ669" i="1"/>
  <c r="AZ668" i="1"/>
  <c r="AX618" i="1"/>
  <c r="AY618" i="1"/>
  <c r="AZ618" i="1"/>
  <c r="AX591" i="1"/>
  <c r="AY591" i="1"/>
  <c r="AZ591" i="1"/>
  <c r="AX585" i="1"/>
  <c r="AZ585" i="1"/>
  <c r="AY585" i="1"/>
  <c r="AX577" i="1"/>
  <c r="AY577" i="1"/>
  <c r="AZ577" i="1"/>
  <c r="AX569" i="1"/>
  <c r="AY569" i="1"/>
  <c r="AZ569" i="1"/>
  <c r="AX561" i="1"/>
  <c r="AY561" i="1"/>
  <c r="AZ561" i="1"/>
  <c r="AX669" i="1"/>
  <c r="AX668" i="1"/>
  <c r="AX619" i="1"/>
  <c r="AY619" i="1"/>
  <c r="AZ619" i="1"/>
  <c r="AX584" i="1"/>
  <c r="AZ584" i="1"/>
  <c r="AY584" i="1"/>
  <c r="AX576" i="1"/>
  <c r="AY576" i="1"/>
  <c r="AZ576" i="1"/>
  <c r="AX568" i="1"/>
  <c r="AY568" i="1"/>
  <c r="AZ568" i="1"/>
  <c r="AX560" i="1"/>
  <c r="AY560" i="1"/>
  <c r="AZ560" i="1"/>
  <c r="AX620" i="1"/>
  <c r="AY620" i="1"/>
  <c r="AZ620" i="1"/>
  <c r="AX615" i="1"/>
  <c r="AY615" i="1"/>
  <c r="AZ615" i="1"/>
  <c r="AX613" i="1"/>
  <c r="AY613" i="1"/>
  <c r="AZ613" i="1"/>
  <c r="AX611" i="1"/>
  <c r="AY611" i="1"/>
  <c r="AZ611" i="1"/>
  <c r="AX609" i="1"/>
  <c r="AY609" i="1"/>
  <c r="AZ609" i="1"/>
  <c r="AX607" i="1"/>
  <c r="AY607" i="1"/>
  <c r="AZ607" i="1"/>
  <c r="AX605" i="1"/>
  <c r="AY605" i="1"/>
  <c r="AZ605" i="1"/>
  <c r="AX603" i="1"/>
  <c r="AY603" i="1"/>
  <c r="AZ603" i="1"/>
  <c r="AX601" i="1"/>
  <c r="AY601" i="1"/>
  <c r="AZ601" i="1"/>
  <c r="AX599" i="1"/>
  <c r="AY599" i="1"/>
  <c r="AZ599" i="1"/>
  <c r="AX583" i="1"/>
  <c r="AZ583" i="1"/>
  <c r="AY583" i="1"/>
  <c r="AX575" i="1"/>
  <c r="AY575" i="1"/>
  <c r="AZ575" i="1"/>
  <c r="AX567" i="1"/>
  <c r="AY567" i="1"/>
  <c r="AZ567" i="1"/>
  <c r="AX559" i="1"/>
  <c r="AY559" i="1"/>
  <c r="AZ559" i="1"/>
  <c r="AX646" i="1"/>
  <c r="AY646" i="1"/>
  <c r="AX644" i="1"/>
  <c r="AY644" i="1"/>
  <c r="AX642" i="1"/>
  <c r="AY642" i="1"/>
  <c r="AX640" i="1"/>
  <c r="AY640" i="1"/>
  <c r="AX638" i="1"/>
  <c r="AY638" i="1"/>
  <c r="AX636" i="1"/>
  <c r="AY636" i="1"/>
  <c r="AX634" i="1"/>
  <c r="AY634" i="1"/>
  <c r="AX621" i="1"/>
  <c r="AY621" i="1"/>
  <c r="AZ621" i="1"/>
  <c r="AX597" i="1"/>
  <c r="AY597" i="1"/>
  <c r="AZ597" i="1"/>
  <c r="AX589" i="1"/>
  <c r="AY589" i="1"/>
  <c r="AZ589" i="1"/>
  <c r="AX582" i="1"/>
  <c r="AY582" i="1"/>
  <c r="AZ582" i="1"/>
  <c r="AX574" i="1"/>
  <c r="AY574" i="1"/>
  <c r="AZ574" i="1"/>
  <c r="AX566" i="1"/>
  <c r="AY566" i="1"/>
  <c r="AZ566" i="1"/>
  <c r="AX558" i="1"/>
  <c r="AY558" i="1"/>
  <c r="AZ558" i="1"/>
  <c r="AX622" i="1"/>
  <c r="AY622" i="1"/>
  <c r="AZ622" i="1"/>
  <c r="AX595" i="1"/>
  <c r="AY595" i="1"/>
  <c r="AZ595" i="1"/>
  <c r="AX581" i="1"/>
  <c r="AY581" i="1"/>
  <c r="AZ581" i="1"/>
  <c r="AX573" i="1"/>
  <c r="AY573" i="1"/>
  <c r="AZ573" i="1"/>
  <c r="AX565" i="1"/>
  <c r="AY565" i="1"/>
  <c r="AZ565" i="1"/>
  <c r="AX557" i="1"/>
  <c r="AY557" i="1"/>
  <c r="AZ557" i="1"/>
  <c r="AX666" i="1"/>
  <c r="AY666" i="1"/>
  <c r="AX664" i="1"/>
  <c r="AY664" i="1"/>
  <c r="AX633" i="1"/>
  <c r="AY633" i="1"/>
  <c r="AX632" i="1"/>
  <c r="AY632" i="1"/>
  <c r="AX631" i="1"/>
  <c r="AY631" i="1"/>
  <c r="AX630" i="1"/>
  <c r="AY630" i="1"/>
  <c r="AX629" i="1"/>
  <c r="AY629" i="1"/>
  <c r="AX628" i="1"/>
  <c r="AY628" i="1"/>
  <c r="AX627" i="1"/>
  <c r="AY627" i="1"/>
  <c r="AX626" i="1"/>
  <c r="AY626" i="1"/>
  <c r="AX625" i="1"/>
  <c r="AY625" i="1"/>
  <c r="AX624" i="1"/>
  <c r="AY624" i="1"/>
  <c r="AX623" i="1"/>
  <c r="AY623" i="1"/>
  <c r="AX593" i="1"/>
  <c r="AY593" i="1"/>
  <c r="AZ593" i="1"/>
  <c r="AX580" i="1"/>
  <c r="AY580" i="1"/>
  <c r="AZ580" i="1"/>
  <c r="AX572" i="1"/>
  <c r="AY572" i="1"/>
  <c r="AZ572" i="1"/>
  <c r="AX564" i="1"/>
  <c r="AY564" i="1"/>
  <c r="AZ564" i="1"/>
  <c r="AX616" i="1"/>
  <c r="AY616" i="1"/>
  <c r="AZ616" i="1"/>
  <c r="AX614" i="1"/>
  <c r="AY614" i="1"/>
  <c r="AZ614" i="1"/>
  <c r="AX612" i="1"/>
  <c r="AY612" i="1"/>
  <c r="AZ612" i="1"/>
  <c r="AX610" i="1"/>
  <c r="AY610" i="1"/>
  <c r="AZ610" i="1"/>
  <c r="AX608" i="1"/>
  <c r="AY608" i="1"/>
  <c r="AZ608" i="1"/>
  <c r="AX606" i="1"/>
  <c r="AY606" i="1"/>
  <c r="AZ606" i="1"/>
  <c r="AX604" i="1"/>
  <c r="AY604" i="1"/>
  <c r="AZ604" i="1"/>
  <c r="AX602" i="1"/>
  <c r="AY602" i="1"/>
  <c r="AZ602" i="1"/>
  <c r="AX600" i="1"/>
  <c r="AY600" i="1"/>
  <c r="AZ600" i="1"/>
  <c r="AX587" i="1"/>
  <c r="AZ587" i="1"/>
  <c r="AY587" i="1"/>
  <c r="AX579" i="1"/>
  <c r="AY579" i="1"/>
  <c r="AZ579" i="1"/>
  <c r="AX571" i="1"/>
  <c r="AY571" i="1"/>
  <c r="AZ571" i="1"/>
  <c r="AX563" i="1"/>
  <c r="AY563" i="1"/>
  <c r="AZ563" i="1"/>
  <c r="AX546" i="1"/>
  <c r="AY546" i="1"/>
  <c r="AZ546" i="1"/>
  <c r="AX538" i="1"/>
  <c r="AY538" i="1"/>
  <c r="AZ538" i="1"/>
  <c r="AX534" i="1"/>
  <c r="AY534" i="1"/>
  <c r="AZ534" i="1"/>
  <c r="AX530" i="1"/>
  <c r="AY530" i="1"/>
  <c r="AZ530" i="1"/>
  <c r="AX526" i="1"/>
  <c r="AY526" i="1"/>
  <c r="AZ526" i="1"/>
  <c r="AX512" i="1"/>
  <c r="AY512" i="1"/>
  <c r="AZ512" i="1"/>
  <c r="AX498" i="1"/>
  <c r="AY498" i="1"/>
  <c r="AZ498" i="1"/>
  <c r="AX545" i="1"/>
  <c r="AY545" i="1"/>
  <c r="AZ545" i="1"/>
  <c r="AX511" i="1"/>
  <c r="AY511" i="1"/>
  <c r="AZ511" i="1"/>
  <c r="AX505" i="1"/>
  <c r="AY505" i="1"/>
  <c r="AZ505" i="1"/>
  <c r="AX497" i="1"/>
  <c r="AY497" i="1"/>
  <c r="AZ497" i="1"/>
  <c r="AX544" i="1"/>
  <c r="AY544" i="1"/>
  <c r="AZ544" i="1"/>
  <c r="AX510" i="1"/>
  <c r="AY510" i="1"/>
  <c r="AZ510" i="1"/>
  <c r="AX504" i="1"/>
  <c r="AY504" i="1"/>
  <c r="AZ504" i="1"/>
  <c r="AX496" i="1"/>
  <c r="AY496" i="1"/>
  <c r="AZ496" i="1"/>
  <c r="AX556" i="1"/>
  <c r="AY556" i="1"/>
  <c r="AZ556" i="1"/>
  <c r="AX554" i="1"/>
  <c r="AY554" i="1"/>
  <c r="AZ554" i="1"/>
  <c r="AX552" i="1"/>
  <c r="AY552" i="1"/>
  <c r="AZ552" i="1"/>
  <c r="AX550" i="1"/>
  <c r="AY550" i="1"/>
  <c r="AZ550" i="1"/>
  <c r="AX548" i="1"/>
  <c r="AY548" i="1"/>
  <c r="AZ548" i="1"/>
  <c r="AX543" i="1"/>
  <c r="AY543" i="1"/>
  <c r="AZ543" i="1"/>
  <c r="AX509" i="1"/>
  <c r="AY509" i="1"/>
  <c r="AZ509" i="1"/>
  <c r="AX503" i="1"/>
  <c r="AY503" i="1"/>
  <c r="AZ503" i="1"/>
  <c r="AZ598" i="1"/>
  <c r="AZ596" i="1"/>
  <c r="AZ594" i="1"/>
  <c r="AZ592" i="1"/>
  <c r="AZ590" i="1"/>
  <c r="AZ588" i="1"/>
  <c r="AX542" i="1"/>
  <c r="AY542" i="1"/>
  <c r="AZ542" i="1"/>
  <c r="AX536" i="1"/>
  <c r="AY536" i="1"/>
  <c r="AZ536" i="1"/>
  <c r="AX532" i="1"/>
  <c r="AY532" i="1"/>
  <c r="AZ532" i="1"/>
  <c r="AX528" i="1"/>
  <c r="AY528" i="1"/>
  <c r="AZ528" i="1"/>
  <c r="AX508" i="1"/>
  <c r="AY508" i="1"/>
  <c r="AZ508" i="1"/>
  <c r="AX502" i="1"/>
  <c r="AY502" i="1"/>
  <c r="AZ502" i="1"/>
  <c r="AY598" i="1"/>
  <c r="AY596" i="1"/>
  <c r="AY594" i="1"/>
  <c r="AY592" i="1"/>
  <c r="AY590" i="1"/>
  <c r="AY588" i="1"/>
  <c r="AX541" i="1"/>
  <c r="AY541" i="1"/>
  <c r="AZ541" i="1"/>
  <c r="AX515" i="1"/>
  <c r="AY515" i="1"/>
  <c r="AZ515" i="1"/>
  <c r="AX507" i="1"/>
  <c r="AY507" i="1"/>
  <c r="AZ507" i="1"/>
  <c r="AX501" i="1"/>
  <c r="AY501" i="1"/>
  <c r="AZ501" i="1"/>
  <c r="AX540" i="1"/>
  <c r="AY540" i="1"/>
  <c r="AZ540" i="1"/>
  <c r="AX514" i="1"/>
  <c r="AY514" i="1"/>
  <c r="AZ514" i="1"/>
  <c r="AX500" i="1"/>
  <c r="AY500" i="1"/>
  <c r="AZ500" i="1"/>
  <c r="AX555" i="1"/>
  <c r="AY555" i="1"/>
  <c r="AZ555" i="1"/>
  <c r="AX553" i="1"/>
  <c r="AY553" i="1"/>
  <c r="AZ553" i="1"/>
  <c r="AX551" i="1"/>
  <c r="AY551" i="1"/>
  <c r="AZ551" i="1"/>
  <c r="AX549" i="1"/>
  <c r="AY549" i="1"/>
  <c r="AZ549" i="1"/>
  <c r="AX547" i="1"/>
  <c r="AY547" i="1"/>
  <c r="AZ547" i="1"/>
  <c r="AX539" i="1"/>
  <c r="AY539" i="1"/>
  <c r="AZ539" i="1"/>
  <c r="AX513" i="1"/>
  <c r="AY513" i="1"/>
  <c r="AZ513" i="1"/>
  <c r="AX499" i="1"/>
  <c r="AY499" i="1"/>
  <c r="AZ499" i="1"/>
  <c r="AY537" i="1"/>
  <c r="AY535" i="1"/>
  <c r="AY533" i="1"/>
  <c r="AY531" i="1"/>
  <c r="AY529" i="1"/>
  <c r="AY527" i="1"/>
  <c r="AX489" i="1"/>
  <c r="AY489" i="1"/>
  <c r="AZ489" i="1"/>
  <c r="AX481" i="1"/>
  <c r="AY481" i="1"/>
  <c r="AZ481" i="1"/>
  <c r="AZ477" i="1"/>
  <c r="AX477" i="1"/>
  <c r="AY477" i="1"/>
  <c r="AY471" i="1"/>
  <c r="AZ471" i="1"/>
  <c r="AX471" i="1"/>
  <c r="AY459" i="1"/>
  <c r="AZ459" i="1"/>
  <c r="AX459" i="1"/>
  <c r="AX451" i="1"/>
  <c r="AY451" i="1"/>
  <c r="AZ451" i="1"/>
  <c r="AX443" i="1"/>
  <c r="AY443" i="1"/>
  <c r="AZ443" i="1"/>
  <c r="AX429" i="1"/>
  <c r="AY429" i="1"/>
  <c r="AZ429" i="1"/>
  <c r="AX480" i="1"/>
  <c r="AY480" i="1"/>
  <c r="AZ480" i="1"/>
  <c r="AY474" i="1"/>
  <c r="AZ474" i="1"/>
  <c r="AX474" i="1"/>
  <c r="AY466" i="1"/>
  <c r="AZ466" i="1"/>
  <c r="AX466" i="1"/>
  <c r="AY458" i="1"/>
  <c r="AZ458" i="1"/>
  <c r="AX458" i="1"/>
  <c r="AX450" i="1"/>
  <c r="AY450" i="1"/>
  <c r="AZ450" i="1"/>
  <c r="AX442" i="1"/>
  <c r="AY442" i="1"/>
  <c r="AZ442" i="1"/>
  <c r="AX435" i="1"/>
  <c r="AY435" i="1"/>
  <c r="AZ435" i="1"/>
  <c r="AX506" i="1"/>
  <c r="AY506" i="1"/>
  <c r="AX487" i="1"/>
  <c r="AY487" i="1"/>
  <c r="AZ487" i="1"/>
  <c r="AX479" i="1"/>
  <c r="AY479" i="1"/>
  <c r="AZ479" i="1"/>
  <c r="AZ478" i="1"/>
  <c r="AX478" i="1"/>
  <c r="AY478" i="1"/>
  <c r="AY469" i="1"/>
  <c r="AZ469" i="1"/>
  <c r="AX469" i="1"/>
  <c r="AY464" i="1"/>
  <c r="AZ464" i="1"/>
  <c r="AX464" i="1"/>
  <c r="AY457" i="1"/>
  <c r="AZ457" i="1"/>
  <c r="AX457" i="1"/>
  <c r="AX449" i="1"/>
  <c r="AY449" i="1"/>
  <c r="AZ449" i="1"/>
  <c r="AX441" i="1"/>
  <c r="AY441" i="1"/>
  <c r="AZ441" i="1"/>
  <c r="AX495" i="1"/>
  <c r="AY495" i="1"/>
  <c r="AZ495" i="1"/>
  <c r="AX494" i="1"/>
  <c r="AY494" i="1"/>
  <c r="AZ494" i="1"/>
  <c r="AX493" i="1"/>
  <c r="AY493" i="1"/>
  <c r="AZ493" i="1"/>
  <c r="AX492" i="1"/>
  <c r="AY492" i="1"/>
  <c r="AZ492" i="1"/>
  <c r="AX491" i="1"/>
  <c r="AY491" i="1"/>
  <c r="AZ491" i="1"/>
  <c r="AX490" i="1"/>
  <c r="AY490" i="1"/>
  <c r="AZ490" i="1"/>
  <c r="AY472" i="1"/>
  <c r="AZ472" i="1"/>
  <c r="AX472" i="1"/>
  <c r="AY456" i="1"/>
  <c r="AZ456" i="1"/>
  <c r="AX456" i="1"/>
  <c r="AX448" i="1"/>
  <c r="AY448" i="1"/>
  <c r="AZ448" i="1"/>
  <c r="AX440" i="1"/>
  <c r="AY440" i="1"/>
  <c r="AZ440" i="1"/>
  <c r="AX485" i="1"/>
  <c r="AY485" i="1"/>
  <c r="AZ485" i="1"/>
  <c r="AZ475" i="1"/>
  <c r="AX475" i="1"/>
  <c r="AY475" i="1"/>
  <c r="AY467" i="1"/>
  <c r="AZ467" i="1"/>
  <c r="AX467" i="1"/>
  <c r="AY463" i="1"/>
  <c r="AZ463" i="1"/>
  <c r="AX463" i="1"/>
  <c r="AY455" i="1"/>
  <c r="AZ455" i="1"/>
  <c r="AX455" i="1"/>
  <c r="AX447" i="1"/>
  <c r="AY447" i="1"/>
  <c r="AZ447" i="1"/>
  <c r="AX439" i="1"/>
  <c r="AY439" i="1"/>
  <c r="AZ439" i="1"/>
  <c r="AX433" i="1"/>
  <c r="AY433" i="1"/>
  <c r="AZ433" i="1"/>
  <c r="AX488" i="1"/>
  <c r="AY488" i="1"/>
  <c r="AZ488" i="1"/>
  <c r="AX484" i="1"/>
  <c r="AY484" i="1"/>
  <c r="AZ484" i="1"/>
  <c r="AY470" i="1"/>
  <c r="AZ470" i="1"/>
  <c r="AX470" i="1"/>
  <c r="AY462" i="1"/>
  <c r="AZ462" i="1"/>
  <c r="AX462" i="1"/>
  <c r="AY454" i="1"/>
  <c r="AZ454" i="1"/>
  <c r="AX454" i="1"/>
  <c r="AX446" i="1"/>
  <c r="AY446" i="1"/>
  <c r="AZ446" i="1"/>
  <c r="AX438" i="1"/>
  <c r="AY438" i="1"/>
  <c r="AZ438" i="1"/>
  <c r="AX432" i="1"/>
  <c r="AY432" i="1"/>
  <c r="AZ432" i="1"/>
  <c r="AX483" i="1"/>
  <c r="AY483" i="1"/>
  <c r="AZ483" i="1"/>
  <c r="AZ476" i="1"/>
  <c r="AX476" i="1"/>
  <c r="AY476" i="1"/>
  <c r="AY473" i="1"/>
  <c r="AZ473" i="1"/>
  <c r="AX473" i="1"/>
  <c r="AY465" i="1"/>
  <c r="AZ465" i="1"/>
  <c r="AX465" i="1"/>
  <c r="AY461" i="1"/>
  <c r="AZ461" i="1"/>
  <c r="AX461" i="1"/>
  <c r="AX453" i="1"/>
  <c r="AY453" i="1"/>
  <c r="AZ453" i="1"/>
  <c r="AX445" i="1"/>
  <c r="AY445" i="1"/>
  <c r="AZ445" i="1"/>
  <c r="AX437" i="1"/>
  <c r="AY437" i="1"/>
  <c r="AZ437" i="1"/>
  <c r="AX431" i="1"/>
  <c r="AY431" i="1"/>
  <c r="AZ431" i="1"/>
  <c r="AX525" i="1"/>
  <c r="AY525" i="1"/>
  <c r="AX524" i="1"/>
  <c r="AY524" i="1"/>
  <c r="AX523" i="1"/>
  <c r="AY523" i="1"/>
  <c r="AX522" i="1"/>
  <c r="AY522" i="1"/>
  <c r="AX521" i="1"/>
  <c r="AY521" i="1"/>
  <c r="AX520" i="1"/>
  <c r="AY520" i="1"/>
  <c r="AX519" i="1"/>
  <c r="AY519" i="1"/>
  <c r="AX518" i="1"/>
  <c r="AY518" i="1"/>
  <c r="AX517" i="1"/>
  <c r="AY517" i="1"/>
  <c r="AX516" i="1"/>
  <c r="AY516" i="1"/>
  <c r="AX486" i="1"/>
  <c r="AY486" i="1"/>
  <c r="AZ486" i="1"/>
  <c r="AX482" i="1"/>
  <c r="AY482" i="1"/>
  <c r="AZ482" i="1"/>
  <c r="AY468" i="1"/>
  <c r="AZ468" i="1"/>
  <c r="AX468" i="1"/>
  <c r="AY460" i="1"/>
  <c r="AZ460" i="1"/>
  <c r="AX460" i="1"/>
  <c r="AX452" i="1"/>
  <c r="AY452" i="1"/>
  <c r="AZ452" i="1"/>
  <c r="AX444" i="1"/>
  <c r="AY444" i="1"/>
  <c r="AZ444" i="1"/>
  <c r="AX430" i="1"/>
  <c r="AY430" i="1"/>
  <c r="AZ430" i="1"/>
  <c r="AX421" i="1"/>
  <c r="AY421" i="1"/>
  <c r="AZ421" i="1"/>
  <c r="AX413" i="1"/>
  <c r="AY413" i="1"/>
  <c r="AZ413" i="1"/>
  <c r="AX420" i="1"/>
  <c r="AY420" i="1"/>
  <c r="AZ420" i="1"/>
  <c r="AX412" i="1"/>
  <c r="AY412" i="1"/>
  <c r="AZ412" i="1"/>
  <c r="AX428" i="1"/>
  <c r="AY428" i="1"/>
  <c r="AZ428" i="1"/>
  <c r="AX426" i="1"/>
  <c r="AY426" i="1"/>
  <c r="AZ426" i="1"/>
  <c r="AX424" i="1"/>
  <c r="AY424" i="1"/>
  <c r="AZ424" i="1"/>
  <c r="AX419" i="1"/>
  <c r="AY419" i="1"/>
  <c r="AZ419" i="1"/>
  <c r="AX418" i="1"/>
  <c r="AY418" i="1"/>
  <c r="AZ418" i="1"/>
  <c r="AX436" i="1"/>
  <c r="AY436" i="1"/>
  <c r="AZ436" i="1"/>
  <c r="AX434" i="1"/>
  <c r="AY434" i="1"/>
  <c r="AZ434" i="1"/>
  <c r="AX417" i="1"/>
  <c r="AY417" i="1"/>
  <c r="AZ417" i="1"/>
  <c r="AX416" i="1"/>
  <c r="AY416" i="1"/>
  <c r="AZ416" i="1"/>
  <c r="AZ401" i="1"/>
  <c r="AY401" i="1"/>
  <c r="AX401" i="1"/>
  <c r="AX427" i="1"/>
  <c r="AY427" i="1"/>
  <c r="AZ427" i="1"/>
  <c r="AX425" i="1"/>
  <c r="AY425" i="1"/>
  <c r="AZ425" i="1"/>
  <c r="AX423" i="1"/>
  <c r="AY423" i="1"/>
  <c r="AZ423" i="1"/>
  <c r="AX415" i="1"/>
  <c r="AY415" i="1"/>
  <c r="AZ415" i="1"/>
  <c r="AX422" i="1"/>
  <c r="AY422" i="1"/>
  <c r="AZ422" i="1"/>
  <c r="AX414" i="1"/>
  <c r="AY414" i="1"/>
  <c r="AZ414" i="1"/>
  <c r="AZ409" i="1"/>
  <c r="AZ407" i="1"/>
  <c r="AZ405" i="1"/>
  <c r="AY400" i="1"/>
  <c r="AX392" i="1"/>
  <c r="AZ392" i="1"/>
  <c r="AX389" i="1"/>
  <c r="AY389" i="1"/>
  <c r="AZ389" i="1"/>
  <c r="AZ377" i="1"/>
  <c r="AX377" i="1"/>
  <c r="AY377" i="1"/>
  <c r="AZ373" i="1"/>
  <c r="AX373" i="1"/>
  <c r="AY373" i="1"/>
  <c r="AZ366" i="1"/>
  <c r="AX366" i="1"/>
  <c r="AY366" i="1"/>
  <c r="AZ348" i="1"/>
  <c r="AX348" i="1"/>
  <c r="AY348" i="1"/>
  <c r="AZ411" i="1"/>
  <c r="AZ410" i="1"/>
  <c r="AY409" i="1"/>
  <c r="AY407" i="1"/>
  <c r="AY405" i="1"/>
  <c r="AY399" i="1"/>
  <c r="AY393" i="1"/>
  <c r="AZ393" i="1"/>
  <c r="AZ380" i="1"/>
  <c r="AX380" i="1"/>
  <c r="AY380" i="1"/>
  <c r="AZ370" i="1"/>
  <c r="AX370" i="1"/>
  <c r="AY370" i="1"/>
  <c r="AZ360" i="1"/>
  <c r="AX360" i="1"/>
  <c r="AY360" i="1"/>
  <c r="AZ347" i="1"/>
  <c r="AX347" i="1"/>
  <c r="AY347" i="1"/>
  <c r="AX394" i="1"/>
  <c r="AZ394" i="1"/>
  <c r="AZ375" i="1"/>
  <c r="AX375" i="1"/>
  <c r="AY375" i="1"/>
  <c r="AZ354" i="1"/>
  <c r="AX354" i="1"/>
  <c r="AY354" i="1"/>
  <c r="AZ346" i="1"/>
  <c r="AX346" i="1"/>
  <c r="AY346" i="1"/>
  <c r="AZ399" i="1"/>
  <c r="AY395" i="1"/>
  <c r="AZ395" i="1"/>
  <c r="AZ378" i="1"/>
  <c r="AX378" i="1"/>
  <c r="AY378" i="1"/>
  <c r="AZ372" i="1"/>
  <c r="AX372" i="1"/>
  <c r="AY372" i="1"/>
  <c r="AZ364" i="1"/>
  <c r="AX364" i="1"/>
  <c r="AY364" i="1"/>
  <c r="AZ353" i="1"/>
  <c r="AX353" i="1"/>
  <c r="AY353" i="1"/>
  <c r="AZ345" i="1"/>
  <c r="AX345" i="1"/>
  <c r="AY345" i="1"/>
  <c r="AZ408" i="1"/>
  <c r="AZ406" i="1"/>
  <c r="AX396" i="1"/>
  <c r="AZ396" i="1"/>
  <c r="AX388" i="1"/>
  <c r="AZ388" i="1"/>
  <c r="AZ381" i="1"/>
  <c r="AX381" i="1"/>
  <c r="AY381" i="1"/>
  <c r="AZ358" i="1"/>
  <c r="AX358" i="1"/>
  <c r="AY358" i="1"/>
  <c r="AZ352" i="1"/>
  <c r="AX352" i="1"/>
  <c r="AY352" i="1"/>
  <c r="AZ344" i="1"/>
  <c r="AX344" i="1"/>
  <c r="AY344" i="1"/>
  <c r="AY408" i="1"/>
  <c r="AY406" i="1"/>
  <c r="AY403" i="1"/>
  <c r="AY397" i="1"/>
  <c r="AZ397" i="1"/>
  <c r="AX390" i="1"/>
  <c r="AZ390" i="1"/>
  <c r="AX387" i="1"/>
  <c r="AY387" i="1"/>
  <c r="AZ387" i="1"/>
  <c r="AZ376" i="1"/>
  <c r="AX376" i="1"/>
  <c r="AY376" i="1"/>
  <c r="AZ374" i="1"/>
  <c r="AX374" i="1"/>
  <c r="AY374" i="1"/>
  <c r="AZ368" i="1"/>
  <c r="AX368" i="1"/>
  <c r="AY368" i="1"/>
  <c r="AZ351" i="1"/>
  <c r="AX351" i="1"/>
  <c r="AY351" i="1"/>
  <c r="AZ343" i="1"/>
  <c r="AX343" i="1"/>
  <c r="AY343" i="1"/>
  <c r="AZ379" i="1"/>
  <c r="AX379" i="1"/>
  <c r="AY379" i="1"/>
  <c r="AZ371" i="1"/>
  <c r="AX371" i="1"/>
  <c r="AY371" i="1"/>
  <c r="AZ362" i="1"/>
  <c r="AX362" i="1"/>
  <c r="AY362" i="1"/>
  <c r="AZ350" i="1"/>
  <c r="AX350" i="1"/>
  <c r="AY350" i="1"/>
  <c r="AZ403" i="1"/>
  <c r="AY391" i="1"/>
  <c r="AZ391" i="1"/>
  <c r="AZ356" i="1"/>
  <c r="AX356" i="1"/>
  <c r="AY356" i="1"/>
  <c r="AZ349" i="1"/>
  <c r="AX349" i="1"/>
  <c r="AY349" i="1"/>
  <c r="AZ326" i="1"/>
  <c r="AX326" i="1"/>
  <c r="AZ329" i="1"/>
  <c r="AX329" i="1"/>
  <c r="AZ321" i="1"/>
  <c r="AX321" i="1"/>
  <c r="AZ369" i="1"/>
  <c r="AX369" i="1"/>
  <c r="AZ367" i="1"/>
  <c r="AX367" i="1"/>
  <c r="AZ365" i="1"/>
  <c r="AX365" i="1"/>
  <c r="AZ363" i="1"/>
  <c r="AX363" i="1"/>
  <c r="AZ361" i="1"/>
  <c r="AX361" i="1"/>
  <c r="AZ359" i="1"/>
  <c r="AX359" i="1"/>
  <c r="AZ357" i="1"/>
  <c r="AX357" i="1"/>
  <c r="AZ355" i="1"/>
  <c r="AX355" i="1"/>
  <c r="AZ341" i="1"/>
  <c r="AX341" i="1"/>
  <c r="AZ339" i="1"/>
  <c r="AX339" i="1"/>
  <c r="AZ324" i="1"/>
  <c r="AX324" i="1"/>
  <c r="AZ327" i="1"/>
  <c r="AX327" i="1"/>
  <c r="AZ338" i="1"/>
  <c r="AX338" i="1"/>
  <c r="AZ337" i="1"/>
  <c r="AX337" i="1"/>
  <c r="AZ336" i="1"/>
  <c r="AX336" i="1"/>
  <c r="AZ335" i="1"/>
  <c r="AX335" i="1"/>
  <c r="AZ334" i="1"/>
  <c r="AX334" i="1"/>
  <c r="AZ333" i="1"/>
  <c r="AX333" i="1"/>
  <c r="AZ332" i="1"/>
  <c r="AX332" i="1"/>
  <c r="AZ331" i="1"/>
  <c r="AX331" i="1"/>
  <c r="AZ330" i="1"/>
  <c r="AX330" i="1"/>
  <c r="AZ322" i="1"/>
  <c r="AX322" i="1"/>
  <c r="AX386" i="1"/>
  <c r="AX385" i="1"/>
  <c r="AX384" i="1"/>
  <c r="AX383" i="1"/>
  <c r="AX382" i="1"/>
  <c r="AZ325" i="1"/>
  <c r="AX325" i="1"/>
  <c r="AZ342" i="1"/>
  <c r="AX342" i="1"/>
  <c r="AZ340" i="1"/>
  <c r="AX340" i="1"/>
  <c r="AZ328" i="1"/>
  <c r="AX328" i="1"/>
  <c r="AZ323" i="1"/>
  <c r="AX323" i="1"/>
  <c r="AX293" i="1"/>
  <c r="AZ293" i="1"/>
  <c r="AX268" i="1"/>
  <c r="AY268" i="1"/>
  <c r="AZ268" i="1"/>
  <c r="AX260" i="1"/>
  <c r="AY260" i="1"/>
  <c r="AZ260" i="1"/>
  <c r="AZ247" i="1"/>
  <c r="AY247" i="1"/>
  <c r="AX247" i="1"/>
  <c r="AY315" i="1"/>
  <c r="AY313" i="1"/>
  <c r="AY311" i="1"/>
  <c r="AX292" i="1"/>
  <c r="AZ292" i="1"/>
  <c r="AX286" i="1"/>
  <c r="AY286" i="1"/>
  <c r="AZ286" i="1"/>
  <c r="AX278" i="1"/>
  <c r="AY278" i="1"/>
  <c r="AZ278" i="1"/>
  <c r="AX267" i="1"/>
  <c r="AY267" i="1"/>
  <c r="AZ267" i="1"/>
  <c r="AX259" i="1"/>
  <c r="AY259" i="1"/>
  <c r="AZ259" i="1"/>
  <c r="AZ253" i="1"/>
  <c r="AY253" i="1"/>
  <c r="AX253" i="1"/>
  <c r="AX266" i="1"/>
  <c r="AY266" i="1"/>
  <c r="AZ266" i="1"/>
  <c r="AX258" i="1"/>
  <c r="AY258" i="1"/>
  <c r="AZ258" i="1"/>
  <c r="AX284" i="1"/>
  <c r="AY284" i="1"/>
  <c r="AZ284" i="1"/>
  <c r="AX276" i="1"/>
  <c r="AY276" i="1"/>
  <c r="AZ276" i="1"/>
  <c r="AX265" i="1"/>
  <c r="AY265" i="1"/>
  <c r="AZ265" i="1"/>
  <c r="AX257" i="1"/>
  <c r="AY257" i="1"/>
  <c r="AZ257" i="1"/>
  <c r="AX264" i="1"/>
  <c r="AY264" i="1"/>
  <c r="AZ264" i="1"/>
  <c r="AX256" i="1"/>
  <c r="AY256" i="1"/>
  <c r="AZ256" i="1"/>
  <c r="AZ251" i="1"/>
  <c r="AY251" i="1"/>
  <c r="AX251" i="1"/>
  <c r="AY314" i="1"/>
  <c r="AY312" i="1"/>
  <c r="AY310" i="1"/>
  <c r="AY308" i="1"/>
  <c r="AY306" i="1"/>
  <c r="AY304" i="1"/>
  <c r="AY302" i="1"/>
  <c r="AY300" i="1"/>
  <c r="AX290" i="1"/>
  <c r="AY290" i="1"/>
  <c r="AZ290" i="1"/>
  <c r="AX282" i="1"/>
  <c r="AY282" i="1"/>
  <c r="AZ282" i="1"/>
  <c r="AX271" i="1"/>
  <c r="AY271" i="1"/>
  <c r="AZ271" i="1"/>
  <c r="AX263" i="1"/>
  <c r="AY263" i="1"/>
  <c r="AZ263" i="1"/>
  <c r="AX314" i="1"/>
  <c r="AX312" i="1"/>
  <c r="AX310" i="1"/>
  <c r="AX308" i="1"/>
  <c r="AX306" i="1"/>
  <c r="AX304" i="1"/>
  <c r="AX302" i="1"/>
  <c r="AX300" i="1"/>
  <c r="AX270" i="1"/>
  <c r="AY270" i="1"/>
  <c r="AZ270" i="1"/>
  <c r="AX262" i="1"/>
  <c r="AY262" i="1"/>
  <c r="AZ262" i="1"/>
  <c r="AZ249" i="1"/>
  <c r="AY249" i="1"/>
  <c r="AX249" i="1"/>
  <c r="AX299" i="1"/>
  <c r="AZ299" i="1"/>
  <c r="AX298" i="1"/>
  <c r="AZ298" i="1"/>
  <c r="AX297" i="1"/>
  <c r="AZ297" i="1"/>
  <c r="AX296" i="1"/>
  <c r="AZ296" i="1"/>
  <c r="AX295" i="1"/>
  <c r="AZ295" i="1"/>
  <c r="AX294" i="1"/>
  <c r="AZ294" i="1"/>
  <c r="AX288" i="1"/>
  <c r="AY288" i="1"/>
  <c r="AZ288" i="1"/>
  <c r="AX280" i="1"/>
  <c r="AY280" i="1"/>
  <c r="AZ280" i="1"/>
  <c r="AX269" i="1"/>
  <c r="AY269" i="1"/>
  <c r="AZ269" i="1"/>
  <c r="AX261" i="1"/>
  <c r="AY261" i="1"/>
  <c r="AZ261" i="1"/>
  <c r="AZ252" i="1"/>
  <c r="AY252" i="1"/>
  <c r="AZ244" i="1"/>
  <c r="AX244" i="1"/>
  <c r="AY244" i="1"/>
  <c r="AZ242" i="1"/>
  <c r="AX242" i="1"/>
  <c r="AY242" i="1"/>
  <c r="AZ240" i="1"/>
  <c r="AX240" i="1"/>
  <c r="AY240" i="1"/>
  <c r="AZ238" i="1"/>
  <c r="AX238" i="1"/>
  <c r="AY238" i="1"/>
  <c r="AY225" i="1"/>
  <c r="AX225" i="1"/>
  <c r="AZ225" i="1"/>
  <c r="AZ255" i="1"/>
  <c r="AX255" i="1"/>
  <c r="AZ248" i="1"/>
  <c r="AX248" i="1"/>
  <c r="AY248" i="1"/>
  <c r="AZ291" i="1"/>
  <c r="AZ289" i="1"/>
  <c r="AZ287" i="1"/>
  <c r="AZ285" i="1"/>
  <c r="AZ283" i="1"/>
  <c r="AZ281" i="1"/>
  <c r="AZ279" i="1"/>
  <c r="AZ277" i="1"/>
  <c r="AZ275" i="1"/>
  <c r="AZ273" i="1"/>
  <c r="AZ254" i="1"/>
  <c r="AY254" i="1"/>
  <c r="AZ236" i="1"/>
  <c r="AX236" i="1"/>
  <c r="AY236" i="1"/>
  <c r="AZ250" i="1"/>
  <c r="AX250" i="1"/>
  <c r="AY250" i="1"/>
  <c r="AZ246" i="1"/>
  <c r="AX246" i="1"/>
  <c r="AY246" i="1"/>
  <c r="AY245" i="1"/>
  <c r="AY243" i="1"/>
  <c r="AY241" i="1"/>
  <c r="AY239" i="1"/>
  <c r="AY237" i="1"/>
  <c r="AY235" i="1"/>
  <c r="AX229" i="1"/>
  <c r="AY223" i="1"/>
  <c r="AX221" i="1"/>
  <c r="AZ221" i="1"/>
  <c r="AX235" i="1"/>
  <c r="AX218" i="1"/>
  <c r="AZ218" i="1"/>
  <c r="AY218" i="1"/>
  <c r="AX211" i="1"/>
  <c r="AZ211" i="1"/>
  <c r="AY211" i="1"/>
  <c r="AX224" i="1"/>
  <c r="AZ224" i="1"/>
  <c r="AY224" i="1"/>
  <c r="AX217" i="1"/>
  <c r="AY217" i="1"/>
  <c r="AZ217" i="1"/>
  <c r="AY234" i="1"/>
  <c r="AY228" i="1"/>
  <c r="AZ226" i="1"/>
  <c r="AX209" i="1"/>
  <c r="AY209" i="1"/>
  <c r="AZ209" i="1"/>
  <c r="AX234" i="1"/>
  <c r="AY233" i="1"/>
  <c r="AY231" i="1"/>
  <c r="AX228" i="1"/>
  <c r="AX222" i="1"/>
  <c r="AZ222" i="1"/>
  <c r="AY222" i="1"/>
  <c r="AY226" i="1"/>
  <c r="AY229" i="1"/>
  <c r="AZ223" i="1"/>
  <c r="AX219" i="1"/>
  <c r="AY219" i="1"/>
  <c r="AZ219" i="1"/>
  <c r="AX213" i="1"/>
  <c r="AZ213" i="1"/>
  <c r="AY213" i="1"/>
  <c r="AX204" i="1"/>
  <c r="AZ204" i="1"/>
  <c r="AY204" i="1"/>
  <c r="AX201" i="1"/>
  <c r="AZ201" i="1"/>
  <c r="AY201" i="1"/>
  <c r="AX203" i="1"/>
  <c r="AZ203" i="1"/>
  <c r="AX202" i="1"/>
  <c r="AZ202" i="1"/>
  <c r="AY202" i="1"/>
  <c r="AX199" i="1"/>
  <c r="AZ199" i="1"/>
  <c r="AX216" i="1"/>
  <c r="AZ216" i="1"/>
  <c r="AX188" i="1"/>
  <c r="AZ188" i="1"/>
  <c r="AY188" i="1"/>
  <c r="AX220" i="1"/>
  <c r="AZ220" i="1"/>
  <c r="AZ215" i="1"/>
  <c r="AX208" i="1"/>
  <c r="AZ208" i="1"/>
  <c r="AY208" i="1"/>
  <c r="AY215" i="1"/>
  <c r="AX212" i="1"/>
  <c r="AZ212" i="1"/>
  <c r="AX210" i="1"/>
  <c r="AZ210" i="1"/>
  <c r="AY210" i="1"/>
  <c r="AX205" i="1"/>
  <c r="AZ205" i="1"/>
  <c r="AX200" i="1"/>
  <c r="AZ200" i="1"/>
  <c r="AY200" i="1"/>
  <c r="AX214" i="1"/>
  <c r="AZ214" i="1"/>
  <c r="AX206" i="1"/>
  <c r="AZ206" i="1"/>
  <c r="AY206" i="1"/>
  <c r="AX198" i="1"/>
  <c r="AZ198" i="1"/>
  <c r="AY189" i="1"/>
  <c r="AX184" i="1"/>
  <c r="AZ184" i="1"/>
  <c r="AZ183" i="1"/>
  <c r="AX174" i="1"/>
  <c r="AY174" i="1"/>
  <c r="AZ174" i="1"/>
  <c r="AX171" i="1"/>
  <c r="AY171" i="1"/>
  <c r="AX194" i="1"/>
  <c r="AZ194" i="1"/>
  <c r="AY183" i="1"/>
  <c r="AX180" i="1"/>
  <c r="AY180" i="1"/>
  <c r="AZ180" i="1"/>
  <c r="AX177" i="1"/>
  <c r="AY177" i="1"/>
  <c r="AX164" i="1"/>
  <c r="AY164" i="1"/>
  <c r="AZ164" i="1"/>
  <c r="AX182" i="1"/>
  <c r="AZ182" i="1"/>
  <c r="AX170" i="1"/>
  <c r="AY170" i="1"/>
  <c r="AZ170" i="1"/>
  <c r="AX167" i="1"/>
  <c r="AY167" i="1"/>
  <c r="AZ197" i="1"/>
  <c r="AX176" i="1"/>
  <c r="AY176" i="1"/>
  <c r="AZ176" i="1"/>
  <c r="AX173" i="1"/>
  <c r="AY173" i="1"/>
  <c r="AX192" i="1"/>
  <c r="AZ192" i="1"/>
  <c r="AZ191" i="1"/>
  <c r="AX179" i="1"/>
  <c r="AY179" i="1"/>
  <c r="AX166" i="1"/>
  <c r="AY166" i="1"/>
  <c r="AZ166" i="1"/>
  <c r="AY191" i="1"/>
  <c r="AX186" i="1"/>
  <c r="AZ186" i="1"/>
  <c r="AZ185" i="1"/>
  <c r="AX172" i="1"/>
  <c r="AY172" i="1"/>
  <c r="AZ172" i="1"/>
  <c r="AX169" i="1"/>
  <c r="AY169" i="1"/>
  <c r="AX196" i="1"/>
  <c r="AZ196" i="1"/>
  <c r="AX178" i="1"/>
  <c r="AY178" i="1"/>
  <c r="AZ178" i="1"/>
  <c r="AX175" i="1"/>
  <c r="AY175" i="1"/>
  <c r="AX190" i="1"/>
  <c r="AZ190" i="1"/>
  <c r="AX181" i="1"/>
  <c r="AY181" i="1"/>
  <c r="AX134" i="1"/>
  <c r="AZ134" i="1" l="1"/>
  <c r="AY163" i="1"/>
  <c r="AZ107" i="1"/>
  <c r="AX163" i="1"/>
  <c r="AX86" i="1"/>
  <c r="AY145" i="1"/>
  <c r="AZ154" i="1"/>
  <c r="BA154" i="1" s="1"/>
  <c r="BS154" i="1" s="1"/>
  <c r="BZ154" i="1" s="1"/>
  <c r="AY115" i="1"/>
  <c r="AX102" i="1"/>
  <c r="AY86" i="1"/>
  <c r="AZ126" i="1"/>
  <c r="AX140" i="1"/>
  <c r="AZ116" i="1"/>
  <c r="AX39" i="1"/>
  <c r="AZ147" i="1"/>
  <c r="AY150" i="1"/>
  <c r="AZ63" i="1"/>
  <c r="AY63" i="1"/>
  <c r="AY102" i="1"/>
  <c r="AY126" i="1"/>
  <c r="AY157" i="1"/>
  <c r="AZ39" i="1"/>
  <c r="AZ157" i="1"/>
  <c r="AY116" i="1"/>
  <c r="AZ140" i="1"/>
  <c r="AY136" i="1"/>
  <c r="AZ136" i="1"/>
  <c r="AZ104" i="1"/>
  <c r="AX104" i="1"/>
  <c r="AY72" i="1"/>
  <c r="AX72" i="1"/>
  <c r="AZ150" i="1"/>
  <c r="AX147" i="1"/>
  <c r="AZ145" i="1"/>
  <c r="AX115" i="1"/>
  <c r="AY154" i="1"/>
  <c r="AX23" i="1"/>
  <c r="AZ36" i="1"/>
  <c r="AY64" i="1"/>
  <c r="AY158" i="1"/>
  <c r="AZ110" i="1"/>
  <c r="AY159" i="1"/>
  <c r="AZ88" i="1"/>
  <c r="AY131" i="1"/>
  <c r="AX141" i="1"/>
  <c r="AZ131" i="1"/>
  <c r="AY165" i="1"/>
  <c r="AY88" i="1"/>
  <c r="AX143" i="1"/>
  <c r="AZ96" i="1"/>
  <c r="AZ95" i="1"/>
  <c r="AY103" i="1"/>
  <c r="AX132" i="1"/>
  <c r="AZ125" i="1"/>
  <c r="AZ109" i="1"/>
  <c r="AY95" i="1"/>
  <c r="AY107" i="1"/>
  <c r="AX103" i="1"/>
  <c r="AZ132" i="1"/>
  <c r="AY125" i="1"/>
  <c r="AX151" i="1"/>
  <c r="AZ121" i="1"/>
  <c r="AX159" i="1"/>
  <c r="AZ64" i="1"/>
  <c r="AY111" i="1"/>
  <c r="AY135" i="1"/>
  <c r="AZ151" i="1"/>
  <c r="AZ158" i="1"/>
  <c r="AX142" i="1"/>
  <c r="AY110" i="1"/>
  <c r="AX121" i="1"/>
  <c r="AX48" i="1"/>
  <c r="AZ111" i="1"/>
  <c r="AZ143" i="1"/>
  <c r="AX165" i="1"/>
  <c r="AY142" i="1"/>
  <c r="AZ141" i="1"/>
  <c r="AY161" i="1"/>
  <c r="AZ118" i="1"/>
  <c r="AX161" i="1"/>
  <c r="AY118" i="1"/>
  <c r="AZ135" i="1"/>
  <c r="AZ122" i="1"/>
  <c r="AY162" i="1"/>
  <c r="AY122" i="1"/>
  <c r="AZ112" i="1"/>
  <c r="AY137" i="1"/>
  <c r="AZ128" i="1"/>
  <c r="AY168" i="1"/>
  <c r="AX168" i="1"/>
  <c r="AX139" i="1"/>
  <c r="AZ149" i="1"/>
  <c r="AX149" i="1"/>
  <c r="AY153" i="1"/>
  <c r="AX153" i="1"/>
  <c r="AY108" i="1"/>
  <c r="AZ137" i="1"/>
  <c r="AX144" i="1"/>
  <c r="AX152" i="1"/>
  <c r="AX156" i="1"/>
  <c r="AZ87" i="1"/>
  <c r="AZ146" i="1"/>
  <c r="AZ98" i="1"/>
  <c r="AZ156" i="1"/>
  <c r="AZ152" i="1"/>
  <c r="AX55" i="1"/>
  <c r="AZ144" i="1"/>
  <c r="AZ155" i="1"/>
  <c r="AY155" i="1"/>
  <c r="AZ160" i="1"/>
  <c r="AY160" i="1"/>
  <c r="AY120" i="1"/>
  <c r="AZ105" i="1"/>
  <c r="AZ162" i="1"/>
  <c r="AY112" i="1"/>
  <c r="AY124" i="1"/>
  <c r="AY138" i="1"/>
  <c r="AZ124" i="1"/>
  <c r="AZ148" i="1"/>
  <c r="AY148" i="1"/>
  <c r="AZ138" i="1"/>
  <c r="AX129" i="1"/>
  <c r="AY129" i="1"/>
  <c r="AZ114" i="1"/>
  <c r="AX133" i="1"/>
  <c r="AY114" i="1"/>
  <c r="AZ133" i="1"/>
  <c r="AX146" i="1"/>
  <c r="AY87" i="1"/>
  <c r="AY98" i="1"/>
  <c r="AZ117" i="1"/>
  <c r="AZ130" i="1"/>
  <c r="AY117" i="1"/>
  <c r="AX130" i="1"/>
  <c r="AY119" i="1"/>
  <c r="AX101" i="1"/>
  <c r="AX119" i="1"/>
  <c r="AY128" i="1"/>
  <c r="AX108" i="1"/>
  <c r="AZ101" i="1"/>
  <c r="BA596" i="1"/>
  <c r="BS596" i="1" s="1"/>
  <c r="BZ596" i="1" s="1"/>
  <c r="AZ139" i="1"/>
  <c r="AY41" i="1"/>
  <c r="AY65" i="1"/>
  <c r="AZ123" i="1"/>
  <c r="AX127" i="1"/>
  <c r="AX123" i="1"/>
  <c r="AX65" i="1"/>
  <c r="AZ127" i="1"/>
  <c r="AY113" i="1"/>
  <c r="AY89" i="1"/>
  <c r="AZ89" i="1"/>
  <c r="AZ55" i="1"/>
  <c r="AY97" i="1"/>
  <c r="AX41" i="1"/>
  <c r="AX120" i="1"/>
  <c r="AX15" i="1"/>
  <c r="AY96" i="1"/>
  <c r="AX109" i="1"/>
  <c r="AY80" i="1"/>
  <c r="AX100" i="1"/>
  <c r="AX113" i="1"/>
  <c r="AY70" i="1"/>
  <c r="AZ106" i="1"/>
  <c r="AX70" i="1"/>
  <c r="AX57" i="1"/>
  <c r="AX78" i="1"/>
  <c r="AX94" i="1"/>
  <c r="AX106" i="1"/>
  <c r="AY57" i="1"/>
  <c r="AY71" i="1"/>
  <c r="AX97" i="1"/>
  <c r="AY94" i="1"/>
  <c r="AZ56" i="1"/>
  <c r="AZ78" i="1"/>
  <c r="AY105" i="1"/>
  <c r="AZ71" i="1"/>
  <c r="AY56" i="1"/>
  <c r="AY81" i="1"/>
  <c r="AZ81" i="1"/>
  <c r="AY73" i="1"/>
  <c r="AZ73" i="1"/>
  <c r="AZ80" i="1"/>
  <c r="AX79" i="1"/>
  <c r="AY100" i="1"/>
  <c r="AY79" i="1"/>
  <c r="AZ23" i="1"/>
  <c r="AY36" i="1"/>
  <c r="AZ12" i="1"/>
  <c r="AY93" i="1"/>
  <c r="AX93" i="1"/>
  <c r="AZ31" i="1"/>
  <c r="AY62" i="1"/>
  <c r="AX62" i="1"/>
  <c r="AX31" i="1"/>
  <c r="AZ99" i="1"/>
  <c r="AY99" i="1"/>
  <c r="AZ35" i="1"/>
  <c r="AX46" i="1"/>
  <c r="AY46" i="1"/>
  <c r="AX47" i="1"/>
  <c r="AY47" i="1"/>
  <c r="AZ15" i="1"/>
  <c r="AX60" i="1"/>
  <c r="AX27" i="1"/>
  <c r="AZ27" i="1"/>
  <c r="AY49" i="1"/>
  <c r="AX49" i="1"/>
  <c r="AY48" i="1"/>
  <c r="AX35" i="1"/>
  <c r="AY20" i="1"/>
  <c r="AY92" i="1"/>
  <c r="AX92" i="1"/>
  <c r="AX54" i="1"/>
  <c r="AX20" i="1"/>
  <c r="AZ13" i="1"/>
  <c r="AY85" i="1"/>
  <c r="AZ85" i="1"/>
  <c r="AX34" i="1"/>
  <c r="AX42" i="1"/>
  <c r="AZ33" i="1"/>
  <c r="AY25" i="1"/>
  <c r="AY54" i="1"/>
  <c r="AZ25" i="1"/>
  <c r="AZ42" i="1"/>
  <c r="AZ34" i="1"/>
  <c r="AX18" i="1"/>
  <c r="AY30" i="1"/>
  <c r="AX84" i="1"/>
  <c r="AY75" i="1"/>
  <c r="AX13" i="1"/>
  <c r="AZ53" i="1"/>
  <c r="AY12" i="1"/>
  <c r="AY33" i="1"/>
  <c r="AY50" i="1"/>
  <c r="AX43" i="1"/>
  <c r="AX50" i="1"/>
  <c r="AZ43" i="1"/>
  <c r="AY11" i="1"/>
  <c r="AX82" i="1"/>
  <c r="AX68" i="1"/>
  <c r="AZ40" i="1"/>
  <c r="AY40" i="1"/>
  <c r="AZ82" i="1"/>
  <c r="AZ61" i="1"/>
  <c r="AZ68" i="1"/>
  <c r="AY76" i="1"/>
  <c r="AY69" i="1"/>
  <c r="AZ16" i="1"/>
  <c r="AX76" i="1"/>
  <c r="AY83" i="1"/>
  <c r="AY16" i="1"/>
  <c r="AZ18" i="1"/>
  <c r="AZ30" i="1"/>
  <c r="AZ90" i="1"/>
  <c r="AY90" i="1"/>
  <c r="AZ69" i="1"/>
  <c r="AZ83" i="1"/>
  <c r="AY91" i="1"/>
  <c r="AY32" i="1"/>
  <c r="AX26" i="1"/>
  <c r="AZ77" i="1"/>
  <c r="AZ26" i="1"/>
  <c r="AZ19" i="1"/>
  <c r="AX32" i="1"/>
  <c r="AZ84" i="1"/>
  <c r="AX17" i="1"/>
  <c r="AZ91" i="1"/>
  <c r="AY77" i="1"/>
  <c r="AX14" i="1"/>
  <c r="AX53" i="1"/>
  <c r="AY60" i="1"/>
  <c r="AX74" i="1"/>
  <c r="AZ67" i="1"/>
  <c r="AX10" i="1"/>
  <c r="AY74" i="1"/>
  <c r="AZ14" i="1"/>
  <c r="AZ10" i="1"/>
  <c r="AX28" i="1"/>
  <c r="AY67" i="1"/>
  <c r="AY19" i="1"/>
  <c r="AZ28" i="1"/>
  <c r="AY17" i="1"/>
  <c r="AZ11" i="1"/>
  <c r="AZ22" i="1"/>
  <c r="AX61" i="1"/>
  <c r="AZ75" i="1"/>
  <c r="AX51" i="1"/>
  <c r="AX66" i="1"/>
  <c r="AZ37" i="1"/>
  <c r="AY45" i="1"/>
  <c r="AY59" i="1"/>
  <c r="AX45" i="1"/>
  <c r="AX9" i="1"/>
  <c r="AZ44" i="1"/>
  <c r="AY66" i="1"/>
  <c r="AZ51" i="1"/>
  <c r="AX58" i="1"/>
  <c r="AX44" i="1"/>
  <c r="AZ8" i="1"/>
  <c r="AY8" i="1"/>
  <c r="AX22" i="1"/>
  <c r="AZ24" i="1"/>
  <c r="AZ38" i="1"/>
  <c r="BA1212" i="1"/>
  <c r="BS1212" i="1" s="1"/>
  <c r="BZ1212" i="1" s="1"/>
  <c r="AZ58" i="1"/>
  <c r="AZ21" i="1"/>
  <c r="AX24" i="1"/>
  <c r="AY38" i="1"/>
  <c r="AY52" i="1"/>
  <c r="AY37" i="1"/>
  <c r="AX52" i="1"/>
  <c r="AX59" i="1"/>
  <c r="BA778" i="1"/>
  <c r="BS778" i="1" s="1"/>
  <c r="BZ778" i="1" s="1"/>
  <c r="AY21" i="1"/>
  <c r="AZ29" i="1"/>
  <c r="AY29" i="1"/>
  <c r="AZ9" i="1"/>
  <c r="BA384" i="1"/>
  <c r="BS384" i="1" s="1"/>
  <c r="BZ384" i="1" s="1"/>
  <c r="BA309" i="1"/>
  <c r="BS309" i="1" s="1"/>
  <c r="BZ309" i="1" s="1"/>
  <c r="BA291" i="1"/>
  <c r="BS291" i="1" s="1"/>
  <c r="BZ291" i="1" s="1"/>
  <c r="BA535" i="1"/>
  <c r="BS535" i="1" s="1"/>
  <c r="BZ535" i="1" s="1"/>
  <c r="BA239" i="1"/>
  <c r="BS239" i="1" s="1"/>
  <c r="BZ239" i="1" s="1"/>
  <c r="BA386" i="1"/>
  <c r="BS386" i="1" s="1"/>
  <c r="BZ386" i="1" s="1"/>
  <c r="BA531" i="1"/>
  <c r="BS531" i="1" s="1"/>
  <c r="BZ531" i="1" s="1"/>
  <c r="BA319" i="1"/>
  <c r="BS319" i="1" s="1"/>
  <c r="BZ319" i="1" s="1"/>
  <c r="BA533" i="1"/>
  <c r="BS533" i="1" s="1"/>
  <c r="BZ533" i="1" s="1"/>
  <c r="BA382" i="1"/>
  <c r="BS382" i="1" s="1"/>
  <c r="BZ382" i="1" s="1"/>
  <c r="BA197" i="1"/>
  <c r="BS197" i="1" s="1"/>
  <c r="BZ197" i="1" s="1"/>
  <c r="BA227" i="1"/>
  <c r="BS227" i="1" s="1"/>
  <c r="BZ227" i="1" s="1"/>
  <c r="BA189" i="1"/>
  <c r="BS189" i="1" s="1"/>
  <c r="BZ189" i="1" s="1"/>
  <c r="BA231" i="1"/>
  <c r="BS231" i="1" s="1"/>
  <c r="BZ231" i="1" s="1"/>
  <c r="BA245" i="1"/>
  <c r="BS245" i="1" s="1"/>
  <c r="BZ245" i="1" s="1"/>
  <c r="BA383" i="1"/>
  <c r="BS383" i="1" s="1"/>
  <c r="BZ383" i="1" s="1"/>
  <c r="BA283" i="1"/>
  <c r="BS283" i="1" s="1"/>
  <c r="BZ283" i="1" s="1"/>
  <c r="BA527" i="1"/>
  <c r="BS527" i="1" s="1"/>
  <c r="BZ527" i="1" s="1"/>
  <c r="BA185" i="1"/>
  <c r="BS185" i="1" s="1"/>
  <c r="BZ185" i="1" s="1"/>
  <c r="BA320" i="1"/>
  <c r="BS320" i="1" s="1"/>
  <c r="BZ320" i="1" s="1"/>
  <c r="BA404" i="1"/>
  <c r="BS404" i="1" s="1"/>
  <c r="BZ404" i="1" s="1"/>
  <c r="BA273" i="1"/>
  <c r="BS273" i="1" s="1"/>
  <c r="BZ273" i="1" s="1"/>
  <c r="BA277" i="1"/>
  <c r="BS277" i="1" s="1"/>
  <c r="BZ277" i="1" s="1"/>
  <c r="BA411" i="1"/>
  <c r="BS411" i="1" s="1"/>
  <c r="BZ411" i="1" s="1"/>
  <c r="BA405" i="1"/>
  <c r="BS405" i="1" s="1"/>
  <c r="BZ405" i="1" s="1"/>
  <c r="BA193" i="1"/>
  <c r="BS193" i="1" s="1"/>
  <c r="BZ193" i="1" s="1"/>
  <c r="BA402" i="1"/>
  <c r="BS402" i="1" s="1"/>
  <c r="BZ402" i="1" s="1"/>
  <c r="BA311" i="1"/>
  <c r="BS311" i="1" s="1"/>
  <c r="BZ311" i="1" s="1"/>
  <c r="BA315" i="1"/>
  <c r="BS315" i="1" s="1"/>
  <c r="BZ315" i="1" s="1"/>
  <c r="BA233" i="1"/>
  <c r="BS233" i="1" s="1"/>
  <c r="BZ233" i="1" s="1"/>
  <c r="BA237" i="1"/>
  <c r="BS237" i="1" s="1"/>
  <c r="BZ237" i="1" s="1"/>
  <c r="BA289" i="1"/>
  <c r="BS289" i="1" s="1"/>
  <c r="BZ289" i="1" s="1"/>
  <c r="BA590" i="1"/>
  <c r="BS590" i="1" s="1"/>
  <c r="BZ590" i="1" s="1"/>
  <c r="BA1128" i="1"/>
  <c r="BS1128" i="1" s="1"/>
  <c r="BZ1128" i="1" s="1"/>
  <c r="BA318" i="1"/>
  <c r="BS318" i="1" s="1"/>
  <c r="BZ318" i="1" s="1"/>
  <c r="BA228" i="1"/>
  <c r="BS228" i="1" s="1"/>
  <c r="BZ228" i="1" s="1"/>
  <c r="BA195" i="1"/>
  <c r="BS195" i="1" s="1"/>
  <c r="BZ195" i="1" s="1"/>
  <c r="BA1207" i="1"/>
  <c r="BS1207" i="1" s="1"/>
  <c r="BZ1207" i="1" s="1"/>
  <c r="BA782" i="1"/>
  <c r="BS782" i="1" s="1"/>
  <c r="BZ782" i="1" s="1"/>
  <c r="BA1208" i="1"/>
  <c r="BS1208" i="1" s="1"/>
  <c r="BZ1208" i="1" s="1"/>
  <c r="BA1142" i="1"/>
  <c r="BS1142" i="1" s="1"/>
  <c r="BZ1142" i="1" s="1"/>
  <c r="BA207" i="1"/>
  <c r="BS207" i="1" s="1"/>
  <c r="BZ207" i="1" s="1"/>
  <c r="BA1210" i="1"/>
  <c r="BS1210" i="1" s="1"/>
  <c r="BZ1210" i="1" s="1"/>
  <c r="BA1219" i="1"/>
  <c r="BS1219" i="1" s="1"/>
  <c r="BZ1219" i="1" s="1"/>
  <c r="BA1217" i="1"/>
  <c r="BS1217" i="1" s="1"/>
  <c r="BZ1217" i="1" s="1"/>
  <c r="BA1126" i="1"/>
  <c r="BS1126" i="1" s="1"/>
  <c r="BZ1126" i="1" s="1"/>
  <c r="BA1215" i="1"/>
  <c r="BS1215" i="1" s="1"/>
  <c r="BZ1215" i="1" s="1"/>
  <c r="BA1146" i="1"/>
  <c r="BS1146" i="1" s="1"/>
  <c r="BZ1146" i="1" s="1"/>
  <c r="BA1162" i="1"/>
  <c r="BS1162" i="1" s="1"/>
  <c r="BZ1162" i="1" s="1"/>
  <c r="BA183" i="1"/>
  <c r="BS183" i="1" s="1"/>
  <c r="BZ183" i="1" s="1"/>
  <c r="BA307" i="1"/>
  <c r="BS307" i="1" s="1"/>
  <c r="BZ307" i="1" s="1"/>
  <c r="BA305" i="1"/>
  <c r="BS305" i="1" s="1"/>
  <c r="BZ305" i="1" s="1"/>
  <c r="BA287" i="1"/>
  <c r="BS287" i="1" s="1"/>
  <c r="BA1124" i="1"/>
  <c r="BS1124" i="1" s="1"/>
  <c r="BZ1124" i="1" s="1"/>
  <c r="BA275" i="1"/>
  <c r="BS275" i="1" s="1"/>
  <c r="BA241" i="1"/>
  <c r="BS241" i="1" s="1"/>
  <c r="BZ241" i="1" s="1"/>
  <c r="BA313" i="1"/>
  <c r="BS313" i="1" s="1"/>
  <c r="BZ313" i="1" s="1"/>
  <c r="BA1206" i="1"/>
  <c r="BS1206" i="1" s="1"/>
  <c r="BZ1206" i="1" s="1"/>
  <c r="BA1214" i="1"/>
  <c r="BS1214" i="1" s="1"/>
  <c r="BZ1214" i="1" s="1"/>
  <c r="BA636" i="1"/>
  <c r="BS636" i="1" s="1"/>
  <c r="BZ636" i="1" s="1"/>
  <c r="BA398" i="1"/>
  <c r="BS398" i="1" s="1"/>
  <c r="BZ398" i="1" s="1"/>
  <c r="BA388" i="1"/>
  <c r="BS388" i="1" s="1"/>
  <c r="BZ388" i="1" s="1"/>
  <c r="BA302" i="1"/>
  <c r="BS302" i="1" s="1"/>
  <c r="BZ302" i="1" s="1"/>
  <c r="BA304" i="1"/>
  <c r="BS304" i="1" s="1"/>
  <c r="BZ304" i="1" s="1"/>
  <c r="BA338" i="1"/>
  <c r="BS338" i="1" s="1"/>
  <c r="BZ338" i="1" s="1"/>
  <c r="BA474" i="1"/>
  <c r="BS474" i="1" s="1"/>
  <c r="BZ474" i="1" s="1"/>
  <c r="BA968" i="1"/>
  <c r="BS968" i="1" s="1"/>
  <c r="BZ968" i="1" s="1"/>
  <c r="BA330" i="1"/>
  <c r="BS330" i="1" s="1"/>
  <c r="BZ330" i="1" s="1"/>
  <c r="BA381" i="1"/>
  <c r="BS381" i="1" s="1"/>
  <c r="BZ381" i="1" s="1"/>
  <c r="BA215" i="1"/>
  <c r="BS215" i="1" s="1"/>
  <c r="BZ215" i="1" s="1"/>
  <c r="BA310" i="1"/>
  <c r="BS310" i="1" s="1"/>
  <c r="BZ310" i="1" s="1"/>
  <c r="BA953" i="1"/>
  <c r="BS953" i="1" s="1"/>
  <c r="BZ953" i="1" s="1"/>
  <c r="BA965" i="1"/>
  <c r="BS965" i="1" s="1"/>
  <c r="BZ965" i="1" s="1"/>
  <c r="BA642" i="1"/>
  <c r="BS642" i="1" s="1"/>
  <c r="BZ642" i="1" s="1"/>
  <c r="BA226" i="1"/>
  <c r="BS226" i="1" s="1"/>
  <c r="BZ226" i="1" s="1"/>
  <c r="BA537" i="1"/>
  <c r="BS537" i="1" s="1"/>
  <c r="BZ537" i="1" s="1"/>
  <c r="BA939" i="1"/>
  <c r="BS939" i="1" s="1"/>
  <c r="BZ939" i="1" s="1"/>
  <c r="BA529" i="1"/>
  <c r="BS529" i="1" s="1"/>
  <c r="BA342" i="1"/>
  <c r="BS342" i="1" s="1"/>
  <c r="BZ342" i="1" s="1"/>
  <c r="BA635" i="1"/>
  <c r="BS635" i="1" s="1"/>
  <c r="BZ635" i="1" s="1"/>
  <c r="BA586" i="1"/>
  <c r="BS586" i="1" s="1"/>
  <c r="BZ586" i="1" s="1"/>
  <c r="BA1009" i="1"/>
  <c r="BS1009" i="1" s="1"/>
  <c r="BZ1009" i="1" s="1"/>
  <c r="BA1015" i="1"/>
  <c r="BS1015" i="1" s="1"/>
  <c r="BZ1015" i="1" s="1"/>
  <c r="BA221" i="1"/>
  <c r="BS221" i="1" s="1"/>
  <c r="BZ221" i="1" s="1"/>
  <c r="BA243" i="1"/>
  <c r="BS243" i="1" s="1"/>
  <c r="BZ243" i="1" s="1"/>
  <c r="BA279" i="1"/>
  <c r="BS279" i="1" s="1"/>
  <c r="BZ279" i="1" s="1"/>
  <c r="BA337" i="1"/>
  <c r="BS337" i="1" s="1"/>
  <c r="BZ337" i="1" s="1"/>
  <c r="BA339" i="1"/>
  <c r="BS339" i="1" s="1"/>
  <c r="BZ339" i="1" s="1"/>
  <c r="BA343" i="1"/>
  <c r="BS343" i="1" s="1"/>
  <c r="BZ343" i="1" s="1"/>
  <c r="BA943" i="1"/>
  <c r="BS943" i="1" s="1"/>
  <c r="BZ943" i="1" s="1"/>
  <c r="BA959" i="1"/>
  <c r="BS959" i="1" s="1"/>
  <c r="BZ959" i="1" s="1"/>
  <c r="BA281" i="1"/>
  <c r="BS281" i="1" s="1"/>
  <c r="BZ281" i="1" s="1"/>
  <c r="BA396" i="1"/>
  <c r="BS396" i="1" s="1"/>
  <c r="BZ396" i="1" s="1"/>
  <c r="BA347" i="1"/>
  <c r="BS347" i="1" s="1"/>
  <c r="BZ347" i="1" s="1"/>
  <c r="BA449" i="1"/>
  <c r="BS449" i="1" s="1"/>
  <c r="BZ449" i="1" s="1"/>
  <c r="BA579" i="1"/>
  <c r="BS579" i="1" s="1"/>
  <c r="BZ579" i="1" s="1"/>
  <c r="BA633" i="1"/>
  <c r="BS633" i="1" s="1"/>
  <c r="BZ633" i="1" s="1"/>
  <c r="BA784" i="1"/>
  <c r="BS784" i="1" s="1"/>
  <c r="BZ784" i="1" s="1"/>
  <c r="BA961" i="1"/>
  <c r="BS961" i="1" s="1"/>
  <c r="BA962" i="1"/>
  <c r="BS962" i="1" s="1"/>
  <c r="BZ962" i="1" s="1"/>
  <c r="BA1117" i="1"/>
  <c r="BS1117" i="1" s="1"/>
  <c r="BZ1117" i="1" s="1"/>
  <c r="BA285" i="1"/>
  <c r="BS285" i="1" s="1"/>
  <c r="BZ285" i="1" s="1"/>
  <c r="BA582" i="1"/>
  <c r="BS582" i="1" s="1"/>
  <c r="BZ582" i="1" s="1"/>
  <c r="BA611" i="1"/>
  <c r="BS611" i="1" s="1"/>
  <c r="BZ611" i="1" s="1"/>
  <c r="BA1211" i="1"/>
  <c r="BS1211" i="1" s="1"/>
  <c r="BZ1211" i="1" s="1"/>
  <c r="BA852" i="1"/>
  <c r="BS852" i="1" s="1"/>
  <c r="BA410" i="1"/>
  <c r="BS410" i="1" s="1"/>
  <c r="BZ410" i="1" s="1"/>
  <c r="BA1130" i="1"/>
  <c r="BS1130" i="1" s="1"/>
  <c r="BZ1130" i="1" s="1"/>
  <c r="BA225" i="1"/>
  <c r="BS225" i="1" s="1"/>
  <c r="BZ225" i="1" s="1"/>
  <c r="BA256" i="1"/>
  <c r="BS256" i="1" s="1"/>
  <c r="BZ256" i="1" s="1"/>
  <c r="BA292" i="1"/>
  <c r="BS292" i="1" s="1"/>
  <c r="BZ292" i="1" s="1"/>
  <c r="BA776" i="1"/>
  <c r="BS776" i="1" s="1"/>
  <c r="BZ776" i="1" s="1"/>
  <c r="BA1189" i="1"/>
  <c r="BS1189" i="1" s="1"/>
  <c r="BZ1189" i="1" s="1"/>
  <c r="BA1140" i="1"/>
  <c r="BS1140" i="1" s="1"/>
  <c r="BZ1140" i="1" s="1"/>
  <c r="BA1156" i="1"/>
  <c r="BS1156" i="1" s="1"/>
  <c r="BZ1156" i="1" s="1"/>
  <c r="BA1177" i="1"/>
  <c r="BS1177" i="1" s="1"/>
  <c r="BZ1177" i="1" s="1"/>
  <c r="BA1069" i="1"/>
  <c r="BS1069" i="1" s="1"/>
  <c r="BZ1069" i="1" s="1"/>
  <c r="BA1213" i="1"/>
  <c r="BS1213" i="1" s="1"/>
  <c r="BZ1213" i="1" s="1"/>
  <c r="BA836" i="1"/>
  <c r="BS836" i="1" s="1"/>
  <c r="BZ836" i="1" s="1"/>
  <c r="BA1083" i="1"/>
  <c r="BS1083" i="1" s="1"/>
  <c r="BZ1083" i="1" s="1"/>
  <c r="BA1099" i="1"/>
  <c r="BS1099" i="1" s="1"/>
  <c r="BZ1099" i="1" s="1"/>
  <c r="BA1151" i="1"/>
  <c r="BS1151" i="1" s="1"/>
  <c r="BZ1151" i="1" s="1"/>
  <c r="BA1157" i="1"/>
  <c r="BS1157" i="1" s="1"/>
  <c r="BZ1157" i="1" s="1"/>
  <c r="BA1137" i="1"/>
  <c r="BS1137" i="1" s="1"/>
  <c r="BZ1137" i="1" s="1"/>
  <c r="BA376" i="1"/>
  <c r="BS376" i="1" s="1"/>
  <c r="BZ376" i="1" s="1"/>
  <c r="BA1134" i="1"/>
  <c r="BS1134" i="1" s="1"/>
  <c r="BZ1134" i="1" s="1"/>
  <c r="BA385" i="1"/>
  <c r="BS385" i="1" s="1"/>
  <c r="BA400" i="1"/>
  <c r="BS400" i="1" s="1"/>
  <c r="BA780" i="1"/>
  <c r="BS780" i="1" s="1"/>
  <c r="BZ780" i="1" s="1"/>
  <c r="BA1004" i="1"/>
  <c r="BS1004" i="1" s="1"/>
  <c r="BZ1004" i="1" s="1"/>
  <c r="BA1112" i="1"/>
  <c r="BS1112" i="1" s="1"/>
  <c r="BZ1112" i="1" s="1"/>
  <c r="BA1138" i="1"/>
  <c r="BS1138" i="1" s="1"/>
  <c r="BZ1138" i="1" s="1"/>
  <c r="BA1154" i="1"/>
  <c r="BS1154" i="1" s="1"/>
  <c r="BZ1154" i="1" s="1"/>
  <c r="BA199" i="1"/>
  <c r="BS199" i="1" s="1"/>
  <c r="BZ199" i="1" s="1"/>
  <c r="BA250" i="1"/>
  <c r="BS250" i="1" s="1"/>
  <c r="BZ250" i="1" s="1"/>
  <c r="BA331" i="1"/>
  <c r="BS331" i="1" s="1"/>
  <c r="BZ331" i="1" s="1"/>
  <c r="BA366" i="1"/>
  <c r="BS366" i="1" s="1"/>
  <c r="BA709" i="1"/>
  <c r="BS709" i="1" s="1"/>
  <c r="BZ709" i="1" s="1"/>
  <c r="BA713" i="1"/>
  <c r="BS713" i="1" s="1"/>
  <c r="BZ713" i="1" s="1"/>
  <c r="BA758" i="1"/>
  <c r="BS758" i="1" s="1"/>
  <c r="BZ758" i="1" s="1"/>
  <c r="BA970" i="1"/>
  <c r="BS970" i="1" s="1"/>
  <c r="BA948" i="1"/>
  <c r="BS948" i="1" s="1"/>
  <c r="BZ948" i="1" s="1"/>
  <c r="BA955" i="1"/>
  <c r="BS955" i="1" s="1"/>
  <c r="BZ955" i="1" s="1"/>
  <c r="BA408" i="1"/>
  <c r="BS408" i="1" s="1"/>
  <c r="BZ408" i="1" s="1"/>
  <c r="BA460" i="1"/>
  <c r="BS460" i="1" s="1"/>
  <c r="BZ460" i="1" s="1"/>
  <c r="BA912" i="1"/>
  <c r="BS912" i="1" s="1"/>
  <c r="BZ912" i="1" s="1"/>
  <c r="BA944" i="1"/>
  <c r="BS944" i="1" s="1"/>
  <c r="BA888" i="1"/>
  <c r="BS888" i="1" s="1"/>
  <c r="BZ888" i="1" s="1"/>
  <c r="BA724" i="1"/>
  <c r="BS724" i="1" s="1"/>
  <c r="BZ724" i="1" s="1"/>
  <c r="BA710" i="1"/>
  <c r="BS710" i="1" s="1"/>
  <c r="BZ710" i="1" s="1"/>
  <c r="BA722" i="1"/>
  <c r="BS722" i="1" s="1"/>
  <c r="BZ722" i="1" s="1"/>
  <c r="BA902" i="1"/>
  <c r="BS902" i="1" s="1"/>
  <c r="BZ902" i="1" s="1"/>
  <c r="BA909" i="1"/>
  <c r="BS909" i="1" s="1"/>
  <c r="BA972" i="1"/>
  <c r="BS972" i="1" s="1"/>
  <c r="BZ972" i="1" s="1"/>
  <c r="BA945" i="1"/>
  <c r="BS945" i="1" s="1"/>
  <c r="BZ945" i="1" s="1"/>
  <c r="BA926" i="1"/>
  <c r="BS926" i="1" s="1"/>
  <c r="BZ926" i="1" s="1"/>
  <c r="BA502" i="1"/>
  <c r="BS502" i="1" s="1"/>
  <c r="BZ502" i="1" s="1"/>
  <c r="BA503" i="1"/>
  <c r="BS503" i="1" s="1"/>
  <c r="BZ503" i="1" s="1"/>
  <c r="BA496" i="1"/>
  <c r="BS496" i="1" s="1"/>
  <c r="BZ496" i="1" s="1"/>
  <c r="BA627" i="1"/>
  <c r="BS627" i="1" s="1"/>
  <c r="BZ627" i="1" s="1"/>
  <c r="BA566" i="1"/>
  <c r="BS566" i="1" s="1"/>
  <c r="BA668" i="1"/>
  <c r="BS668" i="1" s="1"/>
  <c r="BZ668" i="1" s="1"/>
  <c r="BA191" i="1"/>
  <c r="BS191" i="1" s="1"/>
  <c r="BZ191" i="1" s="1"/>
  <c r="BA325" i="1"/>
  <c r="BS325" i="1" s="1"/>
  <c r="BZ325" i="1" s="1"/>
  <c r="BA322" i="1"/>
  <c r="BS322" i="1" s="1"/>
  <c r="BZ322" i="1" s="1"/>
  <c r="BA357" i="1"/>
  <c r="BS357" i="1" s="1"/>
  <c r="BA365" i="1"/>
  <c r="BS365" i="1" s="1"/>
  <c r="BZ365" i="1" s="1"/>
  <c r="BA329" i="1"/>
  <c r="BS329" i="1" s="1"/>
  <c r="BZ329" i="1" s="1"/>
  <c r="BA393" i="1"/>
  <c r="BS393" i="1" s="1"/>
  <c r="BZ393" i="1" s="1"/>
  <c r="BA772" i="1"/>
  <c r="BS772" i="1" s="1"/>
  <c r="BZ772" i="1" s="1"/>
  <c r="BA810" i="1"/>
  <c r="BS810" i="1" s="1"/>
  <c r="BZ810" i="1" s="1"/>
  <c r="BA741" i="1"/>
  <c r="BS741" i="1" s="1"/>
  <c r="BZ741" i="1" s="1"/>
  <c r="BA828" i="1"/>
  <c r="BS828" i="1" s="1"/>
  <c r="BZ828" i="1" s="1"/>
  <c r="BA871" i="1"/>
  <c r="BS871" i="1" s="1"/>
  <c r="BZ871" i="1" s="1"/>
  <c r="BA919" i="1"/>
  <c r="BS919" i="1" s="1"/>
  <c r="BZ919" i="1" s="1"/>
  <c r="BA935" i="1"/>
  <c r="BS935" i="1" s="1"/>
  <c r="BZ935" i="1" s="1"/>
  <c r="BA946" i="1"/>
  <c r="BS946" i="1" s="1"/>
  <c r="BZ946" i="1" s="1"/>
  <c r="BA234" i="1"/>
  <c r="BS234" i="1" s="1"/>
  <c r="BZ234" i="1" s="1"/>
  <c r="BA251" i="1"/>
  <c r="BS251" i="1" s="1"/>
  <c r="BZ251" i="1" s="1"/>
  <c r="BA461" i="1"/>
  <c r="BS461" i="1" s="1"/>
  <c r="BZ461" i="1" s="1"/>
  <c r="BA312" i="1"/>
  <c r="BS312" i="1" s="1"/>
  <c r="BA726" i="1"/>
  <c r="BS726" i="1" s="1"/>
  <c r="BZ726" i="1" s="1"/>
  <c r="BA829" i="1"/>
  <c r="BS829" i="1" s="1"/>
  <c r="BZ829" i="1" s="1"/>
  <c r="BA929" i="1"/>
  <c r="BS929" i="1" s="1"/>
  <c r="BZ929" i="1" s="1"/>
  <c r="BA903" i="1"/>
  <c r="BS903" i="1" s="1"/>
  <c r="BZ903" i="1" s="1"/>
  <c r="BA885" i="1"/>
  <c r="BS885" i="1" s="1"/>
  <c r="BZ885" i="1" s="1"/>
  <c r="BA296" i="1"/>
  <c r="BS296" i="1" s="1"/>
  <c r="BZ296" i="1" s="1"/>
  <c r="BA282" i="1"/>
  <c r="BS282" i="1" s="1"/>
  <c r="BZ282" i="1" s="1"/>
  <c r="BA278" i="1"/>
  <c r="BS278" i="1" s="1"/>
  <c r="BZ278" i="1" s="1"/>
  <c r="BA324" i="1"/>
  <c r="BS324" i="1" s="1"/>
  <c r="BZ324" i="1" s="1"/>
  <c r="BA390" i="1"/>
  <c r="BS390" i="1" s="1"/>
  <c r="BZ390" i="1" s="1"/>
  <c r="BA573" i="1"/>
  <c r="BS573" i="1" s="1"/>
  <c r="BZ573" i="1" s="1"/>
  <c r="BA576" i="1"/>
  <c r="BS576" i="1" s="1"/>
  <c r="BZ576" i="1" s="1"/>
  <c r="BA591" i="1"/>
  <c r="BS591" i="1" s="1"/>
  <c r="BZ591" i="1" s="1"/>
  <c r="BA562" i="1"/>
  <c r="BS562" i="1" s="1"/>
  <c r="BZ562" i="1" s="1"/>
  <c r="BA643" i="1"/>
  <c r="BS643" i="1" s="1"/>
  <c r="BZ643" i="1" s="1"/>
  <c r="BA676" i="1"/>
  <c r="BS676" i="1" s="1"/>
  <c r="BZ676" i="1" s="1"/>
  <c r="BA700" i="1"/>
  <c r="BS700" i="1" s="1"/>
  <c r="BZ700" i="1" s="1"/>
  <c r="BA729" i="1"/>
  <c r="BS729" i="1" s="1"/>
  <c r="BZ729" i="1" s="1"/>
  <c r="BA677" i="1"/>
  <c r="BS677" i="1" s="1"/>
  <c r="BZ677" i="1" s="1"/>
  <c r="BA711" i="1"/>
  <c r="BS711" i="1" s="1"/>
  <c r="BZ711" i="1" s="1"/>
  <c r="BA650" i="1"/>
  <c r="BS650" i="1" s="1"/>
  <c r="BA712" i="1"/>
  <c r="BS712" i="1" s="1"/>
  <c r="BZ712" i="1" s="1"/>
  <c r="BA721" i="1"/>
  <c r="BS721" i="1" s="1"/>
  <c r="BZ721" i="1" s="1"/>
  <c r="BA703" i="1"/>
  <c r="BS703" i="1" s="1"/>
  <c r="BZ703" i="1" s="1"/>
  <c r="BA812" i="1"/>
  <c r="BS812" i="1" s="1"/>
  <c r="BZ812" i="1" s="1"/>
  <c r="BA733" i="1"/>
  <c r="BS733" i="1" s="1"/>
  <c r="BZ733" i="1" s="1"/>
  <c r="BA839" i="1"/>
  <c r="BS839" i="1" s="1"/>
  <c r="BZ839" i="1" s="1"/>
  <c r="BA978" i="1"/>
  <c r="BS978" i="1" s="1"/>
  <c r="BA389" i="1"/>
  <c r="BS389" i="1" s="1"/>
  <c r="BZ389" i="1" s="1"/>
  <c r="BA425" i="1"/>
  <c r="BS425" i="1" s="1"/>
  <c r="BA419" i="1"/>
  <c r="BS419" i="1" s="1"/>
  <c r="BZ419" i="1" s="1"/>
  <c r="BA430" i="1"/>
  <c r="BS430" i="1" s="1"/>
  <c r="BZ430" i="1" s="1"/>
  <c r="BA530" i="1"/>
  <c r="BS530" i="1" s="1"/>
  <c r="BZ530" i="1" s="1"/>
  <c r="BA607" i="1"/>
  <c r="BS607" i="1" s="1"/>
  <c r="BZ607" i="1" s="1"/>
  <c r="BA649" i="1"/>
  <c r="BS649" i="1" s="1"/>
  <c r="BZ649" i="1" s="1"/>
  <c r="BA731" i="1"/>
  <c r="BS731" i="1" s="1"/>
  <c r="BA1036" i="1"/>
  <c r="BS1036" i="1" s="1"/>
  <c r="BZ1036" i="1" s="1"/>
  <c r="BA1060" i="1"/>
  <c r="BS1060" i="1" s="1"/>
  <c r="BA1068" i="1"/>
  <c r="BS1068" i="1" s="1"/>
  <c r="BZ1068" i="1" s="1"/>
  <c r="BA999" i="1"/>
  <c r="BS999" i="1" s="1"/>
  <c r="BZ999" i="1" s="1"/>
  <c r="BA920" i="1"/>
  <c r="BS920" i="1" s="1"/>
  <c r="BZ920" i="1" s="1"/>
  <c r="BA1002" i="1"/>
  <c r="BS1002" i="1" s="1"/>
  <c r="BZ1002" i="1" s="1"/>
  <c r="BA998" i="1"/>
  <c r="BS998" i="1" s="1"/>
  <c r="BZ998" i="1" s="1"/>
  <c r="BA1033" i="1"/>
  <c r="BS1033" i="1" s="1"/>
  <c r="BA1209" i="1"/>
  <c r="BS1209" i="1" s="1"/>
  <c r="BZ1209" i="1" s="1"/>
  <c r="BA175" i="1"/>
  <c r="BS175" i="1" s="1"/>
  <c r="BZ175" i="1" s="1"/>
  <c r="BA186" i="1"/>
  <c r="BS186" i="1" s="1"/>
  <c r="BZ186" i="1" s="1"/>
  <c r="BA248" i="1"/>
  <c r="BS248" i="1" s="1"/>
  <c r="BZ248" i="1" s="1"/>
  <c r="BA334" i="1"/>
  <c r="BS334" i="1" s="1"/>
  <c r="BZ334" i="1" s="1"/>
  <c r="BA395" i="1"/>
  <c r="BS395" i="1" s="1"/>
  <c r="BZ395" i="1" s="1"/>
  <c r="BA375" i="1"/>
  <c r="BS375" i="1" s="1"/>
  <c r="BZ375" i="1" s="1"/>
  <c r="BA483" i="1"/>
  <c r="BS483" i="1" s="1"/>
  <c r="BZ483" i="1" s="1"/>
  <c r="BA458" i="1"/>
  <c r="BS458" i="1" s="1"/>
  <c r="BZ458" i="1" s="1"/>
  <c r="BA580" i="1"/>
  <c r="BS580" i="1" s="1"/>
  <c r="BA583" i="1"/>
  <c r="BS583" i="1" s="1"/>
  <c r="BZ583" i="1" s="1"/>
  <c r="BA603" i="1"/>
  <c r="BS603" i="1" s="1"/>
  <c r="BZ603" i="1" s="1"/>
  <c r="BA720" i="1"/>
  <c r="BS720" i="1" s="1"/>
  <c r="BZ720" i="1" s="1"/>
  <c r="BA767" i="1"/>
  <c r="BS767" i="1" s="1"/>
  <c r="BZ767" i="1" s="1"/>
  <c r="BA830" i="1"/>
  <c r="BS830" i="1" s="1"/>
  <c r="BZ830" i="1" s="1"/>
  <c r="BA754" i="1"/>
  <c r="BS754" i="1" s="1"/>
  <c r="BA755" i="1"/>
  <c r="BS755" i="1" s="1"/>
  <c r="BZ755" i="1" s="1"/>
  <c r="BA748" i="1"/>
  <c r="BS748" i="1" s="1"/>
  <c r="BZ748" i="1" s="1"/>
  <c r="BA845" i="1"/>
  <c r="BS845" i="1" s="1"/>
  <c r="BZ845" i="1" s="1"/>
  <c r="BA914" i="1"/>
  <c r="BS914" i="1" s="1"/>
  <c r="BZ914" i="1" s="1"/>
  <c r="BA989" i="1"/>
  <c r="BS989" i="1" s="1"/>
  <c r="BZ989" i="1" s="1"/>
  <c r="BA1055" i="1"/>
  <c r="BS1055" i="1" s="1"/>
  <c r="BZ1055" i="1" s="1"/>
  <c r="BA1063" i="1"/>
  <c r="BS1063" i="1" s="1"/>
  <c r="BZ1063" i="1" s="1"/>
  <c r="BA1125" i="1"/>
  <c r="BS1125" i="1" s="1"/>
  <c r="BA1160" i="1"/>
  <c r="BS1160" i="1" s="1"/>
  <c r="BZ1160" i="1" s="1"/>
  <c r="BA844" i="1"/>
  <c r="BS844" i="1" s="1"/>
  <c r="BZ844" i="1" s="1"/>
  <c r="BA1070" i="1"/>
  <c r="BS1070" i="1" s="1"/>
  <c r="BZ1070" i="1" s="1"/>
  <c r="BA1085" i="1"/>
  <c r="BS1085" i="1" s="1"/>
  <c r="BZ1085" i="1" s="1"/>
  <c r="BA1101" i="1"/>
  <c r="BS1101" i="1" s="1"/>
  <c r="BZ1101" i="1" s="1"/>
  <c r="BA1170" i="1"/>
  <c r="BS1170" i="1" s="1"/>
  <c r="BZ1170" i="1" s="1"/>
  <c r="BA1166" i="1"/>
  <c r="BS1166" i="1" s="1"/>
  <c r="BZ1166" i="1" s="1"/>
  <c r="BA1163" i="1"/>
  <c r="BS1163" i="1" s="1"/>
  <c r="BA316" i="1"/>
  <c r="BS316" i="1" s="1"/>
  <c r="BZ316" i="1" s="1"/>
  <c r="BA1114" i="1"/>
  <c r="BS1114" i="1" s="1"/>
  <c r="BZ1114" i="1" s="1"/>
  <c r="BA203" i="1"/>
  <c r="BS203" i="1" s="1"/>
  <c r="BZ203" i="1" s="1"/>
  <c r="BA246" i="1"/>
  <c r="BS246" i="1" s="1"/>
  <c r="BZ246" i="1" s="1"/>
  <c r="BA254" i="1"/>
  <c r="BS254" i="1" s="1"/>
  <c r="BA255" i="1"/>
  <c r="BS255" i="1" s="1"/>
  <c r="BZ255" i="1" s="1"/>
  <c r="BA240" i="1"/>
  <c r="BS240" i="1" s="1"/>
  <c r="BA264" i="1"/>
  <c r="BS264" i="1" s="1"/>
  <c r="BZ264" i="1" s="1"/>
  <c r="BA367" i="1"/>
  <c r="BS367" i="1" s="1"/>
  <c r="BZ367" i="1" s="1"/>
  <c r="BA391" i="1"/>
  <c r="BS391" i="1" s="1"/>
  <c r="BZ391" i="1" s="1"/>
  <c r="BA497" i="1"/>
  <c r="BS497" i="1" s="1"/>
  <c r="BZ497" i="1" s="1"/>
  <c r="BA534" i="1"/>
  <c r="BS534" i="1" s="1"/>
  <c r="BZ534" i="1" s="1"/>
  <c r="BA564" i="1"/>
  <c r="BS564" i="1" s="1"/>
  <c r="BZ564" i="1" s="1"/>
  <c r="BA664" i="1"/>
  <c r="BS664" i="1" s="1"/>
  <c r="BA644" i="1"/>
  <c r="BS644" i="1" s="1"/>
  <c r="BZ644" i="1" s="1"/>
  <c r="BA671" i="1"/>
  <c r="BS671" i="1" s="1"/>
  <c r="BZ671" i="1" s="1"/>
  <c r="BA652" i="1"/>
  <c r="BS652" i="1" s="1"/>
  <c r="BZ652" i="1" s="1"/>
  <c r="BA728" i="1"/>
  <c r="BS728" i="1" s="1"/>
  <c r="BZ728" i="1" s="1"/>
  <c r="BA751" i="1"/>
  <c r="BS751" i="1" s="1"/>
  <c r="BZ751" i="1" s="1"/>
  <c r="BA831" i="1"/>
  <c r="BS831" i="1" s="1"/>
  <c r="BZ831" i="1" s="1"/>
  <c r="BA869" i="1"/>
  <c r="BS869" i="1" s="1"/>
  <c r="BZ869" i="1" s="1"/>
  <c r="BA897" i="1"/>
  <c r="BS897" i="1" s="1"/>
  <c r="BZ897" i="1" s="1"/>
  <c r="BA1001" i="1"/>
  <c r="BS1001" i="1" s="1"/>
  <c r="BZ1001" i="1" s="1"/>
  <c r="BA891" i="1"/>
  <c r="BS891" i="1" s="1"/>
  <c r="BZ891" i="1" s="1"/>
  <c r="BA1006" i="1"/>
  <c r="BS1006" i="1" s="1"/>
  <c r="BZ1006" i="1" s="1"/>
  <c r="BA899" i="1"/>
  <c r="BS899" i="1" s="1"/>
  <c r="BZ899" i="1" s="1"/>
  <c r="BA1024" i="1"/>
  <c r="BS1024" i="1" s="1"/>
  <c r="BZ1024" i="1" s="1"/>
  <c r="BA991" i="1"/>
  <c r="BS991" i="1" s="1"/>
  <c r="BZ991" i="1" s="1"/>
  <c r="BA1081" i="1"/>
  <c r="BS1081" i="1" s="1"/>
  <c r="BA1092" i="1"/>
  <c r="BS1092" i="1" s="1"/>
  <c r="BZ1092" i="1" s="1"/>
  <c r="BA1050" i="1"/>
  <c r="BS1050" i="1" s="1"/>
  <c r="BZ1050" i="1" s="1"/>
  <c r="BA1106" i="1"/>
  <c r="BS1106" i="1" s="1"/>
  <c r="BZ1106" i="1" s="1"/>
  <c r="BA178" i="1"/>
  <c r="BS178" i="1" s="1"/>
  <c r="BZ178" i="1" s="1"/>
  <c r="BA286" i="1"/>
  <c r="BS286" i="1" s="1"/>
  <c r="BZ286" i="1" s="1"/>
  <c r="BA473" i="1"/>
  <c r="BS473" i="1" s="1"/>
  <c r="BZ473" i="1" s="1"/>
  <c r="BA487" i="1"/>
  <c r="BS487" i="1" s="1"/>
  <c r="BZ487" i="1" s="1"/>
  <c r="BA442" i="1"/>
  <c r="BS442" i="1" s="1"/>
  <c r="BZ442" i="1" s="1"/>
  <c r="BA545" i="1"/>
  <c r="BS545" i="1" s="1"/>
  <c r="BZ545" i="1" s="1"/>
  <c r="BA563" i="1"/>
  <c r="BS563" i="1" s="1"/>
  <c r="BZ563" i="1" s="1"/>
  <c r="BA572" i="1"/>
  <c r="BS572" i="1" s="1"/>
  <c r="BZ572" i="1" s="1"/>
  <c r="BA615" i="1"/>
  <c r="BS615" i="1" s="1"/>
  <c r="BZ615" i="1" s="1"/>
  <c r="BA617" i="1"/>
  <c r="BS617" i="1" s="1"/>
  <c r="BZ617" i="1" s="1"/>
  <c r="BA654" i="1"/>
  <c r="BS654" i="1" s="1"/>
  <c r="BZ654" i="1" s="1"/>
  <c r="BA867" i="1"/>
  <c r="BS867" i="1" s="1"/>
  <c r="BA918" i="1"/>
  <c r="BS918" i="1" s="1"/>
  <c r="BZ918" i="1" s="1"/>
  <c r="BA996" i="1"/>
  <c r="BS996" i="1" s="1"/>
  <c r="BZ996" i="1" s="1"/>
  <c r="BA1056" i="1"/>
  <c r="BS1056" i="1" s="1"/>
  <c r="BZ1056" i="1" s="1"/>
  <c r="BA1064" i="1"/>
  <c r="BS1064" i="1" s="1"/>
  <c r="BZ1064" i="1" s="1"/>
  <c r="BA928" i="1"/>
  <c r="BS928" i="1" s="1"/>
  <c r="BZ928" i="1" s="1"/>
  <c r="BA993" i="1"/>
  <c r="BS993" i="1" s="1"/>
  <c r="BZ993" i="1" s="1"/>
  <c r="BA1131" i="1"/>
  <c r="BS1131" i="1" s="1"/>
  <c r="BZ1131" i="1" s="1"/>
  <c r="BA1187" i="1"/>
  <c r="BS1187" i="1" s="1"/>
  <c r="BZ1187" i="1" s="1"/>
  <c r="BA280" i="1"/>
  <c r="BS280" i="1" s="1"/>
  <c r="BZ280" i="1" s="1"/>
  <c r="BA295" i="1"/>
  <c r="BS295" i="1" s="1"/>
  <c r="BZ295" i="1" s="1"/>
  <c r="BA299" i="1"/>
  <c r="BS299" i="1" s="1"/>
  <c r="BZ299" i="1" s="1"/>
  <c r="BA327" i="1"/>
  <c r="BS327" i="1" s="1"/>
  <c r="BZ327" i="1" s="1"/>
  <c r="BA349" i="1"/>
  <c r="BS349" i="1" s="1"/>
  <c r="BZ349" i="1" s="1"/>
  <c r="BA371" i="1"/>
  <c r="BS371" i="1" s="1"/>
  <c r="BZ371" i="1" s="1"/>
  <c r="BA353" i="1"/>
  <c r="BS353" i="1" s="1"/>
  <c r="BA394" i="1"/>
  <c r="BS394" i="1" s="1"/>
  <c r="BZ394" i="1" s="1"/>
  <c r="BA437" i="1"/>
  <c r="BS437" i="1" s="1"/>
  <c r="BZ437" i="1" s="1"/>
  <c r="BA646" i="1"/>
  <c r="BS646" i="1" s="1"/>
  <c r="BZ646" i="1" s="1"/>
  <c r="BA750" i="1"/>
  <c r="BS750" i="1" s="1"/>
  <c r="BZ750" i="1" s="1"/>
  <c r="BA760" i="1"/>
  <c r="BS760" i="1" s="1"/>
  <c r="BZ760" i="1" s="1"/>
  <c r="BA785" i="1"/>
  <c r="BS785" i="1" s="1"/>
  <c r="BZ785" i="1" s="1"/>
  <c r="BA795" i="1"/>
  <c r="BS795" i="1" s="1"/>
  <c r="BZ795" i="1" s="1"/>
  <c r="BA801" i="1"/>
  <c r="BS801" i="1" s="1"/>
  <c r="BA811" i="1"/>
  <c r="BS811" i="1" s="1"/>
  <c r="BZ811" i="1" s="1"/>
  <c r="BA855" i="1"/>
  <c r="BS855" i="1" s="1"/>
  <c r="BZ855" i="1" s="1"/>
  <c r="BA1005" i="1"/>
  <c r="BS1005" i="1" s="1"/>
  <c r="BZ1005" i="1" s="1"/>
  <c r="BA1034" i="1"/>
  <c r="BS1034" i="1" s="1"/>
  <c r="BZ1034" i="1" s="1"/>
  <c r="BA987" i="1"/>
  <c r="BS987" i="1" s="1"/>
  <c r="BZ987" i="1" s="1"/>
  <c r="BA1035" i="1"/>
  <c r="BS1035" i="1" s="1"/>
  <c r="BZ1035" i="1" s="1"/>
  <c r="BA908" i="1"/>
  <c r="BS908" i="1" s="1"/>
  <c r="BZ908" i="1" s="1"/>
  <c r="BA952" i="1"/>
  <c r="BS952" i="1" s="1"/>
  <c r="BA1043" i="1"/>
  <c r="BS1043" i="1" s="1"/>
  <c r="BZ1043" i="1" s="1"/>
  <c r="BA303" i="1"/>
  <c r="BS303" i="1" s="1"/>
  <c r="BZ303" i="1" s="1"/>
  <c r="BA267" i="1"/>
  <c r="BS267" i="1" s="1"/>
  <c r="BZ267" i="1" s="1"/>
  <c r="BA167" i="1"/>
  <c r="BS167" i="1" s="1"/>
  <c r="BZ167" i="1" s="1"/>
  <c r="BA204" i="1"/>
  <c r="BS204" i="1" s="1"/>
  <c r="BZ204" i="1" s="1"/>
  <c r="BA252" i="1"/>
  <c r="BS252" i="1" s="1"/>
  <c r="BZ252" i="1" s="1"/>
  <c r="BA294" i="1"/>
  <c r="BS294" i="1" s="1"/>
  <c r="BA265" i="1"/>
  <c r="BS265" i="1" s="1"/>
  <c r="BZ265" i="1" s="1"/>
  <c r="BA356" i="1"/>
  <c r="BS356" i="1" s="1"/>
  <c r="BZ356" i="1" s="1"/>
  <c r="BA379" i="1"/>
  <c r="BS379" i="1" s="1"/>
  <c r="BZ379" i="1" s="1"/>
  <c r="BA346" i="1"/>
  <c r="BS346" i="1" s="1"/>
  <c r="BZ346" i="1" s="1"/>
  <c r="BA373" i="1"/>
  <c r="BS373" i="1" s="1"/>
  <c r="BZ373" i="1" s="1"/>
  <c r="BA427" i="1"/>
  <c r="BS427" i="1" s="1"/>
  <c r="BZ427" i="1" s="1"/>
  <c r="BA424" i="1"/>
  <c r="BS424" i="1" s="1"/>
  <c r="BZ424" i="1" s="1"/>
  <c r="BA444" i="1"/>
  <c r="BS444" i="1" s="1"/>
  <c r="BA486" i="1"/>
  <c r="BS486" i="1" s="1"/>
  <c r="BZ486" i="1" s="1"/>
  <c r="BA519" i="1"/>
  <c r="BS519" i="1" s="1"/>
  <c r="BZ519" i="1" s="1"/>
  <c r="BA523" i="1"/>
  <c r="BS523" i="1" s="1"/>
  <c r="BZ523" i="1" s="1"/>
  <c r="BA513" i="1"/>
  <c r="BS513" i="1" s="1"/>
  <c r="BZ513" i="1" s="1"/>
  <c r="BA514" i="1"/>
  <c r="BS514" i="1" s="1"/>
  <c r="BZ514" i="1" s="1"/>
  <c r="BA498" i="1"/>
  <c r="BS498" i="1" s="1"/>
  <c r="BZ498" i="1" s="1"/>
  <c r="BA631" i="1"/>
  <c r="BS631" i="1" s="1"/>
  <c r="BZ631" i="1" s="1"/>
  <c r="BA609" i="1"/>
  <c r="BS609" i="1" s="1"/>
  <c r="BZ609" i="1" s="1"/>
  <c r="BA560" i="1"/>
  <c r="BS560" i="1" s="1"/>
  <c r="BZ560" i="1" s="1"/>
  <c r="BA618" i="1"/>
  <c r="BS618" i="1" s="1"/>
  <c r="BZ618" i="1" s="1"/>
  <c r="BA570" i="1"/>
  <c r="BS570" i="1" s="1"/>
  <c r="BZ570" i="1" s="1"/>
  <c r="BA702" i="1"/>
  <c r="BS702" i="1" s="1"/>
  <c r="BZ702" i="1" s="1"/>
  <c r="BA701" i="1"/>
  <c r="BS701" i="1" s="1"/>
  <c r="BZ701" i="1" s="1"/>
  <c r="BA718" i="1"/>
  <c r="BS718" i="1" s="1"/>
  <c r="BZ718" i="1" s="1"/>
  <c r="BA658" i="1"/>
  <c r="BS658" i="1" s="1"/>
  <c r="BZ658" i="1" s="1"/>
  <c r="BA681" i="1"/>
  <c r="BS681" i="1" s="1"/>
  <c r="BZ681" i="1" s="1"/>
  <c r="BA816" i="1"/>
  <c r="BS816" i="1" s="1"/>
  <c r="BZ816" i="1" s="1"/>
  <c r="BA761" i="1"/>
  <c r="BS761" i="1" s="1"/>
  <c r="BZ761" i="1" s="1"/>
  <c r="BA764" i="1"/>
  <c r="BS764" i="1" s="1"/>
  <c r="BZ764" i="1" s="1"/>
  <c r="BA790" i="1"/>
  <c r="BS790" i="1" s="1"/>
  <c r="BZ790" i="1" s="1"/>
  <c r="BA806" i="1"/>
  <c r="BS806" i="1" s="1"/>
  <c r="BZ806" i="1" s="1"/>
  <c r="BA773" i="1"/>
  <c r="BS773" i="1" s="1"/>
  <c r="BZ773" i="1" s="1"/>
  <c r="BA865" i="1"/>
  <c r="BS865" i="1" s="1"/>
  <c r="BZ865" i="1" s="1"/>
  <c r="BA901" i="1"/>
  <c r="BS901" i="1" s="1"/>
  <c r="BA927" i="1"/>
  <c r="BS927" i="1" s="1"/>
  <c r="BZ927" i="1" s="1"/>
  <c r="BA934" i="1"/>
  <c r="BS934" i="1" s="1"/>
  <c r="BA862" i="1"/>
  <c r="BS862" i="1" s="1"/>
  <c r="BZ862" i="1" s="1"/>
  <c r="BA1057" i="1"/>
  <c r="BS1057" i="1" s="1"/>
  <c r="BA1065" i="1"/>
  <c r="BS1065" i="1" s="1"/>
  <c r="BZ1065" i="1" s="1"/>
  <c r="BA1029" i="1"/>
  <c r="BS1029" i="1" s="1"/>
  <c r="BZ1029" i="1" s="1"/>
  <c r="BA876" i="1"/>
  <c r="BS876" i="1" s="1"/>
  <c r="BZ876" i="1" s="1"/>
  <c r="BA1012" i="1"/>
  <c r="BS1012" i="1" s="1"/>
  <c r="BA969" i="1"/>
  <c r="BS969" i="1" s="1"/>
  <c r="BZ969" i="1" s="1"/>
  <c r="BA973" i="1"/>
  <c r="BS973" i="1" s="1"/>
  <c r="BZ973" i="1" s="1"/>
  <c r="BA1031" i="1"/>
  <c r="BS1031" i="1" s="1"/>
  <c r="BZ1031" i="1" s="1"/>
  <c r="BA1132" i="1"/>
  <c r="BS1132" i="1" s="1"/>
  <c r="BZ1132" i="1" s="1"/>
  <c r="BA1032" i="1"/>
  <c r="BS1032" i="1" s="1"/>
  <c r="BZ1032" i="1" s="1"/>
  <c r="BA1218" i="1"/>
  <c r="BS1218" i="1" s="1"/>
  <c r="BZ1218" i="1" s="1"/>
  <c r="BA1193" i="1"/>
  <c r="BS1193" i="1" s="1"/>
  <c r="BZ1193" i="1" s="1"/>
  <c r="BA1077" i="1"/>
  <c r="BS1077" i="1" s="1"/>
  <c r="BA236" i="1"/>
  <c r="BS236" i="1" s="1"/>
  <c r="BZ236" i="1" s="1"/>
  <c r="BA328" i="1"/>
  <c r="BS328" i="1" s="1"/>
  <c r="BZ328" i="1" s="1"/>
  <c r="BA332" i="1"/>
  <c r="BS332" i="1" s="1"/>
  <c r="BZ332" i="1" s="1"/>
  <c r="BA378" i="1"/>
  <c r="BS378" i="1" s="1"/>
  <c r="BA516" i="1"/>
  <c r="BS516" i="1" s="1"/>
  <c r="BZ516" i="1" s="1"/>
  <c r="BA520" i="1"/>
  <c r="BS520" i="1" s="1"/>
  <c r="BA524" i="1"/>
  <c r="BS524" i="1" s="1"/>
  <c r="BZ524" i="1" s="1"/>
  <c r="BA453" i="1"/>
  <c r="BS453" i="1" s="1"/>
  <c r="BZ453" i="1" s="1"/>
  <c r="BA433" i="1"/>
  <c r="BS433" i="1" s="1"/>
  <c r="BZ433" i="1" s="1"/>
  <c r="BA440" i="1"/>
  <c r="BS440" i="1" s="1"/>
  <c r="BZ440" i="1" s="1"/>
  <c r="BA479" i="1"/>
  <c r="BS479" i="1" s="1"/>
  <c r="BZ479" i="1" s="1"/>
  <c r="BA435" i="1"/>
  <c r="BS435" i="1" s="1"/>
  <c r="BZ435" i="1" s="1"/>
  <c r="BA532" i="1"/>
  <c r="BS532" i="1" s="1"/>
  <c r="BA848" i="1"/>
  <c r="BS848" i="1" s="1"/>
  <c r="BA907" i="1"/>
  <c r="BS907" i="1" s="1"/>
  <c r="BZ907" i="1" s="1"/>
  <c r="BA1010" i="1"/>
  <c r="BS1010" i="1" s="1"/>
  <c r="BZ1010" i="1" s="1"/>
  <c r="BA954" i="1"/>
  <c r="BS954" i="1" s="1"/>
  <c r="BZ954" i="1" s="1"/>
  <c r="BA1120" i="1"/>
  <c r="BS1120" i="1" s="1"/>
  <c r="BZ1120" i="1" s="1"/>
  <c r="BA1107" i="1"/>
  <c r="BS1107" i="1" s="1"/>
  <c r="BZ1107" i="1" s="1"/>
  <c r="BA1119" i="1"/>
  <c r="BS1119" i="1" s="1"/>
  <c r="BZ1119" i="1" s="1"/>
  <c r="BA1148" i="1"/>
  <c r="BS1148" i="1" s="1"/>
  <c r="BZ1148" i="1" s="1"/>
  <c r="BA1164" i="1"/>
  <c r="BS1164" i="1" s="1"/>
  <c r="BZ1164" i="1" s="1"/>
  <c r="BA1129" i="1"/>
  <c r="BS1129" i="1" s="1"/>
  <c r="BZ1129" i="1" s="1"/>
  <c r="BA1044" i="1"/>
  <c r="BS1044" i="1" s="1"/>
  <c r="BZ1044" i="1" s="1"/>
  <c r="BA1150" i="1"/>
  <c r="BS1150" i="1" s="1"/>
  <c r="BZ1150" i="1" s="1"/>
  <c r="BA217" i="1"/>
  <c r="BS217" i="1" s="1"/>
  <c r="BZ217" i="1" s="1"/>
  <c r="BA238" i="1"/>
  <c r="BS238" i="1" s="1"/>
  <c r="BZ238" i="1" s="1"/>
  <c r="BA574" i="1"/>
  <c r="BS574" i="1" s="1"/>
  <c r="BA619" i="1"/>
  <c r="BS619" i="1" s="1"/>
  <c r="BZ619" i="1" s="1"/>
  <c r="BA820" i="1"/>
  <c r="BS820" i="1" s="1"/>
  <c r="BZ820" i="1" s="1"/>
  <c r="BA983" i="1"/>
  <c r="BS983" i="1" s="1"/>
  <c r="BZ983" i="1" s="1"/>
  <c r="BA986" i="1"/>
  <c r="BS986" i="1" s="1"/>
  <c r="BZ986" i="1" s="1"/>
  <c r="BA1047" i="1"/>
  <c r="BS1047" i="1" s="1"/>
  <c r="BZ1047" i="1" s="1"/>
  <c r="BA1071" i="1"/>
  <c r="BS1071" i="1" s="1"/>
  <c r="BZ1071" i="1" s="1"/>
  <c r="BA1155" i="1"/>
  <c r="BS1155" i="1" s="1"/>
  <c r="BA1168" i="1"/>
  <c r="BS1168" i="1" s="1"/>
  <c r="BZ1168" i="1" s="1"/>
  <c r="BA301" i="1"/>
  <c r="BS301" i="1" s="1"/>
  <c r="BZ301" i="1" s="1"/>
  <c r="BA230" i="1"/>
  <c r="BS230" i="1" s="1"/>
  <c r="BZ230" i="1" s="1"/>
  <c r="BA170" i="1"/>
  <c r="BS170" i="1" s="1"/>
  <c r="BZ170" i="1" s="1"/>
  <c r="BA205" i="1"/>
  <c r="BS205" i="1" s="1"/>
  <c r="BZ205" i="1" s="1"/>
  <c r="BA188" i="1"/>
  <c r="BS188" i="1" s="1"/>
  <c r="BZ188" i="1" s="1"/>
  <c r="BA340" i="1"/>
  <c r="BS340" i="1" s="1"/>
  <c r="BZ340" i="1" s="1"/>
  <c r="BA355" i="1"/>
  <c r="BS355" i="1" s="1"/>
  <c r="BZ355" i="1" s="1"/>
  <c r="BA363" i="1"/>
  <c r="BS363" i="1" s="1"/>
  <c r="BA368" i="1"/>
  <c r="BS368" i="1" s="1"/>
  <c r="BA397" i="1"/>
  <c r="BS397" i="1" s="1"/>
  <c r="BZ397" i="1" s="1"/>
  <c r="BA352" i="1"/>
  <c r="BS352" i="1" s="1"/>
  <c r="BZ352" i="1" s="1"/>
  <c r="BA370" i="1"/>
  <c r="BS370" i="1" s="1"/>
  <c r="BZ370" i="1" s="1"/>
  <c r="BA377" i="1"/>
  <c r="BS377" i="1" s="1"/>
  <c r="BZ377" i="1" s="1"/>
  <c r="BA426" i="1"/>
  <c r="BS426" i="1" s="1"/>
  <c r="BZ426" i="1" s="1"/>
  <c r="BA452" i="1"/>
  <c r="BS452" i="1" s="1"/>
  <c r="BZ452" i="1" s="1"/>
  <c r="BA521" i="1"/>
  <c r="BS521" i="1" s="1"/>
  <c r="BA439" i="1"/>
  <c r="BS439" i="1" s="1"/>
  <c r="BZ439" i="1" s="1"/>
  <c r="BA463" i="1"/>
  <c r="BS463" i="1" s="1"/>
  <c r="BZ463" i="1" s="1"/>
  <c r="BA475" i="1"/>
  <c r="BS475" i="1" s="1"/>
  <c r="BZ475" i="1" s="1"/>
  <c r="BA448" i="1"/>
  <c r="BS448" i="1" s="1"/>
  <c r="BZ448" i="1" s="1"/>
  <c r="BA539" i="1"/>
  <c r="BS539" i="1" s="1"/>
  <c r="BZ539" i="1" s="1"/>
  <c r="BA540" i="1"/>
  <c r="BS540" i="1" s="1"/>
  <c r="BZ540" i="1" s="1"/>
  <c r="BA536" i="1"/>
  <c r="BS536" i="1" s="1"/>
  <c r="BZ536" i="1" s="1"/>
  <c r="BA628" i="1"/>
  <c r="BS628" i="1" s="1"/>
  <c r="BA632" i="1"/>
  <c r="BS632" i="1" s="1"/>
  <c r="BZ632" i="1" s="1"/>
  <c r="BA707" i="1"/>
  <c r="BS707" i="1" s="1"/>
  <c r="BZ707" i="1" s="1"/>
  <c r="BA683" i="1"/>
  <c r="BS683" i="1" s="1"/>
  <c r="BZ683" i="1" s="1"/>
  <c r="BA656" i="1"/>
  <c r="BS656" i="1" s="1"/>
  <c r="BZ656" i="1" s="1"/>
  <c r="BA735" i="1"/>
  <c r="BS735" i="1" s="1"/>
  <c r="BZ735" i="1" s="1"/>
  <c r="BA777" i="1"/>
  <c r="BS777" i="1" s="1"/>
  <c r="BZ777" i="1" s="1"/>
  <c r="BA799" i="1"/>
  <c r="BS799" i="1" s="1"/>
  <c r="BZ799" i="1" s="1"/>
  <c r="BA813" i="1"/>
  <c r="BS813" i="1" s="1"/>
  <c r="BA838" i="1"/>
  <c r="BS838" i="1" s="1"/>
  <c r="BZ838" i="1" s="1"/>
  <c r="BA875" i="1"/>
  <c r="BS875" i="1" s="1"/>
  <c r="BZ875" i="1" s="1"/>
  <c r="BA915" i="1"/>
  <c r="BS915" i="1" s="1"/>
  <c r="BZ915" i="1" s="1"/>
  <c r="BA937" i="1"/>
  <c r="BS937" i="1" s="1"/>
  <c r="BZ937" i="1" s="1"/>
  <c r="BA884" i="1"/>
  <c r="BS884" i="1" s="1"/>
  <c r="BZ884" i="1" s="1"/>
  <c r="BA930" i="1"/>
  <c r="BS930" i="1" s="1"/>
  <c r="BZ930" i="1" s="1"/>
  <c r="BA938" i="1"/>
  <c r="BS938" i="1" s="1"/>
  <c r="BZ938" i="1" s="1"/>
  <c r="BA1014" i="1"/>
  <c r="BS1014" i="1" s="1"/>
  <c r="BZ1014" i="1" s="1"/>
  <c r="BA966" i="1"/>
  <c r="BS966" i="1" s="1"/>
  <c r="BZ966" i="1" s="1"/>
  <c r="BA880" i="1"/>
  <c r="BS880" i="1" s="1"/>
  <c r="BZ880" i="1" s="1"/>
  <c r="BA932" i="1"/>
  <c r="BS932" i="1" s="1"/>
  <c r="BZ932" i="1" s="1"/>
  <c r="BA975" i="1"/>
  <c r="BS975" i="1" s="1"/>
  <c r="BZ975" i="1" s="1"/>
  <c r="BA1040" i="1"/>
  <c r="BS1040" i="1" s="1"/>
  <c r="BZ1040" i="1" s="1"/>
  <c r="BA1052" i="1"/>
  <c r="BS1052" i="1" s="1"/>
  <c r="BZ1052" i="1" s="1"/>
  <c r="BA1167" i="1"/>
  <c r="BS1167" i="1" s="1"/>
  <c r="BZ1167" i="1" s="1"/>
  <c r="BA1205" i="1"/>
  <c r="BS1205" i="1" s="1"/>
  <c r="BZ1205" i="1" s="1"/>
  <c r="BA1152" i="1"/>
  <c r="BS1152" i="1" s="1"/>
  <c r="BZ1152" i="1" s="1"/>
  <c r="BA1203" i="1"/>
  <c r="BS1203" i="1" s="1"/>
  <c r="BZ1203" i="1" s="1"/>
  <c r="BA1216" i="1"/>
  <c r="BS1216" i="1" s="1"/>
  <c r="BZ1216" i="1" s="1"/>
  <c r="BA1169" i="1"/>
  <c r="BS1169" i="1" s="1"/>
  <c r="BZ1169" i="1" s="1"/>
  <c r="BA1113" i="1"/>
  <c r="BS1113" i="1" s="1"/>
  <c r="BZ1113" i="1" s="1"/>
  <c r="BA387" i="1"/>
  <c r="BS387" i="1" s="1"/>
  <c r="BA403" i="1"/>
  <c r="BS403" i="1" s="1"/>
  <c r="BZ403" i="1" s="1"/>
  <c r="BA476" i="1"/>
  <c r="BS476" i="1" s="1"/>
  <c r="BZ476" i="1" s="1"/>
  <c r="BA488" i="1"/>
  <c r="BS488" i="1" s="1"/>
  <c r="BZ488" i="1" s="1"/>
  <c r="BA629" i="1"/>
  <c r="BS629" i="1" s="1"/>
  <c r="BA725" i="1"/>
  <c r="BS725" i="1" s="1"/>
  <c r="BZ725" i="1" s="1"/>
  <c r="BA833" i="1"/>
  <c r="BS833" i="1" s="1"/>
  <c r="BZ833" i="1" s="1"/>
  <c r="BA762" i="1"/>
  <c r="BS762" i="1" s="1"/>
  <c r="BZ762" i="1" s="1"/>
  <c r="BA985" i="1"/>
  <c r="BS985" i="1" s="1"/>
  <c r="BZ985" i="1" s="1"/>
  <c r="BA1183" i="1"/>
  <c r="BS1183" i="1" s="1"/>
  <c r="BZ1183" i="1" s="1"/>
  <c r="BA1088" i="1"/>
  <c r="BS1088" i="1" s="1"/>
  <c r="BA1104" i="1"/>
  <c r="BS1104" i="1" s="1"/>
  <c r="BZ1104" i="1" s="1"/>
  <c r="BA1118" i="1"/>
  <c r="BS1118" i="1" s="1"/>
  <c r="BZ1118" i="1" s="1"/>
  <c r="BA1191" i="1"/>
  <c r="BS1191" i="1" s="1"/>
  <c r="BZ1191" i="1" s="1"/>
  <c r="BA756" i="1"/>
  <c r="BS756" i="1" s="1"/>
  <c r="BZ756" i="1" s="1"/>
  <c r="BA863" i="1"/>
  <c r="BS863" i="1" s="1"/>
  <c r="BZ863" i="1" s="1"/>
  <c r="BA856" i="1"/>
  <c r="BS856" i="1" s="1"/>
  <c r="BZ856" i="1" s="1"/>
  <c r="BA917" i="1"/>
  <c r="BS917" i="1" s="1"/>
  <c r="BZ917" i="1" s="1"/>
  <c r="BA851" i="1"/>
  <c r="BS851" i="1" s="1"/>
  <c r="BA213" i="1"/>
  <c r="BS213" i="1" s="1"/>
  <c r="BZ213" i="1" s="1"/>
  <c r="BA196" i="1"/>
  <c r="BS196" i="1" s="1"/>
  <c r="BZ196" i="1" s="1"/>
  <c r="BA172" i="1"/>
  <c r="BS172" i="1" s="1"/>
  <c r="BZ172" i="1" s="1"/>
  <c r="BA222" i="1"/>
  <c r="BS222" i="1" s="1"/>
  <c r="BZ222" i="1" s="1"/>
  <c r="BA218" i="1"/>
  <c r="BS218" i="1" s="1"/>
  <c r="BZ218" i="1" s="1"/>
  <c r="BA263" i="1"/>
  <c r="BS263" i="1" s="1"/>
  <c r="BZ263" i="1" s="1"/>
  <c r="BA290" i="1"/>
  <c r="BS290" i="1" s="1"/>
  <c r="BZ290" i="1" s="1"/>
  <c r="BA253" i="1"/>
  <c r="BS253" i="1" s="1"/>
  <c r="BZ253" i="1" s="1"/>
  <c r="BA323" i="1"/>
  <c r="BS323" i="1" s="1"/>
  <c r="BZ323" i="1" s="1"/>
  <c r="BA372" i="1"/>
  <c r="BS372" i="1" s="1"/>
  <c r="BZ372" i="1" s="1"/>
  <c r="BA380" i="1"/>
  <c r="BS380" i="1" s="1"/>
  <c r="BZ380" i="1" s="1"/>
  <c r="BA467" i="1"/>
  <c r="BS467" i="1" s="1"/>
  <c r="BZ467" i="1" s="1"/>
  <c r="BA485" i="1"/>
  <c r="BS485" i="1" s="1"/>
  <c r="BZ485" i="1" s="1"/>
  <c r="BA464" i="1"/>
  <c r="BS464" i="1" s="1"/>
  <c r="BZ464" i="1" s="1"/>
  <c r="BA429" i="1"/>
  <c r="BS429" i="1" s="1"/>
  <c r="BZ429" i="1" s="1"/>
  <c r="BA477" i="1"/>
  <c r="BS477" i="1" s="1"/>
  <c r="BZ477" i="1" s="1"/>
  <c r="BA547" i="1"/>
  <c r="BS547" i="1" s="1"/>
  <c r="BZ547" i="1" s="1"/>
  <c r="BA501" i="1"/>
  <c r="BS501" i="1" s="1"/>
  <c r="BZ501" i="1" s="1"/>
  <c r="BA528" i="1"/>
  <c r="BS528" i="1" s="1"/>
  <c r="BZ528" i="1" s="1"/>
  <c r="BA647" i="1"/>
  <c r="BS647" i="1" s="1"/>
  <c r="BZ647" i="1" s="1"/>
  <c r="BA740" i="1"/>
  <c r="BS740" i="1" s="1"/>
  <c r="BA893" i="1"/>
  <c r="BS893" i="1" s="1"/>
  <c r="BZ893" i="1" s="1"/>
  <c r="BA847" i="1"/>
  <c r="BS847" i="1" s="1"/>
  <c r="BZ847" i="1" s="1"/>
  <c r="BA878" i="1"/>
  <c r="BS878" i="1" s="1"/>
  <c r="BZ878" i="1" s="1"/>
  <c r="BA895" i="1"/>
  <c r="BS895" i="1" s="1"/>
  <c r="BZ895" i="1" s="1"/>
  <c r="BA925" i="1"/>
  <c r="BS925" i="1" s="1"/>
  <c r="BZ925" i="1" s="1"/>
  <c r="BA933" i="1"/>
  <c r="BS933" i="1" s="1"/>
  <c r="BZ933" i="1" s="1"/>
  <c r="BA890" i="1"/>
  <c r="BS890" i="1" s="1"/>
  <c r="BZ890" i="1" s="1"/>
  <c r="BA936" i="1"/>
  <c r="BS936" i="1" s="1"/>
  <c r="BA951" i="1"/>
  <c r="BS951" i="1" s="1"/>
  <c r="BZ951" i="1" s="1"/>
  <c r="BA977" i="1"/>
  <c r="BS977" i="1" s="1"/>
  <c r="BZ977" i="1" s="1"/>
  <c r="BA1079" i="1"/>
  <c r="BS1079" i="1" s="1"/>
  <c r="BZ1079" i="1" s="1"/>
  <c r="BA1048" i="1"/>
  <c r="BS1048" i="1" s="1"/>
  <c r="BZ1048" i="1" s="1"/>
  <c r="BA176" i="1"/>
  <c r="BS176" i="1" s="1"/>
  <c r="BZ176" i="1" s="1"/>
  <c r="BA216" i="1"/>
  <c r="BS216" i="1" s="1"/>
  <c r="BZ216" i="1" s="1"/>
  <c r="BA235" i="1"/>
  <c r="BS235" i="1" s="1"/>
  <c r="BZ235" i="1" s="1"/>
  <c r="BA306" i="1"/>
  <c r="BS306" i="1" s="1"/>
  <c r="BZ306" i="1" s="1"/>
  <c r="BA284" i="1"/>
  <c r="BS284" i="1" s="1"/>
  <c r="BZ284" i="1" s="1"/>
  <c r="BA374" i="1"/>
  <c r="BS374" i="1" s="1"/>
  <c r="BA446" i="1"/>
  <c r="BS446" i="1" s="1"/>
  <c r="BZ446" i="1" s="1"/>
  <c r="BA450" i="1"/>
  <c r="BS450" i="1" s="1"/>
  <c r="BA552" i="1"/>
  <c r="BS552" i="1" s="1"/>
  <c r="BZ552" i="1" s="1"/>
  <c r="BA505" i="1"/>
  <c r="BS505" i="1" s="1"/>
  <c r="BZ505" i="1" s="1"/>
  <c r="BA538" i="1"/>
  <c r="BS538" i="1" s="1"/>
  <c r="BZ538" i="1" s="1"/>
  <c r="BA587" i="1"/>
  <c r="BS587" i="1" s="1"/>
  <c r="BZ587" i="1" s="1"/>
  <c r="BA614" i="1"/>
  <c r="BS614" i="1" s="1"/>
  <c r="BZ614" i="1" s="1"/>
  <c r="BA565" i="1"/>
  <c r="BS565" i="1" s="1"/>
  <c r="BZ565" i="1" s="1"/>
  <c r="BA638" i="1"/>
  <c r="BS638" i="1" s="1"/>
  <c r="BZ638" i="1" s="1"/>
  <c r="BA645" i="1"/>
  <c r="BS645" i="1" s="1"/>
  <c r="BA818" i="1"/>
  <c r="BS818" i="1" s="1"/>
  <c r="BZ818" i="1" s="1"/>
  <c r="BA781" i="1"/>
  <c r="BS781" i="1" s="1"/>
  <c r="BA800" i="1"/>
  <c r="BS800" i="1" s="1"/>
  <c r="BZ800" i="1" s="1"/>
  <c r="BA749" i="1"/>
  <c r="BS749" i="1" s="1"/>
  <c r="BZ749" i="1" s="1"/>
  <c r="BA892" i="1"/>
  <c r="BS892" i="1" s="1"/>
  <c r="BZ892" i="1" s="1"/>
  <c r="BA911" i="1"/>
  <c r="BS911" i="1" s="1"/>
  <c r="BZ911" i="1" s="1"/>
  <c r="BA941" i="1"/>
  <c r="BS941" i="1" s="1"/>
  <c r="BZ941" i="1" s="1"/>
  <c r="BA877" i="1"/>
  <c r="BS877" i="1" s="1"/>
  <c r="BZ877" i="1" s="1"/>
  <c r="BA889" i="1"/>
  <c r="BS889" i="1" s="1"/>
  <c r="BZ889" i="1" s="1"/>
  <c r="BA922" i="1"/>
  <c r="BS922" i="1" s="1"/>
  <c r="BA1018" i="1"/>
  <c r="BS1018" i="1" s="1"/>
  <c r="BZ1018" i="1" s="1"/>
  <c r="BA950" i="1"/>
  <c r="BS950" i="1" s="1"/>
  <c r="BZ950" i="1" s="1"/>
  <c r="BA990" i="1"/>
  <c r="BS990" i="1" s="1"/>
  <c r="BZ990" i="1" s="1"/>
  <c r="BA916" i="1"/>
  <c r="BS916" i="1" s="1"/>
  <c r="BZ916" i="1" s="1"/>
  <c r="BA1008" i="1"/>
  <c r="BS1008" i="1" s="1"/>
  <c r="BZ1008" i="1" s="1"/>
  <c r="BA1030" i="1"/>
  <c r="BS1030" i="1" s="1"/>
  <c r="BA995" i="1"/>
  <c r="BS995" i="1" s="1"/>
  <c r="BZ995" i="1" s="1"/>
  <c r="BA1049" i="1"/>
  <c r="BS1049" i="1" s="1"/>
  <c r="BZ1049" i="1" s="1"/>
  <c r="BA1090" i="1"/>
  <c r="BS1090" i="1" s="1"/>
  <c r="BZ1090" i="1" s="1"/>
  <c r="BA1127" i="1"/>
  <c r="BS1127" i="1" s="1"/>
  <c r="BZ1127" i="1" s="1"/>
  <c r="BA1122" i="1"/>
  <c r="BS1122" i="1" s="1"/>
  <c r="BZ1122" i="1" s="1"/>
  <c r="BA1197" i="1"/>
  <c r="BS1197" i="1" s="1"/>
  <c r="BZ1197" i="1" s="1"/>
  <c r="BA1109" i="1"/>
  <c r="BS1109" i="1" s="1"/>
  <c r="BZ1109" i="1" s="1"/>
  <c r="BA1097" i="1"/>
  <c r="BS1097" i="1" s="1"/>
  <c r="BZ1097" i="1" s="1"/>
  <c r="BA1161" i="1"/>
  <c r="BS1161" i="1" s="1"/>
  <c r="BZ1161" i="1" s="1"/>
  <c r="BA1192" i="1"/>
  <c r="BS1192" i="1" s="1"/>
  <c r="BZ1192" i="1" s="1"/>
  <c r="BA1172" i="1"/>
  <c r="BS1172" i="1" s="1"/>
  <c r="BZ1172" i="1" s="1"/>
  <c r="BA1200" i="1"/>
  <c r="BS1200" i="1" s="1"/>
  <c r="BZ1200" i="1" s="1"/>
  <c r="BA1180" i="1"/>
  <c r="BS1180" i="1" s="1"/>
  <c r="BZ1180" i="1" s="1"/>
  <c r="BA317" i="1"/>
  <c r="BS317" i="1" s="1"/>
  <c r="BZ317" i="1" s="1"/>
  <c r="BA126" i="1"/>
  <c r="BS126" i="1" s="1"/>
  <c r="BA190" i="1"/>
  <c r="BS190" i="1" s="1"/>
  <c r="BZ190" i="1" s="1"/>
  <c r="BA164" i="1"/>
  <c r="BS164" i="1" s="1"/>
  <c r="BZ164" i="1" s="1"/>
  <c r="BA198" i="1"/>
  <c r="BS198" i="1" s="1"/>
  <c r="BZ198" i="1" s="1"/>
  <c r="BA200" i="1"/>
  <c r="BS200" i="1" s="1"/>
  <c r="BZ200" i="1" s="1"/>
  <c r="BA212" i="1"/>
  <c r="BS212" i="1" s="1"/>
  <c r="BZ212" i="1" s="1"/>
  <c r="BA242" i="1"/>
  <c r="BS242" i="1" s="1"/>
  <c r="BZ242" i="1" s="1"/>
  <c r="BA270" i="1"/>
  <c r="BS270" i="1" s="1"/>
  <c r="BZ270" i="1" s="1"/>
  <c r="BA300" i="1"/>
  <c r="BS300" i="1" s="1"/>
  <c r="BA266" i="1"/>
  <c r="BS266" i="1" s="1"/>
  <c r="BZ266" i="1" s="1"/>
  <c r="BA326" i="1"/>
  <c r="BS326" i="1" s="1"/>
  <c r="BZ326" i="1" s="1"/>
  <c r="BA351" i="1"/>
  <c r="BS351" i="1" s="1"/>
  <c r="BZ351" i="1" s="1"/>
  <c r="BA358" i="1"/>
  <c r="BS358" i="1" s="1"/>
  <c r="BZ358" i="1" s="1"/>
  <c r="BA354" i="1"/>
  <c r="BS354" i="1" s="1"/>
  <c r="BZ354" i="1" s="1"/>
  <c r="BA392" i="1"/>
  <c r="BS392" i="1" s="1"/>
  <c r="BZ392" i="1" s="1"/>
  <c r="BA414" i="1"/>
  <c r="BS414" i="1" s="1"/>
  <c r="BZ414" i="1" s="1"/>
  <c r="BA417" i="1"/>
  <c r="BS417" i="1" s="1"/>
  <c r="BA412" i="1"/>
  <c r="BS412" i="1" s="1"/>
  <c r="BZ412" i="1" s="1"/>
  <c r="BA468" i="1"/>
  <c r="BS468" i="1" s="1"/>
  <c r="BZ468" i="1" s="1"/>
  <c r="BA454" i="1"/>
  <c r="BS454" i="1" s="1"/>
  <c r="BZ454" i="1" s="1"/>
  <c r="BA447" i="1"/>
  <c r="BS447" i="1" s="1"/>
  <c r="BZ447" i="1" s="1"/>
  <c r="BA493" i="1"/>
  <c r="BS493" i="1" s="1"/>
  <c r="BZ493" i="1" s="1"/>
  <c r="BA478" i="1"/>
  <c r="BS478" i="1" s="1"/>
  <c r="BZ478" i="1" s="1"/>
  <c r="BA466" i="1"/>
  <c r="BS466" i="1" s="1"/>
  <c r="BZ466" i="1" s="1"/>
  <c r="BA480" i="1"/>
  <c r="BS480" i="1" s="1"/>
  <c r="BZ480" i="1" s="1"/>
  <c r="BA451" i="1"/>
  <c r="BS451" i="1" s="1"/>
  <c r="BZ451" i="1" s="1"/>
  <c r="BA551" i="1"/>
  <c r="BS551" i="1" s="1"/>
  <c r="BZ551" i="1" s="1"/>
  <c r="BA515" i="1"/>
  <c r="BS515" i="1" s="1"/>
  <c r="BZ515" i="1" s="1"/>
  <c r="BA508" i="1"/>
  <c r="BS508" i="1" s="1"/>
  <c r="BA526" i="1"/>
  <c r="BS526" i="1" s="1"/>
  <c r="BZ526" i="1" s="1"/>
  <c r="BA606" i="1"/>
  <c r="BS606" i="1" s="1"/>
  <c r="BZ606" i="1" s="1"/>
  <c r="BA567" i="1"/>
  <c r="BS567" i="1" s="1"/>
  <c r="BZ567" i="1" s="1"/>
  <c r="BA599" i="1"/>
  <c r="BS599" i="1" s="1"/>
  <c r="BZ599" i="1" s="1"/>
  <c r="BA694" i="1"/>
  <c r="BS694" i="1" s="1"/>
  <c r="BZ694" i="1" s="1"/>
  <c r="BA134" i="1"/>
  <c r="BS134" i="1" s="1"/>
  <c r="BZ134" i="1" s="1"/>
  <c r="BA173" i="1"/>
  <c r="BS173" i="1" s="1"/>
  <c r="BZ173" i="1" s="1"/>
  <c r="BA261" i="1"/>
  <c r="BS261" i="1" s="1"/>
  <c r="BZ261" i="1" s="1"/>
  <c r="BA249" i="1"/>
  <c r="BS249" i="1" s="1"/>
  <c r="BA314" i="1"/>
  <c r="BS314" i="1" s="1"/>
  <c r="BZ314" i="1" s="1"/>
  <c r="BA247" i="1"/>
  <c r="BS247" i="1" s="1"/>
  <c r="BZ247" i="1" s="1"/>
  <c r="BA268" i="1"/>
  <c r="BS268" i="1" s="1"/>
  <c r="BZ268" i="1" s="1"/>
  <c r="BA369" i="1"/>
  <c r="BS369" i="1" s="1"/>
  <c r="BZ369" i="1" s="1"/>
  <c r="BA362" i="1"/>
  <c r="BS362" i="1" s="1"/>
  <c r="BZ362" i="1" s="1"/>
  <c r="BA344" i="1"/>
  <c r="BS344" i="1" s="1"/>
  <c r="BZ344" i="1" s="1"/>
  <c r="BA399" i="1"/>
  <c r="BS399" i="1" s="1"/>
  <c r="BZ399" i="1" s="1"/>
  <c r="BA348" i="1"/>
  <c r="BS348" i="1" s="1"/>
  <c r="BA423" i="1"/>
  <c r="BS423" i="1" s="1"/>
  <c r="BA401" i="1"/>
  <c r="BS401" i="1" s="1"/>
  <c r="BZ401" i="1" s="1"/>
  <c r="BA418" i="1"/>
  <c r="BS418" i="1" s="1"/>
  <c r="BZ418" i="1" s="1"/>
  <c r="BA421" i="1"/>
  <c r="BS421" i="1" s="1"/>
  <c r="BZ421" i="1" s="1"/>
  <c r="BA432" i="1"/>
  <c r="BS432" i="1" s="1"/>
  <c r="BZ432" i="1" s="1"/>
  <c r="BA455" i="1"/>
  <c r="BS455" i="1" s="1"/>
  <c r="BZ455" i="1" s="1"/>
  <c r="BA456" i="1"/>
  <c r="BS456" i="1" s="1"/>
  <c r="BZ456" i="1" s="1"/>
  <c r="BA441" i="1"/>
  <c r="BS441" i="1" s="1"/>
  <c r="BA506" i="1"/>
  <c r="BS506" i="1" s="1"/>
  <c r="BZ506" i="1" s="1"/>
  <c r="BA499" i="1"/>
  <c r="BS499" i="1" s="1"/>
  <c r="BZ499" i="1" s="1"/>
  <c r="BA500" i="1"/>
  <c r="BS500" i="1" s="1"/>
  <c r="BZ500" i="1" s="1"/>
  <c r="BA598" i="1"/>
  <c r="BS598" i="1" s="1"/>
  <c r="BZ598" i="1" s="1"/>
  <c r="BA548" i="1"/>
  <c r="BS548" i="1" s="1"/>
  <c r="BZ548" i="1" s="1"/>
  <c r="BA554" i="1"/>
  <c r="BS554" i="1" s="1"/>
  <c r="BZ554" i="1" s="1"/>
  <c r="BA544" i="1"/>
  <c r="BS544" i="1" s="1"/>
  <c r="BZ544" i="1" s="1"/>
  <c r="BA624" i="1"/>
  <c r="BS624" i="1" s="1"/>
  <c r="BA666" i="1"/>
  <c r="BS666" i="1" s="1"/>
  <c r="BZ666" i="1" s="1"/>
  <c r="BA640" i="1"/>
  <c r="BS640" i="1" s="1"/>
  <c r="BA674" i="1"/>
  <c r="BS674" i="1" s="1"/>
  <c r="BZ674" i="1" s="1"/>
  <c r="BA675" i="1"/>
  <c r="BS675" i="1" s="1"/>
  <c r="BZ675" i="1" s="1"/>
  <c r="BA244" i="1"/>
  <c r="BS244" i="1" s="1"/>
  <c r="BZ244" i="1" s="1"/>
  <c r="BA472" i="1"/>
  <c r="BS472" i="1" s="1"/>
  <c r="BZ472" i="1" s="1"/>
  <c r="BA459" i="1"/>
  <c r="BS459" i="1" s="1"/>
  <c r="BA585" i="1"/>
  <c r="BS585" i="1" s="1"/>
  <c r="BZ585" i="1" s="1"/>
  <c r="BA648" i="1"/>
  <c r="BS648" i="1" s="1"/>
  <c r="BZ648" i="1" s="1"/>
  <c r="BA783" i="1"/>
  <c r="BS783" i="1" s="1"/>
  <c r="BZ783" i="1" s="1"/>
  <c r="BA163" i="1"/>
  <c r="BS163" i="1" s="1"/>
  <c r="BZ163" i="1" s="1"/>
  <c r="BA192" i="1"/>
  <c r="BS192" i="1" s="1"/>
  <c r="BZ192" i="1" s="1"/>
  <c r="BA182" i="1"/>
  <c r="BS182" i="1" s="1"/>
  <c r="BZ182" i="1" s="1"/>
  <c r="BA177" i="1"/>
  <c r="BS177" i="1" s="1"/>
  <c r="BZ177" i="1" s="1"/>
  <c r="BA206" i="1"/>
  <c r="BS206" i="1" s="1"/>
  <c r="BZ206" i="1" s="1"/>
  <c r="BA202" i="1"/>
  <c r="BS202" i="1" s="1"/>
  <c r="BZ202" i="1" s="1"/>
  <c r="BA209" i="1"/>
  <c r="BS209" i="1" s="1"/>
  <c r="BZ209" i="1" s="1"/>
  <c r="BA211" i="1"/>
  <c r="BS211" i="1" s="1"/>
  <c r="BZ211" i="1" s="1"/>
  <c r="BA288" i="1"/>
  <c r="BS288" i="1" s="1"/>
  <c r="BZ288" i="1" s="1"/>
  <c r="BA297" i="1"/>
  <c r="BS297" i="1" s="1"/>
  <c r="BZ297" i="1" s="1"/>
  <c r="BA293" i="1"/>
  <c r="BS293" i="1" s="1"/>
  <c r="BZ293" i="1" s="1"/>
  <c r="BA335" i="1"/>
  <c r="BS335" i="1" s="1"/>
  <c r="BA321" i="1"/>
  <c r="BS321" i="1" s="1"/>
  <c r="BA422" i="1"/>
  <c r="BS422" i="1" s="1"/>
  <c r="BZ422" i="1" s="1"/>
  <c r="BA434" i="1"/>
  <c r="BS434" i="1" s="1"/>
  <c r="BZ434" i="1" s="1"/>
  <c r="BA420" i="1"/>
  <c r="BS420" i="1" s="1"/>
  <c r="BZ420" i="1" s="1"/>
  <c r="BA517" i="1"/>
  <c r="BS517" i="1" s="1"/>
  <c r="BZ517" i="1" s="1"/>
  <c r="BA525" i="1"/>
  <c r="BS525" i="1" s="1"/>
  <c r="BZ525" i="1" s="1"/>
  <c r="BA438" i="1"/>
  <c r="BS438" i="1" s="1"/>
  <c r="BZ438" i="1" s="1"/>
  <c r="BA462" i="1"/>
  <c r="BS462" i="1" s="1"/>
  <c r="BA484" i="1"/>
  <c r="BS484" i="1" s="1"/>
  <c r="BZ484" i="1" s="1"/>
  <c r="BA625" i="1"/>
  <c r="BS625" i="1" s="1"/>
  <c r="BZ625" i="1" s="1"/>
  <c r="BA589" i="1"/>
  <c r="BS589" i="1" s="1"/>
  <c r="BZ589" i="1" s="1"/>
  <c r="BA584" i="1"/>
  <c r="BS584" i="1" s="1"/>
  <c r="BZ584" i="1" s="1"/>
  <c r="BA561" i="1"/>
  <c r="BS561" i="1" s="1"/>
  <c r="BZ561" i="1" s="1"/>
  <c r="BA639" i="1"/>
  <c r="BS639" i="1" s="1"/>
  <c r="BZ639" i="1" s="1"/>
  <c r="BA766" i="1"/>
  <c r="BS766" i="1" s="1"/>
  <c r="BZ766" i="1" s="1"/>
  <c r="BA407" i="1"/>
  <c r="BS407" i="1" s="1"/>
  <c r="BA557" i="1"/>
  <c r="BS557" i="1" s="1"/>
  <c r="BZ557" i="1" s="1"/>
  <c r="BA622" i="1"/>
  <c r="BS622" i="1" s="1"/>
  <c r="BZ622" i="1" s="1"/>
  <c r="BA651" i="1"/>
  <c r="BS651" i="1" s="1"/>
  <c r="BZ651" i="1" s="1"/>
  <c r="BA705" i="1"/>
  <c r="BS705" i="1" s="1"/>
  <c r="BZ705" i="1" s="1"/>
  <c r="BA680" i="1"/>
  <c r="BS680" i="1" s="1"/>
  <c r="BZ680" i="1" s="1"/>
  <c r="BA695" i="1"/>
  <c r="BS695" i="1" s="1"/>
  <c r="BZ695" i="1" s="1"/>
  <c r="BA667" i="1"/>
  <c r="BS667" i="1" s="1"/>
  <c r="BZ667" i="1" s="1"/>
  <c r="BA689" i="1"/>
  <c r="BS689" i="1" s="1"/>
  <c r="BZ689" i="1" s="1"/>
  <c r="BA214" i="1"/>
  <c r="BS214" i="1" s="1"/>
  <c r="BZ214" i="1" s="1"/>
  <c r="BA269" i="1"/>
  <c r="BS269" i="1" s="1"/>
  <c r="BZ269" i="1" s="1"/>
  <c r="BA298" i="1"/>
  <c r="BS298" i="1" s="1"/>
  <c r="BZ298" i="1" s="1"/>
  <c r="BA262" i="1"/>
  <c r="BS262" i="1" s="1"/>
  <c r="BZ262" i="1" s="1"/>
  <c r="BA257" i="1"/>
  <c r="BS257" i="1" s="1"/>
  <c r="BZ257" i="1" s="1"/>
  <c r="BA258" i="1"/>
  <c r="BS258" i="1" s="1"/>
  <c r="BZ258" i="1" s="1"/>
  <c r="BA259" i="1"/>
  <c r="BS259" i="1" s="1"/>
  <c r="BA336" i="1"/>
  <c r="BS336" i="1" s="1"/>
  <c r="BZ336" i="1" s="1"/>
  <c r="BA359" i="1"/>
  <c r="BS359" i="1" s="1"/>
  <c r="BZ359" i="1" s="1"/>
  <c r="BA350" i="1"/>
  <c r="BS350" i="1" s="1"/>
  <c r="BZ350" i="1" s="1"/>
  <c r="BA364" i="1"/>
  <c r="BS364" i="1" s="1"/>
  <c r="BZ364" i="1" s="1"/>
  <c r="BA360" i="1"/>
  <c r="BS360" i="1" s="1"/>
  <c r="BZ360" i="1" s="1"/>
  <c r="BA409" i="1"/>
  <c r="BS409" i="1" s="1"/>
  <c r="BZ409" i="1" s="1"/>
  <c r="BA416" i="1"/>
  <c r="BS416" i="1" s="1"/>
  <c r="BZ416" i="1" s="1"/>
  <c r="BA428" i="1"/>
  <c r="BS428" i="1" s="1"/>
  <c r="BA518" i="1"/>
  <c r="BS518" i="1" s="1"/>
  <c r="BZ518" i="1" s="1"/>
  <c r="BA522" i="1"/>
  <c r="BS522" i="1" s="1"/>
  <c r="BA445" i="1"/>
  <c r="BS445" i="1" s="1"/>
  <c r="BZ445" i="1" s="1"/>
  <c r="BA465" i="1"/>
  <c r="BS465" i="1" s="1"/>
  <c r="BZ465" i="1" s="1"/>
  <c r="BA469" i="1"/>
  <c r="BS469" i="1" s="1"/>
  <c r="BZ469" i="1" s="1"/>
  <c r="BA471" i="1"/>
  <c r="BS471" i="1" s="1"/>
  <c r="BZ471" i="1" s="1"/>
  <c r="BA481" i="1"/>
  <c r="BS481" i="1" s="1"/>
  <c r="BZ481" i="1" s="1"/>
  <c r="BA549" i="1"/>
  <c r="BS549" i="1" s="1"/>
  <c r="BZ549" i="1" s="1"/>
  <c r="BA507" i="1"/>
  <c r="BS507" i="1" s="1"/>
  <c r="BZ507" i="1" s="1"/>
  <c r="BA543" i="1"/>
  <c r="BS543" i="1" s="1"/>
  <c r="BZ543" i="1" s="1"/>
  <c r="BA556" i="1"/>
  <c r="BS556" i="1" s="1"/>
  <c r="BZ556" i="1" s="1"/>
  <c r="BA510" i="1"/>
  <c r="BS510" i="1" s="1"/>
  <c r="BZ510" i="1" s="1"/>
  <c r="BA512" i="1"/>
  <c r="BS512" i="1" s="1"/>
  <c r="BZ512" i="1" s="1"/>
  <c r="BA626" i="1"/>
  <c r="BS626" i="1" s="1"/>
  <c r="BZ626" i="1" s="1"/>
  <c r="BA568" i="1"/>
  <c r="BS568" i="1" s="1"/>
  <c r="BZ568" i="1" s="1"/>
  <c r="BA657" i="1"/>
  <c r="BS657" i="1" s="1"/>
  <c r="BZ657" i="1" s="1"/>
  <c r="BA686" i="1"/>
  <c r="BS686" i="1" s="1"/>
  <c r="BZ686" i="1" s="1"/>
  <c r="BA180" i="1"/>
  <c r="BS180" i="1" s="1"/>
  <c r="BZ180" i="1" s="1"/>
  <c r="BA181" i="1"/>
  <c r="BS181" i="1" s="1"/>
  <c r="BZ181" i="1" s="1"/>
  <c r="BA166" i="1"/>
  <c r="BS166" i="1" s="1"/>
  <c r="BZ166" i="1" s="1"/>
  <c r="BA171" i="1"/>
  <c r="BS171" i="1" s="1"/>
  <c r="BZ171" i="1" s="1"/>
  <c r="BA219" i="1"/>
  <c r="BS219" i="1" s="1"/>
  <c r="BZ219" i="1" s="1"/>
  <c r="BA229" i="1"/>
  <c r="BS229" i="1" s="1"/>
  <c r="BZ229" i="1" s="1"/>
  <c r="BA308" i="1"/>
  <c r="BS308" i="1" s="1"/>
  <c r="BA271" i="1"/>
  <c r="BS271" i="1" s="1"/>
  <c r="BA276" i="1"/>
  <c r="BS276" i="1" s="1"/>
  <c r="BZ276" i="1" s="1"/>
  <c r="BA260" i="1"/>
  <c r="BS260" i="1" s="1"/>
  <c r="BA333" i="1"/>
  <c r="BS333" i="1" s="1"/>
  <c r="BZ333" i="1" s="1"/>
  <c r="BA341" i="1"/>
  <c r="BS341" i="1" s="1"/>
  <c r="BZ341" i="1" s="1"/>
  <c r="BA361" i="1"/>
  <c r="BS361" i="1" s="1"/>
  <c r="BZ361" i="1" s="1"/>
  <c r="BA406" i="1"/>
  <c r="BS406" i="1" s="1"/>
  <c r="BZ406" i="1" s="1"/>
  <c r="BA345" i="1"/>
  <c r="BS345" i="1" s="1"/>
  <c r="BA415" i="1"/>
  <c r="BS415" i="1" s="1"/>
  <c r="BZ415" i="1" s="1"/>
  <c r="BA436" i="1"/>
  <c r="BS436" i="1" s="1"/>
  <c r="BZ436" i="1" s="1"/>
  <c r="BA413" i="1"/>
  <c r="BS413" i="1" s="1"/>
  <c r="BA431" i="1"/>
  <c r="BS431" i="1" s="1"/>
  <c r="BZ431" i="1" s="1"/>
  <c r="BA470" i="1"/>
  <c r="BS470" i="1" s="1"/>
  <c r="BZ470" i="1" s="1"/>
  <c r="BA457" i="1"/>
  <c r="BS457" i="1" s="1"/>
  <c r="BZ457" i="1" s="1"/>
  <c r="BA443" i="1"/>
  <c r="BS443" i="1" s="1"/>
  <c r="BZ443" i="1" s="1"/>
  <c r="BA546" i="1"/>
  <c r="BS546" i="1" s="1"/>
  <c r="BA623" i="1"/>
  <c r="BS623" i="1" s="1"/>
  <c r="BZ623" i="1" s="1"/>
  <c r="BA630" i="1"/>
  <c r="BS630" i="1" s="1"/>
  <c r="BZ630" i="1" s="1"/>
  <c r="BA223" i="1"/>
  <c r="BS223" i="1" s="1"/>
  <c r="BZ223" i="1" s="1"/>
  <c r="BA559" i="1"/>
  <c r="BS559" i="1" s="1"/>
  <c r="BZ559" i="1" s="1"/>
  <c r="BA605" i="1"/>
  <c r="BS605" i="1" s="1"/>
  <c r="BZ605" i="1" s="1"/>
  <c r="BA669" i="1"/>
  <c r="BS669" i="1" s="1"/>
  <c r="BZ669" i="1" s="1"/>
  <c r="BA692" i="1"/>
  <c r="BS692" i="1" s="1"/>
  <c r="BZ692" i="1" s="1"/>
  <c r="BA685" i="1"/>
  <c r="BS685" i="1" s="1"/>
  <c r="BZ685" i="1" s="1"/>
  <c r="BA678" i="1"/>
  <c r="BS678" i="1" s="1"/>
  <c r="BA659" i="1"/>
  <c r="BS659" i="1" s="1"/>
  <c r="BZ659" i="1" s="1"/>
  <c r="BA672" i="1"/>
  <c r="BS672" i="1" s="1"/>
  <c r="BZ672" i="1" s="1"/>
  <c r="BA742" i="1"/>
  <c r="BS742" i="1" s="1"/>
  <c r="BZ742" i="1" s="1"/>
  <c r="BA775" i="1"/>
  <c r="BS775" i="1" s="1"/>
  <c r="BZ775" i="1" s="1"/>
  <c r="BA752" i="1"/>
  <c r="BS752" i="1" s="1"/>
  <c r="BZ752" i="1" s="1"/>
  <c r="BA787" i="1"/>
  <c r="BS787" i="1" s="1"/>
  <c r="BZ787" i="1" s="1"/>
  <c r="BA793" i="1"/>
  <c r="BS793" i="1" s="1"/>
  <c r="BA803" i="1"/>
  <c r="BS803" i="1" s="1"/>
  <c r="BZ803" i="1" s="1"/>
  <c r="BA809" i="1"/>
  <c r="BS809" i="1" s="1"/>
  <c r="BZ809" i="1" s="1"/>
  <c r="BA824" i="1"/>
  <c r="BS824" i="1" s="1"/>
  <c r="BZ824" i="1" s="1"/>
  <c r="BA730" i="1"/>
  <c r="BS730" i="1" s="1"/>
  <c r="BZ730" i="1" s="1"/>
  <c r="BA770" i="1"/>
  <c r="BS770" i="1" s="1"/>
  <c r="BZ770" i="1" s="1"/>
  <c r="BA747" i="1"/>
  <c r="BS747" i="1" s="1"/>
  <c r="BZ747" i="1" s="1"/>
  <c r="BA827" i="1"/>
  <c r="BS827" i="1" s="1"/>
  <c r="BZ827" i="1" s="1"/>
  <c r="BA804" i="1"/>
  <c r="BS804" i="1" s="1"/>
  <c r="BZ804" i="1" s="1"/>
  <c r="BA765" i="1"/>
  <c r="BS765" i="1" s="1"/>
  <c r="BA873" i="1"/>
  <c r="BS873" i="1" s="1"/>
  <c r="BZ873" i="1" s="1"/>
  <c r="BA860" i="1"/>
  <c r="BS860" i="1" s="1"/>
  <c r="BZ860" i="1" s="1"/>
  <c r="BA894" i="1"/>
  <c r="BS894" i="1" s="1"/>
  <c r="BZ894" i="1" s="1"/>
  <c r="BA913" i="1"/>
  <c r="BS913" i="1" s="1"/>
  <c r="BZ913" i="1" s="1"/>
  <c r="BA841" i="1"/>
  <c r="BS841" i="1" s="1"/>
  <c r="BZ841" i="1" s="1"/>
  <c r="BA861" i="1"/>
  <c r="BS861" i="1" s="1"/>
  <c r="BZ861" i="1" s="1"/>
  <c r="BA858" i="1"/>
  <c r="BS858" i="1" s="1"/>
  <c r="BZ858" i="1" s="1"/>
  <c r="BA976" i="1"/>
  <c r="BS976" i="1" s="1"/>
  <c r="BA958" i="1"/>
  <c r="BS958" i="1" s="1"/>
  <c r="BA994" i="1"/>
  <c r="BS994" i="1" s="1"/>
  <c r="BA992" i="1"/>
  <c r="BS992" i="1" s="1"/>
  <c r="BZ992" i="1" s="1"/>
  <c r="BA1028" i="1"/>
  <c r="BS1028" i="1" s="1"/>
  <c r="BZ1028" i="1" s="1"/>
  <c r="BA1059" i="1"/>
  <c r="BS1059" i="1" s="1"/>
  <c r="BZ1059" i="1" s="1"/>
  <c r="BA1067" i="1"/>
  <c r="BS1067" i="1" s="1"/>
  <c r="BZ1067" i="1" s="1"/>
  <c r="BA1021" i="1"/>
  <c r="BS1021" i="1" s="1"/>
  <c r="BZ1021" i="1" s="1"/>
  <c r="BA988" i="1"/>
  <c r="BS988" i="1" s="1"/>
  <c r="BA1023" i="1"/>
  <c r="BS1023" i="1" s="1"/>
  <c r="BZ1023" i="1" s="1"/>
  <c r="BA1000" i="1"/>
  <c r="BS1000" i="1" s="1"/>
  <c r="BZ1000" i="1" s="1"/>
  <c r="BA1025" i="1"/>
  <c r="BS1025" i="1" s="1"/>
  <c r="BZ1025" i="1" s="1"/>
  <c r="BA1017" i="1"/>
  <c r="BS1017" i="1" s="1"/>
  <c r="BA1046" i="1"/>
  <c r="BS1046" i="1" s="1"/>
  <c r="BZ1046" i="1" s="1"/>
  <c r="BA1201" i="1"/>
  <c r="BS1201" i="1" s="1"/>
  <c r="BZ1201" i="1" s="1"/>
  <c r="BA1096" i="1"/>
  <c r="BS1096" i="1" s="1"/>
  <c r="BZ1096" i="1" s="1"/>
  <c r="BA1110" i="1"/>
  <c r="BS1110" i="1" s="1"/>
  <c r="BA1141" i="1"/>
  <c r="BS1141" i="1" s="1"/>
  <c r="BZ1141" i="1" s="1"/>
  <c r="BA1089" i="1"/>
  <c r="BS1089" i="1" s="1"/>
  <c r="BZ1089" i="1" s="1"/>
  <c r="BA1105" i="1"/>
  <c r="BS1105" i="1" s="1"/>
  <c r="BZ1105" i="1" s="1"/>
  <c r="BA1202" i="1"/>
  <c r="BS1202" i="1" s="1"/>
  <c r="BZ1202" i="1" s="1"/>
  <c r="BA1198" i="1"/>
  <c r="BS1198" i="1" s="1"/>
  <c r="BZ1198" i="1" s="1"/>
  <c r="BA1149" i="1"/>
  <c r="BS1149" i="1" s="1"/>
  <c r="BZ1149" i="1" s="1"/>
  <c r="BA1159" i="1"/>
  <c r="BS1159" i="1" s="1"/>
  <c r="BZ1159" i="1" s="1"/>
  <c r="BA555" i="1"/>
  <c r="BS555" i="1" s="1"/>
  <c r="BZ555" i="1" s="1"/>
  <c r="BA542" i="1"/>
  <c r="BS542" i="1" s="1"/>
  <c r="BA571" i="1"/>
  <c r="BS571" i="1" s="1"/>
  <c r="BZ571" i="1" s="1"/>
  <c r="BA604" i="1"/>
  <c r="BS604" i="1" s="1"/>
  <c r="BZ604" i="1" s="1"/>
  <c r="BA593" i="1"/>
  <c r="BS593" i="1" s="1"/>
  <c r="BZ593" i="1" s="1"/>
  <c r="BA595" i="1"/>
  <c r="BS595" i="1" s="1"/>
  <c r="BZ595" i="1" s="1"/>
  <c r="BA601" i="1"/>
  <c r="BS601" i="1" s="1"/>
  <c r="BZ601" i="1" s="1"/>
  <c r="BA577" i="1"/>
  <c r="BS577" i="1" s="1"/>
  <c r="BA637" i="1"/>
  <c r="BS637" i="1" s="1"/>
  <c r="BZ637" i="1" s="1"/>
  <c r="BA662" i="1"/>
  <c r="BS662" i="1" s="1"/>
  <c r="BA690" i="1"/>
  <c r="BS690" i="1" s="1"/>
  <c r="BZ690" i="1" s="1"/>
  <c r="BA663" i="1"/>
  <c r="BS663" i="1" s="1"/>
  <c r="BZ663" i="1" s="1"/>
  <c r="BA691" i="1"/>
  <c r="BS691" i="1" s="1"/>
  <c r="BZ691" i="1" s="1"/>
  <c r="BA706" i="1"/>
  <c r="BS706" i="1" s="1"/>
  <c r="BZ706" i="1" s="1"/>
  <c r="BA687" i="1"/>
  <c r="BS687" i="1" s="1"/>
  <c r="BZ687" i="1" s="1"/>
  <c r="BA693" i="1"/>
  <c r="BS693" i="1" s="1"/>
  <c r="BZ693" i="1" s="1"/>
  <c r="BA704" i="1"/>
  <c r="BS704" i="1" s="1"/>
  <c r="BZ704" i="1" s="1"/>
  <c r="BA661" i="1"/>
  <c r="BS661" i="1" s="1"/>
  <c r="BZ661" i="1" s="1"/>
  <c r="BA715" i="1"/>
  <c r="BS715" i="1" s="1"/>
  <c r="BZ715" i="1" s="1"/>
  <c r="BA759" i="1"/>
  <c r="BS759" i="1" s="1"/>
  <c r="BZ759" i="1" s="1"/>
  <c r="BA745" i="1"/>
  <c r="BS745" i="1" s="1"/>
  <c r="BZ745" i="1" s="1"/>
  <c r="BA769" i="1"/>
  <c r="BS769" i="1" s="1"/>
  <c r="BZ769" i="1" s="1"/>
  <c r="BA825" i="1"/>
  <c r="BS825" i="1" s="1"/>
  <c r="BZ825" i="1" s="1"/>
  <c r="BA771" i="1"/>
  <c r="BS771" i="1" s="1"/>
  <c r="BZ771" i="1" s="1"/>
  <c r="BA794" i="1"/>
  <c r="BS794" i="1" s="1"/>
  <c r="BZ794" i="1" s="1"/>
  <c r="BA853" i="1"/>
  <c r="BS853" i="1" s="1"/>
  <c r="BZ853" i="1" s="1"/>
  <c r="BA921" i="1"/>
  <c r="BS921" i="1" s="1"/>
  <c r="BZ921" i="1" s="1"/>
  <c r="BA942" i="1"/>
  <c r="BS942" i="1" s="1"/>
  <c r="BZ942" i="1" s="1"/>
  <c r="BA980" i="1"/>
  <c r="BS980" i="1" s="1"/>
  <c r="BZ980" i="1" s="1"/>
  <c r="BA1027" i="1"/>
  <c r="BS1027" i="1" s="1"/>
  <c r="BZ1027" i="1" s="1"/>
  <c r="BA1013" i="1"/>
  <c r="BS1013" i="1" s="1"/>
  <c r="BZ1013" i="1" s="1"/>
  <c r="BA1054" i="1"/>
  <c r="BS1054" i="1" s="1"/>
  <c r="BA1062" i="1"/>
  <c r="BS1062" i="1" s="1"/>
  <c r="BZ1062" i="1" s="1"/>
  <c r="BA956" i="1"/>
  <c r="BS956" i="1" s="1"/>
  <c r="BZ956" i="1" s="1"/>
  <c r="BA870" i="1"/>
  <c r="BS870" i="1" s="1"/>
  <c r="BZ870" i="1" s="1"/>
  <c r="BA940" i="1"/>
  <c r="BS940" i="1" s="1"/>
  <c r="BA984" i="1"/>
  <c r="BS984" i="1" s="1"/>
  <c r="BZ984" i="1" s="1"/>
  <c r="BA1016" i="1"/>
  <c r="BS1016" i="1" s="1"/>
  <c r="BZ1016" i="1" s="1"/>
  <c r="BA1073" i="1"/>
  <c r="BS1073" i="1" s="1"/>
  <c r="BZ1073" i="1" s="1"/>
  <c r="BA1080" i="1"/>
  <c r="BS1080" i="1" s="1"/>
  <c r="BZ1080" i="1" s="1"/>
  <c r="BA1171" i="1"/>
  <c r="BS1171" i="1" s="1"/>
  <c r="BZ1171" i="1" s="1"/>
  <c r="BA1111" i="1"/>
  <c r="BS1111" i="1" s="1"/>
  <c r="BZ1111" i="1" s="1"/>
  <c r="BA1133" i="1"/>
  <c r="BS1133" i="1" s="1"/>
  <c r="BZ1133" i="1" s="1"/>
  <c r="BA1074" i="1"/>
  <c r="BS1074" i="1" s="1"/>
  <c r="BZ1074" i="1" s="1"/>
  <c r="BA1086" i="1"/>
  <c r="BS1086" i="1" s="1"/>
  <c r="BZ1086" i="1" s="1"/>
  <c r="BA1102" i="1"/>
  <c r="BS1102" i="1" s="1"/>
  <c r="BZ1102" i="1" s="1"/>
  <c r="BA1179" i="1"/>
  <c r="BS1179" i="1" s="1"/>
  <c r="BZ1179" i="1" s="1"/>
  <c r="BA982" i="1"/>
  <c r="BS982" i="1" s="1"/>
  <c r="BZ982" i="1" s="1"/>
  <c r="BA1145" i="1"/>
  <c r="BS1145" i="1" s="1"/>
  <c r="BA1041" i="1"/>
  <c r="BS1041" i="1" s="1"/>
  <c r="BZ1041" i="1" s="1"/>
  <c r="BA1095" i="1"/>
  <c r="BS1095" i="1" s="1"/>
  <c r="BZ1095" i="1" s="1"/>
  <c r="BA1176" i="1"/>
  <c r="BS1176" i="1" s="1"/>
  <c r="BZ1176" i="1" s="1"/>
  <c r="BA1188" i="1"/>
  <c r="BS1188" i="1" s="1"/>
  <c r="BZ1188" i="1" s="1"/>
  <c r="BA1139" i="1"/>
  <c r="BS1139" i="1" s="1"/>
  <c r="BZ1139" i="1" s="1"/>
  <c r="BA1196" i="1"/>
  <c r="BS1196" i="1" s="1"/>
  <c r="BZ1196" i="1" s="1"/>
  <c r="BA274" i="1"/>
  <c r="BS274" i="1" s="1"/>
  <c r="BZ274" i="1" s="1"/>
  <c r="BA272" i="1"/>
  <c r="BS272" i="1" s="1"/>
  <c r="BZ272" i="1" s="1"/>
  <c r="BA665" i="1"/>
  <c r="BS665" i="1" s="1"/>
  <c r="BA834" i="1"/>
  <c r="BS834" i="1" s="1"/>
  <c r="BZ834" i="1" s="1"/>
  <c r="BA743" i="1"/>
  <c r="BS743" i="1" s="1"/>
  <c r="BA736" i="1"/>
  <c r="BS736" i="1" s="1"/>
  <c r="BZ736" i="1" s="1"/>
  <c r="BA789" i="1"/>
  <c r="BS789" i="1" s="1"/>
  <c r="BZ789" i="1" s="1"/>
  <c r="BA805" i="1"/>
  <c r="BS805" i="1" s="1"/>
  <c r="BZ805" i="1" s="1"/>
  <c r="BA779" i="1"/>
  <c r="BS779" i="1" s="1"/>
  <c r="BA826" i="1"/>
  <c r="BS826" i="1" s="1"/>
  <c r="BZ826" i="1" s="1"/>
  <c r="BA837" i="1"/>
  <c r="BS837" i="1" s="1"/>
  <c r="BA846" i="1"/>
  <c r="BS846" i="1" s="1"/>
  <c r="BZ846" i="1" s="1"/>
  <c r="BA923" i="1"/>
  <c r="BS923" i="1" s="1"/>
  <c r="BA849" i="1"/>
  <c r="BS849" i="1" s="1"/>
  <c r="BA842" i="1"/>
  <c r="BS842" i="1" s="1"/>
  <c r="BZ842" i="1" s="1"/>
  <c r="BA1007" i="1"/>
  <c r="BS1007" i="1" s="1"/>
  <c r="BA1003" i="1"/>
  <c r="BS1003" i="1" s="1"/>
  <c r="BZ1003" i="1" s="1"/>
  <c r="BA1143" i="1"/>
  <c r="BS1143" i="1" s="1"/>
  <c r="BZ1143" i="1" s="1"/>
  <c r="BA1204" i="1"/>
  <c r="BS1204" i="1" s="1"/>
  <c r="BZ1204" i="1" s="1"/>
  <c r="BA823" i="1"/>
  <c r="BS823" i="1" s="1"/>
  <c r="BZ823" i="1" s="1"/>
  <c r="BA753" i="1"/>
  <c r="BS753" i="1" s="1"/>
  <c r="BA738" i="1"/>
  <c r="BS738" i="1" s="1"/>
  <c r="BZ738" i="1" s="1"/>
  <c r="BA786" i="1"/>
  <c r="BS786" i="1" s="1"/>
  <c r="BZ786" i="1" s="1"/>
  <c r="BA796" i="1"/>
  <c r="BS796" i="1" s="1"/>
  <c r="BZ796" i="1" s="1"/>
  <c r="BA868" i="1"/>
  <c r="BS868" i="1" s="1"/>
  <c r="BZ868" i="1" s="1"/>
  <c r="BA864" i="1"/>
  <c r="BS864" i="1" s="1"/>
  <c r="BZ864" i="1" s="1"/>
  <c r="BA904" i="1"/>
  <c r="BS904" i="1" s="1"/>
  <c r="BZ904" i="1" s="1"/>
  <c r="BA964" i="1"/>
  <c r="BS964" i="1" s="1"/>
  <c r="BZ964" i="1" s="1"/>
  <c r="BA924" i="1"/>
  <c r="BS924" i="1" s="1"/>
  <c r="BA997" i="1"/>
  <c r="BS997" i="1" s="1"/>
  <c r="BZ997" i="1" s="1"/>
  <c r="BA979" i="1"/>
  <c r="BS979" i="1" s="1"/>
  <c r="BZ979" i="1" s="1"/>
  <c r="BA949" i="1"/>
  <c r="BS949" i="1" s="1"/>
  <c r="BA1011" i="1"/>
  <c r="BS1011" i="1" s="1"/>
  <c r="BZ1011" i="1" s="1"/>
  <c r="BA1042" i="1"/>
  <c r="BS1042" i="1" s="1"/>
  <c r="BZ1042" i="1" s="1"/>
  <c r="BA1173" i="1"/>
  <c r="BS1173" i="1" s="1"/>
  <c r="BZ1173" i="1" s="1"/>
  <c r="BA1185" i="1"/>
  <c r="BS1185" i="1" s="1"/>
  <c r="BZ1185" i="1" s="1"/>
  <c r="BA1195" i="1"/>
  <c r="BS1195" i="1" s="1"/>
  <c r="BA1123" i="1"/>
  <c r="BS1123" i="1" s="1"/>
  <c r="BZ1123" i="1" s="1"/>
  <c r="BA1135" i="1"/>
  <c r="BS1135" i="1" s="1"/>
  <c r="BZ1135" i="1" s="1"/>
  <c r="BA960" i="1"/>
  <c r="BS960" i="1" s="1"/>
  <c r="BA1082" i="1"/>
  <c r="BS1082" i="1" s="1"/>
  <c r="BZ1082" i="1" s="1"/>
  <c r="BA1098" i="1"/>
  <c r="BS1098" i="1" s="1"/>
  <c r="BZ1098" i="1" s="1"/>
  <c r="BA1121" i="1"/>
  <c r="BS1121" i="1" s="1"/>
  <c r="BZ1121" i="1" s="1"/>
  <c r="BA1091" i="1"/>
  <c r="BS1091" i="1" s="1"/>
  <c r="BZ1091" i="1" s="1"/>
  <c r="BA1147" i="1"/>
  <c r="BS1147" i="1" s="1"/>
  <c r="BA1153" i="1"/>
  <c r="BS1153" i="1" s="1"/>
  <c r="BZ1153" i="1" s="1"/>
  <c r="BA1184" i="1"/>
  <c r="BS1184" i="1" s="1"/>
  <c r="BZ1184" i="1" s="1"/>
  <c r="BA558" i="1"/>
  <c r="BS558" i="1" s="1"/>
  <c r="BZ558" i="1" s="1"/>
  <c r="BA634" i="1"/>
  <c r="BS634" i="1" s="1"/>
  <c r="BZ634" i="1" s="1"/>
  <c r="BA620" i="1"/>
  <c r="BS620" i="1" s="1"/>
  <c r="BZ620" i="1" s="1"/>
  <c r="BA569" i="1"/>
  <c r="BS569" i="1" s="1"/>
  <c r="BZ569" i="1" s="1"/>
  <c r="BA578" i="1"/>
  <c r="BS578" i="1" s="1"/>
  <c r="BZ578" i="1" s="1"/>
  <c r="BA641" i="1"/>
  <c r="BS641" i="1" s="1"/>
  <c r="BA684" i="1"/>
  <c r="BS684" i="1" s="1"/>
  <c r="BZ684" i="1" s="1"/>
  <c r="BA670" i="1"/>
  <c r="BS670" i="1" s="1"/>
  <c r="BZ670" i="1" s="1"/>
  <c r="BA679" i="1"/>
  <c r="BS679" i="1" s="1"/>
  <c r="BA660" i="1"/>
  <c r="BS660" i="1" s="1"/>
  <c r="BA708" i="1"/>
  <c r="BS708" i="1" s="1"/>
  <c r="BZ708" i="1" s="1"/>
  <c r="BA653" i="1"/>
  <c r="BS653" i="1" s="1"/>
  <c r="BZ653" i="1" s="1"/>
  <c r="BA737" i="1"/>
  <c r="BS737" i="1" s="1"/>
  <c r="BZ737" i="1" s="1"/>
  <c r="BA815" i="1"/>
  <c r="BS815" i="1" s="1"/>
  <c r="BZ815" i="1" s="1"/>
  <c r="BA739" i="1"/>
  <c r="BS739" i="1" s="1"/>
  <c r="BZ739" i="1" s="1"/>
  <c r="BA819" i="1"/>
  <c r="BS819" i="1" s="1"/>
  <c r="BZ819" i="1" s="1"/>
  <c r="BA732" i="1"/>
  <c r="BS732" i="1" s="1"/>
  <c r="BA802" i="1"/>
  <c r="BS802" i="1" s="1"/>
  <c r="BZ802" i="1" s="1"/>
  <c r="BA757" i="1"/>
  <c r="BS757" i="1" s="1"/>
  <c r="BZ757" i="1" s="1"/>
  <c r="BA900" i="1"/>
  <c r="BS900" i="1" s="1"/>
  <c r="BA854" i="1"/>
  <c r="BS854" i="1" s="1"/>
  <c r="BZ854" i="1" s="1"/>
  <c r="BA840" i="1"/>
  <c r="BS840" i="1" s="1"/>
  <c r="BZ840" i="1" s="1"/>
  <c r="BA866" i="1"/>
  <c r="BS866" i="1" s="1"/>
  <c r="BZ866" i="1" s="1"/>
  <c r="BA931" i="1"/>
  <c r="BS931" i="1" s="1"/>
  <c r="BZ931" i="1" s="1"/>
  <c r="BA850" i="1"/>
  <c r="BS850" i="1" s="1"/>
  <c r="BZ850" i="1" s="1"/>
  <c r="BA881" i="1"/>
  <c r="BS881" i="1" s="1"/>
  <c r="BZ881" i="1" s="1"/>
  <c r="BA859" i="1"/>
  <c r="BS859" i="1" s="1"/>
  <c r="BZ859" i="1" s="1"/>
  <c r="BA947" i="1"/>
  <c r="BS947" i="1" s="1"/>
  <c r="BZ947" i="1" s="1"/>
  <c r="BA1026" i="1"/>
  <c r="BS1026" i="1" s="1"/>
  <c r="BZ1026" i="1" s="1"/>
  <c r="BA1020" i="1"/>
  <c r="BS1020" i="1" s="1"/>
  <c r="BZ1020" i="1" s="1"/>
  <c r="BA1058" i="1"/>
  <c r="BS1058" i="1" s="1"/>
  <c r="BZ1058" i="1" s="1"/>
  <c r="BA1066" i="1"/>
  <c r="BS1066" i="1" s="1"/>
  <c r="BZ1066" i="1" s="1"/>
  <c r="BA981" i="1"/>
  <c r="BS981" i="1" s="1"/>
  <c r="BA1038" i="1"/>
  <c r="BS1038" i="1" s="1"/>
  <c r="BZ1038" i="1" s="1"/>
  <c r="BA971" i="1"/>
  <c r="BS971" i="1" s="1"/>
  <c r="BZ971" i="1" s="1"/>
  <c r="BA957" i="1"/>
  <c r="BS957" i="1" s="1"/>
  <c r="BZ957" i="1" s="1"/>
  <c r="BA1116" i="1"/>
  <c r="BS1116" i="1" s="1"/>
  <c r="BZ1116" i="1" s="1"/>
  <c r="BA1175" i="1"/>
  <c r="BS1175" i="1" s="1"/>
  <c r="BZ1175" i="1" s="1"/>
  <c r="BA1199" i="1"/>
  <c r="BS1199" i="1" s="1"/>
  <c r="BZ1199" i="1" s="1"/>
  <c r="BA1115" i="1"/>
  <c r="BS1115" i="1" s="1"/>
  <c r="BZ1115" i="1" s="1"/>
  <c r="BA1094" i="1"/>
  <c r="BS1094" i="1" s="1"/>
  <c r="BZ1094" i="1" s="1"/>
  <c r="BA1072" i="1"/>
  <c r="BS1072" i="1" s="1"/>
  <c r="BA910" i="1"/>
  <c r="BS910" i="1" s="1"/>
  <c r="BZ910" i="1" s="1"/>
  <c r="BA1075" i="1"/>
  <c r="BS1075" i="1" s="1"/>
  <c r="BZ1075" i="1" s="1"/>
  <c r="BA1078" i="1"/>
  <c r="BS1078" i="1" s="1"/>
  <c r="BZ1078" i="1" s="1"/>
  <c r="BA1087" i="1"/>
  <c r="BS1087" i="1" s="1"/>
  <c r="BA1103" i="1"/>
  <c r="BS1103" i="1" s="1"/>
  <c r="BZ1103" i="1" s="1"/>
  <c r="BA1186" i="1"/>
  <c r="BS1186" i="1" s="1"/>
  <c r="BZ1186" i="1" s="1"/>
  <c r="BA1182" i="1"/>
  <c r="BS1182" i="1" s="1"/>
  <c r="BA1178" i="1"/>
  <c r="BS1178" i="1" s="1"/>
  <c r="BZ1178" i="1" s="1"/>
  <c r="BA1174" i="1"/>
  <c r="BS1174" i="1" s="1"/>
  <c r="BZ1174" i="1" s="1"/>
  <c r="BA187" i="1"/>
  <c r="BS187" i="1" s="1"/>
  <c r="BZ187" i="1" s="1"/>
  <c r="BA232" i="1"/>
  <c r="BS232" i="1" s="1"/>
  <c r="BZ232" i="1" s="1"/>
  <c r="BA553" i="1"/>
  <c r="BS553" i="1" s="1"/>
  <c r="BZ553" i="1" s="1"/>
  <c r="BA541" i="1"/>
  <c r="BS541" i="1" s="1"/>
  <c r="BZ541" i="1" s="1"/>
  <c r="BA509" i="1"/>
  <c r="BS509" i="1" s="1"/>
  <c r="BZ509" i="1" s="1"/>
  <c r="BA550" i="1"/>
  <c r="BS550" i="1" s="1"/>
  <c r="BZ550" i="1" s="1"/>
  <c r="BA504" i="1"/>
  <c r="BS504" i="1" s="1"/>
  <c r="BA511" i="1"/>
  <c r="BS511" i="1" s="1"/>
  <c r="BZ511" i="1" s="1"/>
  <c r="BA581" i="1"/>
  <c r="BS581" i="1" s="1"/>
  <c r="BZ581" i="1" s="1"/>
  <c r="BA597" i="1"/>
  <c r="BS597" i="1" s="1"/>
  <c r="BZ597" i="1" s="1"/>
  <c r="BA575" i="1"/>
  <c r="BS575" i="1" s="1"/>
  <c r="BZ575" i="1" s="1"/>
  <c r="BA613" i="1"/>
  <c r="BS613" i="1" s="1"/>
  <c r="BZ613" i="1" s="1"/>
  <c r="BA682" i="1"/>
  <c r="BS682" i="1" s="1"/>
  <c r="BZ682" i="1" s="1"/>
  <c r="BA655" i="1"/>
  <c r="BS655" i="1" s="1"/>
  <c r="BA717" i="1"/>
  <c r="BS717" i="1" s="1"/>
  <c r="BZ717" i="1" s="1"/>
  <c r="BA696" i="1"/>
  <c r="BS696" i="1" s="1"/>
  <c r="BZ696" i="1" s="1"/>
  <c r="BA719" i="1"/>
  <c r="BS719" i="1" s="1"/>
  <c r="BZ719" i="1" s="1"/>
  <c r="BA698" i="1"/>
  <c r="BS698" i="1" s="1"/>
  <c r="BZ698" i="1" s="1"/>
  <c r="BA688" i="1"/>
  <c r="BS688" i="1" s="1"/>
  <c r="BA697" i="1"/>
  <c r="BS697" i="1" s="1"/>
  <c r="BZ697" i="1" s="1"/>
  <c r="BA673" i="1"/>
  <c r="BS673" i="1" s="1"/>
  <c r="BZ673" i="1" s="1"/>
  <c r="BA734" i="1"/>
  <c r="BS734" i="1" s="1"/>
  <c r="BA774" i="1"/>
  <c r="BS774" i="1" s="1"/>
  <c r="BA822" i="1"/>
  <c r="BS822" i="1" s="1"/>
  <c r="BZ822" i="1" s="1"/>
  <c r="BA744" i="1"/>
  <c r="BS744" i="1" s="1"/>
  <c r="BZ744" i="1" s="1"/>
  <c r="BA768" i="1"/>
  <c r="BS768" i="1" s="1"/>
  <c r="BZ768" i="1" s="1"/>
  <c r="BA791" i="1"/>
  <c r="BS791" i="1" s="1"/>
  <c r="BZ791" i="1" s="1"/>
  <c r="BA797" i="1"/>
  <c r="BS797" i="1" s="1"/>
  <c r="BZ797" i="1" s="1"/>
  <c r="BA807" i="1"/>
  <c r="BS807" i="1" s="1"/>
  <c r="BZ807" i="1" s="1"/>
  <c r="BA817" i="1"/>
  <c r="BS817" i="1" s="1"/>
  <c r="BZ817" i="1" s="1"/>
  <c r="BA746" i="1"/>
  <c r="BS746" i="1" s="1"/>
  <c r="BA814" i="1"/>
  <c r="BS814" i="1" s="1"/>
  <c r="BZ814" i="1" s="1"/>
  <c r="BA763" i="1"/>
  <c r="BS763" i="1" s="1"/>
  <c r="BZ763" i="1" s="1"/>
  <c r="BA788" i="1"/>
  <c r="BS788" i="1" s="1"/>
  <c r="BZ788" i="1" s="1"/>
  <c r="BA792" i="1"/>
  <c r="BS792" i="1" s="1"/>
  <c r="BZ792" i="1" s="1"/>
  <c r="BA798" i="1"/>
  <c r="BS798" i="1" s="1"/>
  <c r="BZ798" i="1" s="1"/>
  <c r="BA808" i="1"/>
  <c r="BS808" i="1" s="1"/>
  <c r="BZ808" i="1" s="1"/>
  <c r="BA905" i="1"/>
  <c r="BS905" i="1" s="1"/>
  <c r="BA857" i="1"/>
  <c r="BS857" i="1" s="1"/>
  <c r="BA896" i="1"/>
  <c r="BS896" i="1" s="1"/>
  <c r="BZ896" i="1" s="1"/>
  <c r="BA872" i="1"/>
  <c r="BS872" i="1" s="1"/>
  <c r="BZ872" i="1" s="1"/>
  <c r="BA974" i="1"/>
  <c r="BS974" i="1" s="1"/>
  <c r="BZ974" i="1" s="1"/>
  <c r="BA843" i="1"/>
  <c r="BS843" i="1" s="1"/>
  <c r="BZ843" i="1" s="1"/>
  <c r="BA898" i="1"/>
  <c r="BS898" i="1" s="1"/>
  <c r="BZ898" i="1" s="1"/>
  <c r="BA963" i="1"/>
  <c r="BS963" i="1" s="1"/>
  <c r="BZ963" i="1" s="1"/>
  <c r="BA1019" i="1"/>
  <c r="BS1019" i="1" s="1"/>
  <c r="BA1053" i="1"/>
  <c r="BS1053" i="1" s="1"/>
  <c r="BA1061" i="1"/>
  <c r="BS1061" i="1" s="1"/>
  <c r="BZ1061" i="1" s="1"/>
  <c r="BA1037" i="1"/>
  <c r="BS1037" i="1" s="1"/>
  <c r="BZ1037" i="1" s="1"/>
  <c r="BA1022" i="1"/>
  <c r="BS1022" i="1" s="1"/>
  <c r="BZ1022" i="1" s="1"/>
  <c r="BA906" i="1"/>
  <c r="BS906" i="1" s="1"/>
  <c r="BA967" i="1"/>
  <c r="BS967" i="1" s="1"/>
  <c r="BZ967" i="1" s="1"/>
  <c r="BA1039" i="1"/>
  <c r="BS1039" i="1" s="1"/>
  <c r="BZ1039" i="1" s="1"/>
  <c r="BA1045" i="1"/>
  <c r="BS1045" i="1" s="1"/>
  <c r="BA1108" i="1"/>
  <c r="BS1108" i="1" s="1"/>
  <c r="BA1076" i="1"/>
  <c r="BS1076" i="1" s="1"/>
  <c r="BZ1076" i="1" s="1"/>
  <c r="BA1181" i="1"/>
  <c r="BS1181" i="1" s="1"/>
  <c r="BZ1181" i="1" s="1"/>
  <c r="BA1144" i="1"/>
  <c r="BS1144" i="1" s="1"/>
  <c r="BZ1144" i="1" s="1"/>
  <c r="BA1165" i="1"/>
  <c r="BS1165" i="1" s="1"/>
  <c r="BA1084" i="1"/>
  <c r="BS1084" i="1" s="1"/>
  <c r="BZ1084" i="1" s="1"/>
  <c r="BA1100" i="1"/>
  <c r="BS1100" i="1" s="1"/>
  <c r="BZ1100" i="1" s="1"/>
  <c r="BA1158" i="1"/>
  <c r="BS1158" i="1" s="1"/>
  <c r="BZ1158" i="1" s="1"/>
  <c r="BA1051" i="1"/>
  <c r="BS1051" i="1" s="1"/>
  <c r="BA1093" i="1"/>
  <c r="BS1093" i="1" s="1"/>
  <c r="BZ1093" i="1" s="1"/>
  <c r="BA1194" i="1"/>
  <c r="BS1194" i="1" s="1"/>
  <c r="BA1190" i="1"/>
  <c r="BS1190" i="1" s="1"/>
  <c r="BZ1190" i="1" s="1"/>
  <c r="BA194" i="1"/>
  <c r="BS194" i="1" s="1"/>
  <c r="BA210" i="1"/>
  <c r="BS210" i="1" s="1"/>
  <c r="BA208" i="1"/>
  <c r="BS208" i="1" s="1"/>
  <c r="BA491" i="1"/>
  <c r="BS491" i="1" s="1"/>
  <c r="BA610" i="1"/>
  <c r="BS610" i="1" s="1"/>
  <c r="BA621" i="1"/>
  <c r="BS621" i="1" s="1"/>
  <c r="BA699" i="1"/>
  <c r="BS699" i="1" s="1"/>
  <c r="BA883" i="1"/>
  <c r="BS883" i="1" s="1"/>
  <c r="BA174" i="1"/>
  <c r="BS174" i="1" s="1"/>
  <c r="BA201" i="1"/>
  <c r="BS201" i="1" s="1"/>
  <c r="BA494" i="1"/>
  <c r="BS494" i="1" s="1"/>
  <c r="BA588" i="1"/>
  <c r="BS588" i="1" s="1"/>
  <c r="BA600" i="1"/>
  <c r="BS600" i="1" s="1"/>
  <c r="BA616" i="1"/>
  <c r="BS616" i="1" s="1"/>
  <c r="BA714" i="1"/>
  <c r="BS714" i="1" s="1"/>
  <c r="BA821" i="1"/>
  <c r="BS821" i="1" s="1"/>
  <c r="BA882" i="1"/>
  <c r="BS882" i="1" s="1"/>
  <c r="BA169" i="1"/>
  <c r="BS169" i="1" s="1"/>
  <c r="BA220" i="1"/>
  <c r="BS220" i="1" s="1"/>
  <c r="BA482" i="1"/>
  <c r="BS482" i="1" s="1"/>
  <c r="BA492" i="1"/>
  <c r="BS492" i="1" s="1"/>
  <c r="BA592" i="1"/>
  <c r="BS592" i="1" s="1"/>
  <c r="BA612" i="1"/>
  <c r="BS612" i="1" s="1"/>
  <c r="BA887" i="1"/>
  <c r="BS887" i="1" s="1"/>
  <c r="BA874" i="1"/>
  <c r="BS874" i="1" s="1"/>
  <c r="BA495" i="1"/>
  <c r="BS495" i="1" s="1"/>
  <c r="BA594" i="1"/>
  <c r="BS594" i="1" s="1"/>
  <c r="BA602" i="1"/>
  <c r="BS602" i="1" s="1"/>
  <c r="BA886" i="1"/>
  <c r="BS886" i="1" s="1"/>
  <c r="BA179" i="1"/>
  <c r="BS179" i="1" s="1"/>
  <c r="BA184" i="1"/>
  <c r="BS184" i="1" s="1"/>
  <c r="BA224" i="1"/>
  <c r="BS224" i="1" s="1"/>
  <c r="BA490" i="1"/>
  <c r="BS490" i="1" s="1"/>
  <c r="BA489" i="1"/>
  <c r="BS489" i="1" s="1"/>
  <c r="BA608" i="1"/>
  <c r="BS608" i="1" s="1"/>
  <c r="BA832" i="1"/>
  <c r="BS832" i="1" s="1"/>
  <c r="BA879" i="1"/>
  <c r="BS879" i="1" s="1"/>
  <c r="BA1136" i="1"/>
  <c r="BS1136" i="1" s="1"/>
  <c r="BA716" i="1"/>
  <c r="BS716" i="1" s="1"/>
  <c r="BA727" i="1"/>
  <c r="BS727" i="1" s="1"/>
  <c r="BA723" i="1"/>
  <c r="BS723" i="1" s="1"/>
  <c r="BA835" i="1"/>
  <c r="BS835" i="1" s="1"/>
  <c r="BA86" i="1" l="1"/>
  <c r="BS86" i="1" s="1"/>
  <c r="BZ86" i="1" s="1"/>
  <c r="BA107" i="1"/>
  <c r="BS107" i="1" s="1"/>
  <c r="BZ107" i="1" s="1"/>
  <c r="BA147" i="1"/>
  <c r="BS147" i="1" s="1"/>
  <c r="BZ147" i="1" s="1"/>
  <c r="BA140" i="1"/>
  <c r="BS140" i="1" s="1"/>
  <c r="BZ140" i="1" s="1"/>
  <c r="BA63" i="1"/>
  <c r="BS63" i="1" s="1"/>
  <c r="BZ63" i="1" s="1"/>
  <c r="BA102" i="1"/>
  <c r="BS102" i="1" s="1"/>
  <c r="BZ102" i="1" s="1"/>
  <c r="BA111" i="1"/>
  <c r="BS111" i="1" s="1"/>
  <c r="BA115" i="1"/>
  <c r="BS115" i="1" s="1"/>
  <c r="BZ115" i="1" s="1"/>
  <c r="BA141" i="1"/>
  <c r="BS141" i="1" s="1"/>
  <c r="BZ141" i="1" s="1"/>
  <c r="BA145" i="1"/>
  <c r="BS145" i="1" s="1"/>
  <c r="BZ145" i="1" s="1"/>
  <c r="BA116" i="1"/>
  <c r="BS116" i="1" s="1"/>
  <c r="BZ116" i="1" s="1"/>
  <c r="BA137" i="1"/>
  <c r="BS137" i="1" s="1"/>
  <c r="BZ137" i="1" s="1"/>
  <c r="BA150" i="1"/>
  <c r="BS150" i="1" s="1"/>
  <c r="BZ150" i="1" s="1"/>
  <c r="BA39" i="1"/>
  <c r="BS39" i="1" s="1"/>
  <c r="BZ39" i="1" s="1"/>
  <c r="BA125" i="1"/>
  <c r="BS125" i="1" s="1"/>
  <c r="BZ125" i="1" s="1"/>
  <c r="BA72" i="1"/>
  <c r="BS72" i="1" s="1"/>
  <c r="BZ72" i="1" s="1"/>
  <c r="BA135" i="1"/>
  <c r="BS135" i="1" s="1"/>
  <c r="BZ135" i="1" s="1"/>
  <c r="BA136" i="1"/>
  <c r="BS136" i="1" s="1"/>
  <c r="BZ136" i="1" s="1"/>
  <c r="BA159" i="1"/>
  <c r="BS159" i="1" s="1"/>
  <c r="BZ159" i="1" s="1"/>
  <c r="BA149" i="1"/>
  <c r="BS149" i="1" s="1"/>
  <c r="BA151" i="1"/>
  <c r="BS151" i="1" s="1"/>
  <c r="BZ151" i="1" s="1"/>
  <c r="BA104" i="1"/>
  <c r="BS104" i="1" s="1"/>
  <c r="BZ104" i="1" s="1"/>
  <c r="BA157" i="1"/>
  <c r="BS157" i="1" s="1"/>
  <c r="BZ157" i="1" s="1"/>
  <c r="BA103" i="1"/>
  <c r="BS103" i="1" s="1"/>
  <c r="BZ103" i="1" s="1"/>
  <c r="BA36" i="1"/>
  <c r="BS36" i="1" s="1"/>
  <c r="BZ36" i="1" s="1"/>
  <c r="BA155" i="1"/>
  <c r="BS155" i="1" s="1"/>
  <c r="BZ155" i="1" s="1"/>
  <c r="BA142" i="1"/>
  <c r="BS142" i="1" s="1"/>
  <c r="BZ142" i="1" s="1"/>
  <c r="BA23" i="1"/>
  <c r="BS23" i="1" s="1"/>
  <c r="BZ23" i="1" s="1"/>
  <c r="BA168" i="1"/>
  <c r="BS168" i="1" s="1"/>
  <c r="BZ168" i="1" s="1"/>
  <c r="BA158" i="1"/>
  <c r="BS158" i="1" s="1"/>
  <c r="BZ158" i="1" s="1"/>
  <c r="BA108" i="1"/>
  <c r="BS108" i="1" s="1"/>
  <c r="BZ108" i="1" s="1"/>
  <c r="BA117" i="1"/>
  <c r="BS117" i="1" s="1"/>
  <c r="BZ117" i="1" s="1"/>
  <c r="BA122" i="1"/>
  <c r="BS122" i="1" s="1"/>
  <c r="BZ122" i="1" s="1"/>
  <c r="BA48" i="1"/>
  <c r="BS48" i="1" s="1"/>
  <c r="BZ48" i="1" s="1"/>
  <c r="BA87" i="1"/>
  <c r="BS87" i="1" s="1"/>
  <c r="BZ87" i="1" s="1"/>
  <c r="BA131" i="1"/>
  <c r="BS131" i="1" s="1"/>
  <c r="BZ131" i="1" s="1"/>
  <c r="BA123" i="1"/>
  <c r="BS123" i="1" s="1"/>
  <c r="BZ123" i="1" s="1"/>
  <c r="BA165" i="1"/>
  <c r="BS165" i="1" s="1"/>
  <c r="BZ165" i="1" s="1"/>
  <c r="BA132" i="1"/>
  <c r="BS132" i="1" s="1"/>
  <c r="BZ132" i="1" s="1"/>
  <c r="BA109" i="1"/>
  <c r="BS109" i="1" s="1"/>
  <c r="BZ109" i="1" s="1"/>
  <c r="BA118" i="1"/>
  <c r="BS118" i="1" s="1"/>
  <c r="BZ118" i="1" s="1"/>
  <c r="BA64" i="1"/>
  <c r="BS64" i="1" s="1"/>
  <c r="BZ64" i="1" s="1"/>
  <c r="BA96" i="1"/>
  <c r="BS96" i="1" s="1"/>
  <c r="BZ96" i="1" s="1"/>
  <c r="BA139" i="1"/>
  <c r="BS139" i="1" s="1"/>
  <c r="BZ139" i="1" s="1"/>
  <c r="BA124" i="1"/>
  <c r="BS124" i="1" s="1"/>
  <c r="BZ124" i="1" s="1"/>
  <c r="BA112" i="1"/>
  <c r="BS112" i="1" s="1"/>
  <c r="BZ112" i="1" s="1"/>
  <c r="BA110" i="1"/>
  <c r="BS110" i="1" s="1"/>
  <c r="BZ110" i="1" s="1"/>
  <c r="BA121" i="1"/>
  <c r="BS121" i="1" s="1"/>
  <c r="BZ121" i="1" s="1"/>
  <c r="BA143" i="1"/>
  <c r="BS143" i="1" s="1"/>
  <c r="BZ143" i="1" s="1"/>
  <c r="BA161" i="1"/>
  <c r="BS161" i="1" s="1"/>
  <c r="BZ161" i="1" s="1"/>
  <c r="BA95" i="1"/>
  <c r="BS95" i="1" s="1"/>
  <c r="BZ95" i="1" s="1"/>
  <c r="BA88" i="1"/>
  <c r="BS88" i="1" s="1"/>
  <c r="BZ88" i="1" s="1"/>
  <c r="BA78" i="1"/>
  <c r="BS78" i="1" s="1"/>
  <c r="BZ78" i="1" s="1"/>
  <c r="BA128" i="1"/>
  <c r="BS128" i="1" s="1"/>
  <c r="BZ128" i="1" s="1"/>
  <c r="BA162" i="1"/>
  <c r="BS162" i="1" s="1"/>
  <c r="BZ162" i="1" s="1"/>
  <c r="BA129" i="1"/>
  <c r="BS129" i="1" s="1"/>
  <c r="BZ129" i="1" s="1"/>
  <c r="BA152" i="1"/>
  <c r="BS152" i="1" s="1"/>
  <c r="BZ152" i="1" s="1"/>
  <c r="BA156" i="1"/>
  <c r="BS156" i="1" s="1"/>
  <c r="BZ156" i="1" s="1"/>
  <c r="BA153" i="1"/>
  <c r="BS153" i="1" s="1"/>
  <c r="BZ153" i="1" s="1"/>
  <c r="BA89" i="1"/>
  <c r="BS89" i="1" s="1"/>
  <c r="BZ89" i="1" s="1"/>
  <c r="BA133" i="1"/>
  <c r="BS133" i="1" s="1"/>
  <c r="BZ133" i="1" s="1"/>
  <c r="BA144" i="1"/>
  <c r="BS144" i="1" s="1"/>
  <c r="BZ144" i="1" s="1"/>
  <c r="BA138" i="1"/>
  <c r="BS138" i="1" s="1"/>
  <c r="BZ138" i="1" s="1"/>
  <c r="BA114" i="1"/>
  <c r="BS114" i="1" s="1"/>
  <c r="BZ114" i="1" s="1"/>
  <c r="BA127" i="1"/>
  <c r="BS127" i="1" s="1"/>
  <c r="BZ127" i="1" s="1"/>
  <c r="BA55" i="1"/>
  <c r="BS55" i="1" s="1"/>
  <c r="BZ55" i="1" s="1"/>
  <c r="BA146" i="1"/>
  <c r="BS146" i="1" s="1"/>
  <c r="BA160" i="1"/>
  <c r="BS160" i="1" s="1"/>
  <c r="BA80" i="1"/>
  <c r="BS80" i="1" s="1"/>
  <c r="BZ80" i="1" s="1"/>
  <c r="BA98" i="1"/>
  <c r="BS98" i="1" s="1"/>
  <c r="BZ98" i="1" s="1"/>
  <c r="BA100" i="1"/>
  <c r="BS100" i="1" s="1"/>
  <c r="BZ100" i="1" s="1"/>
  <c r="BA119" i="1"/>
  <c r="BS119" i="1" s="1"/>
  <c r="BZ119" i="1" s="1"/>
  <c r="BA148" i="1"/>
  <c r="BS148" i="1" s="1"/>
  <c r="BZ148" i="1" s="1"/>
  <c r="BA120" i="1"/>
  <c r="BS120" i="1" s="1"/>
  <c r="BZ120" i="1" s="1"/>
  <c r="BA65" i="1"/>
  <c r="BS65" i="1" s="1"/>
  <c r="BZ65" i="1" s="1"/>
  <c r="BA101" i="1"/>
  <c r="BS101" i="1" s="1"/>
  <c r="BZ101" i="1" s="1"/>
  <c r="BA130" i="1"/>
  <c r="BS130" i="1" s="1"/>
  <c r="BZ130" i="1" s="1"/>
  <c r="BA105" i="1"/>
  <c r="BS105" i="1" s="1"/>
  <c r="BZ105" i="1" s="1"/>
  <c r="BA41" i="1"/>
  <c r="BS41" i="1" s="1"/>
  <c r="BZ41" i="1" s="1"/>
  <c r="BA97" i="1"/>
  <c r="BS97" i="1" s="1"/>
  <c r="BZ97" i="1" s="1"/>
  <c r="BA15" i="1"/>
  <c r="BS15" i="1" s="1"/>
  <c r="BZ15" i="1" s="1"/>
  <c r="BA113" i="1"/>
  <c r="BS113" i="1" s="1"/>
  <c r="BZ113" i="1" s="1"/>
  <c r="BA56" i="1"/>
  <c r="BS56" i="1" s="1"/>
  <c r="BZ56" i="1" s="1"/>
  <c r="BA57" i="1"/>
  <c r="BS57" i="1" s="1"/>
  <c r="BZ57" i="1" s="1"/>
  <c r="BA99" i="1"/>
  <c r="BS99" i="1" s="1"/>
  <c r="BZ99" i="1" s="1"/>
  <c r="BA31" i="1"/>
  <c r="BS31" i="1" s="1"/>
  <c r="BZ31" i="1" s="1"/>
  <c r="BA70" i="1"/>
  <c r="BS70" i="1" s="1"/>
  <c r="BZ70" i="1" s="1"/>
  <c r="BA21" i="1"/>
  <c r="BS21" i="1" s="1"/>
  <c r="BZ21" i="1" s="1"/>
  <c r="BA73" i="1"/>
  <c r="BS73" i="1" s="1"/>
  <c r="BZ73" i="1" s="1"/>
  <c r="BA12" i="1"/>
  <c r="BS12" i="1" s="1"/>
  <c r="BZ12" i="1" s="1"/>
  <c r="BA71" i="1"/>
  <c r="BS71" i="1" s="1"/>
  <c r="BZ71" i="1" s="1"/>
  <c r="BA106" i="1"/>
  <c r="BS106" i="1" s="1"/>
  <c r="BZ106" i="1" s="1"/>
  <c r="BA79" i="1"/>
  <c r="BS79" i="1" s="1"/>
  <c r="BZ79" i="1" s="1"/>
  <c r="BA94" i="1"/>
  <c r="BS94" i="1" s="1"/>
  <c r="BZ94" i="1" s="1"/>
  <c r="BA27" i="1"/>
  <c r="BS27" i="1" s="1"/>
  <c r="BZ27" i="1" s="1"/>
  <c r="BA81" i="1"/>
  <c r="BS81" i="1" s="1"/>
  <c r="BZ81" i="1" s="1"/>
  <c r="BA62" i="1"/>
  <c r="BS62" i="1" s="1"/>
  <c r="BZ62" i="1" s="1"/>
  <c r="BA93" i="1"/>
  <c r="BS93" i="1" s="1"/>
  <c r="BZ93" i="1" s="1"/>
  <c r="BA47" i="1"/>
  <c r="BS47" i="1" s="1"/>
  <c r="BZ47" i="1" s="1"/>
  <c r="BA46" i="1"/>
  <c r="BS46" i="1" s="1"/>
  <c r="BZ46" i="1" s="1"/>
  <c r="BA35" i="1"/>
  <c r="BS35" i="1" s="1"/>
  <c r="BZ35" i="1" s="1"/>
  <c r="BA49" i="1"/>
  <c r="BS49" i="1" s="1"/>
  <c r="BZ49" i="1" s="1"/>
  <c r="BA25" i="1"/>
  <c r="BS25" i="1" s="1"/>
  <c r="BZ25" i="1" s="1"/>
  <c r="BA54" i="1"/>
  <c r="BS54" i="1" s="1"/>
  <c r="BZ54" i="1" s="1"/>
  <c r="BA34" i="1"/>
  <c r="BS34" i="1" s="1"/>
  <c r="BZ34" i="1" s="1"/>
  <c r="BA42" i="1"/>
  <c r="BS42" i="1" s="1"/>
  <c r="BZ42" i="1" s="1"/>
  <c r="BA92" i="1"/>
  <c r="BS92" i="1" s="1"/>
  <c r="BZ92" i="1" s="1"/>
  <c r="BA60" i="1"/>
  <c r="BS60" i="1" s="1"/>
  <c r="BZ60" i="1" s="1"/>
  <c r="BA13" i="1"/>
  <c r="BS13" i="1" s="1"/>
  <c r="BZ13" i="1" s="1"/>
  <c r="BA53" i="1"/>
  <c r="BS53" i="1" s="1"/>
  <c r="BZ53" i="1" s="1"/>
  <c r="BA20" i="1"/>
  <c r="BS20" i="1" s="1"/>
  <c r="BZ20" i="1" s="1"/>
  <c r="BA85" i="1"/>
  <c r="BS85" i="1" s="1"/>
  <c r="BZ85" i="1" s="1"/>
  <c r="BA33" i="1"/>
  <c r="BS33" i="1" s="1"/>
  <c r="BZ33" i="1" s="1"/>
  <c r="BA43" i="1"/>
  <c r="BS43" i="1" s="1"/>
  <c r="BZ43" i="1" s="1"/>
  <c r="BA30" i="1"/>
  <c r="BS30" i="1" s="1"/>
  <c r="BZ30" i="1" s="1"/>
  <c r="BA18" i="1"/>
  <c r="BS18" i="1" s="1"/>
  <c r="BZ18" i="1" s="1"/>
  <c r="BA84" i="1"/>
  <c r="BS84" i="1" s="1"/>
  <c r="BZ84" i="1" s="1"/>
  <c r="BA40" i="1"/>
  <c r="BS40" i="1" s="1"/>
  <c r="BZ40" i="1" s="1"/>
  <c r="BA75" i="1"/>
  <c r="BS75" i="1" s="1"/>
  <c r="BZ75" i="1" s="1"/>
  <c r="BA50" i="1"/>
  <c r="BS50" i="1" s="1"/>
  <c r="BZ50" i="1" s="1"/>
  <c r="BA69" i="1"/>
  <c r="BS69" i="1" s="1"/>
  <c r="BZ69" i="1" s="1"/>
  <c r="BA17" i="1"/>
  <c r="BS17" i="1" s="1"/>
  <c r="BZ17" i="1" s="1"/>
  <c r="BA37" i="1"/>
  <c r="BS37" i="1" s="1"/>
  <c r="BZ37" i="1" s="1"/>
  <c r="BA76" i="1"/>
  <c r="BS76" i="1" s="1"/>
  <c r="BZ76" i="1" s="1"/>
  <c r="BA61" i="1"/>
  <c r="BS61" i="1" s="1"/>
  <c r="BZ61" i="1" s="1"/>
  <c r="BA90" i="1"/>
  <c r="BS90" i="1" s="1"/>
  <c r="BZ90" i="1" s="1"/>
  <c r="BA68" i="1"/>
  <c r="BS68" i="1" s="1"/>
  <c r="BZ68" i="1" s="1"/>
  <c r="BA11" i="1"/>
  <c r="BS11" i="1" s="1"/>
  <c r="BZ11" i="1" s="1"/>
  <c r="BA91" i="1"/>
  <c r="BS91" i="1" s="1"/>
  <c r="BZ91" i="1" s="1"/>
  <c r="BA82" i="1"/>
  <c r="BS82" i="1" s="1"/>
  <c r="BZ82" i="1" s="1"/>
  <c r="BA16" i="1"/>
  <c r="BS16" i="1" s="1"/>
  <c r="BZ16" i="1" s="1"/>
  <c r="BA58" i="1"/>
  <c r="BS58" i="1" s="1"/>
  <c r="BZ58" i="1" s="1"/>
  <c r="BA83" i="1"/>
  <c r="BS83" i="1" s="1"/>
  <c r="BZ83" i="1" s="1"/>
  <c r="BA67" i="1"/>
  <c r="BS67" i="1" s="1"/>
  <c r="BZ67" i="1" s="1"/>
  <c r="BA66" i="1"/>
  <c r="BS66" i="1" s="1"/>
  <c r="BZ66" i="1" s="1"/>
  <c r="BA19" i="1"/>
  <c r="BS19" i="1" s="1"/>
  <c r="BZ19" i="1" s="1"/>
  <c r="BA10" i="1"/>
  <c r="BS10" i="1" s="1"/>
  <c r="BZ10" i="1" s="1"/>
  <c r="BA14" i="1"/>
  <c r="BS14" i="1" s="1"/>
  <c r="BZ14" i="1" s="1"/>
  <c r="BA77" i="1"/>
  <c r="BS77" i="1" s="1"/>
  <c r="BZ77" i="1" s="1"/>
  <c r="BA74" i="1"/>
  <c r="BS74" i="1" s="1"/>
  <c r="BZ74" i="1" s="1"/>
  <c r="BA32" i="1"/>
  <c r="BS32" i="1" s="1"/>
  <c r="BA28" i="1"/>
  <c r="BS28" i="1" s="1"/>
  <c r="BZ28" i="1" s="1"/>
  <c r="BA26" i="1"/>
  <c r="BS26" i="1" s="1"/>
  <c r="BA59" i="1"/>
  <c r="BS59" i="1" s="1"/>
  <c r="BZ59" i="1" s="1"/>
  <c r="BA44" i="1"/>
  <c r="BS44" i="1" s="1"/>
  <c r="BZ44" i="1" s="1"/>
  <c r="BA29" i="1"/>
  <c r="BS29" i="1" s="1"/>
  <c r="BZ29" i="1" s="1"/>
  <c r="BA8" i="1"/>
  <c r="BS8" i="1" s="1"/>
  <c r="BZ8" i="1" s="1"/>
  <c r="BA51" i="1"/>
  <c r="BS51" i="1" s="1"/>
  <c r="BZ51" i="1" s="1"/>
  <c r="BA22" i="1"/>
  <c r="BS22" i="1" s="1"/>
  <c r="BZ22" i="1" s="1"/>
  <c r="BA52" i="1"/>
  <c r="BS52" i="1" s="1"/>
  <c r="BZ52" i="1" s="1"/>
  <c r="BA9" i="1"/>
  <c r="BS9" i="1" s="1"/>
  <c r="BZ9" i="1" s="1"/>
  <c r="BA45" i="1"/>
  <c r="BS45" i="1" s="1"/>
  <c r="BZ45" i="1" s="1"/>
  <c r="BA38" i="1"/>
  <c r="BS38" i="1" s="1"/>
  <c r="BZ38" i="1" s="1"/>
  <c r="BA24" i="1"/>
  <c r="BS24" i="1" s="1"/>
  <c r="BZ24" i="1" s="1"/>
  <c r="BT537" i="1"/>
  <c r="BZ529" i="1"/>
  <c r="BT1203" i="1"/>
  <c r="BT376" i="1"/>
  <c r="BT393" i="1"/>
  <c r="BT386" i="1"/>
  <c r="BT327" i="1"/>
  <c r="BT1123" i="1"/>
  <c r="J147" i="1" s="1"/>
  <c r="BZ1194" i="1"/>
  <c r="CA1194" i="1" s="1"/>
  <c r="BT288" i="1"/>
  <c r="BT242" i="1"/>
  <c r="BZ387" i="1"/>
  <c r="CA398" i="1" s="1"/>
  <c r="BZ378" i="1"/>
  <c r="BT1029" i="1"/>
  <c r="BT931" i="1"/>
  <c r="J131" i="1" s="1"/>
  <c r="BT243" i="1"/>
  <c r="BT238" i="1"/>
  <c r="CA1219" i="1"/>
  <c r="BT330" i="1"/>
  <c r="BT316" i="1"/>
  <c r="BT370" i="1"/>
  <c r="BT1165" i="1"/>
  <c r="BT1157" i="1"/>
  <c r="BT541" i="1"/>
  <c r="BT989" i="1"/>
  <c r="BT395" i="1"/>
  <c r="BT536" i="1"/>
  <c r="BZ287" i="1"/>
  <c r="CA293" i="1" s="1"/>
  <c r="BT920" i="1"/>
  <c r="BT1155" i="1"/>
  <c r="BT712" i="1"/>
  <c r="BT968" i="1"/>
  <c r="BT434" i="1"/>
  <c r="BT899" i="1"/>
  <c r="BT379" i="1"/>
  <c r="J85" i="1" s="1"/>
  <c r="J138" i="10" s="1"/>
  <c r="BT535" i="1"/>
  <c r="J98" i="1" s="1"/>
  <c r="BT674" i="1"/>
  <c r="BT409" i="1"/>
  <c r="BT538" i="1"/>
  <c r="BZ368" i="1"/>
  <c r="BT378" i="1"/>
  <c r="BT539" i="1"/>
  <c r="BT540" i="1"/>
  <c r="BT1150" i="1"/>
  <c r="BZ1155" i="1"/>
  <c r="CA1162" i="1" s="1"/>
  <c r="BT1219" i="1"/>
  <c r="BT921" i="1"/>
  <c r="BT325" i="1"/>
  <c r="BT713" i="1"/>
  <c r="BT1148" i="1"/>
  <c r="BT1218" i="1"/>
  <c r="BZ321" i="1"/>
  <c r="CA328" i="1" s="1"/>
  <c r="BT534" i="1"/>
  <c r="BT654" i="1"/>
  <c r="BT331" i="1"/>
  <c r="J81" i="1" s="1"/>
  <c r="J134" i="10" s="1"/>
  <c r="BZ664" i="1"/>
  <c r="BT700" i="1"/>
  <c r="BT730" i="1"/>
  <c r="BZ385" i="1"/>
  <c r="BT469" i="1"/>
  <c r="BT516" i="1"/>
  <c r="BZ1145" i="1"/>
  <c r="BZ532" i="1"/>
  <c r="CA541" i="1" s="1"/>
  <c r="BT652" i="1"/>
  <c r="BT1149" i="1"/>
  <c r="BT947" i="1"/>
  <c r="BT1028" i="1"/>
  <c r="BT348" i="1"/>
  <c r="BT533" i="1"/>
  <c r="BT711" i="1"/>
  <c r="BT375" i="1"/>
  <c r="BT519" i="1"/>
  <c r="BT1067" i="1"/>
  <c r="BT308" i="1"/>
  <c r="BT377" i="1"/>
  <c r="BZ958" i="1"/>
  <c r="BT429" i="1"/>
  <c r="BT182" i="1"/>
  <c r="BT1152" i="1"/>
  <c r="BT776" i="1"/>
  <c r="BT932" i="1"/>
  <c r="BT1002" i="1"/>
  <c r="BT1066" i="1"/>
  <c r="BZ978" i="1"/>
  <c r="BT900" i="1"/>
  <c r="BT847" i="1"/>
  <c r="J124" i="1" s="1"/>
  <c r="BT675" i="1"/>
  <c r="BT673" i="1"/>
  <c r="BT549" i="1"/>
  <c r="BT1004" i="1"/>
  <c r="BT415" i="1"/>
  <c r="J88" i="1" s="1"/>
  <c r="J141" i="10" s="1"/>
  <c r="BT271" i="1"/>
  <c r="J76" i="1" s="1"/>
  <c r="J129" i="10" s="1"/>
  <c r="BT437" i="1"/>
  <c r="BT270" i="1"/>
  <c r="BT433" i="1"/>
  <c r="BT643" i="1"/>
  <c r="J107" i="1" s="1"/>
  <c r="BT925" i="1"/>
  <c r="BT789" i="1"/>
  <c r="BT640" i="1"/>
  <c r="BT939" i="1"/>
  <c r="BT287" i="1"/>
  <c r="BT240" i="1"/>
  <c r="BT587" i="1"/>
  <c r="BT1069" i="1"/>
  <c r="BT436" i="1"/>
  <c r="BT955" i="1"/>
  <c r="J133" i="1" s="1"/>
  <c r="BT396" i="1"/>
  <c r="BT286" i="1"/>
  <c r="BT924" i="1"/>
  <c r="BT560" i="1"/>
  <c r="BT439" i="1"/>
  <c r="J90" i="1" s="1"/>
  <c r="J143" i="10" s="1"/>
  <c r="BT334" i="1"/>
  <c r="BZ900" i="1"/>
  <c r="CA900" i="1" s="1"/>
  <c r="BT440" i="1"/>
  <c r="BT388" i="1"/>
  <c r="BT432" i="1"/>
  <c r="BZ934" i="1"/>
  <c r="BZ837" i="1"/>
  <c r="CA847" i="1" s="1"/>
  <c r="K124" i="1" s="1"/>
  <c r="BZ665" i="1"/>
  <c r="CA676" i="1" s="1"/>
  <c r="BT548" i="1"/>
  <c r="BT1202" i="1"/>
  <c r="BT544" i="1"/>
  <c r="BT923" i="1"/>
  <c r="BT677" i="1"/>
  <c r="BT398" i="1"/>
  <c r="BT1160" i="1"/>
  <c r="BT1175" i="1"/>
  <c r="BZ994" i="1"/>
  <c r="CA1004" i="1" s="1"/>
  <c r="BT292" i="1"/>
  <c r="BT430" i="1"/>
  <c r="BT391" i="1"/>
  <c r="J86" i="1" s="1"/>
  <c r="J139" i="10" s="1"/>
  <c r="BZ240" i="1"/>
  <c r="CA244" i="1" s="1"/>
  <c r="BT241" i="1"/>
  <c r="BT1151" i="1"/>
  <c r="BZ640" i="1"/>
  <c r="BT825" i="1"/>
  <c r="BT326" i="1"/>
  <c r="BT997" i="1"/>
  <c r="BT994" i="1"/>
  <c r="BZ940" i="1"/>
  <c r="BZ413" i="1"/>
  <c r="BZ260" i="1"/>
  <c r="BT1159" i="1"/>
  <c r="J150" i="1" s="1"/>
  <c r="BT1032" i="1"/>
  <c r="BT347" i="1"/>
  <c r="BZ425" i="1"/>
  <c r="BT389" i="1"/>
  <c r="BT332" i="1"/>
  <c r="BT244" i="1"/>
  <c r="BT1000" i="1"/>
  <c r="BT380" i="1"/>
  <c r="BZ1060" i="1"/>
  <c r="CA1070" i="1" s="1"/>
  <c r="BZ508" i="1"/>
  <c r="CA518" i="1" s="1"/>
  <c r="BZ781" i="1"/>
  <c r="CA791" i="1" s="1"/>
  <c r="BT399" i="1"/>
  <c r="BZ126" i="1"/>
  <c r="BT381" i="1"/>
  <c r="BT197" i="1"/>
  <c r="BT949" i="1"/>
  <c r="BT547" i="1"/>
  <c r="J99" i="1" s="1"/>
  <c r="BZ922" i="1"/>
  <c r="BT951" i="1"/>
  <c r="BT672" i="1"/>
  <c r="BT553" i="1"/>
  <c r="BZ522" i="1"/>
  <c r="BZ259" i="1"/>
  <c r="BT1162" i="1"/>
  <c r="BT289" i="1"/>
  <c r="BT290" i="1"/>
  <c r="BZ641" i="1"/>
  <c r="BT293" i="1"/>
  <c r="BT1124" i="1"/>
  <c r="BT1071" i="1"/>
  <c r="BZ1057" i="1"/>
  <c r="BT390" i="1"/>
  <c r="BT1061" i="1"/>
  <c r="BT1112" i="1"/>
  <c r="BT1063" i="1"/>
  <c r="J142" i="1" s="1"/>
  <c r="BT864" i="1"/>
  <c r="BT752" i="1"/>
  <c r="BT784" i="1"/>
  <c r="BT507" i="1"/>
  <c r="BT1072" i="1"/>
  <c r="BT671" i="1"/>
  <c r="BT786" i="1"/>
  <c r="BT993" i="1"/>
  <c r="BT1065" i="1"/>
  <c r="BT583" i="1"/>
  <c r="J102" i="1" s="1"/>
  <c r="BT1121" i="1"/>
  <c r="BT998" i="1"/>
  <c r="BT767" i="1"/>
  <c r="BT421" i="1"/>
  <c r="BT273" i="1"/>
  <c r="BT344" i="1"/>
  <c r="BT442" i="1"/>
  <c r="BT252" i="1"/>
  <c r="BZ580" i="1"/>
  <c r="BT668" i="1"/>
  <c r="BT275" i="1"/>
  <c r="BT714" i="1"/>
  <c r="BZ629" i="1"/>
  <c r="BT475" i="1"/>
  <c r="J93" i="1" s="1"/>
  <c r="BT278" i="1"/>
  <c r="BT791" i="1"/>
  <c r="BT794" i="1"/>
  <c r="BT248" i="1"/>
  <c r="BT329" i="1"/>
  <c r="BT922" i="1"/>
  <c r="BT577" i="1"/>
  <c r="BT246" i="1"/>
  <c r="BT542" i="1"/>
  <c r="BZ944" i="1"/>
  <c r="BT383" i="1"/>
  <c r="BT933" i="1"/>
  <c r="BT1122" i="1"/>
  <c r="BZ662" i="1"/>
  <c r="BZ542" i="1"/>
  <c r="BT247" i="1"/>
  <c r="J74" i="1" s="1"/>
  <c r="J127" i="10" s="1"/>
  <c r="BT237" i="1"/>
  <c r="BZ423" i="1"/>
  <c r="BT397" i="1"/>
  <c r="BT1068" i="1"/>
  <c r="BT558" i="1"/>
  <c r="BT930" i="1"/>
  <c r="BT996" i="1"/>
  <c r="BT546" i="1"/>
  <c r="BT793" i="1"/>
  <c r="BZ275" i="1"/>
  <c r="CA284" i="1" s="1"/>
  <c r="BT1137" i="1"/>
  <c r="BT193" i="1"/>
  <c r="BT394" i="1"/>
  <c r="BT333" i="1"/>
  <c r="BT245" i="1"/>
  <c r="BT1120" i="1"/>
  <c r="BT556" i="1"/>
  <c r="BT392" i="1"/>
  <c r="BT1156" i="1"/>
  <c r="BZ1017" i="1"/>
  <c r="BT1070" i="1"/>
  <c r="BZ366" i="1"/>
  <c r="BT382" i="1"/>
  <c r="BT431" i="1"/>
  <c r="BT438" i="1"/>
  <c r="BT844" i="1"/>
  <c r="BT387" i="1"/>
  <c r="BT1153" i="1"/>
  <c r="BT207" i="1"/>
  <c r="BZ428" i="1"/>
  <c r="CA439" i="1" s="1"/>
  <c r="K90" i="1" s="1"/>
  <c r="R143" i="10" s="1"/>
  <c r="BT1217" i="1"/>
  <c r="BT1054" i="1"/>
  <c r="BT780" i="1"/>
  <c r="BT679" i="1"/>
  <c r="J110" i="1" s="1"/>
  <c r="BT351" i="1"/>
  <c r="CA677" i="1"/>
  <c r="BT770" i="1"/>
  <c r="BT276" i="1"/>
  <c r="BT777" i="1"/>
  <c r="BT644" i="1"/>
  <c r="BT669" i="1"/>
  <c r="BT1058" i="1"/>
  <c r="BT508" i="1"/>
  <c r="BT1056" i="1"/>
  <c r="BT984" i="1"/>
  <c r="BT214" i="1"/>
  <c r="BT1073" i="1"/>
  <c r="BT1003" i="1"/>
  <c r="J137" i="1" s="1"/>
  <c r="BT1114" i="1"/>
  <c r="BT1052" i="1"/>
  <c r="BZ988" i="1"/>
  <c r="BT753" i="1"/>
  <c r="BT1045" i="1"/>
  <c r="BT665" i="1"/>
  <c r="BT866" i="1"/>
  <c r="BT995" i="1"/>
  <c r="BT236" i="1"/>
  <c r="BT282" i="1"/>
  <c r="BZ857" i="1"/>
  <c r="CA865" i="1" s="1"/>
  <c r="BT1084" i="1"/>
  <c r="BT779" i="1"/>
  <c r="BT987" i="1"/>
  <c r="BT774" i="1"/>
  <c r="BT655" i="1"/>
  <c r="J108" i="1" s="1"/>
  <c r="BT778" i="1"/>
  <c r="BT787" i="1"/>
  <c r="J119" i="1" s="1"/>
  <c r="BT1060" i="1"/>
  <c r="BT513" i="1"/>
  <c r="BT1180" i="1"/>
  <c r="BT1182" i="1"/>
  <c r="BZ1110" i="1"/>
  <c r="CA1121" i="1" s="1"/>
  <c r="BZ1053" i="1"/>
  <c r="BT417" i="1"/>
  <c r="BT473" i="1"/>
  <c r="BT464" i="1"/>
  <c r="BT633" i="1"/>
  <c r="BT1038" i="1"/>
  <c r="BT937" i="1"/>
  <c r="BT750" i="1"/>
  <c r="BT862" i="1"/>
  <c r="BT1099" i="1"/>
  <c r="J145" i="1" s="1"/>
  <c r="BT638" i="1"/>
  <c r="BT532" i="1"/>
  <c r="BT1178" i="1"/>
  <c r="BT525" i="1"/>
  <c r="BT1017" i="1"/>
  <c r="BT909" i="1"/>
  <c r="BT297" i="1"/>
  <c r="BT959" i="1"/>
  <c r="BT804" i="1"/>
  <c r="BT363" i="1"/>
  <c r="BT872" i="1"/>
  <c r="BT1171" i="1"/>
  <c r="J151" i="1" s="1"/>
  <c r="BT1128" i="1"/>
  <c r="BT758" i="1"/>
  <c r="BT1043" i="1"/>
  <c r="BT739" i="1"/>
  <c r="J115" i="1" s="1"/>
  <c r="BT322" i="1"/>
  <c r="BT918" i="1"/>
  <c r="BT980" i="1"/>
  <c r="BT402" i="1"/>
  <c r="BT1199" i="1"/>
  <c r="BT863" i="1"/>
  <c r="BT965" i="1"/>
  <c r="BT667" i="1"/>
  <c r="J109" i="1" s="1"/>
  <c r="BT1085" i="1"/>
  <c r="BT991" i="1"/>
  <c r="J136" i="1" s="1"/>
  <c r="BT782" i="1"/>
  <c r="BT1057" i="1"/>
  <c r="BT999" i="1"/>
  <c r="BT680" i="1"/>
  <c r="BT280" i="1"/>
  <c r="BT1075" i="1"/>
  <c r="J143" i="1" s="1"/>
  <c r="BT772" i="1"/>
  <c r="BT1064" i="1"/>
  <c r="BT868" i="1"/>
  <c r="BZ746" i="1"/>
  <c r="BZ774" i="1"/>
  <c r="CA777" i="1" s="1"/>
  <c r="BZ1072" i="1"/>
  <c r="CA1072" i="1" s="1"/>
  <c r="BT865" i="1"/>
  <c r="BT642" i="1"/>
  <c r="BT510" i="1"/>
  <c r="BT1201" i="1"/>
  <c r="BT1081" i="1"/>
  <c r="BT988" i="1"/>
  <c r="BT783" i="1"/>
  <c r="BT1005" i="1"/>
  <c r="BT670" i="1"/>
  <c r="BZ1051" i="1"/>
  <c r="BT785" i="1"/>
  <c r="BT771" i="1"/>
  <c r="BT277" i="1"/>
  <c r="BT1055" i="1"/>
  <c r="BT1118" i="1"/>
  <c r="BT274" i="1"/>
  <c r="BT1062" i="1"/>
  <c r="BT978" i="1"/>
  <c r="BT586" i="1"/>
  <c r="BT283" i="1"/>
  <c r="J77" i="1" s="1"/>
  <c r="J130" i="10" s="1"/>
  <c r="BT678" i="1"/>
  <c r="BT1059" i="1"/>
  <c r="BT1117" i="1"/>
  <c r="BZ1054" i="1"/>
  <c r="BZ678" i="1"/>
  <c r="BT859" i="1"/>
  <c r="J125" i="1" s="1"/>
  <c r="BT768" i="1"/>
  <c r="BZ660" i="1"/>
  <c r="BT509" i="1"/>
  <c r="BT682" i="1"/>
  <c r="BT337" i="1"/>
  <c r="BT281" i="1"/>
  <c r="BT1154" i="1"/>
  <c r="BT935" i="1"/>
  <c r="BT1009" i="1"/>
  <c r="BT756" i="1"/>
  <c r="BZ577" i="1"/>
  <c r="BT1116" i="1"/>
  <c r="BZ976" i="1"/>
  <c r="BT769" i="1"/>
  <c r="BT985" i="1"/>
  <c r="BZ462" i="1"/>
  <c r="CA473" i="1" s="1"/>
  <c r="BT284" i="1"/>
  <c r="BT1115" i="1"/>
  <c r="BT773" i="1"/>
  <c r="BT279" i="1"/>
  <c r="BT1113" i="1"/>
  <c r="BZ271" i="1"/>
  <c r="CA274" i="1" s="1"/>
  <c r="BT781" i="1"/>
  <c r="BT1110" i="1"/>
  <c r="BT1119" i="1"/>
  <c r="BT512" i="1"/>
  <c r="BT258" i="1"/>
  <c r="BT775" i="1"/>
  <c r="J118" i="1" s="1"/>
  <c r="BZ765" i="1"/>
  <c r="CA773" i="1" s="1"/>
  <c r="BT285" i="1"/>
  <c r="BT1111" i="1"/>
  <c r="J146" i="1" s="1"/>
  <c r="BZ1108" i="1"/>
  <c r="BZ504" i="1"/>
  <c r="CA507" i="1" s="1"/>
  <c r="BT463" i="1"/>
  <c r="J92" i="1" s="1"/>
  <c r="BT511" i="1"/>
  <c r="J96" i="1" s="1"/>
  <c r="BT661" i="1"/>
  <c r="BT657" i="1"/>
  <c r="BZ650" i="1"/>
  <c r="BT658" i="1"/>
  <c r="BT659" i="1"/>
  <c r="BT368" i="1"/>
  <c r="BZ357" i="1"/>
  <c r="BT365" i="1"/>
  <c r="BT366" i="1"/>
  <c r="BT1021" i="1"/>
  <c r="BT737" i="1"/>
  <c r="BT762" i="1"/>
  <c r="BT874" i="1"/>
  <c r="BT1200" i="1"/>
  <c r="BT910" i="1"/>
  <c r="BT902" i="1"/>
  <c r="BT568" i="1"/>
  <c r="BT259" i="1"/>
  <c r="J75" i="1" s="1"/>
  <c r="J128" i="10" s="1"/>
  <c r="BT298" i="1"/>
  <c r="BT979" i="1"/>
  <c r="J135" i="1" s="1"/>
  <c r="BT523" i="1"/>
  <c r="J97" i="1" s="1"/>
  <c r="BT1187" i="1"/>
  <c r="BT967" i="1"/>
  <c r="J134" i="1" s="1"/>
  <c r="BT317" i="1"/>
  <c r="BT1209" i="1"/>
  <c r="BT871" i="1"/>
  <c r="J126" i="1" s="1"/>
  <c r="BT1179" i="1"/>
  <c r="BT1188" i="1"/>
  <c r="BT974" i="1"/>
  <c r="BT1189" i="1"/>
  <c r="BT942" i="1"/>
  <c r="BT1166" i="1"/>
  <c r="BT1164" i="1"/>
  <c r="BT1163" i="1"/>
  <c r="BT1046" i="1"/>
  <c r="BT1050" i="1"/>
  <c r="BT1053" i="1"/>
  <c r="BT1026" i="1"/>
  <c r="BT1030" i="1"/>
  <c r="BT1027" i="1"/>
  <c r="J139" i="1" s="1"/>
  <c r="BZ1019" i="1"/>
  <c r="BT914" i="1"/>
  <c r="BZ905" i="1"/>
  <c r="BT745" i="1"/>
  <c r="BZ734" i="1"/>
  <c r="BT744" i="1"/>
  <c r="BT662" i="1"/>
  <c r="BT666" i="1"/>
  <c r="BT664" i="1"/>
  <c r="BZ655" i="1"/>
  <c r="BT1191" i="1"/>
  <c r="BT1193" i="1"/>
  <c r="BT1192" i="1"/>
  <c r="BZ1182" i="1"/>
  <c r="CA1185" i="1" s="1"/>
  <c r="BT1102" i="1"/>
  <c r="BT1105" i="1"/>
  <c r="BT990" i="1"/>
  <c r="BT986" i="1"/>
  <c r="BT992" i="1"/>
  <c r="BZ981" i="1"/>
  <c r="BT983" i="1"/>
  <c r="BT982" i="1"/>
  <c r="BT743" i="1"/>
  <c r="BZ732" i="1"/>
  <c r="BZ679" i="1"/>
  <c r="BT686" i="1"/>
  <c r="BT684" i="1"/>
  <c r="BT681" i="1"/>
  <c r="BT683" i="1"/>
  <c r="BZ960" i="1"/>
  <c r="BT970" i="1"/>
  <c r="BT950" i="1"/>
  <c r="BT960" i="1"/>
  <c r="BZ949" i="1"/>
  <c r="BT957" i="1"/>
  <c r="BT953" i="1"/>
  <c r="BZ1007" i="1"/>
  <c r="CA1008" i="1" s="1"/>
  <c r="BT1015" i="1"/>
  <c r="J138" i="1" s="1"/>
  <c r="BT1007" i="1"/>
  <c r="BT1011" i="1"/>
  <c r="BT1010" i="1"/>
  <c r="BT1013" i="1"/>
  <c r="BT1185" i="1"/>
  <c r="BT1183" i="1"/>
  <c r="J152" i="1" s="1"/>
  <c r="BT1186" i="1"/>
  <c r="BT1082" i="1"/>
  <c r="BT1083" i="1"/>
  <c r="BT1078" i="1"/>
  <c r="BT1170" i="1"/>
  <c r="BT869" i="1"/>
  <c r="BT813" i="1"/>
  <c r="BT815" i="1"/>
  <c r="BZ793" i="1"/>
  <c r="CA800" i="1" s="1"/>
  <c r="BT798" i="1"/>
  <c r="BT795" i="1"/>
  <c r="BT696" i="1"/>
  <c r="BT695" i="1"/>
  <c r="BT693" i="1"/>
  <c r="BT554" i="1"/>
  <c r="BZ546" i="1"/>
  <c r="BT552" i="1"/>
  <c r="BT355" i="1"/>
  <c r="J83" i="1" s="1"/>
  <c r="J136" i="10" s="1"/>
  <c r="BZ345" i="1"/>
  <c r="BT315" i="1"/>
  <c r="BZ308" i="1"/>
  <c r="BT517" i="1"/>
  <c r="BT515" i="1"/>
  <c r="BT520" i="1"/>
  <c r="BT518" i="1"/>
  <c r="BT480" i="1"/>
  <c r="BT477" i="1"/>
  <c r="BT474" i="1"/>
  <c r="BT479" i="1"/>
  <c r="BT371" i="1"/>
  <c r="BT369" i="1"/>
  <c r="BT272" i="1"/>
  <c r="BT267" i="1"/>
  <c r="BT268" i="1"/>
  <c r="BT266" i="1"/>
  <c r="BT343" i="1"/>
  <c r="J82" i="1" s="1"/>
  <c r="J135" i="10" s="1"/>
  <c r="BT336" i="1"/>
  <c r="BT345" i="1"/>
  <c r="BT359" i="1"/>
  <c r="BZ348" i="1"/>
  <c r="BT425" i="1"/>
  <c r="BZ417" i="1"/>
  <c r="BT428" i="1"/>
  <c r="BT423" i="1"/>
  <c r="BT427" i="1"/>
  <c r="J89" i="1" s="1"/>
  <c r="J142" i="10" s="1"/>
  <c r="BT424" i="1"/>
  <c r="BT422" i="1"/>
  <c r="BT1033" i="1"/>
  <c r="BT1040" i="1"/>
  <c r="BT1037" i="1"/>
  <c r="BT1035" i="1"/>
  <c r="BT460" i="1"/>
  <c r="BT456" i="1"/>
  <c r="BT459" i="1"/>
  <c r="BT458" i="1"/>
  <c r="BT818" i="1"/>
  <c r="BZ813" i="1"/>
  <c r="CA818" i="1" s="1"/>
  <c r="BT819" i="1"/>
  <c r="BT858" i="1"/>
  <c r="BT849" i="1"/>
  <c r="BT854" i="1"/>
  <c r="BT976" i="1"/>
  <c r="BT401" i="1"/>
  <c r="BT223" i="1"/>
  <c r="J72" i="1" s="1"/>
  <c r="J125" i="10" s="1"/>
  <c r="BT1135" i="1"/>
  <c r="J148" i="1" s="1"/>
  <c r="BT487" i="1"/>
  <c r="J94" i="1" s="1"/>
  <c r="BZ624" i="1"/>
  <c r="BT296" i="1"/>
  <c r="BT625" i="1"/>
  <c r="BT313" i="1"/>
  <c r="BT1133" i="1"/>
  <c r="BT1131" i="1"/>
  <c r="BT1106" i="1"/>
  <c r="BT805" i="1"/>
  <c r="BT566" i="1"/>
  <c r="BT356" i="1"/>
  <c r="BT1036" i="1"/>
  <c r="BT814" i="1"/>
  <c r="BT1101" i="1"/>
  <c r="BT561" i="1"/>
  <c r="BT690" i="1"/>
  <c r="BZ450" i="1"/>
  <c r="CA458" i="1" s="1"/>
  <c r="BT466" i="1"/>
  <c r="BT470" i="1"/>
  <c r="BT465" i="1"/>
  <c r="BT462" i="1"/>
  <c r="BT467" i="1"/>
  <c r="BT443" i="1"/>
  <c r="BT444" i="1"/>
  <c r="BT451" i="1"/>
  <c r="J91" i="1" s="1"/>
  <c r="BT445" i="1"/>
  <c r="BT449" i="1"/>
  <c r="BT441" i="1"/>
  <c r="BT452" i="1"/>
  <c r="BT1094" i="1"/>
  <c r="BT1095" i="1"/>
  <c r="BZ1088" i="1"/>
  <c r="BT1215" i="1"/>
  <c r="BT1216" i="1"/>
  <c r="BT1214" i="1"/>
  <c r="BT1211" i="1"/>
  <c r="BT372" i="1"/>
  <c r="BT373" i="1"/>
  <c r="BT584" i="1"/>
  <c r="BT580" i="1"/>
  <c r="BZ520" i="1"/>
  <c r="CA520" i="1" s="1"/>
  <c r="BT528" i="1"/>
  <c r="BT529" i="1"/>
  <c r="BT524" i="1"/>
  <c r="BZ1077" i="1"/>
  <c r="BT1087" i="1"/>
  <c r="J144" i="1" s="1"/>
  <c r="BT1086" i="1"/>
  <c r="BZ901" i="1"/>
  <c r="BT904" i="1"/>
  <c r="BT903" i="1"/>
  <c r="BT905" i="1"/>
  <c r="BT455" i="1"/>
  <c r="BZ444" i="1"/>
  <c r="BT963" i="1"/>
  <c r="BZ952" i="1"/>
  <c r="BZ867" i="1"/>
  <c r="BT870" i="1"/>
  <c r="BT354" i="1"/>
  <c r="BZ1030" i="1"/>
  <c r="CA1031" i="1" s="1"/>
  <c r="BZ961" i="1"/>
  <c r="BT850" i="1"/>
  <c r="BT966" i="1"/>
  <c r="BT906" i="1"/>
  <c r="BT320" i="1"/>
  <c r="BT318" i="1"/>
  <c r="BZ363" i="1"/>
  <c r="BT323" i="1"/>
  <c r="BT954" i="1"/>
  <c r="BZ1125" i="1"/>
  <c r="CA1126" i="1" s="1"/>
  <c r="BT1041" i="1"/>
  <c r="BT972" i="1"/>
  <c r="BT956" i="1"/>
  <c r="BT740" i="1"/>
  <c r="BT635" i="1"/>
  <c r="BT357" i="1"/>
  <c r="BT688" i="1"/>
  <c r="BT413" i="1"/>
  <c r="BZ852" i="1"/>
  <c r="BT1198" i="1"/>
  <c r="BZ851" i="1"/>
  <c r="BT1190" i="1"/>
  <c r="BT1213" i="1"/>
  <c r="BT969" i="1"/>
  <c r="BT521" i="1"/>
  <c r="BZ1033" i="1"/>
  <c r="CA1044" i="1" s="1"/>
  <c r="BT1020" i="1"/>
  <c r="BT450" i="1"/>
  <c r="BT314" i="1"/>
  <c r="BT1205" i="1"/>
  <c r="BT1048" i="1"/>
  <c r="BT1197" i="1"/>
  <c r="BT1210" i="1"/>
  <c r="BT1049" i="1"/>
  <c r="BT958" i="1"/>
  <c r="BT461" i="1"/>
  <c r="BT1108" i="1"/>
  <c r="BZ441" i="1"/>
  <c r="CA442" i="1" s="1"/>
  <c r="BT1132" i="1"/>
  <c r="BZ731" i="1"/>
  <c r="BT412" i="1"/>
  <c r="BT414" i="1"/>
  <c r="BT251" i="1"/>
  <c r="BT253" i="1"/>
  <c r="BZ249" i="1"/>
  <c r="CA252" i="1" s="1"/>
  <c r="BT260" i="1"/>
  <c r="BT249" i="1"/>
  <c r="BT255" i="1"/>
  <c r="BT306" i="1"/>
  <c r="BT310" i="1"/>
  <c r="BZ300" i="1"/>
  <c r="CA307" i="1" s="1"/>
  <c r="K79" i="1" s="1"/>
  <c r="R132" i="10" s="1"/>
  <c r="BT311" i="1"/>
  <c r="BT309" i="1"/>
  <c r="BT648" i="1"/>
  <c r="BT645" i="1"/>
  <c r="BT656" i="1"/>
  <c r="BZ645" i="1"/>
  <c r="BT299" i="1"/>
  <c r="BT304" i="1"/>
  <c r="BT303" i="1"/>
  <c r="BT809" i="1"/>
  <c r="BT808" i="1"/>
  <c r="BT812" i="1"/>
  <c r="BZ1081" i="1"/>
  <c r="BT1092" i="1"/>
  <c r="BT1091" i="1"/>
  <c r="BT570" i="1"/>
  <c r="BT572" i="1"/>
  <c r="BT261" i="1"/>
  <c r="BT265" i="1"/>
  <c r="BZ254" i="1"/>
  <c r="BT1172" i="1"/>
  <c r="BT1173" i="1"/>
  <c r="BZ1163" i="1"/>
  <c r="BT755" i="1"/>
  <c r="BT757" i="1"/>
  <c r="BZ754" i="1"/>
  <c r="BT1042" i="1"/>
  <c r="BT1044" i="1"/>
  <c r="BT576" i="1"/>
  <c r="BT360" i="1"/>
  <c r="BT628" i="1"/>
  <c r="BT647" i="1"/>
  <c r="BT302" i="1"/>
  <c r="BT374" i="1"/>
  <c r="BZ312" i="1"/>
  <c r="CA320" i="1" s="1"/>
  <c r="BT636" i="1"/>
  <c r="BT575" i="1"/>
  <c r="BT1090" i="1"/>
  <c r="BT746" i="1"/>
  <c r="BT342" i="1"/>
  <c r="BT973" i="1"/>
  <c r="BT952" i="1"/>
  <c r="BZ740" i="1"/>
  <c r="BZ521" i="1"/>
  <c r="BZ353" i="1"/>
  <c r="BT1125" i="1"/>
  <c r="BT653" i="1"/>
  <c r="BT1207" i="1"/>
  <c r="J154" i="1" s="1"/>
  <c r="BT454" i="1"/>
  <c r="BT1107" i="1"/>
  <c r="BT852" i="1"/>
  <c r="BT361" i="1"/>
  <c r="BT1129" i="1"/>
  <c r="BT1130" i="1"/>
  <c r="BT418" i="1"/>
  <c r="BT1104" i="1"/>
  <c r="BZ1045" i="1"/>
  <c r="CA1045" i="1" s="1"/>
  <c r="BT803" i="1"/>
  <c r="BZ335" i="1"/>
  <c r="CA338" i="1" s="1"/>
  <c r="BZ1012" i="1"/>
  <c r="BZ801" i="1"/>
  <c r="CA807" i="1" s="1"/>
  <c r="BT565" i="1"/>
  <c r="BT406" i="1"/>
  <c r="BT404" i="1"/>
  <c r="BT410" i="1"/>
  <c r="BT405" i="1"/>
  <c r="BT400" i="1"/>
  <c r="BT408" i="1"/>
  <c r="BT403" i="1"/>
  <c r="J87" i="1" s="1"/>
  <c r="J140" i="10" s="1"/>
  <c r="BT411" i="1"/>
  <c r="BT307" i="1"/>
  <c r="J79" i="1" s="1"/>
  <c r="J132" i="10" s="1"/>
  <c r="BT350" i="1"/>
  <c r="BT256" i="1"/>
  <c r="BT901" i="1"/>
  <c r="BT338" i="1"/>
  <c r="BT230" i="1"/>
  <c r="BT1019" i="1"/>
  <c r="BT961" i="1"/>
  <c r="BZ970" i="1"/>
  <c r="CA975" i="1" s="1"/>
  <c r="BT264" i="1"/>
  <c r="BT751" i="1"/>
  <c r="J116" i="1" s="1"/>
  <c r="BT574" i="1"/>
  <c r="BT364" i="1"/>
  <c r="BT349" i="1"/>
  <c r="BT964" i="1"/>
  <c r="BT856" i="1"/>
  <c r="BT571" i="1"/>
  <c r="J101" i="1" s="1"/>
  <c r="BT358" i="1"/>
  <c r="BT468" i="1"/>
  <c r="BT447" i="1"/>
  <c r="BZ111" i="1"/>
  <c r="BT1034" i="1"/>
  <c r="BT1039" i="1"/>
  <c r="J140" i="1" s="1"/>
  <c r="BT1016" i="1"/>
  <c r="BT741" i="1"/>
  <c r="BT567" i="1"/>
  <c r="BT476" i="1"/>
  <c r="BT420" i="1"/>
  <c r="BT340" i="1"/>
  <c r="BT855" i="1"/>
  <c r="BT873" i="1"/>
  <c r="BT944" i="1"/>
  <c r="BZ628" i="1"/>
  <c r="BT446" i="1"/>
  <c r="BT472" i="1"/>
  <c r="BZ407" i="1"/>
  <c r="BT346" i="1"/>
  <c r="BT295" i="1"/>
  <c r="J78" i="1" s="1"/>
  <c r="J131" i="10" s="1"/>
  <c r="BT1077" i="1"/>
  <c r="BT569" i="1"/>
  <c r="BZ574" i="1"/>
  <c r="BT300" i="1"/>
  <c r="BT1014" i="1"/>
  <c r="BT1012" i="1"/>
  <c r="BT761" i="1"/>
  <c r="BT339" i="1"/>
  <c r="BT305" i="1"/>
  <c r="BT471" i="1"/>
  <c r="BT622" i="1"/>
  <c r="BT938" i="1"/>
  <c r="BT262" i="1"/>
  <c r="BT312" i="1"/>
  <c r="BT1167" i="1"/>
  <c r="BT407" i="1"/>
  <c r="BZ294" i="1"/>
  <c r="BT601" i="1"/>
  <c r="BT981" i="1"/>
  <c r="BT941" i="1"/>
  <c r="BT936" i="1"/>
  <c r="BT335" i="1"/>
  <c r="BT1097" i="1"/>
  <c r="BT582" i="1"/>
  <c r="BT426" i="1"/>
  <c r="BT1100" i="1"/>
  <c r="BT1212" i="1"/>
  <c r="BT1194" i="1"/>
  <c r="BT763" i="1"/>
  <c r="J117" i="1" s="1"/>
  <c r="BT1025" i="1"/>
  <c r="BT639" i="1"/>
  <c r="BT1098" i="1"/>
  <c r="BT861" i="1"/>
  <c r="BZ400" i="1"/>
  <c r="CA401" i="1" s="1"/>
  <c r="BT1126" i="1"/>
  <c r="BT1127" i="1"/>
  <c r="BT946" i="1"/>
  <c r="BT419" i="1"/>
  <c r="BT294" i="1"/>
  <c r="BT353" i="1"/>
  <c r="BT908" i="1"/>
  <c r="BT254" i="1"/>
  <c r="BT646" i="1"/>
  <c r="BZ566" i="1"/>
  <c r="CA570" i="1" s="1"/>
  <c r="BT416" i="1"/>
  <c r="BT250" i="1"/>
  <c r="BT962" i="1"/>
  <c r="BZ936" i="1"/>
  <c r="BZ909" i="1"/>
  <c r="CA920" i="1" s="1"/>
  <c r="BT448" i="1"/>
  <c r="BT341" i="1"/>
  <c r="BT1024" i="1"/>
  <c r="BT698" i="1"/>
  <c r="BT481" i="1"/>
  <c r="BT352" i="1"/>
  <c r="BT820" i="1"/>
  <c r="BT689" i="1"/>
  <c r="BT1208" i="1"/>
  <c r="BT1080" i="1"/>
  <c r="BZ848" i="1"/>
  <c r="BT573" i="1"/>
  <c r="BT301" i="1"/>
  <c r="BT522" i="1"/>
  <c r="BT1089" i="1"/>
  <c r="BZ459" i="1"/>
  <c r="CA1218" i="1"/>
  <c r="BT971" i="1"/>
  <c r="BT1134" i="1"/>
  <c r="BT1174" i="1"/>
  <c r="BT913" i="1"/>
  <c r="BT853" i="1"/>
  <c r="BT691" i="1"/>
  <c r="J111" i="1" s="1"/>
  <c r="BT581" i="1"/>
  <c r="BT562" i="1"/>
  <c r="BT1088" i="1"/>
  <c r="BT1181" i="1"/>
  <c r="BT1022" i="1"/>
  <c r="BT851" i="1"/>
  <c r="BT817" i="1"/>
  <c r="BT650" i="1"/>
  <c r="BT1204" i="1"/>
  <c r="BT764" i="1"/>
  <c r="BT748" i="1"/>
  <c r="BT1076" i="1"/>
  <c r="BT943" i="1"/>
  <c r="J132" i="1" s="1"/>
  <c r="BT765" i="1"/>
  <c r="BT663" i="1"/>
  <c r="BT919" i="1"/>
  <c r="J130" i="1" s="1"/>
  <c r="BT478" i="1"/>
  <c r="BT551" i="1"/>
  <c r="BT530" i="1"/>
  <c r="BT367" i="1"/>
  <c r="J84" i="1" s="1"/>
  <c r="J137" i="10" s="1"/>
  <c r="BT239" i="1"/>
  <c r="BT857" i="1"/>
  <c r="BT514" i="1"/>
  <c r="BT1047" i="1"/>
  <c r="BT810" i="1"/>
  <c r="BT660" i="1"/>
  <c r="BT637" i="1"/>
  <c r="BT1018" i="1"/>
  <c r="BT790" i="1"/>
  <c r="BT687" i="1"/>
  <c r="BT634" i="1"/>
  <c r="BT263" i="1"/>
  <c r="CA1213" i="1"/>
  <c r="BT907" i="1"/>
  <c r="J129" i="1" s="1"/>
  <c r="BT911" i="1"/>
  <c r="BZ1147" i="1"/>
  <c r="BT811" i="1"/>
  <c r="J121" i="1" s="1"/>
  <c r="BT257" i="1"/>
  <c r="BT685" i="1"/>
  <c r="BT385" i="1"/>
  <c r="BT801" i="1"/>
  <c r="BT934" i="1"/>
  <c r="BT559" i="1"/>
  <c r="J100" i="1" s="1"/>
  <c r="BT940" i="1"/>
  <c r="BT531" i="1"/>
  <c r="BT945" i="1"/>
  <c r="BZ779" i="1"/>
  <c r="BT788" i="1"/>
  <c r="BT543" i="1"/>
  <c r="BT1168" i="1"/>
  <c r="BT694" i="1"/>
  <c r="BZ1165" i="1"/>
  <c r="BZ906" i="1"/>
  <c r="BT916" i="1"/>
  <c r="BT799" i="1"/>
  <c r="J120" i="1" s="1"/>
  <c r="BZ688" i="1"/>
  <c r="CA698" i="1" s="1"/>
  <c r="BT564" i="1"/>
  <c r="BT1031" i="1"/>
  <c r="BT1023" i="1"/>
  <c r="BT1074" i="1"/>
  <c r="BT948" i="1"/>
  <c r="BT641" i="1"/>
  <c r="BT1184" i="1"/>
  <c r="BT526" i="1"/>
  <c r="BT1169" i="1"/>
  <c r="BT1176" i="1"/>
  <c r="BT917" i="1"/>
  <c r="BZ924" i="1"/>
  <c r="BT527" i="1"/>
  <c r="BT835" i="1"/>
  <c r="J123" i="1" s="1"/>
  <c r="BT802" i="1"/>
  <c r="BZ1087" i="1"/>
  <c r="BT912" i="1"/>
  <c r="BT929" i="1"/>
  <c r="BT1093" i="1"/>
  <c r="BT806" i="1"/>
  <c r="BT550" i="1"/>
  <c r="BT1103" i="1"/>
  <c r="BT867" i="1"/>
  <c r="BT1006" i="1"/>
  <c r="BT860" i="1"/>
  <c r="BT742" i="1"/>
  <c r="BT1196" i="1"/>
  <c r="BT1096" i="1"/>
  <c r="BT1051" i="1"/>
  <c r="J141" i="1" s="1"/>
  <c r="BT760" i="1"/>
  <c r="BT676" i="1"/>
  <c r="BT453" i="1"/>
  <c r="BT269" i="1"/>
  <c r="BT649" i="1"/>
  <c r="BT457" i="1"/>
  <c r="BT797" i="1"/>
  <c r="BT848" i="1"/>
  <c r="BT926" i="1"/>
  <c r="BT754" i="1"/>
  <c r="BT557" i="1"/>
  <c r="BT435" i="1"/>
  <c r="BT291" i="1"/>
  <c r="BT225" i="1"/>
  <c r="BT578" i="1"/>
  <c r="BT1158" i="1"/>
  <c r="BT816" i="1"/>
  <c r="BT747" i="1"/>
  <c r="BT1139" i="1"/>
  <c r="BT651" i="1"/>
  <c r="BZ1195" i="1"/>
  <c r="BT697" i="1"/>
  <c r="BT792" i="1"/>
  <c r="BT759" i="1"/>
  <c r="BT555" i="1"/>
  <c r="BT1206" i="1"/>
  <c r="BT749" i="1"/>
  <c r="BT620" i="1"/>
  <c r="BT927" i="1"/>
  <c r="BT928" i="1"/>
  <c r="BT796" i="1"/>
  <c r="BT585" i="1"/>
  <c r="BT1195" i="1"/>
  <c r="J153" i="1" s="1"/>
  <c r="BT1079" i="1"/>
  <c r="BT915" i="1"/>
  <c r="BZ753" i="1"/>
  <c r="BZ923" i="1"/>
  <c r="BT1177" i="1"/>
  <c r="BT1001" i="1"/>
  <c r="BT692" i="1"/>
  <c r="BT563" i="1"/>
  <c r="BT321" i="1"/>
  <c r="BT545" i="1"/>
  <c r="BT1161" i="1"/>
  <c r="BT977" i="1"/>
  <c r="BZ849" i="1"/>
  <c r="BT800" i="1"/>
  <c r="BT328" i="1"/>
  <c r="BT626" i="1"/>
  <c r="BT579" i="1"/>
  <c r="BT1109" i="1"/>
  <c r="BT1008" i="1"/>
  <c r="BT807" i="1"/>
  <c r="BT766" i="1"/>
  <c r="BZ374" i="1"/>
  <c r="BT384" i="1"/>
  <c r="BT324" i="1"/>
  <c r="BT199" i="1"/>
  <c r="J70" i="1" s="1"/>
  <c r="J123" i="10" s="1"/>
  <c r="BT975" i="1"/>
  <c r="BZ743" i="1"/>
  <c r="BT319" i="1"/>
  <c r="J80" i="1" s="1"/>
  <c r="J133" i="10" s="1"/>
  <c r="BT220" i="1"/>
  <c r="BT362" i="1"/>
  <c r="BT200" i="1"/>
  <c r="BT610" i="1"/>
  <c r="BT499" i="1"/>
  <c r="J95" i="1" s="1"/>
  <c r="BT204" i="1"/>
  <c r="BT211" i="1"/>
  <c r="J71" i="1" s="1"/>
  <c r="J124" i="10" s="1"/>
  <c r="CA1207" i="1"/>
  <c r="K154" i="1" s="1"/>
  <c r="BT826" i="1"/>
  <c r="BT889" i="1"/>
  <c r="BT186" i="1"/>
  <c r="BT208" i="1"/>
  <c r="BT891" i="1"/>
  <c r="BT729" i="1"/>
  <c r="BT726" i="1"/>
  <c r="BT612" i="1"/>
  <c r="BT888" i="1"/>
  <c r="CA1180" i="1"/>
  <c r="BT614" i="1"/>
  <c r="BT218" i="1"/>
  <c r="BT226" i="1"/>
  <c r="CA712" i="1"/>
  <c r="BT1136" i="1"/>
  <c r="BT607" i="1"/>
  <c r="J104" i="1" s="1"/>
  <c r="BT733" i="1"/>
  <c r="CA333" i="1"/>
  <c r="BT215" i="1"/>
  <c r="BT594" i="1"/>
  <c r="CA1100" i="1"/>
  <c r="BZ149" i="1"/>
  <c r="BT619" i="1"/>
  <c r="J105" i="1" s="1"/>
  <c r="BZ608" i="1"/>
  <c r="BT738" i="1"/>
  <c r="BZ727" i="1"/>
  <c r="BZ612" i="1"/>
  <c r="BT623" i="1"/>
  <c r="BT609" i="1"/>
  <c r="BT591" i="1"/>
  <c r="BZ224" i="1"/>
  <c r="CA235" i="1" s="1"/>
  <c r="K73" i="1" s="1"/>
  <c r="R126" i="10" s="1"/>
  <c r="BT235" i="1"/>
  <c r="J73" i="1" s="1"/>
  <c r="J126" i="10" s="1"/>
  <c r="BT206" i="1"/>
  <c r="BT232" i="1"/>
  <c r="BT845" i="1"/>
  <c r="BT722" i="1"/>
  <c r="BT603" i="1"/>
  <c r="BZ592" i="1"/>
  <c r="BT180" i="1"/>
  <c r="BZ169" i="1"/>
  <c r="BZ714" i="1"/>
  <c r="CA715" i="1" s="1"/>
  <c r="K113" i="1" s="1"/>
  <c r="BT725" i="1"/>
  <c r="BT185" i="1"/>
  <c r="BZ174" i="1"/>
  <c r="BT829" i="1"/>
  <c r="BT735" i="1"/>
  <c r="CA481" i="1"/>
  <c r="CA1209" i="1"/>
  <c r="BT838" i="1"/>
  <c r="BT703" i="1"/>
  <c r="J112" i="1" s="1"/>
  <c r="CA1216" i="1"/>
  <c r="BT718" i="1"/>
  <c r="BT592" i="1"/>
  <c r="BT213" i="1"/>
  <c r="CA1102" i="1"/>
  <c r="BT201" i="1"/>
  <c r="BT596" i="1"/>
  <c r="BZ832" i="1"/>
  <c r="CA834" i="1" s="1"/>
  <c r="BT843" i="1"/>
  <c r="BT506" i="1"/>
  <c r="BZ495" i="1"/>
  <c r="BZ489" i="1"/>
  <c r="BT500" i="1"/>
  <c r="BT593" i="1"/>
  <c r="BT613" i="1"/>
  <c r="BZ602" i="1"/>
  <c r="BT503" i="1"/>
  <c r="BZ492" i="1"/>
  <c r="BZ616" i="1"/>
  <c r="BT627" i="1"/>
  <c r="BT717" i="1"/>
  <c r="BT884" i="1"/>
  <c r="BT482" i="1"/>
  <c r="CA1101" i="1"/>
  <c r="BT707" i="1"/>
  <c r="BT624" i="1"/>
  <c r="BT224" i="1"/>
  <c r="CA1217" i="1"/>
  <c r="BT719" i="1"/>
  <c r="CA440" i="1"/>
  <c r="CA565" i="1"/>
  <c r="BT491" i="1"/>
  <c r="BT1147" i="1"/>
  <c r="J149" i="1" s="1"/>
  <c r="BZ1136" i="1"/>
  <c r="CA1142" i="1" s="1"/>
  <c r="BT504" i="1"/>
  <c r="BT890" i="1"/>
  <c r="BZ879" i="1"/>
  <c r="BT501" i="1"/>
  <c r="BZ490" i="1"/>
  <c r="BT195" i="1"/>
  <c r="BZ184" i="1"/>
  <c r="CA191" i="1" s="1"/>
  <c r="BT605" i="1"/>
  <c r="BZ594" i="1"/>
  <c r="BT187" i="1"/>
  <c r="J69" i="1" s="1"/>
  <c r="J122" i="10" s="1"/>
  <c r="BT837" i="1"/>
  <c r="BT228" i="1"/>
  <c r="CA1178" i="1"/>
  <c r="BT611" i="1"/>
  <c r="BZ600" i="1"/>
  <c r="BT203" i="1"/>
  <c r="BT828" i="1"/>
  <c r="BT227" i="1"/>
  <c r="BZ621" i="1"/>
  <c r="BT632" i="1"/>
  <c r="BT831" i="1"/>
  <c r="BT706" i="1"/>
  <c r="BT606" i="1"/>
  <c r="BT736" i="1"/>
  <c r="CA480" i="1"/>
  <c r="CA1179" i="1"/>
  <c r="BT732" i="1"/>
  <c r="BT486" i="1"/>
  <c r="BT222" i="1"/>
  <c r="BT217" i="1"/>
  <c r="BT198" i="1"/>
  <c r="CA1105" i="1"/>
  <c r="BT892" i="1"/>
  <c r="BT877" i="1"/>
  <c r="BT589" i="1"/>
  <c r="CA1124" i="1"/>
  <c r="BT880" i="1"/>
  <c r="BT1146" i="1"/>
  <c r="BT595" i="1"/>
  <c r="J103" i="1" s="1"/>
  <c r="CA479" i="1"/>
  <c r="BT885" i="1"/>
  <c r="BZ874" i="1"/>
  <c r="BT715" i="1"/>
  <c r="J113" i="1" s="1"/>
  <c r="BT702" i="1"/>
  <c r="BT833" i="1"/>
  <c r="BT708" i="1"/>
  <c r="BT728" i="1"/>
  <c r="CA564" i="1"/>
  <c r="BT840" i="1"/>
  <c r="CA558" i="1"/>
  <c r="BT823" i="1"/>
  <c r="J122" i="1" s="1"/>
  <c r="BT822" i="1"/>
  <c r="BT716" i="1"/>
  <c r="CA559" i="1"/>
  <c r="K100" i="1" s="1"/>
  <c r="CA1215" i="1"/>
  <c r="CA563" i="1"/>
  <c r="BT494" i="1"/>
  <c r="BT229" i="1"/>
  <c r="BT599" i="1"/>
  <c r="BZ588" i="1"/>
  <c r="BT621" i="1"/>
  <c r="BZ610" i="1"/>
  <c r="BZ723" i="1"/>
  <c r="BT734" i="1"/>
  <c r="BZ716" i="1"/>
  <c r="BT727" i="1"/>
  <c r="J114" i="1" s="1"/>
  <c r="BT597" i="1"/>
  <c r="CA475" i="1"/>
  <c r="K93" i="1" s="1"/>
  <c r="BT190" i="1"/>
  <c r="BZ179" i="1"/>
  <c r="BT897" i="1"/>
  <c r="BZ886" i="1"/>
  <c r="BT898" i="1"/>
  <c r="BZ887" i="1"/>
  <c r="CA898" i="1" s="1"/>
  <c r="BZ482" i="1"/>
  <c r="CA486" i="1" s="1"/>
  <c r="BT493" i="1"/>
  <c r="BT836" i="1"/>
  <c r="BT485" i="1"/>
  <c r="BT177" i="1"/>
  <c r="BT821" i="1"/>
  <c r="BT505" i="1"/>
  <c r="BZ494" i="1"/>
  <c r="BT502" i="1"/>
  <c r="BZ491" i="1"/>
  <c r="BT219" i="1"/>
  <c r="BZ208" i="1"/>
  <c r="BT724" i="1"/>
  <c r="BT1142" i="1"/>
  <c r="CA713" i="1"/>
  <c r="BT590" i="1"/>
  <c r="CA1106" i="1"/>
  <c r="BT1144" i="1"/>
  <c r="BT881" i="1"/>
  <c r="BT604" i="1"/>
  <c r="BT842" i="1"/>
  <c r="CA476" i="1"/>
  <c r="CA1208" i="1"/>
  <c r="BT827" i="1"/>
  <c r="BT731" i="1"/>
  <c r="BT233" i="1"/>
  <c r="BT883" i="1"/>
  <c r="J127" i="1" s="1"/>
  <c r="BT181" i="1"/>
  <c r="BT1140" i="1"/>
  <c r="BT484" i="1"/>
  <c r="BT216" i="1"/>
  <c r="CA477" i="1"/>
  <c r="BT194" i="1"/>
  <c r="BT192" i="1"/>
  <c r="BT497" i="1"/>
  <c r="BT618" i="1"/>
  <c r="BT886" i="1"/>
  <c r="BT617" i="1"/>
  <c r="BT1145" i="1"/>
  <c r="BT212" i="1"/>
  <c r="BZ201" i="1"/>
  <c r="BT876" i="1"/>
  <c r="CA711" i="1"/>
  <c r="BT1143" i="1"/>
  <c r="BT221" i="1"/>
  <c r="BZ210" i="1"/>
  <c r="BT882" i="1"/>
  <c r="BT615" i="1"/>
  <c r="BT1141" i="1"/>
  <c r="BT704" i="1"/>
  <c r="CA1107" i="1"/>
  <c r="BT598" i="1"/>
  <c r="BT896" i="1"/>
  <c r="BT602" i="1"/>
  <c r="CA474" i="1"/>
  <c r="CA334" i="1"/>
  <c r="BT699" i="1"/>
  <c r="CA561" i="1"/>
  <c r="BT495" i="1"/>
  <c r="CA921" i="1"/>
  <c r="CA1210" i="1"/>
  <c r="BT631" i="1"/>
  <c r="J106" i="1" s="1"/>
  <c r="BT488" i="1"/>
  <c r="BT483" i="1"/>
  <c r="BT630" i="1"/>
  <c r="BT721" i="1"/>
  <c r="CA562" i="1"/>
  <c r="BT489" i="1"/>
  <c r="CA1177" i="1"/>
  <c r="BT629" i="1"/>
  <c r="CA399" i="1"/>
  <c r="BZ160" i="1"/>
  <c r="CA238" i="1"/>
  <c r="BT184" i="1"/>
  <c r="BT834" i="1"/>
  <c r="BT496" i="1"/>
  <c r="CA899" i="1"/>
  <c r="BT492" i="1"/>
  <c r="BT893" i="1"/>
  <c r="BZ882" i="1"/>
  <c r="BT894" i="1"/>
  <c r="BZ883" i="1"/>
  <c r="BT205" i="1"/>
  <c r="BZ194" i="1"/>
  <c r="BT210" i="1"/>
  <c r="BT1138" i="1"/>
  <c r="CA1122" i="1"/>
  <c r="BT588" i="1"/>
  <c r="BT196" i="1"/>
  <c r="CA1212" i="1"/>
  <c r="CA560" i="1"/>
  <c r="BT841" i="1"/>
  <c r="BT490" i="1"/>
  <c r="CA1104" i="1"/>
  <c r="BT608" i="1"/>
  <c r="CA237" i="1"/>
  <c r="BT188" i="1"/>
  <c r="BT189" i="1"/>
  <c r="BT887" i="1"/>
  <c r="BT600" i="1"/>
  <c r="BT875" i="1"/>
  <c r="BT879" i="1"/>
  <c r="BT202" i="1"/>
  <c r="CA1103" i="1"/>
  <c r="BT895" i="1"/>
  <c r="J128" i="1" s="1"/>
  <c r="CA236" i="1"/>
  <c r="CA239" i="1"/>
  <c r="BT846" i="1"/>
  <c r="BZ835" i="1"/>
  <c r="BT839" i="1"/>
  <c r="BZ220" i="1"/>
  <c r="BT231" i="1"/>
  <c r="BZ821" i="1"/>
  <c r="BT832" i="1"/>
  <c r="BT209" i="1"/>
  <c r="CA1123" i="1"/>
  <c r="K147" i="1" s="1"/>
  <c r="BZ699" i="1"/>
  <c r="CA710" i="1" s="1"/>
  <c r="BT710" i="1"/>
  <c r="BT878" i="1"/>
  <c r="BT498" i="1"/>
  <c r="BT701" i="1"/>
  <c r="BT616" i="1"/>
  <c r="BT183" i="1"/>
  <c r="BT709" i="1"/>
  <c r="BT830" i="1"/>
  <c r="BT723" i="1"/>
  <c r="CA1211" i="1"/>
  <c r="BT824" i="1"/>
  <c r="BT720" i="1"/>
  <c r="BT705" i="1"/>
  <c r="CA1181" i="1"/>
  <c r="CA1214" i="1"/>
  <c r="CA1006" i="1"/>
  <c r="CA478" i="1"/>
  <c r="BT234" i="1"/>
  <c r="BT191" i="1"/>
  <c r="BT172" i="1" l="1"/>
  <c r="BT156" i="1"/>
  <c r="CA141" i="1"/>
  <c r="BT175" i="1"/>
  <c r="J68" i="1" s="1"/>
  <c r="J121" i="10" s="1"/>
  <c r="BT179" i="1"/>
  <c r="BT178" i="1"/>
  <c r="BT173" i="1"/>
  <c r="BT134" i="1"/>
  <c r="BT174" i="1"/>
  <c r="CA167" i="1"/>
  <c r="BT176" i="1"/>
  <c r="BT165" i="1"/>
  <c r="BT166" i="1"/>
  <c r="BT159" i="1"/>
  <c r="BT120" i="1"/>
  <c r="CA118" i="1"/>
  <c r="CA143" i="1"/>
  <c r="BT163" i="1"/>
  <c r="J67" i="1" s="1"/>
  <c r="J120" i="10" s="1"/>
  <c r="BT136" i="1"/>
  <c r="BT133" i="1"/>
  <c r="BT137" i="1"/>
  <c r="BT170" i="1"/>
  <c r="BT152" i="1"/>
  <c r="BT162" i="1"/>
  <c r="CA158" i="1"/>
  <c r="BT171" i="1"/>
  <c r="BT169" i="1"/>
  <c r="BT160" i="1"/>
  <c r="BT158" i="1"/>
  <c r="BT167" i="1"/>
  <c r="BT161" i="1"/>
  <c r="BT168" i="1"/>
  <c r="CA142" i="1"/>
  <c r="BT164" i="1"/>
  <c r="BT135" i="1"/>
  <c r="BT138" i="1"/>
  <c r="BT132" i="1"/>
  <c r="CA137" i="1"/>
  <c r="CA140" i="1"/>
  <c r="BT144" i="1"/>
  <c r="BT139" i="1"/>
  <c r="J65" i="1" s="1"/>
  <c r="J118" i="10" s="1"/>
  <c r="BT140" i="1"/>
  <c r="BT141" i="1"/>
  <c r="CA139" i="1"/>
  <c r="K65" i="1" s="1"/>
  <c r="R118" i="10" s="1"/>
  <c r="CA145" i="1"/>
  <c r="BT143" i="1"/>
  <c r="BT153" i="1"/>
  <c r="CA144" i="1"/>
  <c r="BT145" i="1"/>
  <c r="CA138" i="1"/>
  <c r="BT142" i="1"/>
  <c r="BT154" i="1"/>
  <c r="BT157" i="1"/>
  <c r="BT149" i="1"/>
  <c r="BT155" i="1"/>
  <c r="BT150" i="1"/>
  <c r="BT151" i="1"/>
  <c r="J66" i="1" s="1"/>
  <c r="J119" i="10" s="1"/>
  <c r="BT146" i="1"/>
  <c r="BZ146" i="1"/>
  <c r="CA147" i="1" s="1"/>
  <c r="BT148" i="1"/>
  <c r="BT147" i="1"/>
  <c r="BT109" i="1"/>
  <c r="BT126" i="1"/>
  <c r="BT129" i="1"/>
  <c r="CA123" i="1"/>
  <c r="BT128" i="1"/>
  <c r="BT119" i="1"/>
  <c r="BT118" i="1"/>
  <c r="BT130" i="1"/>
  <c r="CA124" i="1"/>
  <c r="BT121" i="1"/>
  <c r="BT124" i="1"/>
  <c r="BT131" i="1"/>
  <c r="BT125" i="1"/>
  <c r="BT115" i="1"/>
  <c r="J63" i="1" s="1"/>
  <c r="J116" i="10" s="1"/>
  <c r="BT122" i="1"/>
  <c r="BT127" i="1"/>
  <c r="J64" i="1" s="1"/>
  <c r="J117" i="10" s="1"/>
  <c r="BT104" i="1"/>
  <c r="BT108" i="1"/>
  <c r="BT111" i="1"/>
  <c r="BT106" i="1"/>
  <c r="BT116" i="1"/>
  <c r="BT107" i="1"/>
  <c r="BT110" i="1"/>
  <c r="BT114" i="1"/>
  <c r="BT117" i="1"/>
  <c r="BT113" i="1"/>
  <c r="BT112" i="1"/>
  <c r="CA109" i="1"/>
  <c r="BT123" i="1"/>
  <c r="BT105" i="1"/>
  <c r="BT103" i="1"/>
  <c r="J62" i="1" s="1"/>
  <c r="J305" i="3"/>
  <c r="J299" i="3"/>
  <c r="J293" i="3"/>
  <c r="J283" i="3"/>
  <c r="J294" i="3"/>
  <c r="J295" i="3"/>
  <c r="BT50" i="1"/>
  <c r="BT44" i="1"/>
  <c r="BT102" i="1"/>
  <c r="BT46" i="1"/>
  <c r="BT47" i="1"/>
  <c r="BT43" i="1"/>
  <c r="J57" i="1" s="1"/>
  <c r="J110" i="10" s="1"/>
  <c r="BT42" i="1"/>
  <c r="CA98" i="1"/>
  <c r="CA101" i="1"/>
  <c r="BT94" i="1"/>
  <c r="BT101" i="1"/>
  <c r="CA99" i="1"/>
  <c r="BT99" i="1"/>
  <c r="CA94" i="1"/>
  <c r="BT96" i="1"/>
  <c r="BT100" i="1"/>
  <c r="BT72" i="1"/>
  <c r="BT91" i="1"/>
  <c r="J61" i="1" s="1"/>
  <c r="J114" i="10" s="1"/>
  <c r="CA100" i="1"/>
  <c r="CA97" i="1"/>
  <c r="CA636" i="1"/>
  <c r="BT98" i="1"/>
  <c r="BT90" i="1"/>
  <c r="BT95" i="1"/>
  <c r="BT93" i="1"/>
  <c r="BT89" i="1"/>
  <c r="BT92" i="1"/>
  <c r="BT87" i="1"/>
  <c r="BT21" i="1"/>
  <c r="CA1197" i="1"/>
  <c r="BT86" i="1"/>
  <c r="BT97" i="1"/>
  <c r="BT37" i="1"/>
  <c r="CA68" i="1"/>
  <c r="BT71" i="1"/>
  <c r="CA66" i="1"/>
  <c r="CA67" i="1"/>
  <c r="K59" i="1" s="1"/>
  <c r="R112" i="10" s="1"/>
  <c r="BZ26" i="1"/>
  <c r="CA27" i="1" s="1"/>
  <c r="BT33" i="1"/>
  <c r="CA1069" i="1"/>
  <c r="CA70" i="1"/>
  <c r="BT73" i="1"/>
  <c r="BT70" i="1"/>
  <c r="CA72" i="1"/>
  <c r="CA792" i="1"/>
  <c r="CA789" i="1"/>
  <c r="CA65" i="1"/>
  <c r="BT34" i="1"/>
  <c r="CA538" i="1"/>
  <c r="BT26" i="1"/>
  <c r="BT38" i="1"/>
  <c r="BT31" i="1"/>
  <c r="J56" i="1" s="1"/>
  <c r="J109" i="10" s="1"/>
  <c r="CA25" i="1"/>
  <c r="BT24" i="1"/>
  <c r="BT41" i="1"/>
  <c r="BT36" i="1"/>
  <c r="BT39" i="1"/>
  <c r="BT29" i="1"/>
  <c r="BT27" i="1"/>
  <c r="BT25" i="1"/>
  <c r="BT32" i="1"/>
  <c r="BT30" i="1"/>
  <c r="BT23" i="1"/>
  <c r="BZ32" i="1"/>
  <c r="CA43" i="1" s="1"/>
  <c r="K57" i="1" s="1"/>
  <c r="R110" i="10" s="1"/>
  <c r="BT40" i="1"/>
  <c r="BT35" i="1"/>
  <c r="BT22" i="1"/>
  <c r="CA540" i="1"/>
  <c r="BT56" i="1"/>
  <c r="BT61" i="1"/>
  <c r="BT77" i="1"/>
  <c r="BT78" i="1"/>
  <c r="CA956" i="1"/>
  <c r="BT76" i="1"/>
  <c r="BT85" i="1"/>
  <c r="CA752" i="1"/>
  <c r="BT79" i="1"/>
  <c r="J60" i="1" s="1"/>
  <c r="J113" i="10" s="1"/>
  <c r="BT81" i="1"/>
  <c r="BT82" i="1"/>
  <c r="BT74" i="1"/>
  <c r="BT83" i="1"/>
  <c r="BT75" i="1"/>
  <c r="BT80" i="1"/>
  <c r="BT62" i="1"/>
  <c r="BT88" i="1"/>
  <c r="BT84" i="1"/>
  <c r="BT58" i="1"/>
  <c r="BT57" i="1"/>
  <c r="BT68" i="1"/>
  <c r="BT60" i="1"/>
  <c r="CA69" i="1"/>
  <c r="BT69" i="1"/>
  <c r="CA999" i="1"/>
  <c r="BT65" i="1"/>
  <c r="CA539" i="1"/>
  <c r="BT59" i="1"/>
  <c r="CA64" i="1"/>
  <c r="BT53" i="1"/>
  <c r="BT67" i="1"/>
  <c r="J59" i="1" s="1"/>
  <c r="J112" i="10" s="1"/>
  <c r="BT66" i="1"/>
  <c r="BT64" i="1"/>
  <c r="BC8" i="1"/>
  <c r="CA332" i="1"/>
  <c r="BT19" i="1"/>
  <c r="J55" i="1" s="1"/>
  <c r="J108" i="10" s="1"/>
  <c r="BT20" i="1"/>
  <c r="BT63" i="1"/>
  <c r="BT52" i="1"/>
  <c r="CA1066" i="1"/>
  <c r="BT55" i="1"/>
  <c r="J58" i="1" s="1"/>
  <c r="J111" i="10" s="1"/>
  <c r="BT45" i="1"/>
  <c r="BT51" i="1"/>
  <c r="BT54" i="1"/>
  <c r="BT48" i="1"/>
  <c r="BT49" i="1"/>
  <c r="BT28" i="1"/>
  <c r="CA864" i="1"/>
  <c r="CA542" i="1"/>
  <c r="CA108" i="1"/>
  <c r="CA986" i="1"/>
  <c r="CA643" i="1"/>
  <c r="K107" i="1" s="1"/>
  <c r="CA866" i="1"/>
  <c r="CA273" i="1"/>
  <c r="CA994" i="1"/>
  <c r="CA997" i="1"/>
  <c r="CA1005" i="1"/>
  <c r="CA1002" i="1"/>
  <c r="CA460" i="1"/>
  <c r="CA22" i="1"/>
  <c r="CA587" i="1"/>
  <c r="CA400" i="1"/>
  <c r="CA692" i="1"/>
  <c r="CA1200" i="1"/>
  <c r="CA680" i="1"/>
  <c r="CA544" i="1"/>
  <c r="CA1184" i="1"/>
  <c r="CA846" i="1"/>
  <c r="CA579" i="1"/>
  <c r="CA397" i="1"/>
  <c r="CA1186" i="1"/>
  <c r="CA637" i="1"/>
  <c r="CA1187" i="1"/>
  <c r="CA973" i="1"/>
  <c r="CA1190" i="1"/>
  <c r="CA543" i="1"/>
  <c r="CA292" i="1"/>
  <c r="CA536" i="1"/>
  <c r="CA268" i="1"/>
  <c r="CA393" i="1"/>
  <c r="CA537" i="1"/>
  <c r="CA534" i="1"/>
  <c r="CA535" i="1"/>
  <c r="K98" i="1" s="1"/>
  <c r="CA128" i="1"/>
  <c r="CA287" i="1"/>
  <c r="J285" i="3"/>
  <c r="CA291" i="1"/>
  <c r="CA77" i="1"/>
  <c r="CA1096" i="1"/>
  <c r="CA288" i="1"/>
  <c r="CA395" i="1"/>
  <c r="CA386" i="1"/>
  <c r="CA1078" i="1"/>
  <c r="J278" i="3"/>
  <c r="CA290" i="1"/>
  <c r="CA251" i="1"/>
  <c r="CA289" i="1"/>
  <c r="CA295" i="1"/>
  <c r="K78" i="1" s="1"/>
  <c r="R131" i="10" s="1"/>
  <c r="CA642" i="1"/>
  <c r="CA388" i="1"/>
  <c r="CA394" i="1"/>
  <c r="CA987" i="1"/>
  <c r="CA769" i="1"/>
  <c r="CA1076" i="1"/>
  <c r="CA641" i="1"/>
  <c r="CA983" i="1"/>
  <c r="CA964" i="1"/>
  <c r="CA1073" i="1"/>
  <c r="J271" i="3"/>
  <c r="CA767" i="1"/>
  <c r="CA1199" i="1"/>
  <c r="CH8" i="1"/>
  <c r="CH9" i="1" s="1"/>
  <c r="CH10" i="1" s="1"/>
  <c r="CH11" i="1" s="1"/>
  <c r="CH12" i="1" s="1"/>
  <c r="CA23" i="1"/>
  <c r="CA967" i="1"/>
  <c r="K134" i="1" s="1"/>
  <c r="CA550" i="1"/>
  <c r="CA640" i="1"/>
  <c r="CA390" i="1"/>
  <c r="CA545" i="1"/>
  <c r="CA1188" i="1"/>
  <c r="CA974" i="1"/>
  <c r="CA396" i="1"/>
  <c r="CA392" i="1"/>
  <c r="CA1183" i="1"/>
  <c r="K152" i="1" s="1"/>
  <c r="CA634" i="1"/>
  <c r="CA369" i="1"/>
  <c r="CA548" i="1"/>
  <c r="CA24" i="1"/>
  <c r="J287" i="3"/>
  <c r="CA1192" i="1"/>
  <c r="CA136" i="1"/>
  <c r="CA1182" i="1"/>
  <c r="CA1189" i="1"/>
  <c r="J280" i="3"/>
  <c r="CA391" i="1"/>
  <c r="K86" i="1" s="1"/>
  <c r="R139" i="10" s="1"/>
  <c r="CA1120" i="1"/>
  <c r="CA1193" i="1"/>
  <c r="CA757" i="1"/>
  <c r="CA421" i="1"/>
  <c r="CA1191" i="1"/>
  <c r="CA384" i="1"/>
  <c r="CA413" i="1"/>
  <c r="CA300" i="1"/>
  <c r="CA814" i="1"/>
  <c r="CA346" i="1"/>
  <c r="CA271" i="1"/>
  <c r="K76" i="1" s="1"/>
  <c r="R129" i="10" s="1"/>
  <c r="CA299" i="1"/>
  <c r="CA323" i="1"/>
  <c r="CA820" i="1"/>
  <c r="CA331" i="1"/>
  <c r="K81" i="1" s="1"/>
  <c r="R134" i="10" s="1"/>
  <c r="CA456" i="1"/>
  <c r="CA321" i="1"/>
  <c r="CA73" i="1"/>
  <c r="CA441" i="1"/>
  <c r="CA810" i="1"/>
  <c r="CA779" i="1"/>
  <c r="CA533" i="1"/>
  <c r="J268" i="3"/>
  <c r="J350" i="3"/>
  <c r="J318" i="3"/>
  <c r="J331" i="3"/>
  <c r="J315" i="3"/>
  <c r="J307" i="3"/>
  <c r="J290" i="3"/>
  <c r="J282" i="3"/>
  <c r="R344" i="3"/>
  <c r="J277" i="3"/>
  <c r="J346" i="3"/>
  <c r="R321" i="3"/>
  <c r="J297" i="3"/>
  <c r="J298" i="3"/>
  <c r="J335" i="3"/>
  <c r="J334" i="3"/>
  <c r="J310" i="3"/>
  <c r="J311" i="3"/>
  <c r="J325" i="3"/>
  <c r="J319" i="3"/>
  <c r="J292" i="3"/>
  <c r="J267" i="3"/>
  <c r="J329" i="3"/>
  <c r="J288" i="3"/>
  <c r="J286" i="3"/>
  <c r="J289" i="3"/>
  <c r="J274" i="3"/>
  <c r="J339" i="3"/>
  <c r="J304" i="3"/>
  <c r="J281" i="3"/>
  <c r="J314" i="3"/>
  <c r="J275" i="3"/>
  <c r="J337" i="3"/>
  <c r="J276" i="3"/>
  <c r="J291" i="3"/>
  <c r="J279" i="3"/>
  <c r="J349" i="3"/>
  <c r="J333" i="3"/>
  <c r="J348" i="3"/>
  <c r="J326" i="3"/>
  <c r="J309" i="3"/>
  <c r="R310" i="3"/>
  <c r="J332" i="3"/>
  <c r="J322" i="3"/>
  <c r="J321" i="3"/>
  <c r="J324" i="3"/>
  <c r="R351" i="3"/>
  <c r="J317" i="3"/>
  <c r="J284" i="3"/>
  <c r="J345" i="3"/>
  <c r="J323" i="3"/>
  <c r="J343" i="3"/>
  <c r="J340" i="3"/>
  <c r="J306" i="3"/>
  <c r="J296" i="3"/>
  <c r="J301" i="3"/>
  <c r="J338" i="3"/>
  <c r="J320" i="3"/>
  <c r="J341" i="3"/>
  <c r="J269" i="3"/>
  <c r="J272" i="3"/>
  <c r="J316" i="3"/>
  <c r="J330" i="3"/>
  <c r="J273" i="3"/>
  <c r="J328" i="3"/>
  <c r="J344" i="3"/>
  <c r="J327" i="3"/>
  <c r="J308" i="3"/>
  <c r="J313" i="3"/>
  <c r="J351" i="3"/>
  <c r="J336" i="3"/>
  <c r="J312" i="3"/>
  <c r="J342" i="3"/>
  <c r="J347" i="3"/>
  <c r="CA345" i="1"/>
  <c r="CA776" i="1"/>
  <c r="CA1024" i="1"/>
  <c r="CA267" i="1"/>
  <c r="CA389" i="1"/>
  <c r="CA1114" i="1"/>
  <c r="CA658" i="1"/>
  <c r="CA387" i="1"/>
  <c r="CA270" i="1"/>
  <c r="CA801" i="1"/>
  <c r="CA347" i="1"/>
  <c r="CA266" i="1"/>
  <c r="CA778" i="1"/>
  <c r="CA74" i="1"/>
  <c r="CA269" i="1"/>
  <c r="CA443" i="1"/>
  <c r="CA75" i="1"/>
  <c r="CA71" i="1"/>
  <c r="CA444" i="1"/>
  <c r="CA783" i="1"/>
  <c r="CA1028" i="1"/>
  <c r="CA349" i="1"/>
  <c r="CA318" i="1"/>
  <c r="CA253" i="1"/>
  <c r="CA402" i="1"/>
  <c r="CA352" i="1"/>
  <c r="CA633" i="1"/>
  <c r="CA367" i="1"/>
  <c r="K84" i="1" s="1"/>
  <c r="R137" i="10" s="1"/>
  <c r="CA976" i="1"/>
  <c r="CA1196" i="1"/>
  <c r="CA851" i="1"/>
  <c r="CA1170" i="1"/>
  <c r="CA453" i="1"/>
  <c r="CA19" i="1"/>
  <c r="K55" i="1" s="1"/>
  <c r="R108" i="10" s="1"/>
  <c r="CA372" i="1"/>
  <c r="CA449" i="1"/>
  <c r="CA761" i="1"/>
  <c r="CA76" i="1"/>
  <c r="CA675" i="1"/>
  <c r="BH8" i="1"/>
  <c r="BH9" i="1" s="1"/>
  <c r="CA60" i="1"/>
  <c r="CA985" i="1"/>
  <c r="CA635" i="1"/>
  <c r="CA241" i="1"/>
  <c r="CA335" i="1"/>
  <c r="CA302" i="1"/>
  <c r="CA638" i="1"/>
  <c r="CA639" i="1"/>
  <c r="CA344" i="1"/>
  <c r="CA573" i="1"/>
  <c r="CA1032" i="1"/>
  <c r="CA628" i="1"/>
  <c r="CA342" i="1"/>
  <c r="CA306" i="1"/>
  <c r="CA78" i="1"/>
  <c r="CA938" i="1"/>
  <c r="CA337" i="1"/>
  <c r="CA571" i="1"/>
  <c r="K101" i="1" s="1"/>
  <c r="CA572" i="1"/>
  <c r="CA1014" i="1"/>
  <c r="CA568" i="1"/>
  <c r="CA247" i="1"/>
  <c r="K74" i="1" s="1"/>
  <c r="R127" i="10" s="1"/>
  <c r="CA454" i="1"/>
  <c r="CA457" i="1"/>
  <c r="CA240" i="1"/>
  <c r="CA255" i="1"/>
  <c r="CA296" i="1"/>
  <c r="CA815" i="1"/>
  <c r="CA1012" i="1"/>
  <c r="CA304" i="1"/>
  <c r="CA341" i="1"/>
  <c r="CA1018" i="1"/>
  <c r="CA312" i="1"/>
  <c r="CA455" i="1"/>
  <c r="CA797" i="1"/>
  <c r="CA799" i="1"/>
  <c r="K120" i="1" s="1"/>
  <c r="CA461" i="1"/>
  <c r="CA340" i="1"/>
  <c r="CA451" i="1"/>
  <c r="K91" i="1" s="1"/>
  <c r="CA303" i="1"/>
  <c r="CA297" i="1"/>
  <c r="CA301" i="1"/>
  <c r="CA1030" i="1"/>
  <c r="CA314" i="1"/>
  <c r="CA1025" i="1"/>
  <c r="CA83" i="1"/>
  <c r="CA1027" i="1"/>
  <c r="K139" i="1" s="1"/>
  <c r="CA1003" i="1"/>
  <c r="K137" i="1" s="1"/>
  <c r="CA319" i="1"/>
  <c r="K80" i="1" s="1"/>
  <c r="R133" i="10" s="1"/>
  <c r="CA272" i="1"/>
  <c r="CA282" i="1"/>
  <c r="CA549" i="1"/>
  <c r="CA79" i="1"/>
  <c r="K60" i="1" s="1"/>
  <c r="R113" i="10" s="1"/>
  <c r="CA82" i="1"/>
  <c r="CA786" i="1"/>
  <c r="CA80" i="1"/>
  <c r="CA788" i="1"/>
  <c r="CA114" i="1"/>
  <c r="CA1205" i="1"/>
  <c r="CA313" i="1"/>
  <c r="CA551" i="1"/>
  <c r="CA552" i="1"/>
  <c r="CA1020" i="1"/>
  <c r="CA668" i="1"/>
  <c r="CA969" i="1"/>
  <c r="CA310" i="1"/>
  <c r="CA995" i="1"/>
  <c r="CA311" i="1"/>
  <c r="CA81" i="1"/>
  <c r="CA1204" i="1"/>
  <c r="CA317" i="1"/>
  <c r="CA669" i="1"/>
  <c r="CA671" i="1"/>
  <c r="CA308" i="1"/>
  <c r="CA309" i="1"/>
  <c r="CA417" i="1"/>
  <c r="CA1001" i="1"/>
  <c r="CA1022" i="1"/>
  <c r="CA84" i="1"/>
  <c r="CA1019" i="1"/>
  <c r="CA1000" i="1"/>
  <c r="CA998" i="1"/>
  <c r="CA315" i="1"/>
  <c r="CA993" i="1"/>
  <c r="CA316" i="1"/>
  <c r="CA996" i="1"/>
  <c r="CA555" i="1"/>
  <c r="CA1029" i="1"/>
  <c r="CA650" i="1"/>
  <c r="CA861" i="1"/>
  <c r="CA1023" i="1"/>
  <c r="CA674" i="1"/>
  <c r="CA1203" i="1"/>
  <c r="CA1026" i="1"/>
  <c r="CA1021" i="1"/>
  <c r="CA901" i="1"/>
  <c r="CA1206" i="1"/>
  <c r="CA754" i="1"/>
  <c r="CA418" i="1"/>
  <c r="CA867" i="1"/>
  <c r="CA790" i="1"/>
  <c r="CA233" i="1"/>
  <c r="CA667" i="1"/>
  <c r="K109" i="1" s="1"/>
  <c r="CA524" i="1"/>
  <c r="CA1089" i="1"/>
  <c r="CA428" i="1"/>
  <c r="CA855" i="1"/>
  <c r="CA433" i="1"/>
  <c r="CA1088" i="1"/>
  <c r="CA1037" i="1"/>
  <c r="CA509" i="1"/>
  <c r="CA468" i="1"/>
  <c r="CA693" i="1"/>
  <c r="CA694" i="1"/>
  <c r="CA1034" i="1"/>
  <c r="CA1052" i="1"/>
  <c r="CA1116" i="1"/>
  <c r="CA127" i="1"/>
  <c r="K64" i="1" s="1"/>
  <c r="R117" i="10" s="1"/>
  <c r="CA1055" i="1"/>
  <c r="CA85" i="1"/>
  <c r="CA1086" i="1"/>
  <c r="CA1015" i="1"/>
  <c r="K138" i="1" s="1"/>
  <c r="CA365" i="1"/>
  <c r="CA20" i="1"/>
  <c r="CA280" i="1"/>
  <c r="CA672" i="1"/>
  <c r="CA437" i="1"/>
  <c r="CA1082" i="1"/>
  <c r="CA1048" i="1"/>
  <c r="CA1117" i="1"/>
  <c r="CA569" i="1"/>
  <c r="CA62" i="1"/>
  <c r="CA48" i="1"/>
  <c r="CA380" i="1"/>
  <c r="CA1050" i="1"/>
  <c r="CA1098" i="1"/>
  <c r="CA381" i="1"/>
  <c r="CA358" i="1"/>
  <c r="CA691" i="1"/>
  <c r="K111" i="1" s="1"/>
  <c r="CA131" i="1"/>
  <c r="CA91" i="1"/>
  <c r="K61" i="1" s="1"/>
  <c r="R114" i="10" s="1"/>
  <c r="CA343" i="1"/>
  <c r="K82" i="1" s="1"/>
  <c r="R135" i="10" s="1"/>
  <c r="CA298" i="1"/>
  <c r="CA796" i="1"/>
  <c r="CA567" i="1"/>
  <c r="CA1167" i="1"/>
  <c r="CA1094" i="1"/>
  <c r="CA940" i="1"/>
  <c r="CA1046" i="1"/>
  <c r="CA868" i="1"/>
  <c r="CA130" i="1"/>
  <c r="CA945" i="1"/>
  <c r="CA1043" i="1"/>
  <c r="CA937" i="1"/>
  <c r="CA936" i="1"/>
  <c r="CA871" i="1"/>
  <c r="K126" i="1" s="1"/>
  <c r="CA695" i="1"/>
  <c r="CA1038" i="1"/>
  <c r="CA294" i="1"/>
  <c r="CA697" i="1"/>
  <c r="CA566" i="1"/>
  <c r="CA336" i="1"/>
  <c r="CA870" i="1"/>
  <c r="CA696" i="1"/>
  <c r="CA126" i="1"/>
  <c r="CA872" i="1"/>
  <c r="CA690" i="1"/>
  <c r="CA132" i="1"/>
  <c r="CA96" i="1"/>
  <c r="CA1085" i="1"/>
  <c r="CA631" i="1"/>
  <c r="K106" i="1" s="1"/>
  <c r="CA946" i="1"/>
  <c r="CA250" i="1"/>
  <c r="CA939" i="1"/>
  <c r="CA322" i="1"/>
  <c r="CA371" i="1"/>
  <c r="CA360" i="1"/>
  <c r="CA531" i="1"/>
  <c r="CA362" i="1"/>
  <c r="CA652" i="1"/>
  <c r="CA54" i="1"/>
  <c r="CA325" i="1"/>
  <c r="CA281" i="1"/>
  <c r="CA528" i="1"/>
  <c r="CA246" i="1"/>
  <c r="CA649" i="1"/>
  <c r="CA918" i="1"/>
  <c r="CA354" i="1"/>
  <c r="CA279" i="1"/>
  <c r="CA673" i="1"/>
  <c r="CA647" i="1"/>
  <c r="CA1016" i="1"/>
  <c r="CA364" i="1"/>
  <c r="CA283" i="1"/>
  <c r="K77" i="1" s="1"/>
  <c r="R130" i="10" s="1"/>
  <c r="CA275" i="1"/>
  <c r="CA654" i="1"/>
  <c r="CA863" i="1"/>
  <c r="CA816" i="1"/>
  <c r="CA941" i="1"/>
  <c r="CA242" i="1"/>
  <c r="CA527" i="1"/>
  <c r="CA653" i="1"/>
  <c r="CA1017" i="1"/>
  <c r="CA370" i="1"/>
  <c r="CA1011" i="1"/>
  <c r="CA329" i="1"/>
  <c r="CA651" i="1"/>
  <c r="CA948" i="1"/>
  <c r="CA632" i="1"/>
  <c r="CA285" i="1"/>
  <c r="CA760" i="1"/>
  <c r="CA355" i="1"/>
  <c r="K83" i="1" s="1"/>
  <c r="R136" i="10" s="1"/>
  <c r="CA324" i="1"/>
  <c r="CA361" i="1"/>
  <c r="CA286" i="1"/>
  <c r="CA379" i="1"/>
  <c r="K85" i="1" s="1"/>
  <c r="R138" i="10" s="1"/>
  <c r="CA942" i="1"/>
  <c r="CA803" i="1"/>
  <c r="CA1009" i="1"/>
  <c r="CA630" i="1"/>
  <c r="CA817" i="1"/>
  <c r="CA243" i="1"/>
  <c r="CA943" i="1"/>
  <c r="K132" i="1" s="1"/>
  <c r="CA373" i="1"/>
  <c r="CA648" i="1"/>
  <c r="CA646" i="1"/>
  <c r="CA277" i="1"/>
  <c r="CA245" i="1"/>
  <c r="CA944" i="1"/>
  <c r="CA1010" i="1"/>
  <c r="CA862" i="1"/>
  <c r="CA947" i="1"/>
  <c r="CA523" i="1"/>
  <c r="K97" i="1" s="1"/>
  <c r="CA1084" i="1"/>
  <c r="CA795" i="1"/>
  <c r="CA990" i="1"/>
  <c r="CA193" i="1"/>
  <c r="CA376" i="1"/>
  <c r="CA276" i="1"/>
  <c r="CA813" i="1"/>
  <c r="CA670" i="1"/>
  <c r="CA363" i="1"/>
  <c r="CA326" i="1"/>
  <c r="CA1007" i="1"/>
  <c r="CA1013" i="1"/>
  <c r="CA793" i="1"/>
  <c r="CA794" i="1"/>
  <c r="CA258" i="1"/>
  <c r="CA950" i="1"/>
  <c r="CA661" i="1"/>
  <c r="CA819" i="1"/>
  <c r="CA366" i="1"/>
  <c r="CA368" i="1"/>
  <c r="CA327" i="1"/>
  <c r="CA656" i="1"/>
  <c r="CA330" i="1"/>
  <c r="CA798" i="1"/>
  <c r="CA278" i="1"/>
  <c r="CA248" i="1"/>
  <c r="CA860" i="1"/>
  <c r="CA919" i="1"/>
  <c r="K130" i="1" s="1"/>
  <c r="CA645" i="1"/>
  <c r="CA629" i="1"/>
  <c r="CA249" i="1"/>
  <c r="CA356" i="1"/>
  <c r="CA750" i="1"/>
  <c r="CA1057" i="1"/>
  <c r="CA923" i="1"/>
  <c r="CA434" i="1"/>
  <c r="CA1154" i="1"/>
  <c r="CA1165" i="1"/>
  <c r="CA116" i="1"/>
  <c r="CA1119" i="1"/>
  <c r="CA1125" i="1"/>
  <c r="CA519" i="1"/>
  <c r="CA517" i="1"/>
  <c r="CA262" i="1"/>
  <c r="CA913" i="1"/>
  <c r="CA1060" i="1"/>
  <c r="CA736" i="1"/>
  <c r="CA684" i="1"/>
  <c r="CA586" i="1"/>
  <c r="CA1067" i="1"/>
  <c r="CA1115" i="1"/>
  <c r="CA926" i="1"/>
  <c r="CA1118" i="1"/>
  <c r="CA1058" i="1"/>
  <c r="CA1155" i="1"/>
  <c r="CA1159" i="1"/>
  <c r="K150" i="1" s="1"/>
  <c r="CA512" i="1"/>
  <c r="CA150" i="1"/>
  <c r="CA1157" i="1"/>
  <c r="CA922" i="1"/>
  <c r="CA471" i="1"/>
  <c r="CA438" i="1"/>
  <c r="CA511" i="1"/>
  <c r="K96" i="1" s="1"/>
  <c r="CA1110" i="1"/>
  <c r="CA1059" i="1"/>
  <c r="CA1109" i="1"/>
  <c r="CA1134" i="1"/>
  <c r="CA257" i="1"/>
  <c r="CA1161" i="1"/>
  <c r="CA852" i="1"/>
  <c r="CA1149" i="1"/>
  <c r="CA469" i="1"/>
  <c r="CA265" i="1"/>
  <c r="CA510" i="1"/>
  <c r="CA429" i="1"/>
  <c r="CA508" i="1"/>
  <c r="CA1160" i="1"/>
  <c r="CA1113" i="1"/>
  <c r="CA952" i="1"/>
  <c r="CA1164" i="1"/>
  <c r="CA1163" i="1"/>
  <c r="CA430" i="1"/>
  <c r="CA1108" i="1"/>
  <c r="CA1133" i="1"/>
  <c r="CA749" i="1"/>
  <c r="CA1111" i="1"/>
  <c r="K146" i="1" s="1"/>
  <c r="CA1051" i="1"/>
  <c r="K141" i="1" s="1"/>
  <c r="CA1112" i="1"/>
  <c r="CA435" i="1"/>
  <c r="CA515" i="1"/>
  <c r="CA464" i="1"/>
  <c r="CA49" i="1"/>
  <c r="CA514" i="1"/>
  <c r="CA928" i="1"/>
  <c r="CA472" i="1"/>
  <c r="CA432" i="1"/>
  <c r="CA1061" i="1"/>
  <c r="CA465" i="1"/>
  <c r="CA431" i="1"/>
  <c r="CA516" i="1"/>
  <c r="CA1130" i="1"/>
  <c r="CA436" i="1"/>
  <c r="CA1093" i="1"/>
  <c r="CA50" i="1"/>
  <c r="CA112" i="1"/>
  <c r="CA21" i="1"/>
  <c r="CA644" i="1"/>
  <c r="CA93" i="1"/>
  <c r="CA787" i="1"/>
  <c r="K119" i="1" s="1"/>
  <c r="CA873" i="1"/>
  <c r="CA689" i="1"/>
  <c r="CA904" i="1"/>
  <c r="CA526" i="1"/>
  <c r="CA780" i="1"/>
  <c r="CA1041" i="1"/>
  <c r="CA89" i="1"/>
  <c r="CA95" i="1"/>
  <c r="CA110" i="1"/>
  <c r="CA1099" i="1"/>
  <c r="K145" i="1" s="1"/>
  <c r="CA92" i="1"/>
  <c r="CA902" i="1"/>
  <c r="CA105" i="1"/>
  <c r="CA1040" i="1"/>
  <c r="CA981" i="1"/>
  <c r="CA133" i="1"/>
  <c r="CA125" i="1"/>
  <c r="CA660" i="1"/>
  <c r="CA1042" i="1"/>
  <c r="CA992" i="1"/>
  <c r="CA1033" i="1"/>
  <c r="CA61" i="1"/>
  <c r="CA1064" i="1"/>
  <c r="CA420" i="1"/>
  <c r="CA782" i="1"/>
  <c r="CA102" i="1"/>
  <c r="CA1095" i="1"/>
  <c r="CA553" i="1"/>
  <c r="CA924" i="1"/>
  <c r="CA58" i="1"/>
  <c r="CA405" i="1"/>
  <c r="CA412" i="1"/>
  <c r="CA1062" i="1"/>
  <c r="CA414" i="1"/>
  <c r="CA991" i="1"/>
  <c r="K136" i="1" s="1"/>
  <c r="CA988" i="1"/>
  <c r="CA1092" i="1"/>
  <c r="CA849" i="1"/>
  <c r="CA666" i="1"/>
  <c r="CA781" i="1"/>
  <c r="CA1071" i="1"/>
  <c r="CA659" i="1"/>
  <c r="CA1063" i="1"/>
  <c r="K142" i="1" s="1"/>
  <c r="CA1056" i="1"/>
  <c r="CA1036" i="1"/>
  <c r="CA1035" i="1"/>
  <c r="CA106" i="1"/>
  <c r="CA917" i="1"/>
  <c r="CA1065" i="1"/>
  <c r="CA134" i="1"/>
  <c r="CA506" i="1"/>
  <c r="CA103" i="1"/>
  <c r="K62" i="1" s="1"/>
  <c r="R115" i="10" s="1"/>
  <c r="CA104" i="1"/>
  <c r="CA1039" i="1"/>
  <c r="K140" i="1" s="1"/>
  <c r="CA182" i="1"/>
  <c r="CA521" i="1"/>
  <c r="CA734" i="1"/>
  <c r="CA554" i="1"/>
  <c r="CA87" i="1"/>
  <c r="CA403" i="1"/>
  <c r="K87" i="1" s="1"/>
  <c r="R140" i="10" s="1"/>
  <c r="CA529" i="1"/>
  <c r="CA1068" i="1"/>
  <c r="CA784" i="1"/>
  <c r="CA1049" i="1"/>
  <c r="CA129" i="1"/>
  <c r="CA557" i="1"/>
  <c r="CA530" i="1"/>
  <c r="CA409" i="1"/>
  <c r="CA135" i="1"/>
  <c r="CA914" i="1"/>
  <c r="CA663" i="1"/>
  <c r="CA662" i="1"/>
  <c r="CA86" i="1"/>
  <c r="CA107" i="1"/>
  <c r="CA547" i="1"/>
  <c r="K99" i="1" s="1"/>
  <c r="CA608" i="1"/>
  <c r="CA903" i="1"/>
  <c r="CA585" i="1"/>
  <c r="CA1054" i="1"/>
  <c r="CA406" i="1"/>
  <c r="CA857" i="1"/>
  <c r="CA1047" i="1"/>
  <c r="CA785" i="1"/>
  <c r="CA404" i="1"/>
  <c r="CA869" i="1"/>
  <c r="CA1053" i="1"/>
  <c r="CA522" i="1"/>
  <c r="CA90" i="1"/>
  <c r="CA546" i="1"/>
  <c r="CA989" i="1"/>
  <c r="CA513" i="1"/>
  <c r="CA305" i="1"/>
  <c r="CA525" i="1"/>
  <c r="CA556" i="1"/>
  <c r="CA1090" i="1"/>
  <c r="CA1171" i="1"/>
  <c r="K151" i="1" s="1"/>
  <c r="CA949" i="1"/>
  <c r="CA425" i="1"/>
  <c r="CA407" i="1"/>
  <c r="CA664" i="1"/>
  <c r="CA679" i="1"/>
  <c r="K110" i="1" s="1"/>
  <c r="CA931" i="1"/>
  <c r="K131" i="1" s="1"/>
  <c r="CA665" i="1"/>
  <c r="CA657" i="1"/>
  <c r="CA422" i="1"/>
  <c r="CA416" i="1"/>
  <c r="CA426" i="1"/>
  <c r="CA532" i="1"/>
  <c r="CA408" i="1"/>
  <c r="CA415" i="1"/>
  <c r="K88" i="1" s="1"/>
  <c r="R141" i="10" s="1"/>
  <c r="CA423" i="1"/>
  <c r="CA599" i="1"/>
  <c r="CA1201" i="1"/>
  <c r="CA1198" i="1"/>
  <c r="CA682" i="1"/>
  <c r="CA951" i="1"/>
  <c r="CA740" i="1"/>
  <c r="CA982" i="1"/>
  <c r="CA1083" i="1"/>
  <c r="CA609" i="1"/>
  <c r="CA934" i="1"/>
  <c r="CA410" i="1"/>
  <c r="CA687" i="1"/>
  <c r="CA716" i="1"/>
  <c r="CA678" i="1"/>
  <c r="CA683" i="1"/>
  <c r="CA1175" i="1"/>
  <c r="CA925" i="1"/>
  <c r="CA419" i="1"/>
  <c r="CA833" i="1"/>
  <c r="CA685" i="1"/>
  <c r="CA411" i="1"/>
  <c r="CA686" i="1"/>
  <c r="CA681" i="1"/>
  <c r="CA427" i="1"/>
  <c r="K89" i="1" s="1"/>
  <c r="R142" i="10" s="1"/>
  <c r="CA688" i="1"/>
  <c r="CA59" i="1"/>
  <c r="CA424" i="1"/>
  <c r="CA971" i="1"/>
  <c r="CA806" i="1"/>
  <c r="CA53" i="1"/>
  <c r="CA978" i="1"/>
  <c r="CA1156" i="1"/>
  <c r="CA450" i="1"/>
  <c r="CA1075" i="1"/>
  <c r="K143" i="1" s="1"/>
  <c r="CA459" i="1"/>
  <c r="CA357" i="1"/>
  <c r="CA378" i="1"/>
  <c r="CA57" i="1"/>
  <c r="CA812" i="1"/>
  <c r="CA965" i="1"/>
  <c r="CA190" i="1"/>
  <c r="CA581" i="1"/>
  <c r="CA771" i="1"/>
  <c r="CA808" i="1"/>
  <c r="CA1081" i="1"/>
  <c r="CA980" i="1"/>
  <c r="CA575" i="1"/>
  <c r="CA1147" i="1"/>
  <c r="K149" i="1" s="1"/>
  <c r="CA1079" i="1"/>
  <c r="CA1074" i="1"/>
  <c r="CA1176" i="1"/>
  <c r="CA1152" i="1"/>
  <c r="CA1097" i="1"/>
  <c r="CA979" i="1"/>
  <c r="K135" i="1" s="1"/>
  <c r="CA574" i="1"/>
  <c r="CA339" i="1"/>
  <c r="CA88" i="1"/>
  <c r="CA762" i="1"/>
  <c r="CA56" i="1"/>
  <c r="CA753" i="1"/>
  <c r="CA1158" i="1"/>
  <c r="CA759" i="1"/>
  <c r="CA802" i="1"/>
  <c r="CA447" i="1"/>
  <c r="CA1080" i="1"/>
  <c r="CA739" i="1"/>
  <c r="K115" i="1" s="1"/>
  <c r="CA774" i="1"/>
  <c r="CA583" i="1"/>
  <c r="K102" i="1" s="1"/>
  <c r="CA1169" i="1"/>
  <c r="CA966" i="1"/>
  <c r="CA466" i="1"/>
  <c r="CA348" i="1"/>
  <c r="CA972" i="1"/>
  <c r="CA55" i="1"/>
  <c r="K58" i="1" s="1"/>
  <c r="R111" i="10" s="1"/>
  <c r="CA578" i="1"/>
  <c r="CA577" i="1"/>
  <c r="CA804" i="1"/>
  <c r="CA809" i="1"/>
  <c r="CA582" i="1"/>
  <c r="CA1150" i="1"/>
  <c r="CA765" i="1"/>
  <c r="CA775" i="1"/>
  <c r="K118" i="1" s="1"/>
  <c r="CA452" i="1"/>
  <c r="CA580" i="1"/>
  <c r="CA770" i="1"/>
  <c r="CA47" i="1"/>
  <c r="CA52" i="1"/>
  <c r="CA1148" i="1"/>
  <c r="CA766" i="1"/>
  <c r="CA359" i="1"/>
  <c r="CA929" i="1"/>
  <c r="CA1077" i="1"/>
  <c r="CA446" i="1"/>
  <c r="CA1166" i="1"/>
  <c r="CA811" i="1"/>
  <c r="K121" i="1" s="1"/>
  <c r="CA51" i="1"/>
  <c r="CA576" i="1"/>
  <c r="CA763" i="1"/>
  <c r="K117" i="1" s="1"/>
  <c r="CA984" i="1"/>
  <c r="CA970" i="1"/>
  <c r="CA1151" i="1"/>
  <c r="CA1173" i="1"/>
  <c r="CA382" i="1"/>
  <c r="CA805" i="1"/>
  <c r="CA467" i="1"/>
  <c r="CA968" i="1"/>
  <c r="CA756" i="1"/>
  <c r="CA961" i="1"/>
  <c r="CA374" i="1"/>
  <c r="CA932" i="1"/>
  <c r="CA758" i="1"/>
  <c r="CA584" i="1"/>
  <c r="CA764" i="1"/>
  <c r="CA768" i="1"/>
  <c r="CA350" i="1"/>
  <c r="CA377" i="1"/>
  <c r="CA351" i="1"/>
  <c r="CA111" i="1"/>
  <c r="CA963" i="1"/>
  <c r="CA353" i="1"/>
  <c r="CA385" i="1"/>
  <c r="CA977" i="1"/>
  <c r="CA463" i="1"/>
  <c r="K92" i="1" s="1"/>
  <c r="CA935" i="1"/>
  <c r="CA1172" i="1"/>
  <c r="CA375" i="1"/>
  <c r="CA1153" i="1"/>
  <c r="CA927" i="1"/>
  <c r="CA772" i="1"/>
  <c r="CA1174" i="1"/>
  <c r="CA445" i="1"/>
  <c r="CA232" i="1"/>
  <c r="CA462" i="1"/>
  <c r="CA1168" i="1"/>
  <c r="CA933" i="1"/>
  <c r="CA174" i="1"/>
  <c r="CA721" i="1"/>
  <c r="CA600" i="1"/>
  <c r="CA755" i="1"/>
  <c r="CA470" i="1"/>
  <c r="CA655" i="1"/>
  <c r="K108" i="1" s="1"/>
  <c r="CA743" i="1"/>
  <c r="CA256" i="1"/>
  <c r="CA905" i="1"/>
  <c r="CA856" i="1"/>
  <c r="CA1195" i="1"/>
  <c r="K153" i="1" s="1"/>
  <c r="CA1087" i="1"/>
  <c r="K144" i="1" s="1"/>
  <c r="CA63" i="1"/>
  <c r="CA738" i="1"/>
  <c r="CA448" i="1"/>
  <c r="CA1141" i="1"/>
  <c r="CA751" i="1"/>
  <c r="K116" i="1" s="1"/>
  <c r="CA958" i="1"/>
  <c r="CA264" i="1"/>
  <c r="CA172" i="1"/>
  <c r="CA175" i="1"/>
  <c r="K68" i="1" s="1"/>
  <c r="R121" i="10" s="1"/>
  <c r="CA1129" i="1"/>
  <c r="CA1127" i="1"/>
  <c r="CA915" i="1"/>
  <c r="CA176" i="1"/>
  <c r="CA177" i="1"/>
  <c r="CA742" i="1"/>
  <c r="CA912" i="1"/>
  <c r="CA854" i="1"/>
  <c r="CA907" i="1"/>
  <c r="K129" i="1" s="1"/>
  <c r="CA117" i="1"/>
  <c r="CA859" i="1"/>
  <c r="K125" i="1" s="1"/>
  <c r="CA259" i="1"/>
  <c r="K75" i="1" s="1"/>
  <c r="R128" i="10" s="1"/>
  <c r="CA616" i="1"/>
  <c r="CA119" i="1"/>
  <c r="CA120" i="1"/>
  <c r="CA744" i="1"/>
  <c r="CA1135" i="1"/>
  <c r="K148" i="1" s="1"/>
  <c r="CA909" i="1"/>
  <c r="CA1091" i="1"/>
  <c r="CA1202" i="1"/>
  <c r="CA850" i="1"/>
  <c r="CA173" i="1"/>
  <c r="CA910" i="1"/>
  <c r="CA848" i="1"/>
  <c r="CA953" i="1"/>
  <c r="CA260" i="1"/>
  <c r="CA906" i="1"/>
  <c r="CA853" i="1"/>
  <c r="CA911" i="1"/>
  <c r="CA155" i="1"/>
  <c r="CA962" i="1"/>
  <c r="CA1139" i="1"/>
  <c r="CA178" i="1"/>
  <c r="CA1128" i="1"/>
  <c r="CA263" i="1"/>
  <c r="CA1131" i="1"/>
  <c r="CA113" i="1"/>
  <c r="CA957" i="1"/>
  <c r="CA122" i="1"/>
  <c r="CA959" i="1"/>
  <c r="CA254" i="1"/>
  <c r="CA916" i="1"/>
  <c r="CA746" i="1"/>
  <c r="CA858" i="1"/>
  <c r="CA153" i="1"/>
  <c r="CA121" i="1"/>
  <c r="CA745" i="1"/>
  <c r="CA261" i="1"/>
  <c r="CA1145" i="1"/>
  <c r="CA1132" i="1"/>
  <c r="CA234" i="1"/>
  <c r="CA148" i="1"/>
  <c r="CA955" i="1"/>
  <c r="K133" i="1" s="1"/>
  <c r="CA741" i="1"/>
  <c r="CA747" i="1"/>
  <c r="CA748" i="1"/>
  <c r="CA960" i="1"/>
  <c r="CA832" i="1"/>
  <c r="CA231" i="1"/>
  <c r="CA115" i="1"/>
  <c r="K63" i="1" s="1"/>
  <c r="R116" i="10" s="1"/>
  <c r="CA1138" i="1"/>
  <c r="CA954" i="1"/>
  <c r="CA908" i="1"/>
  <c r="CA612" i="1"/>
  <c r="CA205" i="1"/>
  <c r="CA159" i="1"/>
  <c r="CA841" i="1"/>
  <c r="CA880" i="1"/>
  <c r="CA588" i="1"/>
  <c r="CA842" i="1"/>
  <c r="CA724" i="1"/>
  <c r="CA621" i="1"/>
  <c r="CA168" i="1"/>
  <c r="CA505" i="1"/>
  <c r="CA383" i="1"/>
  <c r="CA930" i="1"/>
  <c r="CA200" i="1"/>
  <c r="CA894" i="1"/>
  <c r="CA879" i="1"/>
  <c r="CA170" i="1"/>
  <c r="CA44" i="1"/>
  <c r="CA201" i="1"/>
  <c r="CA625" i="1"/>
  <c r="CA490" i="1"/>
  <c r="CA229" i="1"/>
  <c r="CA602" i="1"/>
  <c r="CA624" i="1"/>
  <c r="CA704" i="1"/>
  <c r="CA822" i="1"/>
  <c r="CA221" i="1"/>
  <c r="CA210" i="1"/>
  <c r="CA896" i="1"/>
  <c r="CA892" i="1"/>
  <c r="CA591" i="1"/>
  <c r="CA699" i="1"/>
  <c r="CA837" i="1"/>
  <c r="CA836" i="1"/>
  <c r="CA226" i="1"/>
  <c r="CA825" i="1"/>
  <c r="CA823" i="1"/>
  <c r="K122" i="1" s="1"/>
  <c r="CA708" i="1"/>
  <c r="CA204" i="1"/>
  <c r="CA733" i="1"/>
  <c r="CA723" i="1"/>
  <c r="CA827" i="1"/>
  <c r="CA702" i="1"/>
  <c r="CA169" i="1"/>
  <c r="CA1146" i="1"/>
  <c r="CA703" i="1"/>
  <c r="K112" i="1" s="1"/>
  <c r="CA194" i="1"/>
  <c r="CA726" i="1"/>
  <c r="CA601" i="1"/>
  <c r="CA208" i="1"/>
  <c r="CA730" i="1"/>
  <c r="CA202" i="1"/>
  <c r="CA219" i="1"/>
  <c r="CA706" i="1"/>
  <c r="CA700" i="1"/>
  <c r="CA483" i="1"/>
  <c r="CA196" i="1"/>
  <c r="CA821" i="1"/>
  <c r="CA729" i="1"/>
  <c r="CA198" i="1"/>
  <c r="CA831" i="1"/>
  <c r="CA228" i="1"/>
  <c r="CA717" i="1"/>
  <c r="CA888" i="1"/>
  <c r="CA203" i="1"/>
  <c r="CA622" i="1"/>
  <c r="CA216" i="1"/>
  <c r="CA718" i="1"/>
  <c r="CA199" i="1"/>
  <c r="K70" i="1" s="1"/>
  <c r="R123" i="10" s="1"/>
  <c r="CA482" i="1"/>
  <c r="CA209" i="1"/>
  <c r="CA895" i="1"/>
  <c r="K128" i="1" s="1"/>
  <c r="CA161" i="1"/>
  <c r="CA615" i="1"/>
  <c r="CA881" i="1"/>
  <c r="CA709" i="1"/>
  <c r="CA728" i="1"/>
  <c r="CA197" i="1"/>
  <c r="CA611" i="1"/>
  <c r="CA720" i="1"/>
  <c r="CA887" i="1"/>
  <c r="J300" i="3"/>
  <c r="CA614" i="1"/>
  <c r="CA222" i="1"/>
  <c r="CA735" i="1"/>
  <c r="CA627" i="1"/>
  <c r="CA46" i="1"/>
  <c r="CA722" i="1"/>
  <c r="CA162" i="1"/>
  <c r="CA597" i="1"/>
  <c r="CA163" i="1"/>
  <c r="K67" i="1" s="1"/>
  <c r="R120" i="10" s="1"/>
  <c r="J302" i="3"/>
  <c r="CA181" i="1"/>
  <c r="CA883" i="1"/>
  <c r="K127" i="1" s="1"/>
  <c r="CA732" i="1"/>
  <c r="CA707" i="1"/>
  <c r="CA605" i="1"/>
  <c r="CA595" i="1"/>
  <c r="K103" i="1" s="1"/>
  <c r="CA503" i="1"/>
  <c r="CA218" i="1"/>
  <c r="CA225" i="1"/>
  <c r="CA230" i="1"/>
  <c r="CA502" i="1"/>
  <c r="CA493" i="1"/>
  <c r="R297" i="3"/>
  <c r="CA195" i="1"/>
  <c r="CA874" i="1"/>
  <c r="CA613" i="1"/>
  <c r="CA705" i="1"/>
  <c r="CA824" i="1"/>
  <c r="CA701" i="1"/>
  <c r="CA725" i="1"/>
  <c r="CA844" i="1"/>
  <c r="CA593" i="1"/>
  <c r="CA845" i="1"/>
  <c r="CA184" i="1"/>
  <c r="CA885" i="1"/>
  <c r="CA211" i="1"/>
  <c r="K71" i="1" s="1"/>
  <c r="R124" i="10" s="1"/>
  <c r="CA877" i="1"/>
  <c r="CA606" i="1"/>
  <c r="CA829" i="1"/>
  <c r="CA500" i="1"/>
  <c r="CA737" i="1"/>
  <c r="CA592" i="1"/>
  <c r="CA496" i="1"/>
  <c r="CA889" i="1"/>
  <c r="R287" i="3"/>
  <c r="CA488" i="1"/>
  <c r="CA878" i="1"/>
  <c r="CA165" i="1"/>
  <c r="CA839" i="1"/>
  <c r="CA610" i="1"/>
  <c r="J303" i="3"/>
  <c r="CA731" i="1"/>
  <c r="CA212" i="1"/>
  <c r="CA215" i="1"/>
  <c r="CA882" i="1"/>
  <c r="CA1143" i="1"/>
  <c r="CA876" i="1"/>
  <c r="CA617" i="1"/>
  <c r="CA897" i="1"/>
  <c r="CA727" i="1"/>
  <c r="K114" i="1" s="1"/>
  <c r="CA1140" i="1"/>
  <c r="CA604" i="1"/>
  <c r="CA1144" i="1"/>
  <c r="CA501" i="1"/>
  <c r="CA499" i="1"/>
  <c r="K95" i="1" s="1"/>
  <c r="CA835" i="1"/>
  <c r="K123" i="1" s="1"/>
  <c r="CA714" i="1"/>
  <c r="J264" i="3"/>
  <c r="CA1137" i="1"/>
  <c r="CA504" i="1"/>
  <c r="CA884" i="1"/>
  <c r="CA180" i="1"/>
  <c r="J270" i="3"/>
  <c r="CA206" i="1"/>
  <c r="R270" i="3"/>
  <c r="CA164" i="1"/>
  <c r="CA160" i="1"/>
  <c r="CA891" i="1"/>
  <c r="R262" i="3"/>
  <c r="J266" i="3"/>
  <c r="CA594" i="1"/>
  <c r="CA838" i="1"/>
  <c r="CA186" i="1"/>
  <c r="CA875" i="1"/>
  <c r="CA598" i="1"/>
  <c r="CA618" i="1"/>
  <c r="CA223" i="1"/>
  <c r="K72" i="1" s="1"/>
  <c r="R125" i="10" s="1"/>
  <c r="CA220" i="1"/>
  <c r="CA227" i="1"/>
  <c r="CA1136" i="1"/>
  <c r="CA890" i="1"/>
  <c r="CA589" i="1"/>
  <c r="CA187" i="1"/>
  <c r="K69" i="1" s="1"/>
  <c r="R122" i="10" s="1"/>
  <c r="CA207" i="1"/>
  <c r="CA830" i="1"/>
  <c r="CA620" i="1"/>
  <c r="CA498" i="1"/>
  <c r="CA603" i="1"/>
  <c r="CA623" i="1"/>
  <c r="CA607" i="1"/>
  <c r="K104" i="1" s="1"/>
  <c r="CA188" i="1"/>
  <c r="CA494" i="1"/>
  <c r="CA886" i="1"/>
  <c r="R290" i="3"/>
  <c r="R276" i="3"/>
  <c r="CA497" i="1"/>
  <c r="CA489" i="1"/>
  <c r="CA171" i="1"/>
  <c r="CA166" i="1"/>
  <c r="CA189" i="1"/>
  <c r="CA840" i="1"/>
  <c r="CA596" i="1"/>
  <c r="CA213" i="1"/>
  <c r="CA492" i="1"/>
  <c r="CA495" i="1"/>
  <c r="CA183" i="1"/>
  <c r="CA893" i="1"/>
  <c r="CA485" i="1"/>
  <c r="CA590" i="1"/>
  <c r="CA192" i="1"/>
  <c r="CA484" i="1"/>
  <c r="CA487" i="1"/>
  <c r="K94" i="1" s="1"/>
  <c r="CA828" i="1"/>
  <c r="CA491" i="1"/>
  <c r="CA719" i="1"/>
  <c r="CA826" i="1"/>
  <c r="CA214" i="1"/>
  <c r="CA217" i="1"/>
  <c r="CA626" i="1"/>
  <c r="CA843" i="1"/>
  <c r="CA224" i="1"/>
  <c r="CA185" i="1"/>
  <c r="CA45" i="1"/>
  <c r="CA179" i="1"/>
  <c r="CA619" i="1"/>
  <c r="K105" i="1" s="1"/>
  <c r="CA149" i="1" l="1"/>
  <c r="CA157" i="1"/>
  <c r="J265" i="3"/>
  <c r="J263" i="3"/>
  <c r="CA151" i="1"/>
  <c r="K66" i="1" s="1"/>
  <c r="R119" i="10" s="1"/>
  <c r="CA146" i="1"/>
  <c r="CA154" i="1"/>
  <c r="CA156" i="1"/>
  <c r="CA152" i="1"/>
  <c r="J260" i="3"/>
  <c r="J262" i="3"/>
  <c r="J261" i="3"/>
  <c r="J259" i="3"/>
  <c r="J115" i="10"/>
  <c r="J253" i="3"/>
  <c r="J256" i="3"/>
  <c r="J258" i="3"/>
  <c r="R349" i="3"/>
  <c r="R298" i="3"/>
  <c r="R252" i="3"/>
  <c r="R331" i="3"/>
  <c r="R295" i="3"/>
  <c r="R304" i="3"/>
  <c r="J252" i="3"/>
  <c r="J254" i="3"/>
  <c r="J255" i="3"/>
  <c r="J257" i="3"/>
  <c r="R256" i="3"/>
  <c r="CA31" i="1"/>
  <c r="K56" i="1" s="1"/>
  <c r="R109" i="10" s="1"/>
  <c r="CA30" i="1"/>
  <c r="CA26" i="1"/>
  <c r="CA29" i="1"/>
  <c r="CA36" i="1"/>
  <c r="CA28" i="1"/>
  <c r="CA40" i="1"/>
  <c r="CA38" i="1"/>
  <c r="CA33" i="1"/>
  <c r="CA35" i="1"/>
  <c r="CA42" i="1"/>
  <c r="CA32" i="1"/>
  <c r="CA34" i="1"/>
  <c r="CA39" i="1"/>
  <c r="CA41" i="1"/>
  <c r="CA37" i="1"/>
  <c r="BJ8" i="1"/>
  <c r="BL8" i="1" s="1"/>
  <c r="BW8" i="1" s="1"/>
  <c r="CD8" i="1" s="1"/>
  <c r="BU8" i="1"/>
  <c r="CB8" i="1" s="1"/>
  <c r="R277" i="3"/>
  <c r="R283" i="3"/>
  <c r="R273" i="3"/>
  <c r="R275" i="3"/>
  <c r="R271" i="3"/>
  <c r="R278" i="3"/>
  <c r="R288" i="3"/>
  <c r="R255" i="3"/>
  <c r="R280" i="3"/>
  <c r="R281" i="3"/>
  <c r="R345" i="3"/>
  <c r="R326" i="3"/>
  <c r="R324" i="3"/>
  <c r="R330" i="3"/>
  <c r="R332" i="3"/>
  <c r="R307" i="3"/>
  <c r="R282" i="3"/>
  <c r="R334" i="3"/>
  <c r="R319" i="3"/>
  <c r="R260" i="3"/>
  <c r="R305" i="3"/>
  <c r="R284" i="3"/>
  <c r="R259" i="3"/>
  <c r="R329" i="3"/>
  <c r="R306" i="3"/>
  <c r="R336" i="3"/>
  <c r="R325" i="3"/>
  <c r="R265" i="3"/>
  <c r="R299" i="3"/>
  <c r="R296" i="3"/>
  <c r="R339" i="3"/>
  <c r="R333" i="3"/>
  <c r="R279" i="3"/>
  <c r="R261" i="3"/>
  <c r="R320" i="3"/>
  <c r="R311" i="3"/>
  <c r="R254" i="3"/>
  <c r="R341" i="3"/>
  <c r="R289" i="3"/>
  <c r="R342" i="3"/>
  <c r="R327" i="3"/>
  <c r="R258" i="3"/>
  <c r="R257" i="3"/>
  <c r="R272" i="3"/>
  <c r="R350" i="3"/>
  <c r="R314" i="3"/>
  <c r="R315" i="3"/>
  <c r="R312" i="3"/>
  <c r="R340" i="3"/>
  <c r="R323" i="3"/>
  <c r="R317" i="3"/>
  <c r="R309" i="3"/>
  <c r="R322" i="3"/>
  <c r="R348" i="3"/>
  <c r="R316" i="3"/>
  <c r="R338" i="3"/>
  <c r="R303" i="3"/>
  <c r="R308" i="3"/>
  <c r="R267" i="3"/>
  <c r="R346" i="3"/>
  <c r="R286" i="3"/>
  <c r="R343" i="3"/>
  <c r="R347" i="3"/>
  <c r="R274" i="3"/>
  <c r="R335" i="3"/>
  <c r="R313" i="3"/>
  <c r="R318" i="3"/>
  <c r="R285" i="3"/>
  <c r="R328" i="3"/>
  <c r="R337" i="3"/>
  <c r="R293" i="3"/>
  <c r="R294" i="3"/>
  <c r="BI8" i="1"/>
  <c r="BH10" i="1"/>
  <c r="BI9" i="1"/>
  <c r="R292" i="3"/>
  <c r="R300" i="3"/>
  <c r="R264" i="3"/>
  <c r="R266" i="3"/>
  <c r="R301" i="3"/>
  <c r="R291" i="3"/>
  <c r="R269" i="3"/>
  <c r="R302" i="3"/>
  <c r="R268" i="3"/>
  <c r="R263" i="3" l="1"/>
  <c r="R253" i="3"/>
  <c r="BJ9" i="1"/>
  <c r="BK8" i="1"/>
  <c r="BM8" i="1"/>
  <c r="BN8" i="1" s="1"/>
  <c r="BI10" i="1"/>
  <c r="BH11" i="1"/>
  <c r="BJ10" i="1" l="1"/>
  <c r="BK9" i="1"/>
  <c r="BL9" i="1"/>
  <c r="BW9" i="1" s="1"/>
  <c r="CD9" i="1" s="1"/>
  <c r="BP8" i="1"/>
  <c r="BO8" i="1"/>
  <c r="BI11" i="1"/>
  <c r="BH12" i="1"/>
  <c r="BJ11" i="1" l="1"/>
  <c r="BK10" i="1"/>
  <c r="BL10" i="1"/>
  <c r="BW10" i="1" s="1"/>
  <c r="CD10" i="1" s="1"/>
  <c r="BR8" i="1"/>
  <c r="BY8" i="1" s="1"/>
  <c r="BI12" i="1"/>
  <c r="BL11" i="1" l="1"/>
  <c r="BW11" i="1" s="1"/>
  <c r="CD11" i="1" s="1"/>
  <c r="BJ12" i="1"/>
  <c r="BK11" i="1"/>
  <c r="AQ9" i="1"/>
  <c r="BC9" i="1" s="1"/>
  <c r="BU9" i="1" s="1"/>
  <c r="CB9" i="1" s="1"/>
  <c r="BL12" i="1" l="1"/>
  <c r="BW12" i="1" s="1"/>
  <c r="CD12" i="1" s="1"/>
  <c r="BK12" i="1"/>
  <c r="BM9" i="1"/>
  <c r="BP9" i="1" s="1"/>
  <c r="BO9" i="1" l="1"/>
  <c r="BN9" i="1"/>
  <c r="BR9" i="1" l="1"/>
  <c r="AQ10" i="1" s="1"/>
  <c r="BC10" i="1" s="1"/>
  <c r="BU10" i="1" s="1"/>
  <c r="CB10" i="1" s="1"/>
  <c r="BY9" i="1" l="1"/>
  <c r="BM10" i="1"/>
  <c r="BN10" i="1" s="1"/>
  <c r="BP10" i="1" l="1"/>
  <c r="BO10" i="1"/>
  <c r="BR10" i="1" l="1"/>
  <c r="AQ11" i="1" s="1"/>
  <c r="BC11" i="1" s="1"/>
  <c r="BU11" i="1" s="1"/>
  <c r="CB11" i="1" s="1"/>
  <c r="BY10" i="1" l="1"/>
  <c r="BM11" i="1"/>
  <c r="BO11" i="1" l="1"/>
  <c r="BN11" i="1"/>
  <c r="BP11" i="1"/>
  <c r="BR11" i="1" l="1"/>
  <c r="BY11" i="1" s="1"/>
  <c r="AQ12" i="1" l="1"/>
  <c r="BC12" i="1" s="1"/>
  <c r="BU12" i="1" s="1"/>
  <c r="CB12" i="1" s="1"/>
  <c r="BM12" i="1" l="1"/>
  <c r="BN12" i="1" s="1"/>
  <c r="BP12" i="1" l="1"/>
  <c r="BO12" i="1"/>
  <c r="BR12" i="1" l="1"/>
  <c r="BY12" i="1" s="1"/>
  <c r="AQ13" i="1" l="1"/>
  <c r="BC13" i="1" l="1"/>
  <c r="BU13" i="1" s="1"/>
  <c r="CB13" i="1" s="1"/>
  <c r="BJ13" i="1" l="1"/>
  <c r="CH13" i="1"/>
  <c r="CH14" i="1" s="1"/>
  <c r="CH15" i="1" s="1"/>
  <c r="BH13" i="1"/>
  <c r="BI13" i="1" s="1"/>
  <c r="BL13" i="1" l="1"/>
  <c r="BW13" i="1" s="1"/>
  <c r="CD13" i="1" s="1"/>
  <c r="BJ14" i="1"/>
  <c r="BK14" i="1" s="1"/>
  <c r="BK13" i="1"/>
  <c r="BH14" i="1"/>
  <c r="BI14" i="1" s="1"/>
  <c r="BJ15" i="1"/>
  <c r="BM13" i="1" l="1"/>
  <c r="BO13" i="1" s="1"/>
  <c r="BL14" i="1"/>
  <c r="BW14" i="1" s="1"/>
  <c r="CD14" i="1" s="1"/>
  <c r="BH15" i="1"/>
  <c r="BI15" i="1" s="1"/>
  <c r="BK15" i="1"/>
  <c r="BP13" i="1" l="1"/>
  <c r="BL15" i="1"/>
  <c r="BW15" i="1" s="1"/>
  <c r="CD15" i="1" s="1"/>
  <c r="BN13" i="1"/>
  <c r="BR13" i="1" l="1"/>
  <c r="AQ14" i="1" s="1"/>
  <c r="BC14" i="1" s="1"/>
  <c r="BU14" i="1" s="1"/>
  <c r="CB14" i="1" s="1"/>
  <c r="BY13" i="1" l="1"/>
  <c r="BM14" i="1"/>
  <c r="BP14" i="1" l="1"/>
  <c r="BO14" i="1"/>
  <c r="BN14" i="1"/>
  <c r="BH16" i="1"/>
  <c r="BJ16" i="1"/>
  <c r="BR14" i="1" l="1"/>
  <c r="AQ15" i="1" s="1"/>
  <c r="BK16" i="1"/>
  <c r="BJ17" i="1"/>
  <c r="BL16" i="1"/>
  <c r="BW16" i="1" s="1"/>
  <c r="CD16" i="1" s="1"/>
  <c r="BI16" i="1"/>
  <c r="BH17" i="1"/>
  <c r="BY14" i="1" l="1"/>
  <c r="BC15" i="1"/>
  <c r="BU15" i="1" s="1"/>
  <c r="CB15" i="1" s="1"/>
  <c r="BI17" i="1"/>
  <c r="BH18" i="1"/>
  <c r="BL17" i="1"/>
  <c r="BW17" i="1" s="1"/>
  <c r="CD17" i="1" s="1"/>
  <c r="BJ18" i="1"/>
  <c r="BK17" i="1"/>
  <c r="BM15" i="1" l="1"/>
  <c r="BI18" i="1"/>
  <c r="BK18" i="1"/>
  <c r="BL18" i="1"/>
  <c r="BW18" i="1" s="1"/>
  <c r="CD18" i="1" s="1"/>
  <c r="BN15" i="1" l="1"/>
  <c r="BO15" i="1"/>
  <c r="BP15" i="1"/>
  <c r="BR15" i="1" l="1"/>
  <c r="AQ16" i="1" s="1"/>
  <c r="BY15" i="1" l="1"/>
  <c r="BC16" i="1"/>
  <c r="BM16" i="1" s="1"/>
  <c r="BO16" i="1" l="1"/>
  <c r="BP16" i="1"/>
  <c r="BN16" i="1"/>
  <c r="CH16" i="1"/>
  <c r="CH17" i="1" s="1"/>
  <c r="CH18" i="1" s="1"/>
  <c r="BU16" i="1"/>
  <c r="CB16" i="1" s="1"/>
  <c r="BR16" i="1" l="1"/>
  <c r="AQ17" i="1" s="1"/>
  <c r="BY16" i="1" l="1"/>
  <c r="BC17" i="1"/>
  <c r="BU17" i="1" s="1"/>
  <c r="CB17" i="1" s="1"/>
  <c r="BM17" i="1" l="1"/>
  <c r="BN17" i="1" s="1"/>
  <c r="BP17" i="1" l="1"/>
  <c r="BO17" i="1"/>
  <c r="BR17" i="1" l="1"/>
  <c r="AQ18" i="1" s="1"/>
  <c r="BC18" i="1" s="1"/>
  <c r="BU18" i="1" s="1"/>
  <c r="CB18" i="1" s="1"/>
  <c r="BY17" i="1" l="1"/>
  <c r="BM18" i="1"/>
  <c r="BN18" i="1" l="1"/>
  <c r="BP18" i="1"/>
  <c r="BO18" i="1"/>
  <c r="BR18" i="1" l="1"/>
  <c r="BY18" i="1" s="1"/>
  <c r="AQ19" i="1" l="1"/>
  <c r="BH19" i="1" l="1"/>
  <c r="BJ19" i="1"/>
  <c r="BC19" i="1"/>
  <c r="BU19" i="1" s="1"/>
  <c r="CB19" i="1" s="1"/>
  <c r="CC19" i="1" s="1"/>
  <c r="M55" i="1" s="1"/>
  <c r="AH108" i="10" s="1"/>
  <c r="CH19" i="1"/>
  <c r="CH20" i="1" s="1"/>
  <c r="CH21" i="1" s="1"/>
  <c r="CH22" i="1" s="1"/>
  <c r="CH23" i="1" s="1"/>
  <c r="CH24" i="1" s="1"/>
  <c r="BV19" i="1" l="1"/>
  <c r="L55" i="1" s="1"/>
  <c r="Z108" i="10" s="1"/>
  <c r="BK19" i="1"/>
  <c r="BL19" i="1"/>
  <c r="BW19" i="1" s="1"/>
  <c r="BJ20" i="1"/>
  <c r="BI19" i="1"/>
  <c r="BH20" i="1"/>
  <c r="AH252" i="3"/>
  <c r="Z252" i="3" l="1"/>
  <c r="BM19" i="1"/>
  <c r="BN19" i="1" s="1"/>
  <c r="BI20" i="1"/>
  <c r="BH21" i="1"/>
  <c r="BK20" i="1"/>
  <c r="BL20" i="1"/>
  <c r="BW20" i="1" s="1"/>
  <c r="CD20" i="1" s="1"/>
  <c r="BJ21" i="1"/>
  <c r="CD19" i="1"/>
  <c r="CE19" i="1" s="1"/>
  <c r="O55" i="1" s="1"/>
  <c r="AX108" i="10" s="1"/>
  <c r="BX19" i="1"/>
  <c r="N55" i="1" s="1"/>
  <c r="AP108" i="10" s="1"/>
  <c r="AX252" i="3" l="1"/>
  <c r="BP19" i="1"/>
  <c r="BO19" i="1"/>
  <c r="BX20" i="1"/>
  <c r="BK21" i="1"/>
  <c r="BL21" i="1"/>
  <c r="BW21" i="1" s="1"/>
  <c r="CD21" i="1" s="1"/>
  <c r="CE21" i="1" s="1"/>
  <c r="BJ22" i="1"/>
  <c r="AP252" i="3"/>
  <c r="AF54" i="1"/>
  <c r="AI54" i="1" s="1"/>
  <c r="BH22" i="1"/>
  <c r="BI21" i="1"/>
  <c r="CE20" i="1"/>
  <c r="BX21" i="1" l="1"/>
  <c r="BR19" i="1"/>
  <c r="BY19" i="1" s="1"/>
  <c r="Q55" i="1" s="1"/>
  <c r="BN108" i="10" s="1"/>
  <c r="BK22" i="1"/>
  <c r="BJ23" i="1"/>
  <c r="BL22" i="1"/>
  <c r="BW22" i="1" s="1"/>
  <c r="BI22" i="1"/>
  <c r="BH23" i="1"/>
  <c r="P55" i="1" l="1"/>
  <c r="BF108" i="10" s="1"/>
  <c r="BN252" i="3"/>
  <c r="AQ20" i="1"/>
  <c r="BC20" i="1" s="1"/>
  <c r="BU20" i="1" s="1"/>
  <c r="BI23" i="1"/>
  <c r="BH24" i="1"/>
  <c r="BI24" i="1" s="1"/>
  <c r="BK23" i="1"/>
  <c r="BL23" i="1"/>
  <c r="BW23" i="1" s="1"/>
  <c r="BJ24" i="1"/>
  <c r="CD22" i="1"/>
  <c r="CE22" i="1" s="1"/>
  <c r="BX22" i="1"/>
  <c r="BF252" i="3" l="1"/>
  <c r="BM20" i="1"/>
  <c r="BO20" i="1" s="1"/>
  <c r="CB20" i="1"/>
  <c r="CC20" i="1" s="1"/>
  <c r="BV20" i="1"/>
  <c r="BL24" i="1"/>
  <c r="BW24" i="1" s="1"/>
  <c r="BK24" i="1"/>
  <c r="CD23" i="1"/>
  <c r="CE23" i="1" s="1"/>
  <c r="BX23" i="1"/>
  <c r="BP20" i="1" l="1"/>
  <c r="BN20" i="1"/>
  <c r="CD24" i="1"/>
  <c r="CE24" i="1" s="1"/>
  <c r="BX24" i="1"/>
  <c r="BR20" i="1" l="1"/>
  <c r="AQ21" i="1" s="1"/>
  <c r="BC21" i="1" s="1"/>
  <c r="BU21" i="1" s="1"/>
  <c r="CB21" i="1" s="1"/>
  <c r="CC21" i="1" s="1"/>
  <c r="BY20" i="1" l="1"/>
  <c r="BV21" i="1"/>
  <c r="BM21" i="1"/>
  <c r="BO21" i="1" s="1"/>
  <c r="BP21" i="1" l="1"/>
  <c r="BN21" i="1"/>
  <c r="BR21" i="1" l="1"/>
  <c r="BY21" i="1" s="1"/>
  <c r="AQ22" i="1" l="1"/>
  <c r="BC22" i="1" s="1"/>
  <c r="BU22" i="1" s="1"/>
  <c r="CB22" i="1" s="1"/>
  <c r="CC22" i="1" s="1"/>
  <c r="BM22" i="1" l="1"/>
  <c r="BO22" i="1" s="1"/>
  <c r="BV22" i="1"/>
  <c r="BN22" i="1" l="1"/>
  <c r="BP22" i="1"/>
  <c r="BR22" i="1" l="1"/>
  <c r="AQ23" i="1" s="1"/>
  <c r="BC23" i="1" s="1"/>
  <c r="BU23" i="1" s="1"/>
  <c r="CB23" i="1" s="1"/>
  <c r="CC23" i="1" s="1"/>
  <c r="BY22" i="1" l="1"/>
  <c r="BV23" i="1"/>
  <c r="BM23" i="1"/>
  <c r="BN23" i="1" s="1"/>
  <c r="BO23" i="1" l="1"/>
  <c r="BP23" i="1"/>
  <c r="BR23" i="1" l="1"/>
  <c r="AQ24" i="1" s="1"/>
  <c r="BC24" i="1" s="1"/>
  <c r="BU24" i="1" s="1"/>
  <c r="CB24" i="1" s="1"/>
  <c r="CC24" i="1" s="1"/>
  <c r="BY23" i="1" l="1"/>
  <c r="BM24" i="1"/>
  <c r="BO24" i="1" s="1"/>
  <c r="BV24" i="1"/>
  <c r="BP24" i="1" l="1"/>
  <c r="BN24" i="1"/>
  <c r="BR24" i="1" l="1"/>
  <c r="BY24" i="1" s="1"/>
  <c r="CH25" i="1"/>
  <c r="CH26" i="1" s="1"/>
  <c r="CH27" i="1" s="1"/>
  <c r="BJ25" i="1"/>
  <c r="BH25" i="1"/>
  <c r="BI25" i="1" s="1"/>
  <c r="AQ25" i="1" l="1"/>
  <c r="BC25" i="1" s="1"/>
  <c r="BU25" i="1" s="1"/>
  <c r="CB25" i="1" s="1"/>
  <c r="CC25" i="1" s="1"/>
  <c r="BL25" i="1"/>
  <c r="BW25" i="1" s="1"/>
  <c r="BJ26" i="1"/>
  <c r="BK26" i="1" s="1"/>
  <c r="BK25" i="1"/>
  <c r="BH26" i="1"/>
  <c r="BI26" i="1" s="1"/>
  <c r="BV25" i="1" l="1"/>
  <c r="BM25" i="1"/>
  <c r="BP25" i="1" s="1"/>
  <c r="BJ27" i="1"/>
  <c r="BL26" i="1"/>
  <c r="BW26" i="1" s="1"/>
  <c r="CD26" i="1" s="1"/>
  <c r="BH27" i="1"/>
  <c r="BI27" i="1" s="1"/>
  <c r="BX25" i="1"/>
  <c r="CD25" i="1"/>
  <c r="BO25" i="1" l="1"/>
  <c r="BN25" i="1"/>
  <c r="BL27" i="1"/>
  <c r="BW27" i="1" s="1"/>
  <c r="CD27" i="1" s="1"/>
  <c r="CE27" i="1" s="1"/>
  <c r="BX26" i="1"/>
  <c r="BK27" i="1"/>
  <c r="CE25" i="1"/>
  <c r="CE26" i="1"/>
  <c r="BR25" i="1" l="1"/>
  <c r="AQ26" i="1" s="1"/>
  <c r="BC26" i="1" s="1"/>
  <c r="BU26" i="1" s="1"/>
  <c r="CB26" i="1" s="1"/>
  <c r="CC26" i="1" s="1"/>
  <c r="BX27" i="1"/>
  <c r="BY25" i="1" l="1"/>
  <c r="BM26" i="1"/>
  <c r="BN26" i="1" s="1"/>
  <c r="BV26" i="1"/>
  <c r="BP26" i="1" l="1"/>
  <c r="BO26" i="1"/>
  <c r="BR26" i="1" l="1"/>
  <c r="AQ27" i="1" s="1"/>
  <c r="BC27" i="1" s="1"/>
  <c r="BU27" i="1" s="1"/>
  <c r="CB27" i="1" s="1"/>
  <c r="CC27" i="1" s="1"/>
  <c r="CH28" i="1"/>
  <c r="CH29" i="1" s="1"/>
  <c r="CH30" i="1" s="1"/>
  <c r="BV27" i="1" l="1"/>
  <c r="BM27" i="1"/>
  <c r="BN27" i="1" s="1"/>
  <c r="BY26" i="1"/>
  <c r="BH28" i="1"/>
  <c r="BH29" i="1" s="1"/>
  <c r="BI29" i="1" s="1"/>
  <c r="BJ28" i="1"/>
  <c r="BK28" i="1" s="1"/>
  <c r="BP27" i="1" l="1"/>
  <c r="BO27" i="1"/>
  <c r="BH30" i="1"/>
  <c r="BI30" i="1" s="1"/>
  <c r="BL28" i="1"/>
  <c r="BW28" i="1" s="1"/>
  <c r="BJ29" i="1"/>
  <c r="BK29" i="1" s="1"/>
  <c r="BI28" i="1"/>
  <c r="BR27" i="1" l="1"/>
  <c r="AQ28" i="1" s="1"/>
  <c r="BC28" i="1" s="1"/>
  <c r="BU28" i="1" s="1"/>
  <c r="CB28" i="1" s="1"/>
  <c r="CC28" i="1" s="1"/>
  <c r="BJ30" i="1"/>
  <c r="BK30" i="1" s="1"/>
  <c r="BL29" i="1"/>
  <c r="BW29" i="1" s="1"/>
  <c r="CD29" i="1" s="1"/>
  <c r="BX28" i="1"/>
  <c r="CD28" i="1"/>
  <c r="CE28" i="1" s="1"/>
  <c r="BM28" i="1" l="1"/>
  <c r="BP28" i="1" s="1"/>
  <c r="BY27" i="1"/>
  <c r="BV28" i="1"/>
  <c r="BX29" i="1"/>
  <c r="BL30" i="1"/>
  <c r="BW30" i="1" s="1"/>
  <c r="CE29" i="1"/>
  <c r="BO28" i="1" l="1"/>
  <c r="BN28" i="1"/>
  <c r="CD30" i="1"/>
  <c r="CE30" i="1" s="1"/>
  <c r="BX30" i="1"/>
  <c r="BR28" i="1" l="1"/>
  <c r="BY28" i="1" s="1"/>
  <c r="AQ29" i="1" l="1"/>
  <c r="BC29" i="1" s="1"/>
  <c r="BU29" i="1" s="1"/>
  <c r="CB29" i="1" s="1"/>
  <c r="CC29" i="1" s="1"/>
  <c r="BV29" i="1" l="1"/>
  <c r="BM29" i="1"/>
  <c r="BN29" i="1" s="1"/>
  <c r="BP29" i="1" l="1"/>
  <c r="BO29" i="1"/>
  <c r="BR29" i="1" l="1"/>
  <c r="AQ30" i="1" s="1"/>
  <c r="BC30" i="1" s="1"/>
  <c r="BU30" i="1" s="1"/>
  <c r="CB30" i="1" s="1"/>
  <c r="CC30" i="1" s="1"/>
  <c r="BM30" i="1" l="1"/>
  <c r="BY29" i="1"/>
  <c r="BV30" i="1"/>
  <c r="BN30" i="1"/>
  <c r="BP30" i="1"/>
  <c r="BO30" i="1"/>
  <c r="BR30" i="1" l="1"/>
  <c r="AQ31" i="1" s="1"/>
  <c r="BY30" i="1" l="1"/>
  <c r="BC31" i="1"/>
  <c r="BU31" i="1" s="1"/>
  <c r="CH31" i="1" l="1"/>
  <c r="BJ31" i="1"/>
  <c r="BK31" i="1" s="1"/>
  <c r="BH31" i="1"/>
  <c r="BI31" i="1" s="1"/>
  <c r="CB31" i="1"/>
  <c r="CC31" i="1" s="1"/>
  <c r="M56" i="1" s="1"/>
  <c r="AH109" i="10" s="1"/>
  <c r="BV31" i="1"/>
  <c r="L56" i="1" s="1"/>
  <c r="Z109" i="10" s="1"/>
  <c r="BL31" i="1" l="1"/>
  <c r="BW31" i="1" s="1"/>
  <c r="CD31" i="1" s="1"/>
  <c r="CE31" i="1" s="1"/>
  <c r="O56" i="1" s="1"/>
  <c r="AX109" i="10" s="1"/>
  <c r="AH253" i="3"/>
  <c r="Z253" i="3"/>
  <c r="AX253" i="3" l="1"/>
  <c r="BX31" i="1"/>
  <c r="N56" i="1" s="1"/>
  <c r="AP109" i="10" s="1"/>
  <c r="BM31" i="1"/>
  <c r="AP253" i="3" l="1"/>
  <c r="AF55" i="1"/>
  <c r="AI55" i="1" s="1"/>
  <c r="BO31" i="1"/>
  <c r="BP31" i="1"/>
  <c r="BN31" i="1"/>
  <c r="BR31" i="1" l="1"/>
  <c r="BJ32" i="1"/>
  <c r="BH32" i="1"/>
  <c r="CH32" i="1"/>
  <c r="CH33" i="1" s="1"/>
  <c r="CH34" i="1" s="1"/>
  <c r="CH35" i="1" s="1"/>
  <c r="CH36" i="1" s="1"/>
  <c r="BY31" i="1" l="1"/>
  <c r="Q56" i="1" s="1"/>
  <c r="BN109" i="10" s="1"/>
  <c r="AQ32" i="1"/>
  <c r="BC32" i="1" s="1"/>
  <c r="BU32" i="1" s="1"/>
  <c r="CB32" i="1" s="1"/>
  <c r="CC32" i="1" s="1"/>
  <c r="P56" i="1"/>
  <c r="BF109" i="10" s="1"/>
  <c r="BL32" i="1"/>
  <c r="BJ33" i="1"/>
  <c r="BK32" i="1"/>
  <c r="BH33" i="1"/>
  <c r="BI32" i="1"/>
  <c r="BV32" i="1" l="1"/>
  <c r="BF253" i="3"/>
  <c r="BN253" i="3"/>
  <c r="BW32" i="1"/>
  <c r="BM32" i="1"/>
  <c r="BI33" i="1"/>
  <c r="BH34" i="1"/>
  <c r="BK33" i="1"/>
  <c r="BL33" i="1"/>
  <c r="BW33" i="1" s="1"/>
  <c r="CD33" i="1" s="1"/>
  <c r="BJ34" i="1"/>
  <c r="BH35" i="1" l="1"/>
  <c r="BI34" i="1"/>
  <c r="BK34" i="1"/>
  <c r="BL34" i="1"/>
  <c r="BW34" i="1" s="1"/>
  <c r="CD34" i="1" s="1"/>
  <c r="BJ35" i="1"/>
  <c r="BN32" i="1"/>
  <c r="BO32" i="1"/>
  <c r="BP32" i="1"/>
  <c r="CD32" i="1"/>
  <c r="BX32" i="1"/>
  <c r="BX33" i="1"/>
  <c r="BX34" i="1" l="1"/>
  <c r="CE32" i="1"/>
  <c r="CE33" i="1"/>
  <c r="CE34" i="1"/>
  <c r="BR32" i="1"/>
  <c r="BH36" i="1"/>
  <c r="BI35" i="1"/>
  <c r="BK35" i="1"/>
  <c r="BL35" i="1"/>
  <c r="BW35" i="1" s="1"/>
  <c r="BJ36" i="1"/>
  <c r="BI36" i="1" l="1"/>
  <c r="AQ33" i="1"/>
  <c r="BY32" i="1"/>
  <c r="BL36" i="1"/>
  <c r="BW36" i="1" s="1"/>
  <c r="CD36" i="1" s="1"/>
  <c r="BK36" i="1"/>
  <c r="CD35" i="1"/>
  <c r="BX35" i="1"/>
  <c r="BX36" i="1" l="1"/>
  <c r="CE35" i="1"/>
  <c r="CE36" i="1"/>
  <c r="BC33" i="1"/>
  <c r="BU33" i="1" s="1"/>
  <c r="BM33" i="1" l="1"/>
  <c r="CB33" i="1"/>
  <c r="BV33" i="1"/>
  <c r="CC33" i="1" l="1"/>
  <c r="BO33" i="1"/>
  <c r="BP33" i="1"/>
  <c r="BN33" i="1"/>
  <c r="BR33" i="1" l="1"/>
  <c r="BY33" i="1" s="1"/>
  <c r="AQ34" i="1" l="1"/>
  <c r="BC34" i="1" s="1"/>
  <c r="BU34" i="1" s="1"/>
  <c r="CB34" i="1" l="1"/>
  <c r="BV34" i="1"/>
  <c r="BM34" i="1"/>
  <c r="BN34" i="1" l="1"/>
  <c r="BO34" i="1"/>
  <c r="BP34" i="1"/>
  <c r="CC34" i="1"/>
  <c r="BR34" i="1" l="1"/>
  <c r="BY34" i="1" s="1"/>
  <c r="AQ35" i="1" l="1"/>
  <c r="BC35" i="1" s="1"/>
  <c r="BU35" i="1" s="1"/>
  <c r="BM35" i="1" l="1"/>
  <c r="CB35" i="1"/>
  <c r="BV35" i="1"/>
  <c r="BP35" i="1" l="1"/>
  <c r="BO35" i="1"/>
  <c r="BN35" i="1"/>
  <c r="CC35" i="1"/>
  <c r="BR35" i="1" l="1"/>
  <c r="BY35" i="1" s="1"/>
  <c r="AQ36" i="1" l="1"/>
  <c r="BC36" i="1" s="1"/>
  <c r="BU36" i="1" s="1"/>
  <c r="BM36" i="1" l="1"/>
  <c r="CB36" i="1"/>
  <c r="BV36" i="1"/>
  <c r="CC36" i="1" l="1"/>
  <c r="BN36" i="1"/>
  <c r="BO36" i="1"/>
  <c r="BP36" i="1"/>
  <c r="BR36" i="1" l="1"/>
  <c r="AQ37" i="1" s="1"/>
  <c r="BY36" i="1" l="1"/>
  <c r="BC37" i="1"/>
  <c r="BU37" i="1" s="1"/>
  <c r="BJ37" i="1" l="1"/>
  <c r="BJ38" i="1" s="1"/>
  <c r="BH37" i="1"/>
  <c r="BI37" i="1" s="1"/>
  <c r="CH37" i="1"/>
  <c r="CH38" i="1" s="1"/>
  <c r="CH39" i="1" s="1"/>
  <c r="CB37" i="1"/>
  <c r="BV37" i="1"/>
  <c r="BH38" i="1" l="1"/>
  <c r="BI38" i="1" s="1"/>
  <c r="BL37" i="1"/>
  <c r="BK37" i="1"/>
  <c r="BK38" i="1"/>
  <c r="BJ39" i="1"/>
  <c r="CC37" i="1"/>
  <c r="BL38" i="1" l="1"/>
  <c r="BW38" i="1" s="1"/>
  <c r="CD38" i="1" s="1"/>
  <c r="BH39" i="1"/>
  <c r="BI39" i="1" s="1"/>
  <c r="BW37" i="1"/>
  <c r="BM37" i="1"/>
  <c r="BK39" i="1"/>
  <c r="BL39" i="1" l="1"/>
  <c r="BW39" i="1" s="1"/>
  <c r="CD39" i="1" s="1"/>
  <c r="BX38" i="1"/>
  <c r="BN37" i="1"/>
  <c r="BP37" i="1"/>
  <c r="BO37" i="1"/>
  <c r="BX37" i="1"/>
  <c r="CD37" i="1"/>
  <c r="BX39" i="1" l="1"/>
  <c r="CE37" i="1"/>
  <c r="CE38" i="1"/>
  <c r="BR37" i="1"/>
  <c r="CE39" i="1"/>
  <c r="AQ38" i="1" l="1"/>
  <c r="BY37" i="1"/>
  <c r="CH40" i="1"/>
  <c r="CH41" i="1" s="1"/>
  <c r="CH42" i="1" s="1"/>
  <c r="BH40" i="1"/>
  <c r="BJ40" i="1"/>
  <c r="BC38" i="1" l="1"/>
  <c r="BU38" i="1" s="1"/>
  <c r="BH41" i="1"/>
  <c r="BI40" i="1"/>
  <c r="BL40" i="1"/>
  <c r="BW40" i="1" s="1"/>
  <c r="BJ41" i="1"/>
  <c r="BK40" i="1"/>
  <c r="BM38" i="1" l="1"/>
  <c r="BN38" i="1" s="1"/>
  <c r="BV38" i="1"/>
  <c r="CB38" i="1"/>
  <c r="CC38" i="1" s="1"/>
  <c r="BL41" i="1"/>
  <c r="BW41" i="1" s="1"/>
  <c r="BJ42" i="1"/>
  <c r="BK41" i="1"/>
  <c r="CD40" i="1"/>
  <c r="BX40" i="1"/>
  <c r="BH42" i="1"/>
  <c r="BI41" i="1"/>
  <c r="BP38" i="1" l="1"/>
  <c r="BO38" i="1"/>
  <c r="CE40" i="1"/>
  <c r="BI42" i="1"/>
  <c r="BL42" i="1"/>
  <c r="BW42" i="1" s="1"/>
  <c r="BK42" i="1"/>
  <c r="CD41" i="1"/>
  <c r="BX41" i="1"/>
  <c r="BR38" i="1" l="1"/>
  <c r="BY38" i="1" s="1"/>
  <c r="CD42" i="1"/>
  <c r="BX42" i="1"/>
  <c r="CE41" i="1"/>
  <c r="AQ39" i="1" l="1"/>
  <c r="BC39" i="1" s="1"/>
  <c r="BU39" i="1" s="1"/>
  <c r="CE42" i="1"/>
  <c r="BM39" i="1" l="1"/>
  <c r="CB39" i="1"/>
  <c r="CC39" i="1" s="1"/>
  <c r="BV39" i="1"/>
  <c r="BN39" i="1" l="1"/>
  <c r="BP39" i="1"/>
  <c r="BO39" i="1"/>
  <c r="BR39" i="1" l="1"/>
  <c r="AQ40" i="1" s="1"/>
  <c r="BY39" i="1" l="1"/>
  <c r="BC40" i="1"/>
  <c r="BU40" i="1" s="1"/>
  <c r="BM40" i="1" l="1"/>
  <c r="BO40" i="1" s="1"/>
  <c r="CB40" i="1"/>
  <c r="CC40" i="1" s="1"/>
  <c r="BV40" i="1"/>
  <c r="BP40" i="1" l="1"/>
  <c r="BN40" i="1"/>
  <c r="BR40" i="1" l="1"/>
  <c r="AQ41" i="1" s="1"/>
  <c r="BY40" i="1" l="1"/>
  <c r="BC41" i="1"/>
  <c r="BU41" i="1" s="1"/>
  <c r="CB41" i="1" l="1"/>
  <c r="CC41" i="1" s="1"/>
  <c r="BV41" i="1"/>
  <c r="BM41" i="1"/>
  <c r="BN41" i="1" l="1"/>
  <c r="BP41" i="1"/>
  <c r="BO41" i="1"/>
  <c r="BR41" i="1" l="1"/>
  <c r="BY41" i="1" s="1"/>
  <c r="AQ42" i="1" l="1"/>
  <c r="BC42" i="1" s="1"/>
  <c r="BU42" i="1" s="1"/>
  <c r="BM42" i="1" l="1"/>
  <c r="CB42" i="1"/>
  <c r="CC42" i="1" s="1"/>
  <c r="BV42" i="1"/>
  <c r="BP42" i="1" l="1"/>
  <c r="BO42" i="1"/>
  <c r="BN42" i="1"/>
  <c r="BR42" i="1" l="1"/>
  <c r="AQ43" i="1" s="1"/>
  <c r="BY42" i="1" l="1"/>
  <c r="BC43" i="1"/>
  <c r="BU43" i="1" s="1"/>
  <c r="CH43" i="1" l="1"/>
  <c r="CH44" i="1" s="1"/>
  <c r="CH45" i="1" s="1"/>
  <c r="CH46" i="1" s="1"/>
  <c r="CH47" i="1" s="1"/>
  <c r="CH48" i="1" s="1"/>
  <c r="BJ43" i="1"/>
  <c r="BJ44" i="1" s="1"/>
  <c r="BK44" i="1" s="1"/>
  <c r="BH43" i="1"/>
  <c r="BI43" i="1" s="1"/>
  <c r="BV43" i="1"/>
  <c r="L57" i="1" s="1"/>
  <c r="Z110" i="10" s="1"/>
  <c r="CB43" i="1"/>
  <c r="CC43" i="1" s="1"/>
  <c r="M57" i="1" s="1"/>
  <c r="AH110" i="10" s="1"/>
  <c r="BJ45" i="1"/>
  <c r="BK45" i="1" s="1"/>
  <c r="BK43" i="1" l="1"/>
  <c r="BL43" i="1"/>
  <c r="BW43" i="1" s="1"/>
  <c r="CD43" i="1" s="1"/>
  <c r="CE43" i="1" s="1"/>
  <c r="O57" i="1" s="1"/>
  <c r="AX110" i="10" s="1"/>
  <c r="BH44" i="1"/>
  <c r="BL44" i="1" s="1"/>
  <c r="BW44" i="1" s="1"/>
  <c r="BJ46" i="1"/>
  <c r="BK46" i="1" s="1"/>
  <c r="AH254" i="3"/>
  <c r="Z254" i="3"/>
  <c r="AX254" i="3" l="1"/>
  <c r="BX43" i="1"/>
  <c r="N57" i="1" s="1"/>
  <c r="AP110" i="10" s="1"/>
  <c r="BM43" i="1"/>
  <c r="BN43" i="1" s="1"/>
  <c r="CD44" i="1"/>
  <c r="CE44" i="1" s="1"/>
  <c r="BX44" i="1"/>
  <c r="BJ47" i="1"/>
  <c r="BK47" i="1" s="1"/>
  <c r="BI44" i="1"/>
  <c r="BH45" i="1"/>
  <c r="BL45" i="1" s="1"/>
  <c r="BW45" i="1" s="1"/>
  <c r="CD45" i="1" s="1"/>
  <c r="BJ48" i="1"/>
  <c r="CE45" i="1" l="1"/>
  <c r="AF56" i="1"/>
  <c r="AI56" i="1" s="1"/>
  <c r="AP254" i="3"/>
  <c r="BP43" i="1"/>
  <c r="BO43" i="1"/>
  <c r="BX45" i="1"/>
  <c r="BI45" i="1"/>
  <c r="BH46" i="1"/>
  <c r="BL46" i="1" s="1"/>
  <c r="BW46" i="1" s="1"/>
  <c r="CD46" i="1" s="1"/>
  <c r="CE46" i="1" s="1"/>
  <c r="BK48" i="1"/>
  <c r="BR43" i="1" l="1"/>
  <c r="AQ44" i="1" s="1"/>
  <c r="BC44" i="1" s="1"/>
  <c r="BU44" i="1" s="1"/>
  <c r="P57" i="1"/>
  <c r="BF110" i="10" s="1"/>
  <c r="BX46" i="1"/>
  <c r="BH47" i="1"/>
  <c r="BL47" i="1" s="1"/>
  <c r="BW47" i="1" s="1"/>
  <c r="BI46" i="1"/>
  <c r="BY43" i="1" l="1"/>
  <c r="Q57" i="1" s="1"/>
  <c r="BF254" i="3"/>
  <c r="CD47" i="1"/>
  <c r="CE47" i="1" s="1"/>
  <c r="BX47" i="1"/>
  <c r="BI47" i="1"/>
  <c r="BH48" i="1"/>
  <c r="BM44" i="1"/>
  <c r="BN44" i="1" s="1"/>
  <c r="CB44" i="1"/>
  <c r="CC44" i="1" s="1"/>
  <c r="BV44" i="1"/>
  <c r="BN254" i="3" l="1"/>
  <c r="BN110" i="10"/>
  <c r="BI48" i="1"/>
  <c r="BL48" i="1"/>
  <c r="BW48" i="1" s="1"/>
  <c r="BP44" i="1"/>
  <c r="BO44" i="1"/>
  <c r="CD48" i="1" l="1"/>
  <c r="CE48" i="1" s="1"/>
  <c r="BX48" i="1"/>
  <c r="BR44" i="1"/>
  <c r="BY44" i="1" s="1"/>
  <c r="AQ45" i="1" l="1"/>
  <c r="BC45" i="1" s="1"/>
  <c r="BU45" i="1" s="1"/>
  <c r="CB45" i="1" s="1"/>
  <c r="CC45" i="1" s="1"/>
  <c r="BV45" i="1" l="1"/>
  <c r="BM45" i="1"/>
  <c r="BN45" i="1" s="1"/>
  <c r="BP45" i="1" l="1"/>
  <c r="BO45" i="1"/>
  <c r="BR45" i="1" l="1"/>
  <c r="BY45" i="1" s="1"/>
  <c r="AQ46" i="1" l="1"/>
  <c r="BC46" i="1" s="1"/>
  <c r="BU46" i="1" s="1"/>
  <c r="CB46" i="1" s="1"/>
  <c r="CC46" i="1" s="1"/>
  <c r="BV46" i="1" l="1"/>
  <c r="BM46" i="1"/>
  <c r="BO46" i="1" s="1"/>
  <c r="BN46" i="1" l="1"/>
  <c r="BP46" i="1"/>
  <c r="BR46" i="1" l="1"/>
  <c r="BY46" i="1" s="1"/>
  <c r="AQ47" i="1" l="1"/>
  <c r="BC47" i="1" s="1"/>
  <c r="BU47" i="1" s="1"/>
  <c r="CB47" i="1" s="1"/>
  <c r="CC47" i="1" s="1"/>
  <c r="BV47" i="1" l="1"/>
  <c r="BM47" i="1"/>
  <c r="BO47" i="1" s="1"/>
  <c r="BP47" i="1" l="1"/>
  <c r="BN47" i="1"/>
  <c r="BR47" i="1" l="1"/>
  <c r="BY47" i="1" s="1"/>
  <c r="AQ48" i="1" l="1"/>
  <c r="BC48" i="1" s="1"/>
  <c r="BU48" i="1" s="1"/>
  <c r="CB48" i="1" s="1"/>
  <c r="CC48" i="1" s="1"/>
  <c r="BM48" i="1" l="1"/>
  <c r="BN48" i="1" s="1"/>
  <c r="BV48" i="1"/>
  <c r="BO48" i="1" l="1"/>
  <c r="BP48" i="1"/>
  <c r="BR48" i="1" l="1"/>
  <c r="BY48" i="1" s="1"/>
  <c r="AQ49" i="1" l="1"/>
  <c r="BC49" i="1" l="1"/>
  <c r="CH49" i="1"/>
  <c r="CH50" i="1" s="1"/>
  <c r="CH51" i="1" s="1"/>
  <c r="BJ49" i="1"/>
  <c r="BK49" i="1" l="1"/>
  <c r="BJ50" i="1"/>
  <c r="BU49" i="1"/>
  <c r="BH49" i="1"/>
  <c r="BL49" i="1" s="1"/>
  <c r="BI49" i="1" l="1"/>
  <c r="BH50" i="1"/>
  <c r="BL50" i="1" s="1"/>
  <c r="BW50" i="1" s="1"/>
  <c r="CD50" i="1" s="1"/>
  <c r="CB49" i="1"/>
  <c r="CC49" i="1" s="1"/>
  <c r="BV49" i="1"/>
  <c r="BW49" i="1"/>
  <c r="BM49" i="1"/>
  <c r="BK50" i="1"/>
  <c r="BJ51" i="1"/>
  <c r="BJ52" i="1" s="1"/>
  <c r="BK52" i="1" s="1"/>
  <c r="CH52" i="1"/>
  <c r="CH53" i="1" s="1"/>
  <c r="CH54" i="1" s="1"/>
  <c r="BO49" i="1" l="1"/>
  <c r="BP49" i="1"/>
  <c r="BN49" i="1"/>
  <c r="BX50" i="1"/>
  <c r="CD49" i="1"/>
  <c r="BX49" i="1"/>
  <c r="BI50" i="1"/>
  <c r="BH51" i="1"/>
  <c r="BL51" i="1" s="1"/>
  <c r="BW51" i="1" s="1"/>
  <c r="CD51" i="1" s="1"/>
  <c r="BK51" i="1"/>
  <c r="BJ53" i="1"/>
  <c r="BK53" i="1" s="1"/>
  <c r="BX51" i="1" l="1"/>
  <c r="CE50" i="1"/>
  <c r="CE49" i="1"/>
  <c r="CE51" i="1"/>
  <c r="BR49" i="1"/>
  <c r="BI51" i="1"/>
  <c r="BH52" i="1"/>
  <c r="BL52" i="1" s="1"/>
  <c r="BW52" i="1" s="1"/>
  <c r="CD52" i="1" s="1"/>
  <c r="CE52" i="1" s="1"/>
  <c r="BJ54" i="1"/>
  <c r="BX52" i="1" l="1"/>
  <c r="BH53" i="1"/>
  <c r="BL53" i="1" s="1"/>
  <c r="BW53" i="1" s="1"/>
  <c r="CD53" i="1" s="1"/>
  <c r="CE53" i="1" s="1"/>
  <c r="BI52" i="1"/>
  <c r="AQ50" i="1"/>
  <c r="BY49" i="1"/>
  <c r="BK54" i="1"/>
  <c r="BX53" i="1" l="1"/>
  <c r="BC50" i="1"/>
  <c r="BU50" i="1" s="1"/>
  <c r="BI53" i="1"/>
  <c r="BH54" i="1"/>
  <c r="BL54" i="1" s="1"/>
  <c r="BW54" i="1" s="1"/>
  <c r="CD54" i="1" s="1"/>
  <c r="CE54" i="1" s="1"/>
  <c r="BX54" i="1" l="1"/>
  <c r="BM50" i="1"/>
  <c r="BO50" i="1" s="1"/>
  <c r="BI54" i="1"/>
  <c r="BV50" i="1"/>
  <c r="CB50" i="1"/>
  <c r="CC50" i="1" s="1"/>
  <c r="BP50" i="1" l="1"/>
  <c r="BN50" i="1"/>
  <c r="BR50" i="1" l="1"/>
  <c r="BY50" i="1" s="1"/>
  <c r="AQ51" i="1" l="1"/>
  <c r="BC51" i="1" s="1"/>
  <c r="BU51" i="1" s="1"/>
  <c r="BV51" i="1" s="1"/>
  <c r="BM51" i="1" l="1"/>
  <c r="BN51" i="1" s="1"/>
  <c r="CB51" i="1"/>
  <c r="CC51" i="1" s="1"/>
  <c r="BO51" i="1" l="1"/>
  <c r="BP51" i="1"/>
  <c r="BR51" i="1" l="1"/>
  <c r="BY51" i="1" s="1"/>
  <c r="AQ52" i="1" l="1"/>
  <c r="BC52" i="1" s="1"/>
  <c r="BU52" i="1" s="1"/>
  <c r="BV52" i="1" s="1"/>
  <c r="BM52" i="1" l="1"/>
  <c r="BO52" i="1" s="1"/>
  <c r="CB52" i="1"/>
  <c r="CC52" i="1" s="1"/>
  <c r="BN52" i="1" l="1"/>
  <c r="BP52" i="1"/>
  <c r="BR52" i="1" l="1"/>
  <c r="BY52" i="1" s="1"/>
  <c r="AQ53" i="1" l="1"/>
  <c r="BC53" i="1" s="1"/>
  <c r="BU53" i="1" s="1"/>
  <c r="CB53" i="1" s="1"/>
  <c r="CC53" i="1" s="1"/>
  <c r="BM53" i="1" l="1"/>
  <c r="BN53" i="1" s="1"/>
  <c r="BV53" i="1"/>
  <c r="BP53" i="1" l="1"/>
  <c r="BO53" i="1"/>
  <c r="BR53" i="1" l="1"/>
  <c r="BY53" i="1" s="1"/>
  <c r="AQ54" i="1" l="1"/>
  <c r="BC54" i="1" s="1"/>
  <c r="BU54" i="1" s="1"/>
  <c r="CB54" i="1" s="1"/>
  <c r="CC54" i="1" s="1"/>
  <c r="BV54" i="1" l="1"/>
  <c r="BM54" i="1"/>
  <c r="BP54" i="1" s="1"/>
  <c r="BN54" i="1" l="1"/>
  <c r="BO54" i="1"/>
  <c r="BH55" i="1"/>
  <c r="BR54" i="1" l="1"/>
  <c r="BY54" i="1" s="1"/>
  <c r="BJ55" i="1"/>
  <c r="BK55" i="1" s="1"/>
  <c r="BI55" i="1"/>
  <c r="BH56" i="1"/>
  <c r="AQ55" i="1" l="1"/>
  <c r="BL55" i="1"/>
  <c r="BJ56" i="1"/>
  <c r="BL56" i="1" s="1"/>
  <c r="BW56" i="1" s="1"/>
  <c r="BI56" i="1"/>
  <c r="BH57" i="1"/>
  <c r="BC55" i="1" l="1"/>
  <c r="BU55" i="1" s="1"/>
  <c r="CH55" i="1"/>
  <c r="CH56" i="1" s="1"/>
  <c r="CH57" i="1" s="1"/>
  <c r="CH58" i="1" s="1"/>
  <c r="CH59" i="1" s="1"/>
  <c r="CH60" i="1" s="1"/>
  <c r="BJ57" i="1"/>
  <c r="BK57" i="1" s="1"/>
  <c r="BK56" i="1"/>
  <c r="BW55" i="1"/>
  <c r="BX56" i="1" s="1"/>
  <c r="CD56" i="1"/>
  <c r="BJ58" i="1"/>
  <c r="BI57" i="1"/>
  <c r="BH58" i="1"/>
  <c r="BM55" i="1" l="1"/>
  <c r="BO55" i="1" s="1"/>
  <c r="CB55" i="1"/>
  <c r="CC55" i="1" s="1"/>
  <c r="M58" i="1" s="1"/>
  <c r="AH111" i="10" s="1"/>
  <c r="BV55" i="1"/>
  <c r="L58" i="1" s="1"/>
  <c r="Z111" i="10" s="1"/>
  <c r="BL57" i="1"/>
  <c r="BW57" i="1" s="1"/>
  <c r="CD57" i="1" s="1"/>
  <c r="BX55" i="1"/>
  <c r="N58" i="1" s="1"/>
  <c r="AP111" i="10" s="1"/>
  <c r="CD55" i="1"/>
  <c r="CE55" i="1" s="1"/>
  <c r="O58" i="1" s="1"/>
  <c r="AX111" i="10" s="1"/>
  <c r="BK58" i="1"/>
  <c r="BJ59" i="1"/>
  <c r="BL58" i="1"/>
  <c r="BW58" i="1" s="1"/>
  <c r="CD58" i="1" s="1"/>
  <c r="BH59" i="1"/>
  <c r="BI58" i="1"/>
  <c r="BX57" i="1" l="1"/>
  <c r="BN55" i="1"/>
  <c r="BP55" i="1"/>
  <c r="Z255" i="3"/>
  <c r="AH255" i="3"/>
  <c r="AX255" i="3"/>
  <c r="CE56" i="1"/>
  <c r="CE57" i="1"/>
  <c r="AP255" i="3"/>
  <c r="AF57" i="1"/>
  <c r="AI57" i="1" s="1"/>
  <c r="CE58" i="1"/>
  <c r="BL59" i="1"/>
  <c r="BW59" i="1" s="1"/>
  <c r="CD59" i="1" s="1"/>
  <c r="CE59" i="1" s="1"/>
  <c r="BI59" i="1"/>
  <c r="BH60" i="1"/>
  <c r="BI60" i="1" s="1"/>
  <c r="BX58" i="1"/>
  <c r="BJ60" i="1"/>
  <c r="BK59" i="1"/>
  <c r="BR55" i="1" l="1"/>
  <c r="BY55" i="1" s="1"/>
  <c r="Q58" i="1" s="1"/>
  <c r="P58" i="1"/>
  <c r="BX59" i="1"/>
  <c r="BK60" i="1"/>
  <c r="BL60" i="1"/>
  <c r="BW60" i="1" s="1"/>
  <c r="AQ56" i="1" l="1"/>
  <c r="BC56" i="1" s="1"/>
  <c r="BU56" i="1" s="1"/>
  <c r="CB56" i="1" s="1"/>
  <c r="CC56" i="1" s="1"/>
  <c r="BN255" i="3"/>
  <c r="BN111" i="10"/>
  <c r="BF255" i="3"/>
  <c r="BF111" i="10"/>
  <c r="CD60" i="1"/>
  <c r="CE60" i="1" s="1"/>
  <c r="BX60" i="1"/>
  <c r="BV56" i="1" l="1"/>
  <c r="BM56" i="1"/>
  <c r="BO56" i="1" s="1"/>
  <c r="BN56" i="1" l="1"/>
  <c r="BP56" i="1"/>
  <c r="BR56" i="1" l="1"/>
  <c r="BY56" i="1" s="1"/>
  <c r="AQ57" i="1" l="1"/>
  <c r="BC57" i="1" s="1"/>
  <c r="BU57" i="1" s="1"/>
  <c r="BV57" i="1" s="1"/>
  <c r="CB57" i="1" l="1"/>
  <c r="CC57" i="1" s="1"/>
  <c r="BM57" i="1"/>
  <c r="BO57" i="1" s="1"/>
  <c r="BP57" i="1" l="1"/>
  <c r="BN57" i="1"/>
  <c r="BR57" i="1" l="1"/>
  <c r="AQ58" i="1" s="1"/>
  <c r="BC58" i="1" s="1"/>
  <c r="BU58" i="1" s="1"/>
  <c r="BY57" i="1" l="1"/>
  <c r="BM58" i="1"/>
  <c r="BO58" i="1" s="1"/>
  <c r="CB58" i="1"/>
  <c r="CC58" i="1" s="1"/>
  <c r="BV58" i="1"/>
  <c r="BP58" i="1" l="1"/>
  <c r="BN58" i="1"/>
  <c r="BR58" i="1" l="1"/>
  <c r="BY58" i="1" s="1"/>
  <c r="AQ59" i="1" l="1"/>
  <c r="BC59" i="1" s="1"/>
  <c r="BU59" i="1" s="1"/>
  <c r="BM59" i="1" l="1"/>
  <c r="CB59" i="1"/>
  <c r="CC59" i="1" s="1"/>
  <c r="BV59" i="1"/>
  <c r="BO59" i="1" l="1"/>
  <c r="BP59" i="1"/>
  <c r="BN59" i="1"/>
  <c r="BH61" i="1"/>
  <c r="BI61" i="1" s="1"/>
  <c r="BJ61" i="1"/>
  <c r="CH61" i="1"/>
  <c r="CH62" i="1" s="1"/>
  <c r="CH63" i="1" s="1"/>
  <c r="BR59" i="1" l="1"/>
  <c r="BY59" i="1" s="1"/>
  <c r="BL61" i="1"/>
  <c r="BJ62" i="1"/>
  <c r="BK62" i="1" s="1"/>
  <c r="BH62" i="1"/>
  <c r="BI62" i="1" s="1"/>
  <c r="BK61" i="1"/>
  <c r="AQ60" i="1" l="1"/>
  <c r="BC60" i="1" s="1"/>
  <c r="BU60" i="1" s="1"/>
  <c r="BW61" i="1"/>
  <c r="CD61" i="1" s="1"/>
  <c r="CE61" i="1" s="1"/>
  <c r="BH63" i="1"/>
  <c r="BI63" i="1" s="1"/>
  <c r="BJ63" i="1"/>
  <c r="BK63" i="1" s="1"/>
  <c r="BL62" i="1"/>
  <c r="BW62" i="1" s="1"/>
  <c r="CD62" i="1" s="1"/>
  <c r="CH64" i="1"/>
  <c r="CH65" i="1" s="1"/>
  <c r="CH66" i="1" s="1"/>
  <c r="BM60" i="1" l="1"/>
  <c r="CB60" i="1"/>
  <c r="CC60" i="1" s="1"/>
  <c r="BV60" i="1"/>
  <c r="BX61" i="1"/>
  <c r="BH64" i="1"/>
  <c r="BI64" i="1" s="1"/>
  <c r="BJ64" i="1"/>
  <c r="BK64" i="1" s="1"/>
  <c r="BL63" i="1"/>
  <c r="BW63" i="1" s="1"/>
  <c r="CD63" i="1" s="1"/>
  <c r="CE63" i="1" s="1"/>
  <c r="BX62" i="1"/>
  <c r="CE62" i="1"/>
  <c r="BO60" i="1" l="1"/>
  <c r="BP60" i="1"/>
  <c r="BN60" i="1"/>
  <c r="BJ65" i="1"/>
  <c r="BH65" i="1"/>
  <c r="BI65" i="1" s="1"/>
  <c r="BX63" i="1"/>
  <c r="BL64" i="1"/>
  <c r="BW64" i="1" s="1"/>
  <c r="BX64" i="1" s="1"/>
  <c r="BR60" i="1" l="1"/>
  <c r="BY60" i="1" s="1"/>
  <c r="BL65" i="1"/>
  <c r="BW65" i="1" s="1"/>
  <c r="CD65" i="1" s="1"/>
  <c r="BJ66" i="1"/>
  <c r="BK66" i="1" s="1"/>
  <c r="BK65" i="1"/>
  <c r="BH66" i="1"/>
  <c r="CD64" i="1"/>
  <c r="CE64" i="1" s="1"/>
  <c r="AQ61" i="1" l="1"/>
  <c r="BC61" i="1" s="1"/>
  <c r="BU61" i="1" s="1"/>
  <c r="BX65" i="1"/>
  <c r="BL66" i="1"/>
  <c r="BW66" i="1" s="1"/>
  <c r="BX66" i="1" s="1"/>
  <c r="CE65" i="1"/>
  <c r="BI66" i="1"/>
  <c r="BM61" i="1" l="1"/>
  <c r="BP61" i="1" s="1"/>
  <c r="CB61" i="1"/>
  <c r="CC61" i="1" s="1"/>
  <c r="BV61" i="1"/>
  <c r="CD66" i="1"/>
  <c r="CE66" i="1" s="1"/>
  <c r="BN61" i="1" l="1"/>
  <c r="BO61" i="1"/>
  <c r="BR61" i="1" l="1"/>
  <c r="BY61" i="1" s="1"/>
  <c r="AQ62" i="1" l="1"/>
  <c r="BC62" i="1" s="1"/>
  <c r="BU62" i="1" s="1"/>
  <c r="BV62" i="1" s="1"/>
  <c r="CB62" i="1" l="1"/>
  <c r="CC62" i="1" s="1"/>
  <c r="BM62" i="1"/>
  <c r="BO62" i="1" s="1"/>
  <c r="BP62" i="1" l="1"/>
  <c r="BN62" i="1"/>
  <c r="BR62" i="1" l="1"/>
  <c r="AQ63" i="1" s="1"/>
  <c r="BC63" i="1" s="1"/>
  <c r="BU63" i="1" s="1"/>
  <c r="CB63" i="1" s="1"/>
  <c r="CC63" i="1" s="1"/>
  <c r="BY62" i="1" l="1"/>
  <c r="BV63" i="1"/>
  <c r="BM63" i="1"/>
  <c r="BO63" i="1" s="1"/>
  <c r="BP63" i="1" l="1"/>
  <c r="BN63" i="1"/>
  <c r="BR63" i="1" l="1"/>
  <c r="BY63" i="1" s="1"/>
  <c r="AQ64" i="1" l="1"/>
  <c r="BC64" i="1" s="1"/>
  <c r="BU64" i="1" s="1"/>
  <c r="BV64" i="1" s="1"/>
  <c r="CB64" i="1" l="1"/>
  <c r="CC64" i="1" s="1"/>
  <c r="BM64" i="1"/>
  <c r="BN64" i="1" s="1"/>
  <c r="BP64" i="1" l="1"/>
  <c r="BO64" i="1"/>
  <c r="BR64" i="1" l="1"/>
  <c r="BY64" i="1" s="1"/>
  <c r="AQ65" i="1" l="1"/>
  <c r="BC65" i="1" s="1"/>
  <c r="BU65" i="1" s="1"/>
  <c r="CB65" i="1" s="1"/>
  <c r="CC65" i="1" s="1"/>
  <c r="BV65" i="1" l="1"/>
  <c r="BM65" i="1"/>
  <c r="BP65" i="1" s="1"/>
  <c r="BN65" i="1" l="1"/>
  <c r="BO65" i="1"/>
  <c r="BR65" i="1" l="1"/>
  <c r="AQ66" i="1" s="1"/>
  <c r="BC66" i="1" s="1"/>
  <c r="BU66" i="1" s="1"/>
  <c r="CB66" i="1" s="1"/>
  <c r="CC66" i="1" s="1"/>
  <c r="BV66" i="1" l="1"/>
  <c r="BY65" i="1"/>
  <c r="BM66" i="1"/>
  <c r="BP66" i="1" s="1"/>
  <c r="BO66" i="1" l="1"/>
  <c r="BN66" i="1"/>
  <c r="BR66" i="1" l="1"/>
  <c r="BY66" i="1" s="1"/>
  <c r="AQ67" i="1" l="1"/>
  <c r="BC67" i="1" s="1"/>
  <c r="CH67" i="1" s="1"/>
  <c r="CH68" i="1" s="1"/>
  <c r="CH69" i="1" s="1"/>
  <c r="CH70" i="1" s="1"/>
  <c r="CH71" i="1" s="1"/>
  <c r="CH72" i="1" s="1"/>
  <c r="BJ67" i="1"/>
  <c r="BH67" i="1"/>
  <c r="BU67" i="1" l="1"/>
  <c r="CB67" i="1" s="1"/>
  <c r="CC67" i="1" s="1"/>
  <c r="M59" i="1" s="1"/>
  <c r="AH112" i="10" s="1"/>
  <c r="BI67" i="1"/>
  <c r="BH68" i="1"/>
  <c r="BJ68" i="1"/>
  <c r="BL67" i="1"/>
  <c r="BK67" i="1"/>
  <c r="BV67" i="1" l="1"/>
  <c r="L59" i="1" s="1"/>
  <c r="Z112" i="10" s="1"/>
  <c r="AH256" i="3"/>
  <c r="BI68" i="1"/>
  <c r="BH69" i="1"/>
  <c r="BM67" i="1"/>
  <c r="BW67" i="1"/>
  <c r="BK68" i="1"/>
  <c r="BL68" i="1"/>
  <c r="BW68" i="1" s="1"/>
  <c r="CD68" i="1" s="1"/>
  <c r="BJ69" i="1"/>
  <c r="Z256" i="3" l="1"/>
  <c r="CD67" i="1"/>
  <c r="BX67" i="1"/>
  <c r="N59" i="1" s="1"/>
  <c r="AP112" i="10" s="1"/>
  <c r="BX68" i="1"/>
  <c r="BO67" i="1"/>
  <c r="BP67" i="1"/>
  <c r="BN67" i="1"/>
  <c r="BI69" i="1"/>
  <c r="BH70" i="1"/>
  <c r="BK69" i="1"/>
  <c r="BL69" i="1"/>
  <c r="BW69" i="1" s="1"/>
  <c r="CD69" i="1" s="1"/>
  <c r="BJ70" i="1"/>
  <c r="BR67" i="1" l="1"/>
  <c r="AQ68" i="1" s="1"/>
  <c r="BL70" i="1"/>
  <c r="BW70" i="1" s="1"/>
  <c r="CD70" i="1" s="1"/>
  <c r="CE70" i="1" s="1"/>
  <c r="BK70" i="1"/>
  <c r="BJ71" i="1"/>
  <c r="BX69" i="1"/>
  <c r="BI70" i="1"/>
  <c r="BH71" i="1"/>
  <c r="AP256" i="3"/>
  <c r="AF58" i="1"/>
  <c r="AI58" i="1" s="1"/>
  <c r="CE67" i="1"/>
  <c r="O59" i="1" s="1"/>
  <c r="AX112" i="10" s="1"/>
  <c r="CE69" i="1"/>
  <c r="CE68" i="1"/>
  <c r="BX70" i="1" l="1"/>
  <c r="AX256" i="3"/>
  <c r="P59" i="1"/>
  <c r="BF112" i="10" s="1"/>
  <c r="BY67" i="1"/>
  <c r="Q59" i="1" s="1"/>
  <c r="BN112" i="10" s="1"/>
  <c r="BL71" i="1"/>
  <c r="BW71" i="1" s="1"/>
  <c r="BJ72" i="1"/>
  <c r="BK71" i="1"/>
  <c r="BI71" i="1"/>
  <c r="BH72" i="1"/>
  <c r="BI72" i="1" s="1"/>
  <c r="BC68" i="1"/>
  <c r="BU68" i="1" s="1"/>
  <c r="BF256" i="3" l="1"/>
  <c r="BN256" i="3"/>
  <c r="BM68" i="1"/>
  <c r="BK72" i="1"/>
  <c r="BL72" i="1"/>
  <c r="BW72" i="1" s="1"/>
  <c r="CD72" i="1" s="1"/>
  <c r="CB68" i="1"/>
  <c r="CC68" i="1" s="1"/>
  <c r="BV68" i="1"/>
  <c r="CD71" i="1"/>
  <c r="BX71" i="1"/>
  <c r="BX72" i="1" l="1"/>
  <c r="CE72" i="1"/>
  <c r="CE71" i="1"/>
  <c r="BO68" i="1"/>
  <c r="BP68" i="1"/>
  <c r="BN68" i="1"/>
  <c r="BR68" i="1" l="1"/>
  <c r="BY68" i="1" s="1"/>
  <c r="AQ69" i="1" l="1"/>
  <c r="BC69" i="1" s="1"/>
  <c r="BU69" i="1" l="1"/>
  <c r="CB69" i="1" s="1"/>
  <c r="CC69" i="1" s="1"/>
  <c r="BM69" i="1"/>
  <c r="BN69" i="1" s="1"/>
  <c r="BV69" i="1" l="1"/>
  <c r="BP69" i="1"/>
  <c r="BO69" i="1"/>
  <c r="BR69" i="1" l="1"/>
  <c r="BY69" i="1" s="1"/>
  <c r="AQ70" i="1" l="1"/>
  <c r="BC70" i="1" s="1"/>
  <c r="BU70" i="1" s="1"/>
  <c r="BV70" i="1" s="1"/>
  <c r="CB70" i="1" l="1"/>
  <c r="CC70" i="1" s="1"/>
  <c r="BM70" i="1"/>
  <c r="BN70" i="1" s="1"/>
  <c r="BP70" i="1" l="1"/>
  <c r="BO70" i="1"/>
  <c r="BR70" i="1" l="1"/>
  <c r="BY70" i="1" s="1"/>
  <c r="AQ71" i="1" l="1"/>
  <c r="BC71" i="1" s="1"/>
  <c r="BU71" i="1" s="1"/>
  <c r="BV71" i="1" s="1"/>
  <c r="CB71" i="1" l="1"/>
  <c r="CC71" i="1" s="1"/>
  <c r="BM71" i="1"/>
  <c r="BN71" i="1" s="1"/>
  <c r="BO71" i="1" l="1"/>
  <c r="BP71" i="1"/>
  <c r="BR71" i="1" l="1"/>
  <c r="AQ72" i="1" s="1"/>
  <c r="BC72" i="1" s="1"/>
  <c r="BU72" i="1" s="1"/>
  <c r="BV72" i="1" s="1"/>
  <c r="BY71" i="1" l="1"/>
  <c r="CB72" i="1"/>
  <c r="CC72" i="1" s="1"/>
  <c r="BM72" i="1"/>
  <c r="BP72" i="1" s="1"/>
  <c r="BO72" i="1" l="1"/>
  <c r="BN72" i="1"/>
  <c r="CH73" i="1"/>
  <c r="CH74" i="1" s="1"/>
  <c r="CH75" i="1" s="1"/>
  <c r="CH76" i="1" s="1"/>
  <c r="CH77" i="1" s="1"/>
  <c r="CH78" i="1" s="1"/>
  <c r="BJ73" i="1"/>
  <c r="BH73" i="1"/>
  <c r="BH74" i="1" s="1"/>
  <c r="BH75" i="1" s="1"/>
  <c r="BI75" i="1" s="1"/>
  <c r="BR72" i="1" l="1"/>
  <c r="BY72" i="1" s="1"/>
  <c r="BL73" i="1"/>
  <c r="BJ74" i="1"/>
  <c r="BK74" i="1" s="1"/>
  <c r="BK73" i="1"/>
  <c r="BH76" i="1"/>
  <c r="BH77" i="1" s="1"/>
  <c r="BI73" i="1"/>
  <c r="BI74" i="1"/>
  <c r="AQ73" i="1" l="1"/>
  <c r="BC73" i="1" s="1"/>
  <c r="BU73" i="1" s="1"/>
  <c r="CB73" i="1" s="1"/>
  <c r="CC73" i="1" s="1"/>
  <c r="BW73" i="1"/>
  <c r="BX73" i="1" s="1"/>
  <c r="BL74" i="1"/>
  <c r="BW74" i="1" s="1"/>
  <c r="BJ75" i="1"/>
  <c r="BI76" i="1"/>
  <c r="BH78" i="1"/>
  <c r="BI77" i="1"/>
  <c r="BV73" i="1" l="1"/>
  <c r="BM73" i="1"/>
  <c r="CD73" i="1"/>
  <c r="CE73" i="1" s="1"/>
  <c r="BL75" i="1"/>
  <c r="BW75" i="1" s="1"/>
  <c r="CD75" i="1" s="1"/>
  <c r="BJ76" i="1"/>
  <c r="BK75" i="1"/>
  <c r="CD74" i="1"/>
  <c r="BX74" i="1"/>
  <c r="BI78" i="1"/>
  <c r="BO73" i="1" l="1"/>
  <c r="BP73" i="1"/>
  <c r="BN73" i="1"/>
  <c r="BX75" i="1"/>
  <c r="CE75" i="1"/>
  <c r="CE74" i="1"/>
  <c r="BK76" i="1"/>
  <c r="BL76" i="1"/>
  <c r="BW76" i="1" s="1"/>
  <c r="BJ77" i="1"/>
  <c r="BR73" i="1" l="1"/>
  <c r="BY73" i="1" s="1"/>
  <c r="BX76" i="1"/>
  <c r="CD76" i="1"/>
  <c r="BK77" i="1"/>
  <c r="BL77" i="1"/>
  <c r="BW77" i="1" s="1"/>
  <c r="BJ78" i="1"/>
  <c r="AQ74" i="1" l="1"/>
  <c r="BC74" i="1" s="1"/>
  <c r="BU74" i="1" s="1"/>
  <c r="BV74" i="1" s="1"/>
  <c r="CD77" i="1"/>
  <c r="CE77" i="1" s="1"/>
  <c r="BX77" i="1"/>
  <c r="CE76" i="1"/>
  <c r="BK78" i="1"/>
  <c r="BL78" i="1"/>
  <c r="BW78" i="1" s="1"/>
  <c r="BX78" i="1" s="1"/>
  <c r="BM74" i="1" l="1"/>
  <c r="BO74" i="1" s="1"/>
  <c r="CB74" i="1"/>
  <c r="CC74" i="1" s="1"/>
  <c r="CD78" i="1"/>
  <c r="CE78" i="1" s="1"/>
  <c r="BN74" i="1" l="1"/>
  <c r="BP74" i="1"/>
  <c r="BR74" i="1" l="1"/>
  <c r="BY74" i="1" s="1"/>
  <c r="AQ75" i="1" l="1"/>
  <c r="BC75" i="1" s="1"/>
  <c r="BU75" i="1" s="1"/>
  <c r="CB75" i="1" s="1"/>
  <c r="CC75" i="1" s="1"/>
  <c r="BV75" i="1" l="1"/>
  <c r="BM75" i="1"/>
  <c r="BO75" i="1" s="1"/>
  <c r="BN75" i="1" l="1"/>
  <c r="BP75" i="1"/>
  <c r="BR75" i="1" l="1"/>
  <c r="AQ76" i="1" s="1"/>
  <c r="BC76" i="1" s="1"/>
  <c r="BU76" i="1" s="1"/>
  <c r="BY75" i="1" l="1"/>
  <c r="BM76" i="1"/>
  <c r="BV76" i="1"/>
  <c r="CB76" i="1"/>
  <c r="CC76" i="1" s="1"/>
  <c r="BP76" i="1" l="1"/>
  <c r="BO76" i="1"/>
  <c r="BN76" i="1"/>
  <c r="BR76" i="1" l="1"/>
  <c r="BY76" i="1" s="1"/>
  <c r="AQ77" i="1" l="1"/>
  <c r="BC77" i="1" s="1"/>
  <c r="BU77" i="1" s="1"/>
  <c r="CB77" i="1" s="1"/>
  <c r="CC77" i="1" s="1"/>
  <c r="BM77" i="1" l="1"/>
  <c r="BO77" i="1" s="1"/>
  <c r="BV77" i="1"/>
  <c r="BN77" i="1" l="1"/>
  <c r="BP77" i="1"/>
  <c r="BR77" i="1" l="1"/>
  <c r="AQ78" i="1" s="1"/>
  <c r="BC78" i="1" s="1"/>
  <c r="BU78" i="1" s="1"/>
  <c r="BV78" i="1" s="1"/>
  <c r="CB78" i="1" l="1"/>
  <c r="CC78" i="1" s="1"/>
  <c r="BM78" i="1"/>
  <c r="BO78" i="1" s="1"/>
  <c r="BY77" i="1"/>
  <c r="BN78" i="1" l="1"/>
  <c r="BP78" i="1"/>
  <c r="BR78" i="1" l="1"/>
  <c r="BY78" i="1" s="1"/>
  <c r="AQ79" i="1" l="1"/>
  <c r="BC79" i="1" s="1"/>
  <c r="BU79" i="1" s="1"/>
  <c r="BV79" i="1" s="1"/>
  <c r="L60" i="1" s="1"/>
  <c r="Z113" i="10" s="1"/>
  <c r="Z257" i="3" l="1"/>
  <c r="CH79" i="1"/>
  <c r="CH80" i="1" s="1"/>
  <c r="CH81" i="1" s="1"/>
  <c r="CH82" i="1" s="1"/>
  <c r="CH83" i="1" s="1"/>
  <c r="CH84" i="1" s="1"/>
  <c r="BJ79" i="1"/>
  <c r="BH79" i="1"/>
  <c r="CB79" i="1"/>
  <c r="CC79" i="1" s="1"/>
  <c r="M60" i="1" s="1"/>
  <c r="AH113" i="10" s="1"/>
  <c r="AH257" i="3" l="1"/>
  <c r="BI79" i="1"/>
  <c r="BH80" i="1"/>
  <c r="BK79" i="1"/>
  <c r="BL79" i="1"/>
  <c r="BJ80" i="1"/>
  <c r="BJ81" i="1" l="1"/>
  <c r="BL80" i="1"/>
  <c r="BW80" i="1" s="1"/>
  <c r="CD80" i="1" s="1"/>
  <c r="BK80" i="1"/>
  <c r="BW79" i="1"/>
  <c r="BM79" i="1"/>
  <c r="BI80" i="1"/>
  <c r="BH81" i="1"/>
  <c r="BJ82" i="1" l="1"/>
  <c r="BK81" i="1"/>
  <c r="BL81" i="1"/>
  <c r="BW81" i="1" s="1"/>
  <c r="CD81" i="1" s="1"/>
  <c r="BI81" i="1"/>
  <c r="BH82" i="1"/>
  <c r="BN79" i="1"/>
  <c r="BO79" i="1"/>
  <c r="BP79" i="1"/>
  <c r="CD79" i="1"/>
  <c r="BX79" i="1"/>
  <c r="N60" i="1" s="1"/>
  <c r="AP113" i="10" s="1"/>
  <c r="BX80" i="1"/>
  <c r="BK82" i="1" l="1"/>
  <c r="BJ83" i="1"/>
  <c r="BL82" i="1"/>
  <c r="BW82" i="1" s="1"/>
  <c r="CD82" i="1" s="1"/>
  <c r="CE82" i="1" s="1"/>
  <c r="BR79" i="1"/>
  <c r="BI82" i="1"/>
  <c r="BH83" i="1"/>
  <c r="CE79" i="1"/>
  <c r="O60" i="1" s="1"/>
  <c r="AX113" i="10" s="1"/>
  <c r="CE81" i="1"/>
  <c r="CE80" i="1"/>
  <c r="BX81" i="1"/>
  <c r="AP257" i="3"/>
  <c r="AF59" i="1"/>
  <c r="AI59" i="1" s="1"/>
  <c r="AX257" i="3" l="1"/>
  <c r="BX82" i="1"/>
  <c r="BL83" i="1"/>
  <c r="BW83" i="1" s="1"/>
  <c r="BI83" i="1"/>
  <c r="BH84" i="1"/>
  <c r="BI84" i="1" s="1"/>
  <c r="AQ80" i="1"/>
  <c r="BY79" i="1"/>
  <c r="Q60" i="1" s="1"/>
  <c r="BN113" i="10" s="1"/>
  <c r="P60" i="1"/>
  <c r="BF113" i="10" s="1"/>
  <c r="BJ84" i="1"/>
  <c r="BK83" i="1"/>
  <c r="BN257" i="3" l="1"/>
  <c r="BF257" i="3"/>
  <c r="CD83" i="1"/>
  <c r="CE83" i="1" s="1"/>
  <c r="BX83" i="1"/>
  <c r="BK84" i="1"/>
  <c r="BL84" i="1"/>
  <c r="BW84" i="1" s="1"/>
  <c r="CD84" i="1" s="1"/>
  <c r="CE84" i="1" s="1"/>
  <c r="BC80" i="1"/>
  <c r="BU80" i="1" s="1"/>
  <c r="BX84" i="1" l="1"/>
  <c r="CB80" i="1"/>
  <c r="BV80" i="1"/>
  <c r="BM80" i="1"/>
  <c r="BP80" i="1" l="1"/>
  <c r="BO80" i="1"/>
  <c r="BN80" i="1"/>
  <c r="CC80" i="1"/>
  <c r="BR80" i="1" l="1"/>
  <c r="AQ81" i="1" s="1"/>
  <c r="BY80" i="1" l="1"/>
  <c r="BC81" i="1"/>
  <c r="BU81" i="1" s="1"/>
  <c r="BM81" i="1" l="1"/>
  <c r="CB81" i="1"/>
  <c r="BV81" i="1"/>
  <c r="CC81" i="1" l="1"/>
  <c r="BO81" i="1"/>
  <c r="BP81" i="1"/>
  <c r="BN81" i="1"/>
  <c r="BR81" i="1" l="1"/>
  <c r="AQ82" i="1" s="1"/>
  <c r="BY81" i="1" l="1"/>
  <c r="BC82" i="1"/>
  <c r="BU82" i="1" s="1"/>
  <c r="CB82" i="1" l="1"/>
  <c r="CC82" i="1" s="1"/>
  <c r="BV82" i="1"/>
  <c r="BM82" i="1"/>
  <c r="BN82" i="1" l="1"/>
  <c r="BP82" i="1"/>
  <c r="BO82" i="1"/>
  <c r="BR82" i="1" l="1"/>
  <c r="BY82" i="1" s="1"/>
  <c r="AQ83" i="1" l="1"/>
  <c r="BC83" i="1" l="1"/>
  <c r="BU83" i="1" s="1"/>
  <c r="BV83" i="1" s="1"/>
  <c r="CB83" i="1" l="1"/>
  <c r="CC83" i="1" s="1"/>
  <c r="BM83" i="1"/>
  <c r="BH85" i="1"/>
  <c r="BI85" i="1" s="1"/>
  <c r="BJ85" i="1"/>
  <c r="CH85" i="1"/>
  <c r="CH86" i="1" s="1"/>
  <c r="CH87" i="1" s="1"/>
  <c r="CH88" i="1" s="1"/>
  <c r="CH89" i="1" s="1"/>
  <c r="CH90" i="1" s="1"/>
  <c r="BP83" i="1" l="1"/>
  <c r="BO83" i="1"/>
  <c r="BN83" i="1"/>
  <c r="BL85" i="1"/>
  <c r="BW85" i="1" s="1"/>
  <c r="BH86" i="1"/>
  <c r="BI86" i="1" s="1"/>
  <c r="BJ86" i="1"/>
  <c r="BK86" i="1" s="1"/>
  <c r="BK85" i="1"/>
  <c r="BR83" i="1" l="1"/>
  <c r="AQ84" i="1" s="1"/>
  <c r="BH87" i="1"/>
  <c r="BI87" i="1" s="1"/>
  <c r="BJ87" i="1"/>
  <c r="BL86" i="1"/>
  <c r="BW86" i="1" s="1"/>
  <c r="CD86" i="1" s="1"/>
  <c r="CD85" i="1"/>
  <c r="BX85" i="1"/>
  <c r="BY83" i="1" l="1"/>
  <c r="BC84" i="1"/>
  <c r="BU84" i="1" s="1"/>
  <c r="CE86" i="1"/>
  <c r="BL87" i="1"/>
  <c r="BW87" i="1" s="1"/>
  <c r="CD87" i="1" s="1"/>
  <c r="CE87" i="1" s="1"/>
  <c r="BX86" i="1"/>
  <c r="BH88" i="1"/>
  <c r="BH89" i="1" s="1"/>
  <c r="BJ88" i="1"/>
  <c r="BK87" i="1"/>
  <c r="CE85" i="1"/>
  <c r="BM84" i="1" l="1"/>
  <c r="CB84" i="1"/>
  <c r="CC84" i="1" s="1"/>
  <c r="BV84" i="1"/>
  <c r="BX87" i="1"/>
  <c r="BL88" i="1"/>
  <c r="BW88" i="1" s="1"/>
  <c r="CD88" i="1" s="1"/>
  <c r="CE88" i="1" s="1"/>
  <c r="BI88" i="1"/>
  <c r="BJ89" i="1"/>
  <c r="BK89" i="1" s="1"/>
  <c r="BK88" i="1"/>
  <c r="BI89" i="1"/>
  <c r="BH90" i="1"/>
  <c r="BO84" i="1" l="1"/>
  <c r="BN84" i="1"/>
  <c r="BP84" i="1"/>
  <c r="BX88" i="1"/>
  <c r="BJ90" i="1"/>
  <c r="BK90" i="1" s="1"/>
  <c r="BL89" i="1"/>
  <c r="BW89" i="1" s="1"/>
  <c r="CD89" i="1" s="1"/>
  <c r="CE89" i="1" s="1"/>
  <c r="BI90" i="1"/>
  <c r="BR84" i="1" l="1"/>
  <c r="BY84" i="1" s="1"/>
  <c r="BL90" i="1"/>
  <c r="BW90" i="1" s="1"/>
  <c r="CD90" i="1" s="1"/>
  <c r="BX89" i="1"/>
  <c r="AQ85" i="1" l="1"/>
  <c r="BX90" i="1"/>
  <c r="CE90" i="1"/>
  <c r="BC85" i="1" l="1"/>
  <c r="BU85" i="1" s="1"/>
  <c r="BM85" i="1" l="1"/>
  <c r="BP85" i="1" s="1"/>
  <c r="CB85" i="1"/>
  <c r="CC85" i="1" s="1"/>
  <c r="BV85" i="1"/>
  <c r="BO85" i="1" l="1"/>
  <c r="BN85" i="1"/>
  <c r="BR85" i="1" l="1"/>
  <c r="AQ86" i="1" s="1"/>
  <c r="BC86" i="1" s="1"/>
  <c r="BU86" i="1" s="1"/>
  <c r="BV86" i="1" s="1"/>
  <c r="BM86" i="1" l="1"/>
  <c r="BN86" i="1" s="1"/>
  <c r="CB86" i="1"/>
  <c r="CC86" i="1" s="1"/>
  <c r="BY85" i="1"/>
  <c r="BP86" i="1" l="1"/>
  <c r="BO86" i="1"/>
  <c r="BR86" i="1" l="1"/>
  <c r="AQ87" i="1" s="1"/>
  <c r="BY86" i="1" l="1"/>
  <c r="BC87" i="1"/>
  <c r="BU87" i="1" s="1"/>
  <c r="CB87" i="1" s="1"/>
  <c r="CC87" i="1" s="1"/>
  <c r="BV87" i="1" l="1"/>
  <c r="BM87" i="1"/>
  <c r="BO87" i="1" s="1"/>
  <c r="BN87" i="1" l="1"/>
  <c r="BP87" i="1"/>
  <c r="BR87" i="1" l="1"/>
  <c r="AQ88" i="1" s="1"/>
  <c r="BC88" i="1" s="1"/>
  <c r="BU88" i="1" s="1"/>
  <c r="BY87" i="1" l="1"/>
  <c r="BM88" i="1"/>
  <c r="BO88" i="1" s="1"/>
  <c r="CB88" i="1"/>
  <c r="CC88" i="1" s="1"/>
  <c r="BV88" i="1"/>
  <c r="BP88" i="1" l="1"/>
  <c r="BN88" i="1"/>
  <c r="BR88" i="1" l="1"/>
  <c r="BY88" i="1" l="1"/>
  <c r="AQ89" i="1"/>
  <c r="BC89" i="1" l="1"/>
  <c r="BU89" i="1" s="1"/>
  <c r="BM89" i="1" l="1"/>
  <c r="CB89" i="1"/>
  <c r="CC89" i="1" s="1"/>
  <c r="BV89" i="1"/>
  <c r="BN89" i="1" l="1"/>
  <c r="BP89" i="1"/>
  <c r="BO89" i="1"/>
  <c r="BR89" i="1" l="1"/>
  <c r="AQ90" i="1" s="1"/>
  <c r="BY89" i="1" l="1"/>
  <c r="BC90" i="1"/>
  <c r="BU90" i="1" s="1"/>
  <c r="BH91" i="1"/>
  <c r="BJ91" i="1"/>
  <c r="BM90" i="1" l="1"/>
  <c r="BN90" i="1" s="1"/>
  <c r="CB90" i="1"/>
  <c r="CC90" i="1" s="1"/>
  <c r="BV90" i="1"/>
  <c r="BL91" i="1"/>
  <c r="BK91" i="1"/>
  <c r="BJ92" i="1"/>
  <c r="BI91" i="1"/>
  <c r="BH92" i="1"/>
  <c r="BO90" i="1" l="1"/>
  <c r="BP90" i="1"/>
  <c r="BI92" i="1"/>
  <c r="BH93" i="1"/>
  <c r="BK92" i="1"/>
  <c r="BL92" i="1"/>
  <c r="BW92" i="1" s="1"/>
  <c r="CD92" i="1" s="1"/>
  <c r="BJ93" i="1"/>
  <c r="BW91" i="1"/>
  <c r="BR90" i="1" l="1"/>
  <c r="BY90" i="1" s="1"/>
  <c r="AQ91" i="1"/>
  <c r="BC91" i="1" s="1"/>
  <c r="BU91" i="1" s="1"/>
  <c r="CH91" i="1"/>
  <c r="CH92" i="1" s="1"/>
  <c r="CH93" i="1" s="1"/>
  <c r="CH94" i="1" s="1"/>
  <c r="CH95" i="1" s="1"/>
  <c r="CH96" i="1" s="1"/>
  <c r="CD91" i="1"/>
  <c r="CE92" i="1" s="1"/>
  <c r="BX91" i="1"/>
  <c r="N61" i="1" s="1"/>
  <c r="AP114" i="10" s="1"/>
  <c r="BX92" i="1"/>
  <c r="BK93" i="1"/>
  <c r="BL93" i="1"/>
  <c r="BW93" i="1" s="1"/>
  <c r="BJ94" i="1"/>
  <c r="BI93" i="1"/>
  <c r="BH94" i="1"/>
  <c r="BM91" i="1" l="1"/>
  <c r="BO91" i="1" s="1"/>
  <c r="BV91" i="1"/>
  <c r="L61" i="1" s="1"/>
  <c r="CB91" i="1"/>
  <c r="CC91" i="1" s="1"/>
  <c r="M61" i="1" s="1"/>
  <c r="BK94" i="1"/>
  <c r="BL94" i="1"/>
  <c r="BW94" i="1" s="1"/>
  <c r="BJ95" i="1"/>
  <c r="CD93" i="1"/>
  <c r="CE93" i="1" s="1"/>
  <c r="BX93" i="1"/>
  <c r="BI94" i="1"/>
  <c r="BH95" i="1"/>
  <c r="AP258" i="3"/>
  <c r="AF60" i="1"/>
  <c r="AI60" i="1" s="1"/>
  <c r="CE91" i="1"/>
  <c r="O61" i="1" s="1"/>
  <c r="AX114" i="10" s="1"/>
  <c r="BN91" i="1" l="1"/>
  <c r="BP91" i="1"/>
  <c r="AH114" i="10"/>
  <c r="AH258" i="3"/>
  <c r="Z114" i="10"/>
  <c r="Z258" i="3"/>
  <c r="AX258" i="3"/>
  <c r="BJ96" i="1"/>
  <c r="BK95" i="1"/>
  <c r="BL95" i="1"/>
  <c r="BW95" i="1" s="1"/>
  <c r="BX95" i="1" s="1"/>
  <c r="CD94" i="1"/>
  <c r="BX94" i="1"/>
  <c r="BH96" i="1"/>
  <c r="BI96" i="1" s="1"/>
  <c r="BI95" i="1"/>
  <c r="BR91" i="1" l="1"/>
  <c r="BY91" i="1" s="1"/>
  <c r="Q61" i="1" s="1"/>
  <c r="CD95" i="1"/>
  <c r="CE95" i="1" s="1"/>
  <c r="CE94" i="1"/>
  <c r="BL96" i="1"/>
  <c r="BW96" i="1" s="1"/>
  <c r="CD96" i="1" s="1"/>
  <c r="BK96" i="1"/>
  <c r="AQ92" i="1" l="1"/>
  <c r="BC92" i="1" s="1"/>
  <c r="BU92" i="1" s="1"/>
  <c r="BV92" i="1" s="1"/>
  <c r="P61" i="1"/>
  <c r="BF258" i="3" s="1"/>
  <c r="BN114" i="10"/>
  <c r="BN258" i="3"/>
  <c r="CE96" i="1"/>
  <c r="BX96" i="1"/>
  <c r="BM92" i="1" l="1"/>
  <c r="BO92" i="1" s="1"/>
  <c r="CB92" i="1"/>
  <c r="CC92" i="1" s="1"/>
  <c r="BF114" i="10"/>
  <c r="BP92" i="1" l="1"/>
  <c r="BN92" i="1"/>
  <c r="BR92" i="1" s="1"/>
  <c r="AQ93" i="1" s="1"/>
  <c r="BC93" i="1" s="1"/>
  <c r="BU93" i="1" s="1"/>
  <c r="BY92" i="1" l="1"/>
  <c r="BM93" i="1"/>
  <c r="BP93" i="1" s="1"/>
  <c r="CB93" i="1"/>
  <c r="CC93" i="1" s="1"/>
  <c r="BV93" i="1"/>
  <c r="BN93" i="1" l="1"/>
  <c r="BO93" i="1"/>
  <c r="BR93" i="1" l="1"/>
  <c r="BY93" i="1" s="1"/>
  <c r="AQ94" i="1" l="1"/>
  <c r="BC94" i="1" s="1"/>
  <c r="BU94" i="1" s="1"/>
  <c r="CB94" i="1" s="1"/>
  <c r="CC94" i="1" s="1"/>
  <c r="BV94" i="1" l="1"/>
  <c r="BM94" i="1"/>
  <c r="BO94" i="1" s="1"/>
  <c r="BN94" i="1" l="1"/>
  <c r="BP94" i="1"/>
  <c r="BR94" i="1" l="1"/>
  <c r="BY94" i="1" s="1"/>
  <c r="AQ95" i="1" l="1"/>
  <c r="BC95" i="1" s="1"/>
  <c r="BU95" i="1" s="1"/>
  <c r="CB95" i="1" s="1"/>
  <c r="CC95" i="1" s="1"/>
  <c r="BV95" i="1" l="1"/>
  <c r="BM95" i="1"/>
  <c r="BO95" i="1" l="1"/>
  <c r="BN95" i="1"/>
  <c r="BP95" i="1"/>
  <c r="CH97" i="1"/>
  <c r="CH98" i="1" s="1"/>
  <c r="CH99" i="1" s="1"/>
  <c r="CH100" i="1" s="1"/>
  <c r="CH101" i="1" s="1"/>
  <c r="CH102" i="1" s="1"/>
  <c r="BR95" i="1" l="1"/>
  <c r="BJ97" i="1"/>
  <c r="BK97" i="1" s="1"/>
  <c r="BY95" i="1" l="1"/>
  <c r="AQ96" i="1"/>
  <c r="BJ98" i="1"/>
  <c r="BC96" i="1" l="1"/>
  <c r="BU96" i="1" s="1"/>
  <c r="BJ99" i="1"/>
  <c r="BK99" i="1" s="1"/>
  <c r="BK98" i="1"/>
  <c r="BJ100" i="1"/>
  <c r="BM96" i="1" l="1"/>
  <c r="BP96" i="1" s="1"/>
  <c r="CB96" i="1"/>
  <c r="CC96" i="1" s="1"/>
  <c r="BV96" i="1"/>
  <c r="BH97" i="1"/>
  <c r="BL97" i="1" s="1"/>
  <c r="BW97" i="1" s="1"/>
  <c r="BK100" i="1"/>
  <c r="BJ101" i="1"/>
  <c r="BN96" i="1" l="1"/>
  <c r="BO96" i="1"/>
  <c r="BX97" i="1"/>
  <c r="CD97" i="1"/>
  <c r="CE97" i="1" s="1"/>
  <c r="BH98" i="1"/>
  <c r="BL98" i="1" s="1"/>
  <c r="BW98" i="1" s="1"/>
  <c r="CD98" i="1" s="1"/>
  <c r="BI97" i="1"/>
  <c r="BJ102" i="1"/>
  <c r="BK101" i="1"/>
  <c r="BR96" i="1" l="1"/>
  <c r="AQ97" i="1" s="1"/>
  <c r="CE98" i="1"/>
  <c r="BX98" i="1"/>
  <c r="BH99" i="1"/>
  <c r="BL99" i="1" s="1"/>
  <c r="BW99" i="1" s="1"/>
  <c r="CD99" i="1" s="1"/>
  <c r="CE99" i="1" s="1"/>
  <c r="BI98" i="1"/>
  <c r="BK102" i="1"/>
  <c r="BY96" i="1" l="1"/>
  <c r="BC97" i="1"/>
  <c r="BU97" i="1" s="1"/>
  <c r="BX99" i="1"/>
  <c r="BH100" i="1"/>
  <c r="BL100" i="1" s="1"/>
  <c r="BW100" i="1" s="1"/>
  <c r="CD100" i="1" s="1"/>
  <c r="CE100" i="1" s="1"/>
  <c r="BI99" i="1"/>
  <c r="BM97" i="1" l="1"/>
  <c r="BO97" i="1" s="1"/>
  <c r="BV97" i="1"/>
  <c r="CB97" i="1"/>
  <c r="CC97" i="1" s="1"/>
  <c r="BX100" i="1"/>
  <c r="BI100" i="1"/>
  <c r="BH101" i="1"/>
  <c r="BL101" i="1" s="1"/>
  <c r="BW101" i="1" s="1"/>
  <c r="CD101" i="1" s="1"/>
  <c r="CE101" i="1" s="1"/>
  <c r="BN97" i="1" l="1"/>
  <c r="BP97" i="1"/>
  <c r="BX101" i="1"/>
  <c r="BH102" i="1"/>
  <c r="BI101" i="1"/>
  <c r="BR97" i="1" l="1"/>
  <c r="BY97" i="1" s="1"/>
  <c r="BI102" i="1"/>
  <c r="BL102" i="1"/>
  <c r="BW102" i="1" s="1"/>
  <c r="AQ98" i="1" l="1"/>
  <c r="BC98" i="1" s="1"/>
  <c r="BU98" i="1" s="1"/>
  <c r="CB98" i="1" s="1"/>
  <c r="CC98" i="1" s="1"/>
  <c r="CD102" i="1"/>
  <c r="CE102" i="1" s="1"/>
  <c r="BX102" i="1"/>
  <c r="BM98" i="1" l="1"/>
  <c r="BN98" i="1" s="1"/>
  <c r="BV98" i="1"/>
  <c r="BP98" i="1" l="1"/>
  <c r="BO98" i="1"/>
  <c r="BR98" i="1" l="1"/>
  <c r="BY98" i="1" s="1"/>
  <c r="AQ99" i="1" l="1"/>
  <c r="BC99" i="1" s="1"/>
  <c r="BU99" i="1" s="1"/>
  <c r="BM99" i="1" l="1"/>
  <c r="CB99" i="1"/>
  <c r="CC99" i="1" s="1"/>
  <c r="BV99" i="1"/>
  <c r="BN99" i="1" l="1"/>
  <c r="BO99" i="1"/>
  <c r="BP99" i="1"/>
  <c r="BR99" i="1" l="1"/>
  <c r="AQ100" i="1" l="1"/>
  <c r="BY99" i="1"/>
  <c r="BC100" i="1" l="1"/>
  <c r="BU100" i="1" s="1"/>
  <c r="BM100" i="1" l="1"/>
  <c r="BO100" i="1" s="1"/>
  <c r="CB100" i="1"/>
  <c r="CC100" i="1" s="1"/>
  <c r="BV100" i="1"/>
  <c r="BP100" i="1" l="1"/>
  <c r="BN100" i="1"/>
  <c r="BR100" i="1" l="1"/>
  <c r="BY100" i="1" s="1"/>
  <c r="AQ101" i="1" l="1"/>
  <c r="BC101" i="1" s="1"/>
  <c r="BU101" i="1" s="1"/>
  <c r="CB101" i="1" s="1"/>
  <c r="CC101" i="1" s="1"/>
  <c r="BV101" i="1" l="1"/>
  <c r="BM101" i="1"/>
  <c r="BO101" i="1" s="1"/>
  <c r="BP101" i="1" l="1"/>
  <c r="BN101" i="1"/>
  <c r="BR101" i="1" s="1"/>
  <c r="BY101" i="1" s="1"/>
  <c r="AQ102" i="1" l="1"/>
  <c r="BC102" i="1" s="1"/>
  <c r="BU102" i="1" s="1"/>
  <c r="CB102" i="1" s="1"/>
  <c r="CC102" i="1" s="1"/>
  <c r="BJ103" i="1"/>
  <c r="BM102" i="1" l="1"/>
  <c r="BN102" i="1" s="1"/>
  <c r="BV102" i="1"/>
  <c r="BH103" i="1"/>
  <c r="BI103" i="1" s="1"/>
  <c r="BK103" i="1"/>
  <c r="BJ104" i="1"/>
  <c r="BH104" i="1"/>
  <c r="BP102" i="1" l="1"/>
  <c r="BO102" i="1"/>
  <c r="BL103" i="1"/>
  <c r="BI104" i="1"/>
  <c r="BH105" i="1"/>
  <c r="BJ105" i="1"/>
  <c r="BL104" i="1"/>
  <c r="BW104" i="1" s="1"/>
  <c r="CD104" i="1" s="1"/>
  <c r="BK104" i="1"/>
  <c r="BR102" i="1" l="1"/>
  <c r="BY102" i="1" s="1"/>
  <c r="BW103" i="1"/>
  <c r="BX104" i="1" s="1"/>
  <c r="BK105" i="1"/>
  <c r="BL105" i="1"/>
  <c r="BW105" i="1" s="1"/>
  <c r="CD105" i="1" s="1"/>
  <c r="BJ106" i="1"/>
  <c r="BH106" i="1"/>
  <c r="BI105" i="1"/>
  <c r="AQ103" i="1" l="1"/>
  <c r="BC103" i="1" s="1"/>
  <c r="BU103" i="1" s="1"/>
  <c r="CH103" i="1"/>
  <c r="CH104" i="1" s="1"/>
  <c r="CH105" i="1" s="1"/>
  <c r="CH106" i="1" s="1"/>
  <c r="CH107" i="1" s="1"/>
  <c r="CH108" i="1" s="1"/>
  <c r="BX103" i="1"/>
  <c r="N62" i="1" s="1"/>
  <c r="AP115" i="10" s="1"/>
  <c r="CD103" i="1"/>
  <c r="BX105" i="1"/>
  <c r="BJ107" i="1"/>
  <c r="BL106" i="1"/>
  <c r="BW106" i="1" s="1"/>
  <c r="BK106" i="1"/>
  <c r="BH107" i="1"/>
  <c r="BI106" i="1"/>
  <c r="BM103" i="1" l="1"/>
  <c r="BN103" i="1" s="1"/>
  <c r="CB103" i="1"/>
  <c r="CC103" i="1" s="1"/>
  <c r="M62" i="1" s="1"/>
  <c r="AH115" i="10" s="1"/>
  <c r="BV103" i="1"/>
  <c r="L62" i="1" s="1"/>
  <c r="Z115" i="10" s="1"/>
  <c r="CE103" i="1"/>
  <c r="O62" i="1" s="1"/>
  <c r="AX115" i="10" s="1"/>
  <c r="CE104" i="1"/>
  <c r="AP259" i="3"/>
  <c r="AF61" i="1"/>
  <c r="AI61" i="1" s="1"/>
  <c r="CE105" i="1"/>
  <c r="BH108" i="1"/>
  <c r="BI108" i="1" s="1"/>
  <c r="BI107" i="1"/>
  <c r="CD106" i="1"/>
  <c r="BX106" i="1"/>
  <c r="BK107" i="1"/>
  <c r="BL107" i="1"/>
  <c r="BW107" i="1" s="1"/>
  <c r="CD107" i="1" s="1"/>
  <c r="BJ108" i="1"/>
  <c r="BP103" i="1" l="1"/>
  <c r="BO103" i="1"/>
  <c r="AH259" i="3"/>
  <c r="Z259" i="3"/>
  <c r="BR103" i="1"/>
  <c r="AQ104" i="1" s="1"/>
  <c r="AX259" i="3"/>
  <c r="P62" i="1"/>
  <c r="BF115" i="10" s="1"/>
  <c r="BY103" i="1"/>
  <c r="Q62" i="1" s="1"/>
  <c r="BN115" i="10" s="1"/>
  <c r="BX107" i="1"/>
  <c r="CE107" i="1"/>
  <c r="CE106" i="1"/>
  <c r="BL108" i="1"/>
  <c r="BW108" i="1" s="1"/>
  <c r="CD108" i="1" s="1"/>
  <c r="CE108" i="1" s="1"/>
  <c r="BK108" i="1"/>
  <c r="BF259" i="3" l="1"/>
  <c r="BN259" i="3"/>
  <c r="BC104" i="1"/>
  <c r="BU104" i="1" s="1"/>
  <c r="BX108" i="1"/>
  <c r="BM104" i="1" l="1"/>
  <c r="BN104" i="1" s="1"/>
  <c r="CB104" i="1"/>
  <c r="CC104" i="1" s="1"/>
  <c r="BV104" i="1"/>
  <c r="BO104" i="1" l="1"/>
  <c r="BP104" i="1"/>
  <c r="BR104" i="1" l="1"/>
  <c r="AQ105" i="1" s="1"/>
  <c r="BC105" i="1" s="1"/>
  <c r="BU105" i="1" s="1"/>
  <c r="BV105" i="1" s="1"/>
  <c r="BY104" i="1" l="1"/>
  <c r="BM105" i="1"/>
  <c r="BP105" i="1" s="1"/>
  <c r="CB105" i="1"/>
  <c r="CC105" i="1" s="1"/>
  <c r="BN105" i="1" l="1"/>
  <c r="BO105" i="1"/>
  <c r="BR105" i="1" l="1"/>
  <c r="BY105" i="1" s="1"/>
  <c r="AQ106" i="1" l="1"/>
  <c r="BC106" i="1" l="1"/>
  <c r="BU106" i="1" s="1"/>
  <c r="BM106" i="1" l="1"/>
  <c r="BN106" i="1" s="1"/>
  <c r="BV106" i="1"/>
  <c r="CB106" i="1"/>
  <c r="CC106" i="1" s="1"/>
  <c r="BP106" i="1" l="1"/>
  <c r="BO106" i="1"/>
  <c r="BR106" i="1" l="1"/>
  <c r="BY106" i="1" s="1"/>
  <c r="AQ107" i="1" l="1"/>
  <c r="BC107" i="1" s="1"/>
  <c r="BU107" i="1" s="1"/>
  <c r="CB107" i="1" s="1"/>
  <c r="CC107" i="1" s="1"/>
  <c r="BV107" i="1" l="1"/>
  <c r="BM107" i="1"/>
  <c r="BP107" i="1" s="1"/>
  <c r="BO107" i="1" l="1"/>
  <c r="BN107" i="1"/>
  <c r="BR107" i="1" l="1"/>
  <c r="AQ108" i="1" s="1"/>
  <c r="BC108" i="1" s="1"/>
  <c r="BU108" i="1" s="1"/>
  <c r="BV108" i="1" s="1"/>
  <c r="CH109" i="1"/>
  <c r="CH110" i="1" s="1"/>
  <c r="CH111" i="1" s="1"/>
  <c r="CH112" i="1" s="1"/>
  <c r="CH113" i="1" s="1"/>
  <c r="CH114" i="1" s="1"/>
  <c r="BJ109" i="1"/>
  <c r="BK109" i="1" s="1"/>
  <c r="BH109" i="1"/>
  <c r="BI109" i="1" s="1"/>
  <c r="BJ110" i="1"/>
  <c r="CB108" i="1" l="1"/>
  <c r="CC108" i="1" s="1"/>
  <c r="BM108" i="1"/>
  <c r="BP108" i="1" s="1"/>
  <c r="BY107" i="1"/>
  <c r="BH110" i="1"/>
  <c r="BI110" i="1" s="1"/>
  <c r="BL109" i="1"/>
  <c r="BW109" i="1" s="1"/>
  <c r="BJ111" i="1"/>
  <c r="BK110" i="1"/>
  <c r="BO108" i="1" l="1"/>
  <c r="BN108" i="1"/>
  <c r="BR108" i="1" s="1"/>
  <c r="AQ109" i="1" s="1"/>
  <c r="BC109" i="1" s="1"/>
  <c r="BU109" i="1" s="1"/>
  <c r="BL110" i="1"/>
  <c r="BW110" i="1" s="1"/>
  <c r="CD110" i="1" s="1"/>
  <c r="BH111" i="1"/>
  <c r="BI111" i="1" s="1"/>
  <c r="BJ112" i="1"/>
  <c r="BK111" i="1"/>
  <c r="BX109" i="1"/>
  <c r="CD109" i="1"/>
  <c r="BY108" i="1" l="1"/>
  <c r="BM109" i="1"/>
  <c r="BP109" i="1" s="1"/>
  <c r="BV109" i="1"/>
  <c r="CB109" i="1"/>
  <c r="CC109" i="1" s="1"/>
  <c r="BX110" i="1"/>
  <c r="BL111" i="1"/>
  <c r="BW111" i="1" s="1"/>
  <c r="CD111" i="1" s="1"/>
  <c r="CE111" i="1" s="1"/>
  <c r="BH112" i="1"/>
  <c r="BI112" i="1" s="1"/>
  <c r="BK112" i="1"/>
  <c r="BJ113" i="1"/>
  <c r="CE110" i="1"/>
  <c r="CE109" i="1"/>
  <c r="BH113" i="1"/>
  <c r="BN109" i="1" l="1"/>
  <c r="BO109" i="1"/>
  <c r="BL112" i="1"/>
  <c r="BW112" i="1" s="1"/>
  <c r="BX112" i="1" s="1"/>
  <c r="BX111" i="1"/>
  <c r="BL113" i="1"/>
  <c r="BW113" i="1" s="1"/>
  <c r="CD113" i="1" s="1"/>
  <c r="BK113" i="1"/>
  <c r="BJ114" i="1"/>
  <c r="BI113" i="1"/>
  <c r="BH114" i="1"/>
  <c r="BR109" i="1" l="1"/>
  <c r="AQ110" i="1" s="1"/>
  <c r="BC110" i="1" s="1"/>
  <c r="BU110" i="1" s="1"/>
  <c r="CB110" i="1" s="1"/>
  <c r="CC110" i="1" s="1"/>
  <c r="CD112" i="1"/>
  <c r="CE112" i="1" s="1"/>
  <c r="BL114" i="1"/>
  <c r="BW114" i="1" s="1"/>
  <c r="CD114" i="1" s="1"/>
  <c r="CE114" i="1" s="1"/>
  <c r="BK114" i="1"/>
  <c r="BI114" i="1"/>
  <c r="BX113" i="1"/>
  <c r="BV110" i="1" l="1"/>
  <c r="BM110" i="1"/>
  <c r="BO110" i="1" s="1"/>
  <c r="BY109" i="1"/>
  <c r="CE113" i="1"/>
  <c r="BX114" i="1"/>
  <c r="BN110" i="1" l="1"/>
  <c r="BP110" i="1"/>
  <c r="BR110" i="1" s="1"/>
  <c r="AQ111" i="1" l="1"/>
  <c r="BC111" i="1" s="1"/>
  <c r="BU111" i="1" s="1"/>
  <c r="CB111" i="1" s="1"/>
  <c r="CC111" i="1" s="1"/>
  <c r="BY110" i="1"/>
  <c r="BV111" i="1" l="1"/>
  <c r="BM111" i="1"/>
  <c r="BN111" i="1" s="1"/>
  <c r="BP111" i="1" l="1"/>
  <c r="BO111" i="1"/>
  <c r="BR111" i="1" l="1"/>
  <c r="AQ112" i="1" s="1"/>
  <c r="BC112" i="1" s="1"/>
  <c r="BU112" i="1" s="1"/>
  <c r="CB112" i="1" s="1"/>
  <c r="CC112" i="1" s="1"/>
  <c r="BV112" i="1" l="1"/>
  <c r="BY111" i="1"/>
  <c r="BM112" i="1"/>
  <c r="BP112" i="1" s="1"/>
  <c r="BN112" i="1" l="1"/>
  <c r="BO112" i="1"/>
  <c r="BR112" i="1" l="1"/>
  <c r="AQ113" i="1" s="1"/>
  <c r="BC113" i="1" l="1"/>
  <c r="BU113" i="1" s="1"/>
  <c r="BY112" i="1"/>
  <c r="BM113" i="1" l="1"/>
  <c r="BN113" i="1" s="1"/>
  <c r="CB113" i="1"/>
  <c r="CC113" i="1" s="1"/>
  <c r="BV113" i="1"/>
  <c r="BO113" i="1" l="1"/>
  <c r="BP113" i="1"/>
  <c r="BR113" i="1" l="1"/>
  <c r="BY113" i="1" s="1"/>
  <c r="AQ114" i="1" l="1"/>
  <c r="BC114" i="1" s="1"/>
  <c r="BU114" i="1" s="1"/>
  <c r="BV114" i="1" s="1"/>
  <c r="CB114" i="1" l="1"/>
  <c r="CC114" i="1" s="1"/>
  <c r="BM114" i="1"/>
  <c r="BO114" i="1" s="1"/>
  <c r="BJ115" i="1"/>
  <c r="BN114" i="1" l="1"/>
  <c r="BP114" i="1"/>
  <c r="BK115" i="1"/>
  <c r="BJ116" i="1"/>
  <c r="BH115" i="1"/>
  <c r="BL115" i="1" s="1"/>
  <c r="BR114" i="1" l="1"/>
  <c r="BY114" i="1" s="1"/>
  <c r="AQ115" i="1"/>
  <c r="BW115" i="1"/>
  <c r="CD115" i="1" s="1"/>
  <c r="BI115" i="1"/>
  <c r="BH116" i="1"/>
  <c r="BL116" i="1" s="1"/>
  <c r="BW116" i="1" s="1"/>
  <c r="BK116" i="1"/>
  <c r="BJ117" i="1"/>
  <c r="BC115" i="1" l="1"/>
  <c r="BU115" i="1" s="1"/>
  <c r="BX116" i="1"/>
  <c r="BX115" i="1"/>
  <c r="N63" i="1" s="1"/>
  <c r="AP116" i="10" s="1"/>
  <c r="CD116" i="1"/>
  <c r="CE116" i="1" s="1"/>
  <c r="CE115" i="1"/>
  <c r="O63" i="1" s="1"/>
  <c r="AX116" i="10" s="1"/>
  <c r="BI116" i="1"/>
  <c r="BH117" i="1"/>
  <c r="BL117" i="1" s="1"/>
  <c r="BW117" i="1" s="1"/>
  <c r="BK117" i="1"/>
  <c r="BJ118" i="1"/>
  <c r="BM115" i="1" l="1"/>
  <c r="CH115" i="1"/>
  <c r="CH116" i="1" s="1"/>
  <c r="CH117" i="1" s="1"/>
  <c r="CH118" i="1" s="1"/>
  <c r="CH119" i="1" s="1"/>
  <c r="CH120" i="1" s="1"/>
  <c r="BV115" i="1"/>
  <c r="L63" i="1" s="1"/>
  <c r="CB115" i="1"/>
  <c r="CC115" i="1" s="1"/>
  <c r="M63" i="1" s="1"/>
  <c r="AP260" i="3"/>
  <c r="AF62" i="1"/>
  <c r="AI62" i="1" s="1"/>
  <c r="AX260" i="3"/>
  <c r="BI117" i="1"/>
  <c r="BH118" i="1"/>
  <c r="BL118" i="1" s="1"/>
  <c r="BW118" i="1" s="1"/>
  <c r="CD118" i="1" s="1"/>
  <c r="BK118" i="1"/>
  <c r="BJ119" i="1"/>
  <c r="CD117" i="1"/>
  <c r="CE117" i="1" s="1"/>
  <c r="BX117" i="1"/>
  <c r="AH260" i="3" l="1"/>
  <c r="AH116" i="10"/>
  <c r="Z260" i="3"/>
  <c r="Z116" i="10"/>
  <c r="BO115" i="1"/>
  <c r="BN115" i="1"/>
  <c r="BP115" i="1"/>
  <c r="CE118" i="1"/>
  <c r="BJ120" i="1"/>
  <c r="BK119" i="1"/>
  <c r="BI118" i="1"/>
  <c r="BH119" i="1"/>
  <c r="BL119" i="1" s="1"/>
  <c r="BW119" i="1" s="1"/>
  <c r="BX118" i="1"/>
  <c r="BR115" i="1" l="1"/>
  <c r="BY115" i="1" s="1"/>
  <c r="Q63" i="1" s="1"/>
  <c r="BH120" i="1"/>
  <c r="BI120" i="1" s="1"/>
  <c r="BI119" i="1"/>
  <c r="CD119" i="1"/>
  <c r="CE119" i="1" s="1"/>
  <c r="BX119" i="1"/>
  <c r="BK120" i="1"/>
  <c r="P63" i="1" l="1"/>
  <c r="BF260" i="3" s="1"/>
  <c r="AQ116" i="1"/>
  <c r="BC116" i="1" s="1"/>
  <c r="BU116" i="1" s="1"/>
  <c r="CB116" i="1" s="1"/>
  <c r="CC116" i="1" s="1"/>
  <c r="BF116" i="10"/>
  <c r="BN260" i="3"/>
  <c r="BN116" i="10"/>
  <c r="BL120" i="1"/>
  <c r="BW120" i="1" s="1"/>
  <c r="CD120" i="1" s="1"/>
  <c r="CE120" i="1" s="1"/>
  <c r="BM116" i="1" l="1"/>
  <c r="BO116" i="1" s="1"/>
  <c r="BV116" i="1"/>
  <c r="BX120" i="1"/>
  <c r="BP116" i="1" l="1"/>
  <c r="BN116" i="1"/>
  <c r="BR116" i="1" l="1"/>
  <c r="AQ117" i="1" s="1"/>
  <c r="BC117" i="1" l="1"/>
  <c r="BU117" i="1" s="1"/>
  <c r="CB117" i="1" s="1"/>
  <c r="CC117" i="1" s="1"/>
  <c r="BY116" i="1"/>
  <c r="BV117" i="1" l="1"/>
  <c r="BM117" i="1"/>
  <c r="BN117" i="1" l="1"/>
  <c r="BO117" i="1"/>
  <c r="BP117" i="1"/>
  <c r="BR117" i="1" l="1"/>
  <c r="BY117" i="1" s="1"/>
  <c r="AQ118" i="1" l="1"/>
  <c r="BC118" i="1" s="1"/>
  <c r="BU118" i="1" s="1"/>
  <c r="CB118" i="1" l="1"/>
  <c r="CC118" i="1" s="1"/>
  <c r="BV118" i="1"/>
  <c r="BM118" i="1"/>
  <c r="BP118" i="1" l="1"/>
  <c r="BO118" i="1"/>
  <c r="BN118" i="1"/>
  <c r="BR118" i="1" l="1"/>
  <c r="BY118" i="1" s="1"/>
  <c r="AQ119" i="1" l="1"/>
  <c r="BC119" i="1" s="1"/>
  <c r="BU119" i="1" s="1"/>
  <c r="BM119" i="1" l="1"/>
  <c r="BN119" i="1" s="1"/>
  <c r="BV119" i="1"/>
  <c r="CB119" i="1"/>
  <c r="CC119" i="1" s="1"/>
  <c r="BO119" i="1" l="1"/>
  <c r="BP119" i="1"/>
  <c r="BR119" i="1" l="1"/>
  <c r="AQ120" i="1" s="1"/>
  <c r="BY119" i="1" l="1"/>
  <c r="BC120" i="1"/>
  <c r="BU120" i="1" s="1"/>
  <c r="BM120" i="1" l="1"/>
  <c r="BP120" i="1" s="1"/>
  <c r="CB120" i="1"/>
  <c r="CC120" i="1" s="1"/>
  <c r="BV120" i="1"/>
  <c r="BN120" i="1" l="1"/>
  <c r="BO120" i="1"/>
  <c r="CH121" i="1"/>
  <c r="CH122" i="1" s="1"/>
  <c r="CH123" i="1" s="1"/>
  <c r="CH124" i="1" s="1"/>
  <c r="CH125" i="1" s="1"/>
  <c r="CH126" i="1" s="1"/>
  <c r="BH121" i="1"/>
  <c r="BJ121" i="1"/>
  <c r="BR120" i="1" l="1"/>
  <c r="BY120" i="1" s="1"/>
  <c r="BL121" i="1"/>
  <c r="BW121" i="1" s="1"/>
  <c r="BK121" i="1"/>
  <c r="BJ122" i="1"/>
  <c r="BH122" i="1"/>
  <c r="BI121" i="1"/>
  <c r="AQ121" i="1" l="1"/>
  <c r="BC121" i="1" s="1"/>
  <c r="BU121" i="1" s="1"/>
  <c r="BH123" i="1"/>
  <c r="BI122" i="1"/>
  <c r="BL122" i="1"/>
  <c r="BW122" i="1" s="1"/>
  <c r="CD122" i="1" s="1"/>
  <c r="BJ123" i="1"/>
  <c r="BK122" i="1"/>
  <c r="BV121" i="1"/>
  <c r="CB121" i="1"/>
  <c r="CC121" i="1" s="1"/>
  <c r="CD121" i="1"/>
  <c r="BX121" i="1"/>
  <c r="BM121" i="1" l="1"/>
  <c r="BO121" i="1" s="1"/>
  <c r="BP121" i="1"/>
  <c r="BX122" i="1"/>
  <c r="BL123" i="1"/>
  <c r="BW123" i="1" s="1"/>
  <c r="BK123" i="1"/>
  <c r="BJ124" i="1"/>
  <c r="CE122" i="1"/>
  <c r="CE121" i="1"/>
  <c r="BI123" i="1"/>
  <c r="BH124" i="1"/>
  <c r="BN121" i="1" l="1"/>
  <c r="BR121" i="1" s="1"/>
  <c r="AQ122" i="1" s="1"/>
  <c r="BC122" i="1" s="1"/>
  <c r="BU122" i="1" s="1"/>
  <c r="BL124" i="1"/>
  <c r="BW124" i="1" s="1"/>
  <c r="BK124" i="1"/>
  <c r="BJ125" i="1"/>
  <c r="CD123" i="1"/>
  <c r="BX123" i="1"/>
  <c r="BH125" i="1"/>
  <c r="BI124" i="1"/>
  <c r="BY121" i="1" l="1"/>
  <c r="BM122" i="1"/>
  <c r="BN122" i="1" s="1"/>
  <c r="CE123" i="1"/>
  <c r="BK125" i="1"/>
  <c r="BJ126" i="1"/>
  <c r="BL125" i="1"/>
  <c r="BW125" i="1" s="1"/>
  <c r="CD125" i="1" s="1"/>
  <c r="BI125" i="1"/>
  <c r="BH126" i="1"/>
  <c r="CB122" i="1"/>
  <c r="CC122" i="1" s="1"/>
  <c r="BV122" i="1"/>
  <c r="CD124" i="1"/>
  <c r="CE124" i="1" s="1"/>
  <c r="BX124" i="1"/>
  <c r="BO122" i="1" l="1"/>
  <c r="BP122" i="1"/>
  <c r="BX125" i="1"/>
  <c r="BL126" i="1"/>
  <c r="BW126" i="1" s="1"/>
  <c r="BK126" i="1"/>
  <c r="BI126" i="1"/>
  <c r="CE125" i="1"/>
  <c r="BR122" i="1" l="1"/>
  <c r="BY122" i="1" s="1"/>
  <c r="BX126" i="1"/>
  <c r="CD126" i="1"/>
  <c r="CE126" i="1" s="1"/>
  <c r="AQ123" i="1" l="1"/>
  <c r="BC123" i="1" s="1"/>
  <c r="BU123" i="1" s="1"/>
  <c r="CB123" i="1" s="1"/>
  <c r="CC123" i="1" s="1"/>
  <c r="BM123" i="1" l="1"/>
  <c r="BN123" i="1" s="1"/>
  <c r="BV123" i="1"/>
  <c r="BO123" i="1" l="1"/>
  <c r="BP123" i="1"/>
  <c r="BR123" i="1" l="1"/>
  <c r="AQ124" i="1" s="1"/>
  <c r="BC124" i="1" s="1"/>
  <c r="BU124" i="1" s="1"/>
  <c r="BV124" i="1" s="1"/>
  <c r="BM124" i="1" l="1"/>
  <c r="BN124" i="1" s="1"/>
  <c r="BY123" i="1"/>
  <c r="CB124" i="1"/>
  <c r="CC124" i="1" s="1"/>
  <c r="BP124" i="1" l="1"/>
  <c r="BO124" i="1"/>
  <c r="BR124" i="1" l="1"/>
  <c r="AQ125" i="1" s="1"/>
  <c r="BY124" i="1" l="1"/>
  <c r="BC125" i="1"/>
  <c r="BU125" i="1" s="1"/>
  <c r="BM125" i="1" l="1"/>
  <c r="BO125" i="1" s="1"/>
  <c r="CB125" i="1"/>
  <c r="CC125" i="1" s="1"/>
  <c r="BV125" i="1"/>
  <c r="BP125" i="1" l="1"/>
  <c r="BN125" i="1"/>
  <c r="BR125" i="1" l="1"/>
  <c r="AQ126" i="1" s="1"/>
  <c r="BC126" i="1" s="1"/>
  <c r="BU126" i="1" s="1"/>
  <c r="BY125" i="1" l="1"/>
  <c r="BM126" i="1"/>
  <c r="BO126" i="1" s="1"/>
  <c r="CB126" i="1"/>
  <c r="CC126" i="1" s="1"/>
  <c r="BV126" i="1"/>
  <c r="BN126" i="1" l="1"/>
  <c r="BP126" i="1"/>
  <c r="BR126" i="1" l="1"/>
  <c r="BY126" i="1" s="1"/>
  <c r="AQ127" i="1" l="1"/>
  <c r="BC127" i="1" s="1"/>
  <c r="CH127" i="1" s="1"/>
  <c r="CH128" i="1" s="1"/>
  <c r="CH129" i="1" s="1"/>
  <c r="CH130" i="1" s="1"/>
  <c r="CH131" i="1" s="1"/>
  <c r="CH132" i="1" s="1"/>
  <c r="BU127" i="1" l="1"/>
  <c r="BH127" i="1"/>
  <c r="BJ127" i="1"/>
  <c r="BI127" i="1" l="1"/>
  <c r="BH128" i="1"/>
  <c r="BK127" i="1"/>
  <c r="BL127" i="1"/>
  <c r="BJ128" i="1"/>
  <c r="CB127" i="1"/>
  <c r="CC127" i="1" s="1"/>
  <c r="M64" i="1" s="1"/>
  <c r="AH117" i="10" s="1"/>
  <c r="BV127" i="1"/>
  <c r="L64" i="1" s="1"/>
  <c r="Z117" i="10" s="1"/>
  <c r="AH261" i="3" l="1"/>
  <c r="Z261" i="3"/>
  <c r="BL128" i="1"/>
  <c r="BW128" i="1" s="1"/>
  <c r="CD128" i="1" s="1"/>
  <c r="BK128" i="1"/>
  <c r="BJ129" i="1"/>
  <c r="BW127" i="1"/>
  <c r="BM127" i="1"/>
  <c r="BI128" i="1"/>
  <c r="BH129" i="1"/>
  <c r="BI129" i="1" l="1"/>
  <c r="BH130" i="1"/>
  <c r="BP127" i="1"/>
  <c r="BN127" i="1"/>
  <c r="BO127" i="1"/>
  <c r="CD127" i="1"/>
  <c r="BX127" i="1"/>
  <c r="N64" i="1" s="1"/>
  <c r="AP117" i="10" s="1"/>
  <c r="BX128" i="1"/>
  <c r="BL129" i="1"/>
  <c r="BW129" i="1" s="1"/>
  <c r="BK129" i="1"/>
  <c r="BJ130" i="1"/>
  <c r="BR127" i="1" l="1"/>
  <c r="BY127" i="1" s="1"/>
  <c r="Q64" i="1" s="1"/>
  <c r="BN117" i="10" s="1"/>
  <c r="AP261" i="3"/>
  <c r="AF63" i="1"/>
  <c r="AI63" i="1" s="1"/>
  <c r="CE127" i="1"/>
  <c r="O64" i="1" s="1"/>
  <c r="AX117" i="10" s="1"/>
  <c r="CE128" i="1"/>
  <c r="BL130" i="1"/>
  <c r="BW130" i="1" s="1"/>
  <c r="BK130" i="1"/>
  <c r="BJ131" i="1"/>
  <c r="CD129" i="1"/>
  <c r="CE129" i="1" s="1"/>
  <c r="BX129" i="1"/>
  <c r="BI130" i="1"/>
  <c r="BH131" i="1"/>
  <c r="P64" i="1" l="1"/>
  <c r="AX261" i="3"/>
  <c r="BN261" i="3"/>
  <c r="AQ128" i="1"/>
  <c r="BC128" i="1" s="1"/>
  <c r="BU128" i="1" s="1"/>
  <c r="BH132" i="1"/>
  <c r="BI132" i="1" s="1"/>
  <c r="BI131" i="1"/>
  <c r="BJ132" i="1"/>
  <c r="BL131" i="1"/>
  <c r="BW131" i="1" s="1"/>
  <c r="BK131" i="1"/>
  <c r="CD130" i="1"/>
  <c r="BX130" i="1"/>
  <c r="BF261" i="3" l="1"/>
  <c r="BF117" i="10"/>
  <c r="CE130" i="1"/>
  <c r="BV128" i="1"/>
  <c r="CB128" i="1"/>
  <c r="CC128" i="1" s="1"/>
  <c r="BM128" i="1"/>
  <c r="CD131" i="1"/>
  <c r="CE131" i="1" s="1"/>
  <c r="BX131" i="1"/>
  <c r="BK132" i="1"/>
  <c r="BL132" i="1"/>
  <c r="BW132" i="1" s="1"/>
  <c r="BN128" i="1" l="1"/>
  <c r="BO128" i="1"/>
  <c r="BP128" i="1"/>
  <c r="CD132" i="1"/>
  <c r="CE132" i="1" s="1"/>
  <c r="BX132" i="1"/>
  <c r="BR128" i="1" l="1"/>
  <c r="AQ129" i="1" s="1"/>
  <c r="BY128" i="1" l="1"/>
  <c r="BC129" i="1"/>
  <c r="BU129" i="1" s="1"/>
  <c r="BM129" i="1" l="1"/>
  <c r="CB129" i="1"/>
  <c r="CC129" i="1" s="1"/>
  <c r="BV129" i="1"/>
  <c r="BO129" i="1" l="1"/>
  <c r="BN129" i="1"/>
  <c r="BP129" i="1"/>
  <c r="BR129" i="1" l="1"/>
  <c r="BY129" i="1" s="1"/>
  <c r="AQ130" i="1" l="1"/>
  <c r="BC130" i="1" s="1"/>
  <c r="BU130" i="1" s="1"/>
  <c r="CB130" i="1" s="1"/>
  <c r="CC130" i="1" s="1"/>
  <c r="BM130" i="1" l="1"/>
  <c r="BN130" i="1" s="1"/>
  <c r="BV130" i="1"/>
  <c r="BJ133" i="1"/>
  <c r="BP130" i="1" l="1"/>
  <c r="BO130" i="1"/>
  <c r="BH133" i="1"/>
  <c r="BL133" i="1" s="1"/>
  <c r="CH133" i="1"/>
  <c r="CH134" i="1" s="1"/>
  <c r="CH135" i="1" s="1"/>
  <c r="BJ134" i="1"/>
  <c r="BK133" i="1"/>
  <c r="BR130" i="1" l="1"/>
  <c r="BY130" i="1" s="1"/>
  <c r="BH134" i="1"/>
  <c r="BL134" i="1" s="1"/>
  <c r="BW134" i="1" s="1"/>
  <c r="CD134" i="1" s="1"/>
  <c r="BI133" i="1"/>
  <c r="BJ135" i="1"/>
  <c r="BK134" i="1"/>
  <c r="BW133" i="1"/>
  <c r="AQ131" i="1" l="1"/>
  <c r="BC131" i="1" s="1"/>
  <c r="BU131" i="1" s="1"/>
  <c r="CB131" i="1" s="1"/>
  <c r="CC131" i="1" s="1"/>
  <c r="BK135" i="1"/>
  <c r="CD133" i="1"/>
  <c r="BX133" i="1"/>
  <c r="BX134" i="1"/>
  <c r="BH135" i="1"/>
  <c r="BI135" i="1" s="1"/>
  <c r="BI134" i="1"/>
  <c r="BM131" i="1" l="1"/>
  <c r="BO131" i="1" s="1"/>
  <c r="BV131" i="1"/>
  <c r="BL135" i="1"/>
  <c r="BW135" i="1" s="1"/>
  <c r="CD135" i="1" s="1"/>
  <c r="CE135" i="1" s="1"/>
  <c r="CE133" i="1"/>
  <c r="CE134" i="1"/>
  <c r="CH136" i="1"/>
  <c r="CH137" i="1" s="1"/>
  <c r="CH138" i="1" s="1"/>
  <c r="BJ136" i="1"/>
  <c r="BK136" i="1" s="1"/>
  <c r="BH136" i="1"/>
  <c r="BN131" i="1" l="1"/>
  <c r="BP131" i="1"/>
  <c r="BX135" i="1"/>
  <c r="BJ137" i="1"/>
  <c r="BK137" i="1" s="1"/>
  <c r="BL136" i="1"/>
  <c r="BW136" i="1" s="1"/>
  <c r="CD136" i="1" s="1"/>
  <c r="BI136" i="1"/>
  <c r="BH137" i="1"/>
  <c r="BR131" i="1" l="1"/>
  <c r="AQ132" i="1" s="1"/>
  <c r="BJ138" i="1"/>
  <c r="BK138" i="1" s="1"/>
  <c r="BX136" i="1"/>
  <c r="CE136" i="1"/>
  <c r="BI137" i="1"/>
  <c r="BH138" i="1"/>
  <c r="BL137" i="1"/>
  <c r="BW137" i="1" s="1"/>
  <c r="BY131" i="1" l="1"/>
  <c r="BC132" i="1"/>
  <c r="BU132" i="1" s="1"/>
  <c r="BL138" i="1"/>
  <c r="BW138" i="1" s="1"/>
  <c r="CD138" i="1" s="1"/>
  <c r="CD137" i="1"/>
  <c r="BX137" i="1"/>
  <c r="BI138" i="1"/>
  <c r="BM132" i="1" l="1"/>
  <c r="BN132" i="1" s="1"/>
  <c r="CB132" i="1"/>
  <c r="CC132" i="1" s="1"/>
  <c r="BV132" i="1"/>
  <c r="BX138" i="1"/>
  <c r="CE137" i="1"/>
  <c r="CE138" i="1"/>
  <c r="BP132" i="1" l="1"/>
  <c r="BO132" i="1"/>
  <c r="BR132" i="1" s="1"/>
  <c r="BY132" i="1" s="1"/>
  <c r="AQ133" i="1" l="1"/>
  <c r="BC133" i="1" s="1"/>
  <c r="BU133" i="1" s="1"/>
  <c r="CB133" i="1" s="1"/>
  <c r="CC133" i="1" s="1"/>
  <c r="BV133" i="1" l="1"/>
  <c r="BM133" i="1"/>
  <c r="BP133" i="1" s="1"/>
  <c r="BO133" i="1" l="1"/>
  <c r="BN133" i="1"/>
  <c r="BR133" i="1" l="1"/>
  <c r="BY133" i="1" s="1"/>
  <c r="AQ134" i="1" l="1"/>
  <c r="BC134" i="1" s="1"/>
  <c r="BU134" i="1" s="1"/>
  <c r="CB134" i="1" s="1"/>
  <c r="CC134" i="1" s="1"/>
  <c r="BV134" i="1" l="1"/>
  <c r="BM134" i="1"/>
  <c r="BO134" i="1" s="1"/>
  <c r="BN134" i="1" l="1"/>
  <c r="BP134" i="1"/>
  <c r="BR134" i="1" l="1"/>
  <c r="AQ135" i="1" l="1"/>
  <c r="BY134" i="1"/>
  <c r="BC135" i="1" l="1"/>
  <c r="BU135" i="1" s="1"/>
  <c r="BV135" i="1" l="1"/>
  <c r="CB135" i="1"/>
  <c r="CC135" i="1" s="1"/>
  <c r="BM135" i="1"/>
  <c r="BP135" i="1" l="1"/>
  <c r="BO135" i="1"/>
  <c r="BN135" i="1"/>
  <c r="BR135" i="1" l="1"/>
  <c r="BY135" i="1" l="1"/>
  <c r="AQ136" i="1"/>
  <c r="BC136" i="1" l="1"/>
  <c r="BU136" i="1" s="1"/>
  <c r="BM136" i="1" l="1"/>
  <c r="CB136" i="1"/>
  <c r="CC136" i="1" s="1"/>
  <c r="BV136" i="1"/>
  <c r="BN136" i="1" l="1"/>
  <c r="BO136" i="1"/>
  <c r="BP136" i="1"/>
  <c r="BR136" i="1" l="1"/>
  <c r="BY136" i="1" s="1"/>
  <c r="AQ137" i="1" l="1"/>
  <c r="BC137" i="1" s="1"/>
  <c r="BU137" i="1" s="1"/>
  <c r="BM137" i="1" l="1"/>
  <c r="BN137" i="1" s="1"/>
  <c r="CB137" i="1"/>
  <c r="CC137" i="1" s="1"/>
  <c r="BV137" i="1"/>
  <c r="BO137" i="1" l="1"/>
  <c r="BP137" i="1"/>
  <c r="BR137" i="1" l="1"/>
  <c r="BY137" i="1" s="1"/>
  <c r="AQ138" i="1" l="1"/>
  <c r="BC138" i="1" s="1"/>
  <c r="BU138" i="1" s="1"/>
  <c r="CB138" i="1" s="1"/>
  <c r="CC138" i="1" s="1"/>
  <c r="BV138" i="1" l="1"/>
  <c r="BM138" i="1"/>
  <c r="BP138" i="1" s="1"/>
  <c r="BN138" i="1" l="1"/>
  <c r="BO138" i="1"/>
  <c r="BR138" i="1"/>
  <c r="AQ139" i="1" s="1"/>
  <c r="BY138" i="1"/>
  <c r="BC139" i="1"/>
  <c r="BU139" i="1" s="1"/>
  <c r="BJ139" i="1"/>
  <c r="BH139" i="1"/>
  <c r="CH139" i="1"/>
  <c r="BH140" i="1" l="1"/>
  <c r="BI139" i="1"/>
  <c r="BK139" i="1"/>
  <c r="BJ140" i="1"/>
  <c r="BL139" i="1"/>
  <c r="CB139" i="1"/>
  <c r="CC139" i="1" s="1"/>
  <c r="M65" i="1" s="1"/>
  <c r="BV139" i="1"/>
  <c r="L65" i="1" s="1"/>
  <c r="CH140" i="1"/>
  <c r="CH141" i="1" s="1"/>
  <c r="CH142" i="1" s="1"/>
  <c r="CH143" i="1" s="1"/>
  <c r="CH144" i="1" s="1"/>
  <c r="AH118" i="10" l="1"/>
  <c r="AH262" i="3"/>
  <c r="BW139" i="1"/>
  <c r="BM139" i="1"/>
  <c r="BJ141" i="1"/>
  <c r="BK140" i="1"/>
  <c r="BL140" i="1"/>
  <c r="BW140" i="1" s="1"/>
  <c r="CD140" i="1" s="1"/>
  <c r="Z262" i="3"/>
  <c r="Z118" i="10"/>
  <c r="BH141" i="1"/>
  <c r="BI140" i="1"/>
  <c r="BJ142" i="1" l="1"/>
  <c r="BK141" i="1"/>
  <c r="BL141" i="1"/>
  <c r="BW141" i="1" s="1"/>
  <c r="CD141" i="1" s="1"/>
  <c r="BP139" i="1"/>
  <c r="BO139" i="1"/>
  <c r="BN139" i="1"/>
  <c r="CD139" i="1"/>
  <c r="BX140" i="1"/>
  <c r="BX139" i="1"/>
  <c r="N65" i="1" s="1"/>
  <c r="BH142" i="1"/>
  <c r="BI141" i="1"/>
  <c r="BR139" i="1" l="1"/>
  <c r="BX141" i="1"/>
  <c r="BI142" i="1"/>
  <c r="BH143" i="1"/>
  <c r="BY139" i="1"/>
  <c r="Q65" i="1" s="1"/>
  <c r="P65" i="1"/>
  <c r="AQ140" i="1"/>
  <c r="BC140" i="1" s="1"/>
  <c r="AP118" i="10"/>
  <c r="AP262" i="3"/>
  <c r="AF64" i="1"/>
  <c r="AI64" i="1" s="1"/>
  <c r="CE140" i="1"/>
  <c r="CE139" i="1"/>
  <c r="O65" i="1" s="1"/>
  <c r="CE141" i="1"/>
  <c r="BK142" i="1"/>
  <c r="BJ143" i="1"/>
  <c r="BL142" i="1"/>
  <c r="BW142" i="1" s="1"/>
  <c r="BK143" i="1" l="1"/>
  <c r="BL143" i="1"/>
  <c r="BW143" i="1" s="1"/>
  <c r="CD143" i="1" s="1"/>
  <c r="BJ144" i="1"/>
  <c r="CD142" i="1"/>
  <c r="BX142" i="1"/>
  <c r="BM140" i="1"/>
  <c r="BU140" i="1"/>
  <c r="BF118" i="10"/>
  <c r="BF262" i="3"/>
  <c r="BN118" i="10"/>
  <c r="BN262" i="3"/>
  <c r="AX118" i="10"/>
  <c r="AX262" i="3"/>
  <c r="BI143" i="1"/>
  <c r="BH144" i="1"/>
  <c r="BI144" i="1" s="1"/>
  <c r="BX143" i="1" l="1"/>
  <c r="BN140" i="1"/>
  <c r="BP140" i="1"/>
  <c r="BO140" i="1"/>
  <c r="CE142" i="1"/>
  <c r="CE143" i="1"/>
  <c r="BK144" i="1"/>
  <c r="BL144" i="1"/>
  <c r="BW144" i="1" s="1"/>
  <c r="CB140" i="1"/>
  <c r="CC140" i="1" s="1"/>
  <c r="BV140" i="1"/>
  <c r="BR140" i="1" l="1"/>
  <c r="AQ141" i="1" s="1"/>
  <c r="CD144" i="1"/>
  <c r="CE144" i="1" s="1"/>
  <c r="BX144" i="1"/>
  <c r="BY140" i="1" l="1"/>
  <c r="BC141" i="1"/>
  <c r="BU141" i="1" s="1"/>
  <c r="BM141" i="1" l="1"/>
  <c r="CB141" i="1"/>
  <c r="CC141" i="1" s="1"/>
  <c r="BV141" i="1"/>
  <c r="BP141" i="1" l="1"/>
  <c r="BO141" i="1"/>
  <c r="BN141" i="1"/>
  <c r="BR141" i="1" l="1"/>
  <c r="BY141" i="1" s="1"/>
  <c r="CH145" i="1"/>
  <c r="CH146" i="1" s="1"/>
  <c r="CH147" i="1" s="1"/>
  <c r="BH145" i="1"/>
  <c r="BI145" i="1" s="1"/>
  <c r="BJ145" i="1"/>
  <c r="BJ146" i="1" s="1"/>
  <c r="AQ142" i="1" l="1"/>
  <c r="BC142" i="1" s="1"/>
  <c r="BU142" i="1" s="1"/>
  <c r="BH146" i="1"/>
  <c r="BH147" i="1" s="1"/>
  <c r="BI147" i="1" s="1"/>
  <c r="BL145" i="1"/>
  <c r="BW145" i="1" s="1"/>
  <c r="BK145" i="1"/>
  <c r="BJ147" i="1"/>
  <c r="BK146" i="1"/>
  <c r="BM142" i="1" l="1"/>
  <c r="CB142" i="1"/>
  <c r="CC142" i="1" s="1"/>
  <c r="BV142" i="1"/>
  <c r="BL146" i="1"/>
  <c r="BW146" i="1" s="1"/>
  <c r="CD146" i="1" s="1"/>
  <c r="BI146" i="1"/>
  <c r="CD145" i="1"/>
  <c r="CE145" i="1" s="1"/>
  <c r="BX145" i="1"/>
  <c r="BK147" i="1"/>
  <c r="BL147" i="1"/>
  <c r="BW147" i="1" s="1"/>
  <c r="CD147" i="1" s="1"/>
  <c r="CH148" i="1"/>
  <c r="CH149" i="1" s="1"/>
  <c r="CH150" i="1" s="1"/>
  <c r="BP142" i="1" l="1"/>
  <c r="BN142" i="1"/>
  <c r="BO142" i="1"/>
  <c r="BX146" i="1"/>
  <c r="CE147" i="1"/>
  <c r="CE146" i="1"/>
  <c r="BX147" i="1"/>
  <c r="BH148" i="1"/>
  <c r="BI148" i="1" s="1"/>
  <c r="BJ148" i="1"/>
  <c r="BK148" i="1" s="1"/>
  <c r="BR142" i="1" l="1"/>
  <c r="AQ143" i="1" s="1"/>
  <c r="BH149" i="1"/>
  <c r="BI149" i="1" s="1"/>
  <c r="BJ149" i="1"/>
  <c r="BJ150" i="1" s="1"/>
  <c r="BL148" i="1"/>
  <c r="BW148" i="1" s="1"/>
  <c r="BX148" i="1" s="1"/>
  <c r="BY142" i="1" l="1"/>
  <c r="BC143" i="1"/>
  <c r="BU143" i="1" s="1"/>
  <c r="BH150" i="1"/>
  <c r="BL150" i="1" s="1"/>
  <c r="BW150" i="1" s="1"/>
  <c r="CD148" i="1"/>
  <c r="CE148" i="1" s="1"/>
  <c r="BL149" i="1"/>
  <c r="BW149" i="1" s="1"/>
  <c r="CD149" i="1" s="1"/>
  <c r="BK149" i="1"/>
  <c r="BK150" i="1"/>
  <c r="BM143" i="1" l="1"/>
  <c r="BP143" i="1" s="1"/>
  <c r="BV143" i="1"/>
  <c r="CB143" i="1"/>
  <c r="CC143" i="1" s="1"/>
  <c r="CE149" i="1"/>
  <c r="BX149" i="1"/>
  <c r="BI150" i="1"/>
  <c r="CD150" i="1"/>
  <c r="BX150" i="1"/>
  <c r="BN143" i="1" l="1"/>
  <c r="BO143" i="1"/>
  <c r="CE150" i="1"/>
  <c r="BR143" i="1" l="1"/>
  <c r="AQ144" i="1" s="1"/>
  <c r="BC144" i="1" s="1"/>
  <c r="BU144" i="1" s="1"/>
  <c r="BY143" i="1" l="1"/>
  <c r="BM144" i="1"/>
  <c r="BP144" i="1" s="1"/>
  <c r="CB144" i="1"/>
  <c r="CC144" i="1" s="1"/>
  <c r="BV144" i="1"/>
  <c r="BN144" i="1" l="1"/>
  <c r="BO144" i="1"/>
  <c r="BR144" i="1" l="1"/>
  <c r="BY144" i="1" s="1"/>
  <c r="AQ145" i="1"/>
  <c r="BC145" i="1" s="1"/>
  <c r="BU145" i="1" s="1"/>
  <c r="BM145" i="1" l="1"/>
  <c r="BN145" i="1" s="1"/>
  <c r="CB145" i="1"/>
  <c r="CC145" i="1" s="1"/>
  <c r="BV145" i="1"/>
  <c r="BO145" i="1" l="1"/>
  <c r="BP145" i="1"/>
  <c r="BR145" i="1" l="1"/>
  <c r="BY145" i="1" s="1"/>
  <c r="AQ146" i="1" l="1"/>
  <c r="BC146" i="1" s="1"/>
  <c r="BU146" i="1" s="1"/>
  <c r="BM146" i="1" l="1"/>
  <c r="BN146" i="1" s="1"/>
  <c r="CB146" i="1"/>
  <c r="CC146" i="1" s="1"/>
  <c r="BV146" i="1"/>
  <c r="BO146" i="1" l="1"/>
  <c r="BP146" i="1"/>
  <c r="BR146" i="1" l="1"/>
  <c r="AQ147" i="1" s="1"/>
  <c r="BC147" i="1" s="1"/>
  <c r="BU147" i="1" s="1"/>
  <c r="BY146" i="1" l="1"/>
  <c r="BM147" i="1"/>
  <c r="BV147" i="1"/>
  <c r="CB147" i="1"/>
  <c r="CC147" i="1" s="1"/>
  <c r="BP147" i="1" l="1"/>
  <c r="BN147" i="1"/>
  <c r="BO147" i="1"/>
  <c r="BR147" i="1" l="1"/>
  <c r="BY147" i="1" s="1"/>
  <c r="AQ148" i="1" l="1"/>
  <c r="BC148" i="1" s="1"/>
  <c r="BU148" i="1" s="1"/>
  <c r="BM148" i="1" l="1"/>
  <c r="BN148" i="1" s="1"/>
  <c r="CB148" i="1"/>
  <c r="CC148" i="1" s="1"/>
  <c r="BV148" i="1"/>
  <c r="BO148" i="1" l="1"/>
  <c r="BP148" i="1"/>
  <c r="BR148" i="1" l="1"/>
  <c r="AQ149" i="1" l="1"/>
  <c r="BC149" i="1" s="1"/>
  <c r="BU149" i="1" s="1"/>
  <c r="CB149" i="1" s="1"/>
  <c r="CC149" i="1" s="1"/>
  <c r="BY148" i="1"/>
  <c r="BM149" i="1" l="1"/>
  <c r="BN149" i="1" s="1"/>
  <c r="BV149" i="1"/>
  <c r="BO149" i="1" l="1"/>
  <c r="BP149" i="1"/>
  <c r="BR149" i="1"/>
  <c r="BY149" i="1" s="1"/>
  <c r="AQ150" i="1" l="1"/>
  <c r="BC150" i="1"/>
  <c r="BU150" i="1" s="1"/>
  <c r="BM150" i="1" l="1"/>
  <c r="BN150" i="1" s="1"/>
  <c r="CB150" i="1"/>
  <c r="CC150" i="1" s="1"/>
  <c r="BV150" i="1"/>
  <c r="BO150" i="1" l="1"/>
  <c r="BP150" i="1"/>
  <c r="BR150" i="1" l="1"/>
  <c r="BY150" i="1" s="1"/>
  <c r="AQ151" i="1" l="1"/>
  <c r="BC151" i="1" s="1"/>
  <c r="BU151" i="1" s="1"/>
  <c r="CH151" i="1"/>
  <c r="CH152" i="1" s="1"/>
  <c r="CH153" i="1" s="1"/>
  <c r="CH154" i="1" s="1"/>
  <c r="CH155" i="1" s="1"/>
  <c r="CH156" i="1" s="1"/>
  <c r="BJ151" i="1"/>
  <c r="BJ152" i="1" s="1"/>
  <c r="BH151" i="1" l="1"/>
  <c r="BL151" i="1" s="1"/>
  <c r="BW151" i="1" s="1"/>
  <c r="BV151" i="1"/>
  <c r="L66" i="1" s="1"/>
  <c r="Z119" i="10" s="1"/>
  <c r="CB151" i="1"/>
  <c r="CC151" i="1" s="1"/>
  <c r="M66" i="1" s="1"/>
  <c r="AH263" i="3" s="1"/>
  <c r="BK151" i="1"/>
  <c r="BK152" i="1"/>
  <c r="BJ153" i="1"/>
  <c r="BI151" i="1" l="1"/>
  <c r="BH152" i="1"/>
  <c r="AH119" i="10"/>
  <c r="Z263" i="3"/>
  <c r="BM151" i="1"/>
  <c r="BO151" i="1" s="1"/>
  <c r="BK153" i="1"/>
  <c r="BJ154" i="1"/>
  <c r="BX151" i="1"/>
  <c r="N66" i="1" s="1"/>
  <c r="CD151" i="1"/>
  <c r="BL152" i="1" l="1"/>
  <c r="BW152" i="1" s="1"/>
  <c r="BH153" i="1"/>
  <c r="BI152" i="1"/>
  <c r="BP151" i="1"/>
  <c r="BN151" i="1"/>
  <c r="BR151" i="1" s="1"/>
  <c r="AQ152" i="1" s="1"/>
  <c r="AP119" i="10"/>
  <c r="AP263" i="3"/>
  <c r="AF65" i="1"/>
  <c r="AI65" i="1" s="1"/>
  <c r="CE151" i="1"/>
  <c r="O66" i="1" s="1"/>
  <c r="BK154" i="1"/>
  <c r="BJ155" i="1"/>
  <c r="BH154" i="1" l="1"/>
  <c r="BI153" i="1"/>
  <c r="BL153" i="1"/>
  <c r="BW153" i="1" s="1"/>
  <c r="CD152" i="1"/>
  <c r="CE152" i="1" s="1"/>
  <c r="BX152" i="1"/>
  <c r="BY151" i="1"/>
  <c r="Q66" i="1" s="1"/>
  <c r="BN263" i="3" s="1"/>
  <c r="P66" i="1"/>
  <c r="BF119" i="10" s="1"/>
  <c r="BC152" i="1"/>
  <c r="BU152" i="1" s="1"/>
  <c r="BK155" i="1"/>
  <c r="BJ156" i="1"/>
  <c r="AX119" i="10"/>
  <c r="AX263" i="3"/>
  <c r="CD153" i="1" l="1"/>
  <c r="CE153" i="1" s="1"/>
  <c r="BX153" i="1"/>
  <c r="BI154" i="1"/>
  <c r="BL154" i="1"/>
  <c r="BW154" i="1" s="1"/>
  <c r="BH155" i="1"/>
  <c r="BN119" i="10"/>
  <c r="BF263" i="3"/>
  <c r="BM152" i="1"/>
  <c r="BN152" i="1" s="1"/>
  <c r="BV152" i="1"/>
  <c r="CB152" i="1"/>
  <c r="CC152" i="1" s="1"/>
  <c r="BK156" i="1"/>
  <c r="BH156" i="1" l="1"/>
  <c r="BI155" i="1"/>
  <c r="BL155" i="1"/>
  <c r="BW155" i="1" s="1"/>
  <c r="CD155" i="1" s="1"/>
  <c r="BX154" i="1"/>
  <c r="CD154" i="1"/>
  <c r="BP152" i="1"/>
  <c r="BO152" i="1"/>
  <c r="BX155" i="1" l="1"/>
  <c r="CE154" i="1"/>
  <c r="CE155" i="1"/>
  <c r="BI156" i="1"/>
  <c r="BL156" i="1"/>
  <c r="BW156" i="1" s="1"/>
  <c r="CD156" i="1" s="1"/>
  <c r="CE156" i="1" s="1"/>
  <c r="BR152" i="1"/>
  <c r="AQ153" i="1" s="1"/>
  <c r="BC153" i="1" s="1"/>
  <c r="BU153" i="1" s="1"/>
  <c r="BX156" i="1" l="1"/>
  <c r="BY152" i="1"/>
  <c r="BM153" i="1"/>
  <c r="BN153" i="1" s="1"/>
  <c r="BV153" i="1"/>
  <c r="CB153" i="1"/>
  <c r="CC153" i="1" s="1"/>
  <c r="BO153" i="1" l="1"/>
  <c r="BP153" i="1"/>
  <c r="BR153" i="1" l="1"/>
  <c r="BY153" i="1" s="1"/>
  <c r="AQ154" i="1" l="1"/>
  <c r="BC154" i="1" s="1"/>
  <c r="BU154" i="1" s="1"/>
  <c r="CB154" i="1" s="1"/>
  <c r="CC154" i="1" s="1"/>
  <c r="BM154" i="1" l="1"/>
  <c r="BO154" i="1" s="1"/>
  <c r="BV154" i="1"/>
  <c r="BP154" i="1" l="1"/>
  <c r="BN154" i="1"/>
  <c r="BR154" i="1" l="1"/>
  <c r="BY154" i="1" l="1"/>
  <c r="AQ155" i="1"/>
  <c r="BH157" i="1"/>
  <c r="BJ157" i="1"/>
  <c r="BC155" i="1" l="1"/>
  <c r="BU155" i="1" s="1"/>
  <c r="BM155" i="1"/>
  <c r="CH157" i="1"/>
  <c r="CH158" i="1" s="1"/>
  <c r="CH159" i="1" s="1"/>
  <c r="CH160" i="1" s="1"/>
  <c r="CH161" i="1" s="1"/>
  <c r="CH162" i="1" s="1"/>
  <c r="BK157" i="1"/>
  <c r="BL157" i="1"/>
  <c r="BJ158" i="1"/>
  <c r="BI157" i="1"/>
  <c r="BH158" i="1"/>
  <c r="BN155" i="1" l="1"/>
  <c r="BO155" i="1"/>
  <c r="BP155" i="1"/>
  <c r="CB155" i="1"/>
  <c r="CC155" i="1" s="1"/>
  <c r="BV155" i="1"/>
  <c r="BI158" i="1"/>
  <c r="BH159" i="1"/>
  <c r="BW157" i="1"/>
  <c r="BL158" i="1"/>
  <c r="BW158" i="1" s="1"/>
  <c r="CD158" i="1" s="1"/>
  <c r="BK158" i="1"/>
  <c r="BJ159" i="1"/>
  <c r="BR155" i="1" l="1"/>
  <c r="BY155" i="1"/>
  <c r="AQ156" i="1"/>
  <c r="BC156" i="1" s="1"/>
  <c r="BU156" i="1" s="1"/>
  <c r="CB156" i="1" s="1"/>
  <c r="CC156" i="1" s="1"/>
  <c r="BM156" i="1"/>
  <c r="BP156" i="1" s="1"/>
  <c r="BV156" i="1"/>
  <c r="BN156" i="1"/>
  <c r="CD157" i="1"/>
  <c r="BX157" i="1"/>
  <c r="BX158" i="1"/>
  <c r="BK159" i="1"/>
  <c r="BL159" i="1"/>
  <c r="BW159" i="1" s="1"/>
  <c r="BI159" i="1"/>
  <c r="BH160" i="1"/>
  <c r="BJ160" i="1"/>
  <c r="BJ161" i="1" s="1"/>
  <c r="BO156" i="1" l="1"/>
  <c r="BR156" i="1" s="1"/>
  <c r="BK160" i="1"/>
  <c r="CD159" i="1"/>
  <c r="CE159" i="1" s="1"/>
  <c r="BX159" i="1"/>
  <c r="BI160" i="1"/>
  <c r="BH161" i="1"/>
  <c r="BL161" i="1" s="1"/>
  <c r="BW161" i="1" s="1"/>
  <c r="CD161" i="1" s="1"/>
  <c r="BL160" i="1"/>
  <c r="BW160" i="1" s="1"/>
  <c r="CE158" i="1"/>
  <c r="CE157" i="1"/>
  <c r="BK161" i="1"/>
  <c r="BJ162" i="1"/>
  <c r="BY156" i="1" l="1"/>
  <c r="AQ157" i="1"/>
  <c r="BC157" i="1" s="1"/>
  <c r="BU157" i="1" s="1"/>
  <c r="BV157" i="1" s="1"/>
  <c r="BI161" i="1"/>
  <c r="BH162" i="1"/>
  <c r="BL162" i="1" s="1"/>
  <c r="BW162" i="1" s="1"/>
  <c r="CD162" i="1" s="1"/>
  <c r="BK162" i="1"/>
  <c r="CD160" i="1"/>
  <c r="BX161" i="1"/>
  <c r="BX160" i="1"/>
  <c r="CB157" i="1" l="1"/>
  <c r="CC157" i="1" s="1"/>
  <c r="BM157" i="1"/>
  <c r="BP157" i="1" s="1"/>
  <c r="BI162" i="1"/>
  <c r="BX162" i="1"/>
  <c r="CE160" i="1"/>
  <c r="CE161" i="1"/>
  <c r="CE162" i="1"/>
  <c r="BO157" i="1" l="1"/>
  <c r="BN157" i="1"/>
  <c r="BR157" i="1" l="1"/>
  <c r="BY157" i="1" s="1"/>
  <c r="AQ158" i="1" l="1"/>
  <c r="BC158" i="1" s="1"/>
  <c r="BU158" i="1" s="1"/>
  <c r="BV158" i="1" s="1"/>
  <c r="BM158" i="1" l="1"/>
  <c r="BP158" i="1" s="1"/>
  <c r="CB158" i="1"/>
  <c r="CC158" i="1" s="1"/>
  <c r="BO158" i="1" l="1"/>
  <c r="BN158" i="1"/>
  <c r="BR158" i="1" l="1"/>
  <c r="BY158" i="1" s="1"/>
  <c r="AQ159" i="1" l="1"/>
  <c r="BC159" i="1" s="1"/>
  <c r="BU159" i="1" s="1"/>
  <c r="BM159" i="1"/>
  <c r="BN159" i="1" s="1"/>
  <c r="CB159" i="1"/>
  <c r="CC159" i="1" s="1"/>
  <c r="BV159" i="1"/>
  <c r="BP159" i="1" l="1"/>
  <c r="BO159" i="1"/>
  <c r="BR159" i="1" l="1"/>
  <c r="BY159" i="1" s="1"/>
  <c r="AQ160" i="1" l="1"/>
  <c r="BC160" i="1" s="1"/>
  <c r="BU160" i="1" s="1"/>
  <c r="CB160" i="1" s="1"/>
  <c r="CC160" i="1" s="1"/>
  <c r="BM160" i="1" l="1"/>
  <c r="BO160" i="1" s="1"/>
  <c r="BV160" i="1"/>
  <c r="BP160" i="1" l="1"/>
  <c r="BN160" i="1"/>
  <c r="BR160" i="1" s="1"/>
  <c r="BY160" i="1" s="1"/>
  <c r="AQ161" i="1" l="1"/>
  <c r="BC161" i="1" s="1"/>
  <c r="BU161" i="1" s="1"/>
  <c r="CB161" i="1" s="1"/>
  <c r="CC161" i="1" s="1"/>
  <c r="BM161" i="1" l="1"/>
  <c r="BO161" i="1" s="1"/>
  <c r="BV161" i="1"/>
  <c r="BP161" i="1" l="1"/>
  <c r="BN161" i="1"/>
  <c r="BR161" i="1"/>
  <c r="BY161" i="1" s="1"/>
  <c r="AQ162" i="1" l="1"/>
  <c r="BC162" i="1" s="1"/>
  <c r="BU162" i="1" s="1"/>
  <c r="CB162" i="1" s="1"/>
  <c r="CC162" i="1" s="1"/>
  <c r="BV162" i="1" l="1"/>
  <c r="BM162" i="1"/>
  <c r="BP162" i="1" s="1"/>
  <c r="BN162" i="1" l="1"/>
  <c r="BO162" i="1"/>
  <c r="BR162" i="1" l="1"/>
  <c r="AQ163" i="1" l="1"/>
  <c r="BC163" i="1" s="1"/>
  <c r="CH163" i="1" s="1"/>
  <c r="CH164" i="1" s="1"/>
  <c r="CH165" i="1" s="1"/>
  <c r="CH166" i="1" s="1"/>
  <c r="CH167" i="1" s="1"/>
  <c r="CH168" i="1" s="1"/>
  <c r="BY162" i="1"/>
  <c r="BH163" i="1"/>
  <c r="BJ163" i="1"/>
  <c r="BU163" i="1" l="1"/>
  <c r="BV163" i="1" s="1"/>
  <c r="L67" i="1" s="1"/>
  <c r="Z120" i="10" s="1"/>
  <c r="BL163" i="1"/>
  <c r="BK163" i="1"/>
  <c r="BJ164" i="1"/>
  <c r="BI163" i="1"/>
  <c r="BH164" i="1"/>
  <c r="CB163" i="1" l="1"/>
  <c r="CC163" i="1" s="1"/>
  <c r="M67" i="1" s="1"/>
  <c r="AH120" i="10" s="1"/>
  <c r="Z264" i="3"/>
  <c r="BI164" i="1"/>
  <c r="BH165" i="1"/>
  <c r="BK164" i="1"/>
  <c r="BJ165" i="1"/>
  <c r="BL164" i="1"/>
  <c r="BW164" i="1" s="1"/>
  <c r="CD164" i="1" s="1"/>
  <c r="BW163" i="1"/>
  <c r="BM163" i="1"/>
  <c r="AH264" i="3" l="1"/>
  <c r="BL165" i="1"/>
  <c r="BW165" i="1" s="1"/>
  <c r="CD165" i="1" s="1"/>
  <c r="BK165" i="1"/>
  <c r="BJ166" i="1"/>
  <c r="BP163" i="1"/>
  <c r="BO163" i="1"/>
  <c r="BN163" i="1"/>
  <c r="CD163" i="1"/>
  <c r="BX163" i="1"/>
  <c r="N67" i="1" s="1"/>
  <c r="AP120" i="10" s="1"/>
  <c r="BX164" i="1"/>
  <c r="BI165" i="1"/>
  <c r="BH166" i="1"/>
  <c r="BR163" i="1" l="1"/>
  <c r="AQ164" i="1" s="1"/>
  <c r="CE163" i="1"/>
  <c r="O67" i="1" s="1"/>
  <c r="AX120" i="10" s="1"/>
  <c r="CE164" i="1"/>
  <c r="CE165" i="1"/>
  <c r="BI166" i="1"/>
  <c r="BH167" i="1"/>
  <c r="BL166" i="1"/>
  <c r="BW166" i="1" s="1"/>
  <c r="BK166" i="1"/>
  <c r="BJ167" i="1"/>
  <c r="BX165" i="1"/>
  <c r="AP264" i="3"/>
  <c r="AF66" i="1"/>
  <c r="AI66" i="1" s="1"/>
  <c r="P67" i="1" l="1"/>
  <c r="BY163" i="1"/>
  <c r="Q67" i="1" s="1"/>
  <c r="AX264" i="3"/>
  <c r="BK167" i="1"/>
  <c r="BL167" i="1"/>
  <c r="BW167" i="1" s="1"/>
  <c r="CD167" i="1" s="1"/>
  <c r="BJ168" i="1"/>
  <c r="CD166" i="1"/>
  <c r="BX166" i="1"/>
  <c r="BI167" i="1"/>
  <c r="BH168" i="1"/>
  <c r="BI168" i="1" s="1"/>
  <c r="BC164" i="1"/>
  <c r="BU164" i="1" s="1"/>
  <c r="BN264" i="3" l="1"/>
  <c r="BN120" i="10"/>
  <c r="BF264" i="3"/>
  <c r="BF120" i="10"/>
  <c r="BM164" i="1"/>
  <c r="BP164" i="1" s="1"/>
  <c r="BX167" i="1"/>
  <c r="CE167" i="1"/>
  <c r="CE166" i="1"/>
  <c r="BK168" i="1"/>
  <c r="BL168" i="1"/>
  <c r="BW168" i="1" s="1"/>
  <c r="BV164" i="1"/>
  <c r="CB164" i="1"/>
  <c r="CC164" i="1" s="1"/>
  <c r="BO164" i="1" l="1"/>
  <c r="BN164" i="1"/>
  <c r="CD168" i="1"/>
  <c r="CE168" i="1" s="1"/>
  <c r="BX168" i="1"/>
  <c r="BR164" i="1" l="1"/>
  <c r="AQ165" i="1" s="1"/>
  <c r="BC165" i="1" s="1"/>
  <c r="BU165" i="1" s="1"/>
  <c r="BY164" i="1" l="1"/>
  <c r="BM165" i="1"/>
  <c r="BV165" i="1"/>
  <c r="CB165" i="1"/>
  <c r="CC165" i="1" s="1"/>
  <c r="BN165" i="1" l="1"/>
  <c r="BP165" i="1"/>
  <c r="BO165" i="1"/>
  <c r="BR165" i="1" l="1"/>
  <c r="BY165" i="1" l="1"/>
  <c r="AQ166" i="1"/>
  <c r="BC166" i="1" l="1"/>
  <c r="BU166" i="1" s="1"/>
  <c r="BM166" i="1" l="1"/>
  <c r="CB166" i="1"/>
  <c r="CC166" i="1" s="1"/>
  <c r="BV166" i="1"/>
  <c r="BN166" i="1" l="1"/>
  <c r="BO166" i="1"/>
  <c r="BP166" i="1"/>
  <c r="BR166" i="1" l="1"/>
  <c r="AQ167" i="1" l="1"/>
  <c r="BY166" i="1"/>
  <c r="BC167" i="1" l="1"/>
  <c r="BU167" i="1" s="1"/>
  <c r="BM167" i="1" l="1"/>
  <c r="BV167" i="1"/>
  <c r="CB167" i="1"/>
  <c r="CC167" i="1" s="1"/>
  <c r="BH169" i="1"/>
  <c r="BI169" i="1" s="1"/>
  <c r="CH169" i="1"/>
  <c r="CH170" i="1" s="1"/>
  <c r="CH171" i="1" s="1"/>
  <c r="BJ169" i="1"/>
  <c r="BK169" i="1" s="1"/>
  <c r="BN167" i="1" l="1"/>
  <c r="BP167" i="1"/>
  <c r="BO167" i="1"/>
  <c r="BH170" i="1"/>
  <c r="BH171" i="1" s="1"/>
  <c r="BI171" i="1" s="1"/>
  <c r="BJ170" i="1"/>
  <c r="BK170" i="1" s="1"/>
  <c r="BL169" i="1"/>
  <c r="BR167" i="1" l="1"/>
  <c r="AQ168" i="1" s="1"/>
  <c r="BJ171" i="1"/>
  <c r="BL171" i="1" s="1"/>
  <c r="BW171" i="1" s="1"/>
  <c r="CD171" i="1" s="1"/>
  <c r="BI170" i="1"/>
  <c r="BL170" i="1"/>
  <c r="BW170" i="1" s="1"/>
  <c r="CD170" i="1" s="1"/>
  <c r="BW169" i="1"/>
  <c r="CH172" i="1"/>
  <c r="CH173" i="1" s="1"/>
  <c r="CH174" i="1" s="1"/>
  <c r="BY167" i="1" l="1"/>
  <c r="BJ172" i="1"/>
  <c r="BK172" i="1" s="1"/>
  <c r="BC168" i="1"/>
  <c r="BU168" i="1" s="1"/>
  <c r="BK171" i="1"/>
  <c r="CD169" i="1"/>
  <c r="CE169" i="1" s="1"/>
  <c r="BX169" i="1"/>
  <c r="BX170" i="1"/>
  <c r="BX171" i="1"/>
  <c r="BH172" i="1"/>
  <c r="BJ173" i="1" l="1"/>
  <c r="BK173" i="1" s="1"/>
  <c r="BL172" i="1"/>
  <c r="BM168" i="1"/>
  <c r="BO168" i="1" s="1"/>
  <c r="CB168" i="1"/>
  <c r="CC168" i="1" s="1"/>
  <c r="BV168" i="1"/>
  <c r="CE171" i="1"/>
  <c r="CE170" i="1"/>
  <c r="BH173" i="1"/>
  <c r="BI173" i="1" s="1"/>
  <c r="BI172" i="1"/>
  <c r="BW172" i="1"/>
  <c r="BJ174" i="1" l="1"/>
  <c r="BK174" i="1" s="1"/>
  <c r="BP168" i="1"/>
  <c r="BN168" i="1"/>
  <c r="BH174" i="1"/>
  <c r="BI174" i="1" s="1"/>
  <c r="BL173" i="1"/>
  <c r="BW173" i="1" s="1"/>
  <c r="CD173" i="1" s="1"/>
  <c r="CD172" i="1"/>
  <c r="BX172" i="1"/>
  <c r="BR168" i="1" l="1"/>
  <c r="BY168" i="1" s="1"/>
  <c r="BL174" i="1"/>
  <c r="BW174" i="1" s="1"/>
  <c r="CD174" i="1" s="1"/>
  <c r="CE174" i="1" s="1"/>
  <c r="BX173" i="1"/>
  <c r="CE172" i="1"/>
  <c r="CE173" i="1"/>
  <c r="AQ169" i="1" l="1"/>
  <c r="BC169" i="1" s="1"/>
  <c r="BU169" i="1" s="1"/>
  <c r="CB169" i="1" s="1"/>
  <c r="CC169" i="1" s="1"/>
  <c r="BX174" i="1"/>
  <c r="BV169" i="1" l="1"/>
  <c r="BM169" i="1"/>
  <c r="BN169" i="1" s="1"/>
  <c r="BO169" i="1" l="1"/>
  <c r="BP169" i="1"/>
  <c r="BR169" i="1" l="1"/>
  <c r="BY169" i="1" s="1"/>
  <c r="AQ170" i="1" l="1"/>
  <c r="BC170" i="1" s="1"/>
  <c r="BU170" i="1" s="1"/>
  <c r="CB170" i="1" s="1"/>
  <c r="CC170" i="1" s="1"/>
  <c r="BV170" i="1" l="1"/>
  <c r="BM170" i="1"/>
  <c r="BN170" i="1" s="1"/>
  <c r="BO170" i="1" l="1"/>
  <c r="BP170" i="1"/>
  <c r="BR170" i="1" l="1"/>
  <c r="BY170" i="1" s="1"/>
  <c r="AQ171" i="1" l="1"/>
  <c r="BC171" i="1" s="1"/>
  <c r="BU171" i="1" s="1"/>
  <c r="CB171" i="1" s="1"/>
  <c r="CC171" i="1" s="1"/>
  <c r="BM171" i="1" l="1"/>
  <c r="BN171" i="1" s="1"/>
  <c r="BV171" i="1"/>
  <c r="BP171" i="1" l="1"/>
  <c r="BO171" i="1"/>
  <c r="BR171" i="1"/>
  <c r="BY171" i="1" s="1"/>
  <c r="AQ172" i="1" l="1"/>
  <c r="BC172" i="1" s="1"/>
  <c r="BU172" i="1" s="1"/>
  <c r="CB172" i="1" s="1"/>
  <c r="CC172" i="1" s="1"/>
  <c r="BV172" i="1" l="1"/>
  <c r="BM172" i="1"/>
  <c r="BN172" i="1" s="1"/>
  <c r="BO172" i="1" l="1"/>
  <c r="BP172" i="1"/>
  <c r="BR172" i="1" l="1"/>
  <c r="BY172" i="1" s="1"/>
  <c r="AQ173" i="1" l="1"/>
  <c r="BC173" i="1" s="1"/>
  <c r="BU173" i="1" s="1"/>
  <c r="BV173" i="1" s="1"/>
  <c r="CB173" i="1" l="1"/>
  <c r="CC173" i="1" s="1"/>
  <c r="BM173" i="1"/>
  <c r="BN173" i="1" s="1"/>
  <c r="BP173" i="1" l="1"/>
  <c r="BO173" i="1"/>
  <c r="BR173" i="1" l="1"/>
  <c r="BY173" i="1" s="1"/>
  <c r="AQ174" i="1" l="1"/>
  <c r="BC174" i="1" s="1"/>
  <c r="BU174" i="1" s="1"/>
  <c r="BV174" i="1" s="1"/>
  <c r="BM174" i="1" l="1"/>
  <c r="BN174" i="1" s="1"/>
  <c r="CB174" i="1"/>
  <c r="CC174" i="1" s="1"/>
  <c r="BP174" i="1" l="1"/>
  <c r="BO174" i="1"/>
  <c r="BR174" i="1"/>
  <c r="BY174" i="1" s="1"/>
  <c r="AQ175" i="1" l="1"/>
  <c r="BC175" i="1" s="1"/>
  <c r="BU175" i="1" s="1"/>
  <c r="CH175" i="1"/>
  <c r="CH176" i="1" s="1"/>
  <c r="CH177" i="1" s="1"/>
  <c r="CH178" i="1" s="1"/>
  <c r="CH179" i="1" s="1"/>
  <c r="CH180" i="1" s="1"/>
  <c r="BH175" i="1" l="1"/>
  <c r="BI175" i="1" s="1"/>
  <c r="BJ175" i="1"/>
  <c r="BK175" i="1" s="1"/>
  <c r="CB175" i="1"/>
  <c r="CC175" i="1" s="1"/>
  <c r="M68" i="1" s="1"/>
  <c r="AH121" i="10" s="1"/>
  <c r="BV175" i="1"/>
  <c r="L68" i="1" s="1"/>
  <c r="BJ176" i="1"/>
  <c r="BK176" i="1" s="1"/>
  <c r="BH176" i="1"/>
  <c r="BI176" i="1" s="1"/>
  <c r="BL175" i="1" l="1"/>
  <c r="BW175" i="1" s="1"/>
  <c r="Z265" i="3"/>
  <c r="Z121" i="10"/>
  <c r="AH265" i="3"/>
  <c r="BJ177" i="1"/>
  <c r="BK177" i="1" s="1"/>
  <c r="BH177" i="1"/>
  <c r="BI177" i="1" s="1"/>
  <c r="BM175" i="1"/>
  <c r="BP175" i="1" s="1"/>
  <c r="BL176" i="1"/>
  <c r="BW176" i="1" s="1"/>
  <c r="CD176" i="1" s="1"/>
  <c r="CD175" i="1"/>
  <c r="BX175" i="1"/>
  <c r="N68" i="1" s="1"/>
  <c r="AP121" i="10" s="1"/>
  <c r="BJ178" i="1" l="1"/>
  <c r="BJ179" i="1" s="1"/>
  <c r="BX176" i="1"/>
  <c r="BL177" i="1"/>
  <c r="BW177" i="1" s="1"/>
  <c r="CD177" i="1" s="1"/>
  <c r="CE177" i="1" s="1"/>
  <c r="BH178" i="1"/>
  <c r="BH179" i="1" s="1"/>
  <c r="BO175" i="1"/>
  <c r="BN175" i="1"/>
  <c r="AP265" i="3"/>
  <c r="AF67" i="1"/>
  <c r="AI67" i="1" s="1"/>
  <c r="CE176" i="1"/>
  <c r="CE175" i="1"/>
  <c r="O68" i="1" s="1"/>
  <c r="AX121" i="10" s="1"/>
  <c r="BK178" i="1" l="1"/>
  <c r="BX177" i="1"/>
  <c r="BL178" i="1"/>
  <c r="BW178" i="1" s="1"/>
  <c r="CD178" i="1" s="1"/>
  <c r="CE178" i="1" s="1"/>
  <c r="BR175" i="1"/>
  <c r="BY175" i="1" s="1"/>
  <c r="Q68" i="1" s="1"/>
  <c r="BN121" i="10" s="1"/>
  <c r="BI178" i="1"/>
  <c r="AX265" i="3"/>
  <c r="BK179" i="1"/>
  <c r="BL179" i="1"/>
  <c r="BW179" i="1" s="1"/>
  <c r="CD179" i="1" s="1"/>
  <c r="CE179" i="1" s="1"/>
  <c r="BJ180" i="1"/>
  <c r="BI179" i="1"/>
  <c r="BH180" i="1"/>
  <c r="BI180" i="1" s="1"/>
  <c r="BX178" i="1" l="1"/>
  <c r="P68" i="1"/>
  <c r="BF121" i="10" s="1"/>
  <c r="AQ176" i="1"/>
  <c r="BC176" i="1" s="1"/>
  <c r="BU176" i="1" s="1"/>
  <c r="BN265" i="3"/>
  <c r="BX179" i="1"/>
  <c r="BK180" i="1"/>
  <c r="BL180" i="1"/>
  <c r="BW180" i="1" s="1"/>
  <c r="BF265" i="3" l="1"/>
  <c r="BM176" i="1"/>
  <c r="BO176" i="1" s="1"/>
  <c r="CD180" i="1"/>
  <c r="CE180" i="1" s="1"/>
  <c r="BX180" i="1"/>
  <c r="CB176" i="1"/>
  <c r="CC176" i="1" s="1"/>
  <c r="BV176" i="1"/>
  <c r="BN176" i="1" l="1"/>
  <c r="BP176" i="1"/>
  <c r="BR176" i="1" l="1"/>
  <c r="BY176" i="1" s="1"/>
  <c r="AQ177" i="1" l="1"/>
  <c r="BC177" i="1" s="1"/>
  <c r="BU177" i="1" s="1"/>
  <c r="BM177" i="1" l="1"/>
  <c r="BN177" i="1" s="1"/>
  <c r="CB177" i="1"/>
  <c r="CC177" i="1" s="1"/>
  <c r="BV177" i="1"/>
  <c r="BO177" i="1" l="1"/>
  <c r="BP177" i="1"/>
  <c r="BR177" i="1" l="1"/>
  <c r="AQ178" i="1" s="1"/>
  <c r="BC178" i="1" s="1"/>
  <c r="BU178" i="1" s="1"/>
  <c r="BY177" i="1" l="1"/>
  <c r="BM178" i="1"/>
  <c r="BO178" i="1" s="1"/>
  <c r="BV178" i="1"/>
  <c r="CB178" i="1"/>
  <c r="CC178" i="1" s="1"/>
  <c r="BN178" i="1" l="1"/>
  <c r="BP178" i="1"/>
  <c r="BR178" i="1" l="1"/>
  <c r="BY178" i="1" s="1"/>
  <c r="AQ179" i="1" l="1"/>
  <c r="BC179" i="1" s="1"/>
  <c r="BU179" i="1" s="1"/>
  <c r="CB179" i="1" s="1"/>
  <c r="CC179" i="1" s="1"/>
  <c r="BM179" i="1" l="1"/>
  <c r="BP179" i="1" s="1"/>
  <c r="BV179" i="1"/>
  <c r="BJ181" i="1"/>
  <c r="CH181" i="1"/>
  <c r="CH182" i="1" s="1"/>
  <c r="CH183" i="1" s="1"/>
  <c r="BH181" i="1"/>
  <c r="BI181" i="1" s="1"/>
  <c r="BN179" i="1" l="1"/>
  <c r="BO179" i="1"/>
  <c r="BL181" i="1"/>
  <c r="BW181" i="1" s="1"/>
  <c r="BJ182" i="1"/>
  <c r="BJ183" i="1" s="1"/>
  <c r="BJ184" i="1" s="1"/>
  <c r="BK181" i="1"/>
  <c r="BH182" i="1"/>
  <c r="BI182" i="1" s="1"/>
  <c r="CH184" i="1"/>
  <c r="CH185" i="1" s="1"/>
  <c r="CH186" i="1" s="1"/>
  <c r="BR179" i="1" l="1"/>
  <c r="BY179" i="1" s="1"/>
  <c r="BL182" i="1"/>
  <c r="BW182" i="1" s="1"/>
  <c r="CD182" i="1" s="1"/>
  <c r="BH183" i="1"/>
  <c r="BI183" i="1" s="1"/>
  <c r="BK182" i="1"/>
  <c r="CD181" i="1"/>
  <c r="BX181" i="1"/>
  <c r="BK183" i="1"/>
  <c r="BK184" i="1"/>
  <c r="BJ185" i="1"/>
  <c r="AQ180" i="1" l="1"/>
  <c r="BC180" i="1" s="1"/>
  <c r="BU180" i="1" s="1"/>
  <c r="BH184" i="1"/>
  <c r="BH185" i="1" s="1"/>
  <c r="BI185" i="1" s="1"/>
  <c r="BX182" i="1"/>
  <c r="BL183" i="1"/>
  <c r="BW183" i="1" s="1"/>
  <c r="CD183" i="1" s="1"/>
  <c r="CE183" i="1" s="1"/>
  <c r="BL184" i="1"/>
  <c r="BW184" i="1" s="1"/>
  <c r="CE181" i="1"/>
  <c r="CE182" i="1"/>
  <c r="BJ186" i="1"/>
  <c r="BK185" i="1"/>
  <c r="BL185" i="1"/>
  <c r="BW185" i="1" s="1"/>
  <c r="CD185" i="1" s="1"/>
  <c r="BI184" i="1" l="1"/>
  <c r="BH186" i="1"/>
  <c r="BI186" i="1" s="1"/>
  <c r="BM180" i="1"/>
  <c r="BO180" i="1" s="1"/>
  <c r="CB180" i="1"/>
  <c r="CC180" i="1" s="1"/>
  <c r="BV180" i="1"/>
  <c r="BX183" i="1"/>
  <c r="BK186" i="1"/>
  <c r="BL186" i="1"/>
  <c r="BW186" i="1" s="1"/>
  <c r="CD186" i="1" s="1"/>
  <c r="BX184" i="1"/>
  <c r="CD184" i="1"/>
  <c r="BX185" i="1"/>
  <c r="BP180" i="1" l="1"/>
  <c r="BN180" i="1"/>
  <c r="BX186" i="1"/>
  <c r="CE185" i="1"/>
  <c r="CE184" i="1"/>
  <c r="CE186" i="1"/>
  <c r="BR180" i="1" l="1"/>
  <c r="BY180" i="1" s="1"/>
  <c r="AQ181" i="1" l="1"/>
  <c r="BC181" i="1" s="1"/>
  <c r="BU181" i="1" s="1"/>
  <c r="CB181" i="1" s="1"/>
  <c r="CC181" i="1" s="1"/>
  <c r="BV181" i="1" l="1"/>
  <c r="BM181" i="1"/>
  <c r="BN181" i="1" s="1"/>
  <c r="BP181" i="1" l="1"/>
  <c r="BO181" i="1"/>
  <c r="BR181" i="1" l="1"/>
  <c r="AQ182" i="1" s="1"/>
  <c r="BY181" i="1"/>
  <c r="BC182" i="1" l="1"/>
  <c r="BU182" i="1" s="1"/>
  <c r="BM182" i="1" l="1"/>
  <c r="BP182" i="1" s="1"/>
  <c r="CB182" i="1"/>
  <c r="CC182" i="1" s="1"/>
  <c r="BV182" i="1"/>
  <c r="BO182" i="1" l="1"/>
  <c r="BN182" i="1"/>
  <c r="BR182" i="1" l="1"/>
  <c r="BY182" i="1" s="1"/>
  <c r="AQ183" i="1" l="1"/>
  <c r="BC183" i="1" s="1"/>
  <c r="BU183" i="1" s="1"/>
  <c r="CB183" i="1" s="1"/>
  <c r="CC183" i="1" s="1"/>
  <c r="BV183" i="1" l="1"/>
  <c r="BM183" i="1"/>
  <c r="BN183" i="1" s="1"/>
  <c r="BO183" i="1" l="1"/>
  <c r="BP183" i="1"/>
  <c r="BR183" i="1" l="1"/>
  <c r="BY183" i="1" s="1"/>
  <c r="AQ184" i="1" l="1"/>
  <c r="BC184" i="1" s="1"/>
  <c r="BU184" i="1" s="1"/>
  <c r="CB184" i="1" s="1"/>
  <c r="CC184" i="1" s="1"/>
  <c r="BV184" i="1" l="1"/>
  <c r="BM184" i="1"/>
  <c r="BO184" i="1" s="1"/>
  <c r="BN184" i="1" l="1"/>
  <c r="BP184" i="1"/>
  <c r="BR184" i="1" s="1"/>
  <c r="BY184" i="1" s="1"/>
  <c r="AQ185" i="1" l="1"/>
  <c r="BC185" i="1" s="1"/>
  <c r="BU185" i="1" s="1"/>
  <c r="BM185" i="1" l="1"/>
  <c r="BP185" i="1" s="1"/>
  <c r="CB185" i="1"/>
  <c r="CC185" i="1" s="1"/>
  <c r="BV185" i="1"/>
  <c r="BN185" i="1" l="1"/>
  <c r="BO185" i="1"/>
  <c r="BR185" i="1" l="1"/>
  <c r="BY185" i="1" s="1"/>
  <c r="AQ186" i="1" l="1"/>
  <c r="BC186" i="1" s="1"/>
  <c r="BU186" i="1" s="1"/>
  <c r="CB186" i="1" s="1"/>
  <c r="CC186" i="1" s="1"/>
  <c r="BM186" i="1"/>
  <c r="BP186" i="1" s="1"/>
  <c r="BV186" i="1" l="1"/>
  <c r="BN186" i="1"/>
  <c r="BO186" i="1"/>
  <c r="BR186" i="1" l="1"/>
  <c r="BY186" i="1" s="1"/>
  <c r="AQ187" i="1" l="1"/>
  <c r="BC187" i="1" s="1"/>
  <c r="BU187" i="1" s="1"/>
  <c r="CH187" i="1"/>
  <c r="CH188" i="1" s="1"/>
  <c r="CH189" i="1" s="1"/>
  <c r="CH190" i="1" s="1"/>
  <c r="CH191" i="1" s="1"/>
  <c r="CH192" i="1" s="1"/>
  <c r="BH187" i="1"/>
  <c r="BI187" i="1" s="1"/>
  <c r="BJ187" i="1"/>
  <c r="CB187" i="1" l="1"/>
  <c r="CC187" i="1" s="1"/>
  <c r="M69" i="1" s="1"/>
  <c r="AH122" i="10" s="1"/>
  <c r="BV187" i="1"/>
  <c r="L69" i="1" s="1"/>
  <c r="Z122" i="10" s="1"/>
  <c r="BH188" i="1"/>
  <c r="BH189" i="1" s="1"/>
  <c r="BK187" i="1"/>
  <c r="BJ188" i="1"/>
  <c r="BL187" i="1"/>
  <c r="AH266" i="3" l="1"/>
  <c r="Z266" i="3"/>
  <c r="BI188" i="1"/>
  <c r="BW187" i="1"/>
  <c r="BM187" i="1"/>
  <c r="BK188" i="1"/>
  <c r="BL188" i="1"/>
  <c r="BW188" i="1" s="1"/>
  <c r="CD188" i="1" s="1"/>
  <c r="BJ189" i="1"/>
  <c r="BI189" i="1"/>
  <c r="BH190" i="1"/>
  <c r="BI190" i="1" l="1"/>
  <c r="BH191" i="1"/>
  <c r="BL189" i="1"/>
  <c r="BW189" i="1" s="1"/>
  <c r="BX189" i="1" s="1"/>
  <c r="BJ190" i="1"/>
  <c r="BK189" i="1"/>
  <c r="CD187" i="1"/>
  <c r="BX187" i="1"/>
  <c r="N69" i="1" s="1"/>
  <c r="AP122" i="10" s="1"/>
  <c r="BX188" i="1"/>
  <c r="BP187" i="1"/>
  <c r="BO187" i="1"/>
  <c r="BN187" i="1"/>
  <c r="BR187" i="1" l="1"/>
  <c r="BY187" i="1" s="1"/>
  <c r="Q69" i="1" s="1"/>
  <c r="BN122" i="10" s="1"/>
  <c r="AF68" i="1"/>
  <c r="AI68" i="1" s="1"/>
  <c r="AP266" i="3"/>
  <c r="CE188" i="1"/>
  <c r="CE187" i="1"/>
  <c r="O69" i="1" s="1"/>
  <c r="AX122" i="10" s="1"/>
  <c r="BL190" i="1"/>
  <c r="BW190" i="1" s="1"/>
  <c r="BJ191" i="1"/>
  <c r="BK190" i="1"/>
  <c r="P69" i="1"/>
  <c r="BF122" i="10" s="1"/>
  <c r="CD189" i="1"/>
  <c r="CE189" i="1" s="1"/>
  <c r="BI191" i="1"/>
  <c r="BH192" i="1"/>
  <c r="BI192" i="1" s="1"/>
  <c r="AQ188" i="1" l="1"/>
  <c r="BC188" i="1" s="1"/>
  <c r="BU188" i="1" s="1"/>
  <c r="BK191" i="1"/>
  <c r="BL191" i="1"/>
  <c r="BW191" i="1" s="1"/>
  <c r="CD191" i="1" s="1"/>
  <c r="BJ192" i="1"/>
  <c r="CD190" i="1"/>
  <c r="CE190" i="1" s="1"/>
  <c r="BX190" i="1"/>
  <c r="BN266" i="3"/>
  <c r="BF266" i="3"/>
  <c r="AX266" i="3"/>
  <c r="BX191" i="1" l="1"/>
  <c r="BM188" i="1"/>
  <c r="BV188" i="1"/>
  <c r="CB188" i="1"/>
  <c r="CC188" i="1" s="1"/>
  <c r="BK192" i="1"/>
  <c r="BL192" i="1"/>
  <c r="BW192" i="1" s="1"/>
  <c r="CE191" i="1"/>
  <c r="CD192" i="1" l="1"/>
  <c r="CE192" i="1" s="1"/>
  <c r="BX192" i="1"/>
  <c r="BP188" i="1"/>
  <c r="BN188" i="1"/>
  <c r="BO188" i="1"/>
  <c r="BR188" i="1" l="1"/>
  <c r="BY188" i="1" s="1"/>
  <c r="AQ189" i="1" l="1"/>
  <c r="BC189" i="1" s="1"/>
  <c r="BU189" i="1" s="1"/>
  <c r="BM189" i="1" l="1"/>
  <c r="BV189" i="1"/>
  <c r="CB189" i="1"/>
  <c r="CC189" i="1" s="1"/>
  <c r="BN189" i="1" l="1"/>
  <c r="BP189" i="1"/>
  <c r="BO189" i="1"/>
  <c r="BR189" i="1" l="1"/>
  <c r="BY189" i="1" s="1"/>
  <c r="AQ190" i="1" l="1"/>
  <c r="BC190" i="1" s="1"/>
  <c r="BU190" i="1" s="1"/>
  <c r="BM190" i="1" l="1"/>
  <c r="BV190" i="1"/>
  <c r="CB190" i="1"/>
  <c r="CC190" i="1" s="1"/>
  <c r="BO190" i="1" l="1"/>
  <c r="BN190" i="1"/>
  <c r="BP190" i="1"/>
  <c r="BJ193" i="1"/>
  <c r="CH193" i="1"/>
  <c r="CH194" i="1" s="1"/>
  <c r="CH195" i="1" s="1"/>
  <c r="BH193" i="1"/>
  <c r="BI193" i="1" s="1"/>
  <c r="BR190" i="1" l="1"/>
  <c r="AQ191" i="1" s="1"/>
  <c r="BL193" i="1"/>
  <c r="BW193" i="1" s="1"/>
  <c r="BJ194" i="1"/>
  <c r="BK194" i="1" s="1"/>
  <c r="BH194" i="1"/>
  <c r="BI194" i="1" s="1"/>
  <c r="BK193" i="1"/>
  <c r="BY190" i="1" l="1"/>
  <c r="BC191" i="1"/>
  <c r="BU191" i="1" s="1"/>
  <c r="BH195" i="1"/>
  <c r="BI195" i="1" s="1"/>
  <c r="BJ195" i="1"/>
  <c r="BL194" i="1"/>
  <c r="BW194" i="1" s="1"/>
  <c r="CD194" i="1" s="1"/>
  <c r="BX193" i="1"/>
  <c r="CD193" i="1"/>
  <c r="BM191" i="1" l="1"/>
  <c r="CB191" i="1"/>
  <c r="CC191" i="1" s="1"/>
  <c r="BV191" i="1"/>
  <c r="BL195" i="1"/>
  <c r="BW195" i="1" s="1"/>
  <c r="CD195" i="1" s="1"/>
  <c r="CE195" i="1" s="1"/>
  <c r="BX194" i="1"/>
  <c r="BK195" i="1"/>
  <c r="CE193" i="1"/>
  <c r="CE194" i="1"/>
  <c r="BN191" i="1" l="1"/>
  <c r="BP191" i="1"/>
  <c r="BO191" i="1"/>
  <c r="BX195" i="1"/>
  <c r="BR191" i="1" l="1"/>
  <c r="BY191" i="1" s="1"/>
  <c r="AQ192" i="1" l="1"/>
  <c r="BC192" i="1" s="1"/>
  <c r="BU192" i="1" s="1"/>
  <c r="CH196" i="1"/>
  <c r="CH197" i="1" s="1"/>
  <c r="CH198" i="1" s="1"/>
  <c r="BJ196" i="1"/>
  <c r="BH196" i="1"/>
  <c r="BM192" i="1" l="1"/>
  <c r="BV192" i="1"/>
  <c r="CB192" i="1"/>
  <c r="CC192" i="1" s="1"/>
  <c r="BI196" i="1"/>
  <c r="BH197" i="1"/>
  <c r="BK196" i="1"/>
  <c r="BJ197" i="1"/>
  <c r="BL196" i="1"/>
  <c r="BW196" i="1" s="1"/>
  <c r="BO192" i="1" l="1"/>
  <c r="BN192" i="1"/>
  <c r="BP192" i="1"/>
  <c r="CD196" i="1"/>
  <c r="BX196" i="1"/>
  <c r="BK197" i="1"/>
  <c r="BJ198" i="1"/>
  <c r="BL197" i="1"/>
  <c r="BW197" i="1" s="1"/>
  <c r="CD197" i="1" s="1"/>
  <c r="BI197" i="1"/>
  <c r="BH198" i="1"/>
  <c r="BR192" i="1" l="1"/>
  <c r="BY192" i="1" s="1"/>
  <c r="BX197" i="1"/>
  <c r="BK198" i="1"/>
  <c r="CE197" i="1"/>
  <c r="CE196" i="1"/>
  <c r="BL198" i="1"/>
  <c r="BW198" i="1" s="1"/>
  <c r="BI198" i="1"/>
  <c r="AQ193" i="1" l="1"/>
  <c r="BC193" i="1" s="1"/>
  <c r="BU193" i="1" s="1"/>
  <c r="CD198" i="1"/>
  <c r="BX198" i="1"/>
  <c r="BM193" i="1" l="1"/>
  <c r="CB193" i="1"/>
  <c r="CC193" i="1" s="1"/>
  <c r="BV193" i="1"/>
  <c r="CE198" i="1"/>
  <c r="BP193" i="1" l="1"/>
  <c r="BO193" i="1"/>
  <c r="BN193" i="1"/>
  <c r="BR193" i="1" l="1"/>
  <c r="AQ194" i="1" s="1"/>
  <c r="BY193" i="1" l="1"/>
  <c r="BC194" i="1"/>
  <c r="BU194" i="1" s="1"/>
  <c r="BM194" i="1" l="1"/>
  <c r="CB194" i="1"/>
  <c r="CC194" i="1" s="1"/>
  <c r="BV194" i="1"/>
  <c r="BN194" i="1" l="1"/>
  <c r="BO194" i="1"/>
  <c r="BP194" i="1"/>
  <c r="BR194" i="1" l="1"/>
  <c r="BY194" i="1" s="1"/>
  <c r="AQ195" i="1" l="1"/>
  <c r="BC195" i="1" s="1"/>
  <c r="BU195" i="1" s="1"/>
  <c r="BM195" i="1" l="1"/>
  <c r="CB195" i="1"/>
  <c r="CC195" i="1" s="1"/>
  <c r="BV195" i="1"/>
  <c r="BP195" i="1" l="1"/>
  <c r="BN195" i="1"/>
  <c r="BO195" i="1"/>
  <c r="BR195" i="1" l="1"/>
  <c r="AQ196" i="1" s="1"/>
  <c r="BY195" i="1" l="1"/>
  <c r="BC196" i="1"/>
  <c r="BU196" i="1" s="1"/>
  <c r="BM196" i="1" l="1"/>
  <c r="CB196" i="1"/>
  <c r="CC196" i="1" s="1"/>
  <c r="BV196" i="1"/>
  <c r="BN196" i="1" l="1"/>
  <c r="BP196" i="1"/>
  <c r="BO196" i="1"/>
  <c r="BR196" i="1" l="1"/>
  <c r="AQ197" i="1" s="1"/>
  <c r="BY196" i="1" l="1"/>
  <c r="BC197" i="1"/>
  <c r="BU197" i="1" s="1"/>
  <c r="BM197" i="1" l="1"/>
  <c r="BP197" i="1" s="1"/>
  <c r="CB197" i="1"/>
  <c r="BV197" i="1"/>
  <c r="BN197" i="1" l="1"/>
  <c r="BO197" i="1"/>
  <c r="CC197" i="1"/>
  <c r="BR197" i="1" l="1"/>
  <c r="BY197" i="1" s="1"/>
  <c r="AQ198" i="1" l="1"/>
  <c r="BC198" i="1" s="1"/>
  <c r="BU198" i="1" s="1"/>
  <c r="CB198" i="1" s="1"/>
  <c r="CC198" i="1" s="1"/>
  <c r="BV198" i="1" l="1"/>
  <c r="BM198" i="1"/>
  <c r="BO198" i="1" s="1"/>
  <c r="BN198" i="1" l="1"/>
  <c r="BP198" i="1"/>
  <c r="BR198" i="1" l="1"/>
  <c r="AQ199" i="1" s="1"/>
  <c r="BC199" i="1" s="1"/>
  <c r="BU199" i="1" s="1"/>
  <c r="BY198" i="1" l="1"/>
  <c r="CB199" i="1"/>
  <c r="CC199" i="1" s="1"/>
  <c r="M70" i="1" s="1"/>
  <c r="AH123" i="10" s="1"/>
  <c r="BV199" i="1"/>
  <c r="L70" i="1" s="1"/>
  <c r="Z123" i="10" s="1"/>
  <c r="BH199" i="1"/>
  <c r="BI199" i="1" s="1"/>
  <c r="CH199" i="1"/>
  <c r="CH200" i="1" s="1"/>
  <c r="CH201" i="1" s="1"/>
  <c r="CH202" i="1" s="1"/>
  <c r="CH203" i="1" s="1"/>
  <c r="CH204" i="1" s="1"/>
  <c r="BJ199" i="1"/>
  <c r="BL199" i="1" s="1"/>
  <c r="BM199" i="1" s="1"/>
  <c r="BH200" i="1"/>
  <c r="BI200" i="1" s="1"/>
  <c r="Z267" i="3" l="1"/>
  <c r="BW199" i="1"/>
  <c r="CD199" i="1" s="1"/>
  <c r="AH267" i="3"/>
  <c r="BJ200" i="1"/>
  <c r="BK200" i="1" s="1"/>
  <c r="BK199" i="1"/>
  <c r="BH201" i="1"/>
  <c r="BI201" i="1" s="1"/>
  <c r="BO199" i="1"/>
  <c r="BN199" i="1"/>
  <c r="BP199" i="1"/>
  <c r="BX199" i="1" l="1"/>
  <c r="N70" i="1" s="1"/>
  <c r="AP123" i="10" s="1"/>
  <c r="BJ201" i="1"/>
  <c r="BK201" i="1" s="1"/>
  <c r="BH202" i="1"/>
  <c r="BH203" i="1" s="1"/>
  <c r="BL200" i="1"/>
  <c r="BW200" i="1" s="1"/>
  <c r="CD200" i="1" s="1"/>
  <c r="CE200" i="1" s="1"/>
  <c r="BR199" i="1"/>
  <c r="BY199" i="1" s="1"/>
  <c r="Q70" i="1" s="1"/>
  <c r="BN123" i="10" s="1"/>
  <c r="AP267" i="3"/>
  <c r="AF69" i="1"/>
  <c r="AI69" i="1" s="1"/>
  <c r="CE199" i="1"/>
  <c r="O70" i="1" s="1"/>
  <c r="AX123" i="10" s="1"/>
  <c r="BI202" i="1" l="1"/>
  <c r="BL201" i="1"/>
  <c r="BW201" i="1" s="1"/>
  <c r="CD201" i="1" s="1"/>
  <c r="BJ202" i="1"/>
  <c r="BJ203" i="1" s="1"/>
  <c r="BL203" i="1" s="1"/>
  <c r="BW203" i="1" s="1"/>
  <c r="CE201" i="1"/>
  <c r="BX200" i="1"/>
  <c r="BX201" i="1"/>
  <c r="P70" i="1"/>
  <c r="BF123" i="10" s="1"/>
  <c r="AQ200" i="1"/>
  <c r="BC200" i="1" s="1"/>
  <c r="BU200" i="1" s="1"/>
  <c r="AX267" i="3"/>
  <c r="BI203" i="1"/>
  <c r="BH204" i="1"/>
  <c r="BI204" i="1" s="1"/>
  <c r="BN267" i="3"/>
  <c r="BJ204" i="1" l="1"/>
  <c r="BK203" i="1"/>
  <c r="BL202" i="1"/>
  <c r="BW202" i="1" s="1"/>
  <c r="BK202" i="1"/>
  <c r="BF267" i="3"/>
  <c r="CD203" i="1"/>
  <c r="BX203" i="1"/>
  <c r="CB200" i="1"/>
  <c r="CC200" i="1" s="1"/>
  <c r="BV200" i="1"/>
  <c r="BL204" i="1"/>
  <c r="BW204" i="1" s="1"/>
  <c r="CD204" i="1" s="1"/>
  <c r="BK204" i="1"/>
  <c r="BM200" i="1"/>
  <c r="CD202" i="1" l="1"/>
  <c r="CE202" i="1" s="1"/>
  <c r="BX202" i="1"/>
  <c r="BX204" i="1"/>
  <c r="BO200" i="1"/>
  <c r="BP200" i="1"/>
  <c r="BN200" i="1"/>
  <c r="CE204" i="1" l="1"/>
  <c r="CE203" i="1"/>
  <c r="BR200" i="1"/>
  <c r="AQ201" i="1" s="1"/>
  <c r="BY200" i="1" l="1"/>
  <c r="BC201" i="1"/>
  <c r="BU201" i="1" s="1"/>
  <c r="BM201" i="1" l="1"/>
  <c r="BN201" i="1" s="1"/>
  <c r="CB201" i="1"/>
  <c r="CC201" i="1" s="1"/>
  <c r="BV201" i="1"/>
  <c r="BP201" i="1" l="1"/>
  <c r="BO201" i="1"/>
  <c r="BR201" i="1" l="1"/>
  <c r="BY201" i="1"/>
  <c r="AQ202" i="1"/>
  <c r="BC202" i="1" s="1"/>
  <c r="BU202" i="1" s="1"/>
  <c r="BJ205" i="1"/>
  <c r="CH205" i="1"/>
  <c r="CH206" i="1" s="1"/>
  <c r="CH207" i="1" s="1"/>
  <c r="BH205" i="1"/>
  <c r="BM202" i="1" l="1"/>
  <c r="BN202" i="1" s="1"/>
  <c r="BV202" i="1"/>
  <c r="CB202" i="1"/>
  <c r="CC202" i="1" s="1"/>
  <c r="BI205" i="1"/>
  <c r="BH206" i="1"/>
  <c r="BL205" i="1"/>
  <c r="BW205" i="1" s="1"/>
  <c r="BJ206" i="1"/>
  <c r="BK205" i="1"/>
  <c r="BO202" i="1" l="1"/>
  <c r="BP202" i="1"/>
  <c r="BL206" i="1"/>
  <c r="BW206" i="1" s="1"/>
  <c r="CD206" i="1" s="1"/>
  <c r="BJ207" i="1"/>
  <c r="BK206" i="1"/>
  <c r="CD205" i="1"/>
  <c r="BX205" i="1"/>
  <c r="BI206" i="1"/>
  <c r="BH207" i="1"/>
  <c r="BI207" i="1" s="1"/>
  <c r="BR202" i="1" l="1"/>
  <c r="BY202" i="1" s="1"/>
  <c r="BX206" i="1"/>
  <c r="BL207" i="1"/>
  <c r="BW207" i="1" s="1"/>
  <c r="BK207" i="1"/>
  <c r="CE205" i="1"/>
  <c r="CE206" i="1"/>
  <c r="AQ203" i="1" l="1"/>
  <c r="BC203" i="1" s="1"/>
  <c r="BU203" i="1" s="1"/>
  <c r="BV203" i="1" s="1"/>
  <c r="CD207" i="1"/>
  <c r="CE207" i="1" s="1"/>
  <c r="BX207" i="1"/>
  <c r="CB203" i="1" l="1"/>
  <c r="CC203" i="1" s="1"/>
  <c r="BM203" i="1"/>
  <c r="BN203" i="1" s="1"/>
  <c r="BH208" i="1"/>
  <c r="BJ208" i="1"/>
  <c r="BO203" i="1" l="1"/>
  <c r="BP203" i="1"/>
  <c r="BL208" i="1"/>
  <c r="BK208" i="1"/>
  <c r="BJ209" i="1"/>
  <c r="BH209" i="1"/>
  <c r="BI208" i="1"/>
  <c r="BR203" i="1" l="1"/>
  <c r="AQ204" i="1" s="1"/>
  <c r="BC204" i="1" s="1"/>
  <c r="BU204" i="1" s="1"/>
  <c r="CH208" i="1"/>
  <c r="CH209" i="1" s="1"/>
  <c r="CH210" i="1" s="1"/>
  <c r="BJ210" i="1"/>
  <c r="BL209" i="1"/>
  <c r="BW209" i="1" s="1"/>
  <c r="CD209" i="1" s="1"/>
  <c r="BK209" i="1"/>
  <c r="BH210" i="1"/>
  <c r="BI209" i="1"/>
  <c r="BW208" i="1"/>
  <c r="BY203" i="1" l="1"/>
  <c r="BM204" i="1"/>
  <c r="BO204" i="1" s="1"/>
  <c r="CB204" i="1"/>
  <c r="CC204" i="1" s="1"/>
  <c r="BV204" i="1"/>
  <c r="BI210" i="1"/>
  <c r="BL210" i="1"/>
  <c r="BW210" i="1" s="1"/>
  <c r="CD210" i="1" s="1"/>
  <c r="BK210" i="1"/>
  <c r="CD208" i="1"/>
  <c r="BX209" i="1"/>
  <c r="BX208" i="1"/>
  <c r="BP204" i="1" l="1"/>
  <c r="BN204" i="1"/>
  <c r="BX210" i="1"/>
  <c r="CE208" i="1"/>
  <c r="CE209" i="1"/>
  <c r="CE210" i="1"/>
  <c r="BR204" i="1" l="1"/>
  <c r="AQ205" i="1" s="1"/>
  <c r="BC205" i="1" s="1"/>
  <c r="BU205" i="1" s="1"/>
  <c r="BY204" i="1" l="1"/>
  <c r="BM205" i="1"/>
  <c r="CB205" i="1"/>
  <c r="CC205" i="1" s="1"/>
  <c r="BV205" i="1"/>
  <c r="BP205" i="1" l="1"/>
  <c r="BN205" i="1"/>
  <c r="BO205" i="1"/>
  <c r="BR205" i="1" l="1"/>
  <c r="AQ206" i="1" s="1"/>
  <c r="BY205" i="1" l="1"/>
  <c r="BC206" i="1"/>
  <c r="BU206" i="1" s="1"/>
  <c r="BM206" i="1" l="1"/>
  <c r="BV206" i="1"/>
  <c r="CB206" i="1"/>
  <c r="CC206" i="1" s="1"/>
  <c r="BO206" i="1" l="1"/>
  <c r="BP206" i="1"/>
  <c r="BN206" i="1"/>
  <c r="BR206" i="1" l="1"/>
  <c r="BY206" i="1" l="1"/>
  <c r="AQ207" i="1"/>
  <c r="BC207" i="1" l="1"/>
  <c r="BU207" i="1" s="1"/>
  <c r="BM207" i="1" l="1"/>
  <c r="BN207" i="1" s="1"/>
  <c r="BV207" i="1"/>
  <c r="CB207" i="1"/>
  <c r="CC207" i="1" s="1"/>
  <c r="BO207" i="1" l="1"/>
  <c r="BP207" i="1"/>
  <c r="BR207" i="1" l="1"/>
  <c r="BY207" i="1" s="1"/>
  <c r="AQ208" i="1" l="1"/>
  <c r="BC208" i="1" s="1"/>
  <c r="BU208" i="1" s="1"/>
  <c r="BV208" i="1" s="1"/>
  <c r="CB208" i="1" l="1"/>
  <c r="CC208" i="1" s="1"/>
  <c r="BM208" i="1"/>
  <c r="BP208" i="1" s="1"/>
  <c r="BO208" i="1" l="1"/>
  <c r="BN208" i="1"/>
  <c r="BR208" i="1" l="1"/>
  <c r="AQ209" i="1" s="1"/>
  <c r="BY208" i="1" l="1"/>
  <c r="BC209" i="1"/>
  <c r="BU209" i="1" s="1"/>
  <c r="BM209" i="1" l="1"/>
  <c r="CB209" i="1"/>
  <c r="CC209" i="1" s="1"/>
  <c r="BV209" i="1"/>
  <c r="BN209" i="1"/>
  <c r="BP209" i="1"/>
  <c r="BO209" i="1"/>
  <c r="BR209" i="1" l="1"/>
  <c r="BY209" i="1" s="1"/>
  <c r="AQ210" i="1" l="1"/>
  <c r="BC210" i="1" s="1"/>
  <c r="BU210" i="1" s="1"/>
  <c r="BM210" i="1" l="1"/>
  <c r="BO210" i="1" s="1"/>
  <c r="CB210" i="1"/>
  <c r="CC210" i="1" s="1"/>
  <c r="BV210" i="1"/>
  <c r="BN210" i="1" l="1"/>
  <c r="BP210" i="1"/>
  <c r="BR210" i="1" l="1"/>
  <c r="BY210" i="1" s="1"/>
  <c r="AQ211" i="1" l="1"/>
  <c r="BC211" i="1" s="1"/>
  <c r="BU211" i="1" s="1"/>
  <c r="CH211" i="1"/>
  <c r="CH212" i="1" s="1"/>
  <c r="CH213" i="1" s="1"/>
  <c r="CH214" i="1" s="1"/>
  <c r="CH215" i="1" s="1"/>
  <c r="CH216" i="1" s="1"/>
  <c r="CB211" i="1" l="1"/>
  <c r="CC211" i="1" s="1"/>
  <c r="M71" i="1" s="1"/>
  <c r="AH124" i="10" s="1"/>
  <c r="BV211" i="1"/>
  <c r="L71" i="1" s="1"/>
  <c r="Z124" i="10" s="1"/>
  <c r="BJ211" i="1"/>
  <c r="BH211" i="1"/>
  <c r="Z268" i="3" l="1"/>
  <c r="AH268" i="3"/>
  <c r="BI211" i="1"/>
  <c r="BH212" i="1"/>
  <c r="BK211" i="1"/>
  <c r="BL211" i="1"/>
  <c r="BJ212" i="1"/>
  <c r="BK212" i="1" l="1"/>
  <c r="BL212" i="1"/>
  <c r="BW212" i="1" s="1"/>
  <c r="CD212" i="1" s="1"/>
  <c r="BJ213" i="1"/>
  <c r="BM211" i="1"/>
  <c r="BW211" i="1"/>
  <c r="BI212" i="1"/>
  <c r="BH213" i="1"/>
  <c r="BI213" i="1" l="1"/>
  <c r="BH214" i="1"/>
  <c r="CD211" i="1"/>
  <c r="BX211" i="1"/>
  <c r="N71" i="1" s="1"/>
  <c r="BX212" i="1"/>
  <c r="BN211" i="1"/>
  <c r="BP211" i="1"/>
  <c r="BO211" i="1"/>
  <c r="BK213" i="1"/>
  <c r="BL213" i="1"/>
  <c r="BW213" i="1" s="1"/>
  <c r="BJ214" i="1"/>
  <c r="AP124" i="10" l="1"/>
  <c r="AF70" i="1"/>
  <c r="AI70" i="1" s="1"/>
  <c r="AP268" i="3"/>
  <c r="BR211" i="1"/>
  <c r="BL214" i="1"/>
  <c r="BW214" i="1" s="1"/>
  <c r="CD214" i="1" s="1"/>
  <c r="BK214" i="1"/>
  <c r="BJ215" i="1"/>
  <c r="CE211" i="1"/>
  <c r="O71" i="1" s="1"/>
  <c r="CE212" i="1"/>
  <c r="BX213" i="1"/>
  <c r="CD213" i="1"/>
  <c r="CE213" i="1" s="1"/>
  <c r="BI214" i="1"/>
  <c r="BH215" i="1"/>
  <c r="BL215" i="1" l="1"/>
  <c r="BW215" i="1" s="1"/>
  <c r="BK215" i="1"/>
  <c r="BJ216" i="1"/>
  <c r="CE214" i="1"/>
  <c r="BH216" i="1"/>
  <c r="BI216" i="1" s="1"/>
  <c r="BI215" i="1"/>
  <c r="AQ212" i="1"/>
  <c r="P71" i="1"/>
  <c r="BY211" i="1"/>
  <c r="Q71" i="1" s="1"/>
  <c r="AX124" i="10"/>
  <c r="AX268" i="3"/>
  <c r="BX214" i="1"/>
  <c r="BF124" i="10" l="1"/>
  <c r="BF268" i="3"/>
  <c r="BC212" i="1"/>
  <c r="BU212" i="1" s="1"/>
  <c r="BL216" i="1"/>
  <c r="BW216" i="1" s="1"/>
  <c r="BK216" i="1"/>
  <c r="BN124" i="10"/>
  <c r="BN268" i="3"/>
  <c r="CD215" i="1"/>
  <c r="BX215" i="1"/>
  <c r="CD216" i="1" l="1"/>
  <c r="BX216" i="1"/>
  <c r="BM212" i="1"/>
  <c r="CB212" i="1"/>
  <c r="CC212" i="1" s="1"/>
  <c r="BV212" i="1"/>
  <c r="CE215" i="1"/>
  <c r="CE216" i="1"/>
  <c r="BN212" i="1" l="1"/>
  <c r="BO212" i="1"/>
  <c r="BP212" i="1"/>
  <c r="BR212" i="1" l="1"/>
  <c r="BY212" i="1" s="1"/>
  <c r="AQ213" i="1" l="1"/>
  <c r="BC213" i="1" s="1"/>
  <c r="BU213" i="1" s="1"/>
  <c r="BM213" i="1" l="1"/>
  <c r="BN213" i="1" s="1"/>
  <c r="CB213" i="1"/>
  <c r="CC213" i="1" s="1"/>
  <c r="BV213" i="1"/>
  <c r="BO213" i="1" l="1"/>
  <c r="BP213" i="1"/>
  <c r="BH217" i="1"/>
  <c r="CH217" i="1"/>
  <c r="CH218" i="1" s="1"/>
  <c r="CH219" i="1" s="1"/>
  <c r="BJ217" i="1"/>
  <c r="BR213" i="1" l="1"/>
  <c r="BY213" i="1" s="1"/>
  <c r="BI217" i="1"/>
  <c r="BH218" i="1"/>
  <c r="BL217" i="1"/>
  <c r="BK217" i="1"/>
  <c r="BJ218" i="1"/>
  <c r="AQ214" i="1" l="1"/>
  <c r="BC214" i="1" s="1"/>
  <c r="BU214" i="1" s="1"/>
  <c r="CB214" i="1" s="1"/>
  <c r="CC214" i="1" s="1"/>
  <c r="BL218" i="1"/>
  <c r="BW218" i="1" s="1"/>
  <c r="CD218" i="1" s="1"/>
  <c r="BK218" i="1"/>
  <c r="BJ219" i="1"/>
  <c r="BW217" i="1"/>
  <c r="BI218" i="1"/>
  <c r="BH219" i="1"/>
  <c r="BI219" i="1" s="1"/>
  <c r="BM214" i="1" l="1"/>
  <c r="BN214" i="1" s="1"/>
  <c r="BV214" i="1"/>
  <c r="BP214" i="1"/>
  <c r="BO214" i="1"/>
  <c r="BX217" i="1"/>
  <c r="CD217" i="1"/>
  <c r="BX218" i="1"/>
  <c r="BL219" i="1"/>
  <c r="BW219" i="1" s="1"/>
  <c r="CD219" i="1" s="1"/>
  <c r="CE219" i="1" s="1"/>
  <c r="BK219" i="1"/>
  <c r="BR214" i="1" l="1"/>
  <c r="AQ215" i="1" s="1"/>
  <c r="BC215" i="1" s="1"/>
  <c r="BU215" i="1" s="1"/>
  <c r="BX219" i="1"/>
  <c r="CE217" i="1"/>
  <c r="CE218" i="1"/>
  <c r="BY214" i="1" l="1"/>
  <c r="BM215" i="1"/>
  <c r="BP215" i="1" s="1"/>
  <c r="CB215" i="1"/>
  <c r="CC215" i="1" s="1"/>
  <c r="BV215" i="1"/>
  <c r="BO215" i="1" l="1"/>
  <c r="BN215" i="1"/>
  <c r="BR215" i="1" l="1"/>
  <c r="BY215" i="1" s="1"/>
  <c r="AQ216" i="1" l="1"/>
  <c r="BC216" i="1" s="1"/>
  <c r="BU216" i="1" s="1"/>
  <c r="CB216" i="1" s="1"/>
  <c r="CC216" i="1" s="1"/>
  <c r="CH220" i="1"/>
  <c r="CH221" i="1" s="1"/>
  <c r="CH222" i="1" s="1"/>
  <c r="BJ220" i="1"/>
  <c r="BV216" i="1" l="1"/>
  <c r="BM216" i="1"/>
  <c r="BP216" i="1" s="1"/>
  <c r="BH220" i="1"/>
  <c r="BL220" i="1" s="1"/>
  <c r="BW220" i="1" s="1"/>
  <c r="BK220" i="1"/>
  <c r="BJ221" i="1"/>
  <c r="BO216" i="1" l="1"/>
  <c r="BN216" i="1"/>
  <c r="BR216" i="1" s="1"/>
  <c r="BH221" i="1"/>
  <c r="BH222" i="1" s="1"/>
  <c r="BI220" i="1"/>
  <c r="BK221" i="1"/>
  <c r="BJ222" i="1"/>
  <c r="CD220" i="1"/>
  <c r="BX220" i="1"/>
  <c r="BY216" i="1" l="1"/>
  <c r="AQ217" i="1"/>
  <c r="BI221" i="1"/>
  <c r="BL221" i="1"/>
  <c r="BW221" i="1" s="1"/>
  <c r="CD221" i="1" s="1"/>
  <c r="CE221" i="1" s="1"/>
  <c r="BI222" i="1"/>
  <c r="CE220" i="1"/>
  <c r="BK222" i="1"/>
  <c r="BL222" i="1"/>
  <c r="BW222" i="1" s="1"/>
  <c r="BC217" i="1" l="1"/>
  <c r="BU217" i="1" s="1"/>
  <c r="BX222" i="1"/>
  <c r="BX221" i="1"/>
  <c r="CD222" i="1"/>
  <c r="BM217" i="1" l="1"/>
  <c r="BO217" i="1" s="1"/>
  <c r="CB217" i="1"/>
  <c r="CC217" i="1" s="1"/>
  <c r="BV217" i="1"/>
  <c r="CE222" i="1"/>
  <c r="BN217" i="1" l="1"/>
  <c r="BP217" i="1"/>
  <c r="BR217" i="1" l="1"/>
  <c r="AQ218" i="1" s="1"/>
  <c r="BC218" i="1" s="1"/>
  <c r="BU218" i="1" s="1"/>
  <c r="CB218" i="1" s="1"/>
  <c r="CC218" i="1" s="1"/>
  <c r="BY217" i="1" l="1"/>
  <c r="BV218" i="1"/>
  <c r="BM218" i="1"/>
  <c r="BO218" i="1" s="1"/>
  <c r="BN218" i="1" l="1"/>
  <c r="BP218" i="1"/>
  <c r="BR218" i="1" l="1"/>
  <c r="BY218" i="1" s="1"/>
  <c r="AQ219" i="1" l="1"/>
  <c r="BC219" i="1" s="1"/>
  <c r="BU219" i="1" s="1"/>
  <c r="CB219" i="1" s="1"/>
  <c r="BM219" i="1" l="1"/>
  <c r="BO219" i="1" s="1"/>
  <c r="BV219" i="1"/>
  <c r="BP219" i="1"/>
  <c r="CC219" i="1"/>
  <c r="BN219" i="1" l="1"/>
  <c r="BR219" i="1" s="1"/>
  <c r="AQ220" i="1" l="1"/>
  <c r="BC220" i="1" s="1"/>
  <c r="BU220" i="1" s="1"/>
  <c r="CB220" i="1" s="1"/>
  <c r="BY219" i="1"/>
  <c r="BV220" i="1"/>
  <c r="BM220" i="1" l="1"/>
  <c r="BN220" i="1" s="1"/>
  <c r="CC220" i="1"/>
  <c r="BO220" i="1" l="1"/>
  <c r="BP220" i="1"/>
  <c r="BR220" i="1" l="1"/>
  <c r="AQ221" i="1" s="1"/>
  <c r="BC221" i="1" s="1"/>
  <c r="BU221" i="1" s="1"/>
  <c r="CB221" i="1" s="1"/>
  <c r="BM221" i="1" l="1"/>
  <c r="BO221" i="1" s="1"/>
  <c r="BV221" i="1"/>
  <c r="BY220" i="1"/>
  <c r="CC221" i="1"/>
  <c r="BP221" i="1" l="1"/>
  <c r="BN221" i="1"/>
  <c r="BR221" i="1"/>
  <c r="AQ222" i="1" s="1"/>
  <c r="BC222" i="1" s="1"/>
  <c r="BU222" i="1" s="1"/>
  <c r="BY221" i="1" l="1"/>
  <c r="BM222" i="1"/>
  <c r="BP222" i="1" s="1"/>
  <c r="CB222" i="1"/>
  <c r="CC222" i="1" s="1"/>
  <c r="BV222" i="1"/>
  <c r="BO222" i="1" l="1"/>
  <c r="BN222" i="1"/>
  <c r="BR222" i="1" l="1"/>
  <c r="AQ223" i="1" s="1"/>
  <c r="BC223" i="1" l="1"/>
  <c r="BU223" i="1" s="1"/>
  <c r="CH223" i="1"/>
  <c r="CH224" i="1" s="1"/>
  <c r="CH225" i="1" s="1"/>
  <c r="CH226" i="1" s="1"/>
  <c r="CH227" i="1" s="1"/>
  <c r="CH228" i="1" s="1"/>
  <c r="BY222" i="1"/>
  <c r="BH223" i="1"/>
  <c r="BI223" i="1" s="1"/>
  <c r="BJ223" i="1"/>
  <c r="BK223" i="1" s="1"/>
  <c r="CB223" i="1"/>
  <c r="CC223" i="1" s="1"/>
  <c r="M72" i="1" s="1"/>
  <c r="AH125" i="10" s="1"/>
  <c r="BV223" i="1"/>
  <c r="L72" i="1" s="1"/>
  <c r="Z125" i="10" s="1"/>
  <c r="BH224" i="1" l="1"/>
  <c r="BI224" i="1" s="1"/>
  <c r="BJ224" i="1"/>
  <c r="BL224" i="1" s="1"/>
  <c r="BW224" i="1" s="1"/>
  <c r="CD224" i="1" s="1"/>
  <c r="BL223" i="1"/>
  <c r="BW223" i="1" s="1"/>
  <c r="Z269" i="3"/>
  <c r="AH269" i="3"/>
  <c r="BH225" i="1" l="1"/>
  <c r="BI225" i="1" s="1"/>
  <c r="BK224" i="1"/>
  <c r="BJ225" i="1"/>
  <c r="BL225" i="1" s="1"/>
  <c r="BW225" i="1" s="1"/>
  <c r="BX225" i="1" s="1"/>
  <c r="BM223" i="1"/>
  <c r="BO223" i="1" s="1"/>
  <c r="BX223" i="1"/>
  <c r="N72" i="1" s="1"/>
  <c r="AP125" i="10" s="1"/>
  <c r="CD223" i="1"/>
  <c r="BX224" i="1"/>
  <c r="BH226" i="1" l="1"/>
  <c r="BI226" i="1" s="1"/>
  <c r="BJ226" i="1"/>
  <c r="BL226" i="1" s="1"/>
  <c r="BW226" i="1" s="1"/>
  <c r="BK225" i="1"/>
  <c r="BP223" i="1"/>
  <c r="BN223" i="1"/>
  <c r="CE223" i="1"/>
  <c r="O72" i="1" s="1"/>
  <c r="AX125" i="10" s="1"/>
  <c r="CE224" i="1"/>
  <c r="CD225" i="1"/>
  <c r="CE225" i="1" s="1"/>
  <c r="BH227" i="1"/>
  <c r="AP269" i="3"/>
  <c r="AF71" i="1"/>
  <c r="AI71" i="1" s="1"/>
  <c r="BJ227" i="1" l="1"/>
  <c r="BR223" i="1"/>
  <c r="BY223" i="1" s="1"/>
  <c r="Q72" i="1" s="1"/>
  <c r="BN125" i="10" s="1"/>
  <c r="BK226" i="1"/>
  <c r="P72" i="1"/>
  <c r="CD226" i="1"/>
  <c r="CE226" i="1" s="1"/>
  <c r="BX226" i="1"/>
  <c r="BL227" i="1"/>
  <c r="BW227" i="1" s="1"/>
  <c r="CD227" i="1" s="1"/>
  <c r="BK227" i="1"/>
  <c r="BJ228" i="1"/>
  <c r="AX269" i="3"/>
  <c r="BI227" i="1"/>
  <c r="BH228" i="1"/>
  <c r="BI228" i="1" s="1"/>
  <c r="AQ224" i="1" l="1"/>
  <c r="BC224" i="1" s="1"/>
  <c r="BU224" i="1" s="1"/>
  <c r="BN269" i="3"/>
  <c r="CE227" i="1"/>
  <c r="BM224" i="1"/>
  <c r="BN224" i="1" s="1"/>
  <c r="BF269" i="3"/>
  <c r="BF125" i="10"/>
  <c r="BK228" i="1"/>
  <c r="BL228" i="1"/>
  <c r="BW228" i="1" s="1"/>
  <c r="CB224" i="1"/>
  <c r="CC224" i="1" s="1"/>
  <c r="BV224" i="1"/>
  <c r="BX227" i="1"/>
  <c r="BP224" i="1" l="1"/>
  <c r="BO224" i="1"/>
  <c r="CD228" i="1"/>
  <c r="CE228" i="1" s="1"/>
  <c r="BX228" i="1"/>
  <c r="BR224" i="1" l="1"/>
  <c r="BY224" i="1" s="1"/>
  <c r="AQ225" i="1" l="1"/>
  <c r="BC225" i="1" s="1"/>
  <c r="BU225" i="1" s="1"/>
  <c r="CB225" i="1" s="1"/>
  <c r="CC225" i="1" s="1"/>
  <c r="BV225" i="1" l="1"/>
  <c r="BM225" i="1"/>
  <c r="BN225" i="1" s="1"/>
  <c r="BP225" i="1" l="1"/>
  <c r="BO225" i="1"/>
  <c r="BR225" i="1" l="1"/>
  <c r="BY225" i="1" s="1"/>
  <c r="AQ226" i="1" l="1"/>
  <c r="BC226" i="1" s="1"/>
  <c r="BU226" i="1" s="1"/>
  <c r="CB226" i="1" s="1"/>
  <c r="CC226" i="1" s="1"/>
  <c r="BV226" i="1"/>
  <c r="BM226" i="1" l="1"/>
  <c r="BP226" i="1" s="1"/>
  <c r="BO226" i="1"/>
  <c r="BN226" i="1"/>
  <c r="BR226" i="1" l="1"/>
  <c r="BY226" i="1" s="1"/>
  <c r="AQ227" i="1" l="1"/>
  <c r="BC227" i="1" s="1"/>
  <c r="BU227" i="1" s="1"/>
  <c r="CB227" i="1" s="1"/>
  <c r="CC227" i="1" s="1"/>
  <c r="BM227" i="1" l="1"/>
  <c r="BP227" i="1" s="1"/>
  <c r="BV227" i="1"/>
  <c r="BO227" i="1"/>
  <c r="BN227" i="1" l="1"/>
  <c r="BR227" i="1"/>
  <c r="BY227" i="1" s="1"/>
  <c r="BJ229" i="1"/>
  <c r="BK229" i="1" s="1"/>
  <c r="CH229" i="1"/>
  <c r="CH230" i="1" s="1"/>
  <c r="CH231" i="1" s="1"/>
  <c r="BH229" i="1"/>
  <c r="BI229" i="1" s="1"/>
  <c r="AQ228" i="1" l="1"/>
  <c r="BC228" i="1" s="1"/>
  <c r="BU228" i="1" s="1"/>
  <c r="CB228" i="1" s="1"/>
  <c r="CC228" i="1" s="1"/>
  <c r="BJ230" i="1"/>
  <c r="BK230" i="1" s="1"/>
  <c r="BH230" i="1"/>
  <c r="BI230" i="1" s="1"/>
  <c r="BL229" i="1"/>
  <c r="BW229" i="1" s="1"/>
  <c r="BV228" i="1" l="1"/>
  <c r="BM228" i="1"/>
  <c r="BN228" i="1" s="1"/>
  <c r="BJ231" i="1"/>
  <c r="BK231" i="1" s="1"/>
  <c r="BL230" i="1"/>
  <c r="BW230" i="1" s="1"/>
  <c r="CD230" i="1" s="1"/>
  <c r="BH231" i="1"/>
  <c r="BI231" i="1" s="1"/>
  <c r="CD229" i="1"/>
  <c r="BX229" i="1"/>
  <c r="BP228" i="1" l="1"/>
  <c r="BO228" i="1"/>
  <c r="BX230" i="1"/>
  <c r="BL231" i="1"/>
  <c r="BW231" i="1" s="1"/>
  <c r="CD231" i="1" s="1"/>
  <c r="CE231" i="1" s="1"/>
  <c r="CE229" i="1"/>
  <c r="CE230" i="1"/>
  <c r="BR228" i="1" l="1"/>
  <c r="BY228" i="1" s="1"/>
  <c r="BX231" i="1"/>
  <c r="AQ229" i="1" l="1"/>
  <c r="BC229" i="1" s="1"/>
  <c r="BU229" i="1" s="1"/>
  <c r="BV229" i="1" s="1"/>
  <c r="BM229" i="1" l="1"/>
  <c r="CB229" i="1"/>
  <c r="CC229" i="1" s="1"/>
  <c r="BP229" i="1"/>
  <c r="BO229" i="1"/>
  <c r="BN229" i="1"/>
  <c r="BR229" i="1" l="1"/>
  <c r="BY229" i="1" s="1"/>
  <c r="CH232" i="1"/>
  <c r="CH233" i="1" s="1"/>
  <c r="CH234" i="1" s="1"/>
  <c r="BH232" i="1"/>
  <c r="AQ230" i="1" l="1"/>
  <c r="BC230" i="1"/>
  <c r="BU230" i="1" s="1"/>
  <c r="BJ232" i="1"/>
  <c r="BK232" i="1" s="1"/>
  <c r="BI232" i="1"/>
  <c r="BH233" i="1"/>
  <c r="CB230" i="1" l="1"/>
  <c r="CC230" i="1" s="1"/>
  <c r="BV230" i="1"/>
  <c r="BM230" i="1"/>
  <c r="BJ233" i="1"/>
  <c r="BL233" i="1" s="1"/>
  <c r="BW233" i="1" s="1"/>
  <c r="CD233" i="1" s="1"/>
  <c r="BL232" i="1"/>
  <c r="BW232" i="1" s="1"/>
  <c r="BI233" i="1"/>
  <c r="BH234" i="1"/>
  <c r="BO230" i="1" l="1"/>
  <c r="BN230" i="1"/>
  <c r="BP230" i="1"/>
  <c r="BJ234" i="1"/>
  <c r="BK234" i="1" s="1"/>
  <c r="BK233" i="1"/>
  <c r="BI234" i="1"/>
  <c r="CD232" i="1"/>
  <c r="BX233" i="1"/>
  <c r="BX232" i="1"/>
  <c r="BR230" i="1" l="1"/>
  <c r="AQ231" i="1" s="1"/>
  <c r="BL234" i="1"/>
  <c r="BW234" i="1" s="1"/>
  <c r="CD234" i="1" s="1"/>
  <c r="CE234" i="1" s="1"/>
  <c r="CE232" i="1"/>
  <c r="CE233" i="1"/>
  <c r="BY230" i="1" l="1"/>
  <c r="BC231" i="1"/>
  <c r="BU231" i="1" s="1"/>
  <c r="BX234" i="1"/>
  <c r="BM231" i="1" l="1"/>
  <c r="CB231" i="1"/>
  <c r="CC231" i="1" s="1"/>
  <c r="BV231" i="1"/>
  <c r="BN231" i="1" l="1"/>
  <c r="BO231" i="1"/>
  <c r="BP231" i="1"/>
  <c r="BR231" i="1" l="1"/>
  <c r="AQ232" i="1" s="1"/>
  <c r="BY231" i="1" l="1"/>
  <c r="BC232" i="1"/>
  <c r="BU232" i="1" s="1"/>
  <c r="BM232" i="1" l="1"/>
  <c r="BN232" i="1" s="1"/>
  <c r="CB232" i="1"/>
  <c r="CC232" i="1" s="1"/>
  <c r="BV232" i="1"/>
  <c r="BO232" i="1" l="1"/>
  <c r="BP232" i="1"/>
  <c r="BR232" i="1" l="1"/>
  <c r="BY232" i="1" s="1"/>
  <c r="AQ233" i="1" l="1"/>
  <c r="BC233" i="1" s="1"/>
  <c r="BU233" i="1" s="1"/>
  <c r="BV233" i="1" s="1"/>
  <c r="BM233" i="1" l="1"/>
  <c r="BN233" i="1" s="1"/>
  <c r="CB233" i="1"/>
  <c r="CC233" i="1" s="1"/>
  <c r="BO233" i="1" l="1"/>
  <c r="BP233" i="1"/>
  <c r="BR233" i="1" s="1"/>
  <c r="BY233" i="1" s="1"/>
  <c r="AQ234" i="1" l="1"/>
  <c r="BC234" i="1" s="1"/>
  <c r="BU234" i="1" s="1"/>
  <c r="BM234" i="1" l="1"/>
  <c r="BN234" i="1" s="1"/>
  <c r="BV234" i="1"/>
  <c r="CB234" i="1"/>
  <c r="CC234" i="1" s="1"/>
  <c r="BO234" i="1" l="1"/>
  <c r="BP234" i="1"/>
  <c r="BR234" i="1" l="1"/>
  <c r="AQ235" i="1" s="1"/>
  <c r="BC235" i="1" s="1"/>
  <c r="BY234" i="1" l="1"/>
  <c r="BU235" i="1"/>
  <c r="CB235" i="1" s="1"/>
  <c r="CC235" i="1" s="1"/>
  <c r="M73" i="1" s="1"/>
  <c r="AH126" i="10" s="1"/>
  <c r="BH235" i="1"/>
  <c r="BH236" i="1" s="1"/>
  <c r="CH235" i="1"/>
  <c r="CH236" i="1" s="1"/>
  <c r="CH237" i="1" s="1"/>
  <c r="CH238" i="1" s="1"/>
  <c r="CH239" i="1" s="1"/>
  <c r="CH240" i="1" s="1"/>
  <c r="BJ235" i="1"/>
  <c r="BV235" i="1" l="1"/>
  <c r="L73" i="1" s="1"/>
  <c r="Z126" i="10" s="1"/>
  <c r="BI235" i="1"/>
  <c r="BL235" i="1"/>
  <c r="BK235" i="1"/>
  <c r="BJ236" i="1"/>
  <c r="BL236" i="1" s="1"/>
  <c r="BW236" i="1" s="1"/>
  <c r="CD236" i="1" s="1"/>
  <c r="AH270" i="3"/>
  <c r="BH237" i="1"/>
  <c r="BI236" i="1"/>
  <c r="Z270" i="3" l="1"/>
  <c r="BK236" i="1"/>
  <c r="BJ237" i="1"/>
  <c r="BL237" i="1" s="1"/>
  <c r="BW237" i="1" s="1"/>
  <c r="CD237" i="1" s="1"/>
  <c r="BI237" i="1"/>
  <c r="BH238" i="1"/>
  <c r="BW235" i="1"/>
  <c r="BM235" i="1"/>
  <c r="BN235" i="1" l="1"/>
  <c r="BP235" i="1"/>
  <c r="BO235" i="1"/>
  <c r="BX235" i="1"/>
  <c r="N73" i="1" s="1"/>
  <c r="AP126" i="10" s="1"/>
  <c r="CD235" i="1"/>
  <c r="BX236" i="1"/>
  <c r="BX237" i="1"/>
  <c r="BK237" i="1"/>
  <c r="BJ238" i="1"/>
  <c r="BH239" i="1"/>
  <c r="BI238" i="1"/>
  <c r="BR235" i="1" l="1"/>
  <c r="AQ236" i="1" s="1"/>
  <c r="AP270" i="3"/>
  <c r="AF72" i="1"/>
  <c r="AI72" i="1" s="1"/>
  <c r="CE235" i="1"/>
  <c r="O73" i="1" s="1"/>
  <c r="AX126" i="10" s="1"/>
  <c r="CE236" i="1"/>
  <c r="CE237" i="1"/>
  <c r="P73" i="1"/>
  <c r="BF126" i="10" s="1"/>
  <c r="BY235" i="1"/>
  <c r="Q73" i="1" s="1"/>
  <c r="BN126" i="10" s="1"/>
  <c r="BK238" i="1"/>
  <c r="BJ239" i="1"/>
  <c r="BL238" i="1"/>
  <c r="BW238" i="1" s="1"/>
  <c r="BH240" i="1"/>
  <c r="BI240" i="1" s="1"/>
  <c r="BI239" i="1"/>
  <c r="BF270" i="3" l="1"/>
  <c r="BC236" i="1"/>
  <c r="BU236" i="1" s="1"/>
  <c r="AX270" i="3"/>
  <c r="BX238" i="1"/>
  <c r="CD238" i="1"/>
  <c r="BJ240" i="1"/>
  <c r="BK239" i="1"/>
  <c r="BL239" i="1"/>
  <c r="BW239" i="1" s="1"/>
  <c r="CD239" i="1" s="1"/>
  <c r="BN270" i="3"/>
  <c r="CE238" i="1" l="1"/>
  <c r="CE239" i="1"/>
  <c r="BM236" i="1"/>
  <c r="CB236" i="1"/>
  <c r="CC236" i="1" s="1"/>
  <c r="BV236" i="1"/>
  <c r="BX239" i="1"/>
  <c r="BK240" i="1"/>
  <c r="BL240" i="1"/>
  <c r="BW240" i="1" s="1"/>
  <c r="CD240" i="1" s="1"/>
  <c r="CE240" i="1" s="1"/>
  <c r="BN236" i="1" l="1"/>
  <c r="BP236" i="1"/>
  <c r="BO236" i="1"/>
  <c r="BX240" i="1"/>
  <c r="BR236" i="1" l="1"/>
  <c r="AQ237" i="1" s="1"/>
  <c r="BY236" i="1" l="1"/>
  <c r="BC237" i="1"/>
  <c r="BU237" i="1" s="1"/>
  <c r="BM237" i="1" l="1"/>
  <c r="BP237" i="1" s="1"/>
  <c r="CB237" i="1"/>
  <c r="CC237" i="1" s="1"/>
  <c r="BV237" i="1"/>
  <c r="BN237" i="1" l="1"/>
  <c r="BO237" i="1"/>
  <c r="BR237" i="1" l="1"/>
  <c r="AQ238" i="1" s="1"/>
  <c r="BC238" i="1" s="1"/>
  <c r="BU238" i="1" s="1"/>
  <c r="BV238" i="1" s="1"/>
  <c r="CB238" i="1" l="1"/>
  <c r="CC238" i="1" s="1"/>
  <c r="BM238" i="1"/>
  <c r="BP238" i="1" s="1"/>
  <c r="BY237" i="1"/>
  <c r="BN238" i="1" l="1"/>
  <c r="BO238" i="1"/>
  <c r="BR238" i="1" s="1"/>
  <c r="AQ239" i="1" s="1"/>
  <c r="BC239" i="1" s="1"/>
  <c r="BU239" i="1" s="1"/>
  <c r="CB239" i="1" s="1"/>
  <c r="CC239" i="1" s="1"/>
  <c r="BY238" i="1" l="1"/>
  <c r="BM239" i="1"/>
  <c r="BN239" i="1" s="1"/>
  <c r="BV239" i="1"/>
  <c r="BP239" i="1" l="1"/>
  <c r="BO239" i="1"/>
  <c r="BR239" i="1" l="1"/>
  <c r="BY239" i="1" s="1"/>
  <c r="AQ240" i="1"/>
  <c r="BC240" i="1" s="1"/>
  <c r="BU240" i="1" s="1"/>
  <c r="CB240" i="1" s="1"/>
  <c r="CC240" i="1" s="1"/>
  <c r="BV240" i="1" l="1"/>
  <c r="BM240" i="1"/>
  <c r="BN240" i="1" s="1"/>
  <c r="BP240" i="1" l="1"/>
  <c r="BO240" i="1"/>
  <c r="BH241" i="1"/>
  <c r="BI241" i="1" s="1"/>
  <c r="BJ241" i="1"/>
  <c r="CH241" i="1"/>
  <c r="CH242" i="1" s="1"/>
  <c r="CH243" i="1" s="1"/>
  <c r="BR240" i="1" l="1"/>
  <c r="BY240" i="1" s="1"/>
  <c r="BH242" i="1"/>
  <c r="BI242" i="1" s="1"/>
  <c r="BJ242" i="1"/>
  <c r="BL241" i="1"/>
  <c r="BK241" i="1"/>
  <c r="AQ241" i="1" l="1"/>
  <c r="BC241" i="1" s="1"/>
  <c r="BU241" i="1" s="1"/>
  <c r="CB241" i="1" s="1"/>
  <c r="CC241" i="1" s="1"/>
  <c r="BV241" i="1"/>
  <c r="BH243" i="1"/>
  <c r="BI243" i="1" s="1"/>
  <c r="BW241" i="1"/>
  <c r="BM241" i="1"/>
  <c r="BK242" i="1"/>
  <c r="BL242" i="1"/>
  <c r="BW242" i="1" s="1"/>
  <c r="CD242" i="1" s="1"/>
  <c r="BJ243" i="1"/>
  <c r="BK243" i="1" l="1"/>
  <c r="BL243" i="1"/>
  <c r="BW243" i="1" s="1"/>
  <c r="CD243" i="1" s="1"/>
  <c r="BO241" i="1"/>
  <c r="BP241" i="1"/>
  <c r="BN241" i="1"/>
  <c r="CD241" i="1"/>
  <c r="CE241" i="1" s="1"/>
  <c r="BX241" i="1"/>
  <c r="BX242" i="1"/>
  <c r="CE243" i="1" l="1"/>
  <c r="BX243" i="1"/>
  <c r="BR241" i="1"/>
  <c r="CE242" i="1"/>
  <c r="BY241" i="1" l="1"/>
  <c r="AQ242" i="1"/>
  <c r="BC242" i="1" l="1"/>
  <c r="BU242" i="1" s="1"/>
  <c r="BM242" i="1" l="1"/>
  <c r="BV242" i="1"/>
  <c r="CB242" i="1"/>
  <c r="CC242" i="1" s="1"/>
  <c r="CH244" i="1"/>
  <c r="CH245" i="1" s="1"/>
  <c r="CH246" i="1" s="1"/>
  <c r="BH244" i="1"/>
  <c r="BJ244" i="1"/>
  <c r="BN242" i="1" l="1"/>
  <c r="BO242" i="1"/>
  <c r="BP242" i="1"/>
  <c r="BK244" i="1"/>
  <c r="BL244" i="1"/>
  <c r="BJ245" i="1"/>
  <c r="BH245" i="1"/>
  <c r="BI244" i="1"/>
  <c r="BR242" i="1" l="1"/>
  <c r="AQ243" i="1" s="1"/>
  <c r="BC243" i="1" s="1"/>
  <c r="BU243" i="1" s="1"/>
  <c r="CB243" i="1" s="1"/>
  <c r="CC243" i="1" s="1"/>
  <c r="BI245" i="1"/>
  <c r="BH246" i="1"/>
  <c r="BK245" i="1"/>
  <c r="BJ246" i="1"/>
  <c r="BL245" i="1"/>
  <c r="BW245" i="1" s="1"/>
  <c r="CD245" i="1" s="1"/>
  <c r="BW244" i="1"/>
  <c r="BY242" i="1" l="1"/>
  <c r="BV243" i="1"/>
  <c r="BM243" i="1"/>
  <c r="BP243" i="1" s="1"/>
  <c r="BL246" i="1"/>
  <c r="BW246" i="1" s="1"/>
  <c r="CD246" i="1" s="1"/>
  <c r="BK246" i="1"/>
  <c r="BI246" i="1"/>
  <c r="BX244" i="1"/>
  <c r="BX245" i="1"/>
  <c r="CD244" i="1"/>
  <c r="BN243" i="1" l="1"/>
  <c r="BO243" i="1"/>
  <c r="CE246" i="1"/>
  <c r="BX246" i="1"/>
  <c r="CE245" i="1"/>
  <c r="CE244" i="1"/>
  <c r="BR243" i="1" l="1"/>
  <c r="AQ244" i="1" s="1"/>
  <c r="BC244" i="1" s="1"/>
  <c r="BU244" i="1" s="1"/>
  <c r="CB244" i="1" s="1"/>
  <c r="CC244" i="1" s="1"/>
  <c r="BV244" i="1" l="1"/>
  <c r="BM244" i="1"/>
  <c r="BN244" i="1" s="1"/>
  <c r="BY243" i="1"/>
  <c r="BP244" i="1" l="1"/>
  <c r="BO244" i="1"/>
  <c r="BR244" i="1" l="1"/>
  <c r="AQ245" i="1" s="1"/>
  <c r="BC245" i="1" s="1"/>
  <c r="BU245" i="1" s="1"/>
  <c r="CB245" i="1" s="1"/>
  <c r="CC245" i="1" s="1"/>
  <c r="BM245" i="1" l="1"/>
  <c r="BP245" i="1" s="1"/>
  <c r="BY244" i="1"/>
  <c r="BV245" i="1"/>
  <c r="BO245" i="1" l="1"/>
  <c r="BN245" i="1"/>
  <c r="BR245" i="1" l="1"/>
  <c r="BY245" i="1" s="1"/>
  <c r="AQ246" i="1" l="1"/>
  <c r="BC246" i="1" s="1"/>
  <c r="BU246" i="1" s="1"/>
  <c r="CB246" i="1" s="1"/>
  <c r="CC246" i="1" s="1"/>
  <c r="BV246" i="1" l="1"/>
  <c r="BM246" i="1"/>
  <c r="BN246" i="1" s="1"/>
  <c r="BP246" i="1" l="1"/>
  <c r="BO246" i="1"/>
  <c r="BR246" i="1" l="1"/>
  <c r="BY246" i="1" s="1"/>
  <c r="AQ247" i="1" l="1"/>
  <c r="BC247" i="1" l="1"/>
  <c r="BU247" i="1" s="1"/>
  <c r="BV247" i="1" s="1"/>
  <c r="L74" i="1" s="1"/>
  <c r="Z127" i="10" s="1"/>
  <c r="CH247" i="1"/>
  <c r="BJ247" i="1" l="1"/>
  <c r="BK247" i="1" s="1"/>
  <c r="CB247" i="1"/>
  <c r="CC247" i="1" s="1"/>
  <c r="M74" i="1" s="1"/>
  <c r="BH247" i="1"/>
  <c r="BI247" i="1" s="1"/>
  <c r="Z271" i="3"/>
  <c r="CH248" i="1"/>
  <c r="CH249" i="1" s="1"/>
  <c r="CH250" i="1" s="1"/>
  <c r="CH251" i="1" s="1"/>
  <c r="CH252" i="1" s="1"/>
  <c r="BL247" i="1" l="1"/>
  <c r="AH271" i="3"/>
  <c r="AH127" i="10"/>
  <c r="BW247" i="1"/>
  <c r="BM247" i="1"/>
  <c r="BH248" i="1"/>
  <c r="BJ248" i="1"/>
  <c r="BP247" i="1" l="1"/>
  <c r="BN247" i="1"/>
  <c r="BO247" i="1"/>
  <c r="CD247" i="1"/>
  <c r="CE247" i="1" s="1"/>
  <c r="O74" i="1" s="1"/>
  <c r="AX127" i="10" s="1"/>
  <c r="BX247" i="1"/>
  <c r="N74" i="1" s="1"/>
  <c r="AP127" i="10" s="1"/>
  <c r="BL248" i="1"/>
  <c r="BJ249" i="1"/>
  <c r="BK248" i="1"/>
  <c r="BI248" i="1"/>
  <c r="BH249" i="1"/>
  <c r="AX271" i="3" l="1"/>
  <c r="BR247" i="1"/>
  <c r="BY247" i="1" s="1"/>
  <c r="Q74" i="1" s="1"/>
  <c r="BN127" i="10" s="1"/>
  <c r="AF73" i="1"/>
  <c r="AI73" i="1" s="1"/>
  <c r="AP271" i="3"/>
  <c r="BI249" i="1"/>
  <c r="BH250" i="1"/>
  <c r="BL249" i="1"/>
  <c r="BW249" i="1" s="1"/>
  <c r="CD249" i="1" s="1"/>
  <c r="BK249" i="1"/>
  <c r="BJ250" i="1"/>
  <c r="BW248" i="1"/>
  <c r="BN271" i="3" l="1"/>
  <c r="P74" i="1"/>
  <c r="BF127" i="10" s="1"/>
  <c r="AQ248" i="1"/>
  <c r="BC248" i="1" s="1"/>
  <c r="BU248" i="1" s="1"/>
  <c r="CB248" i="1" s="1"/>
  <c r="CC248" i="1" s="1"/>
  <c r="CD248" i="1"/>
  <c r="BX249" i="1"/>
  <c r="BX248" i="1"/>
  <c r="BJ251" i="1"/>
  <c r="BK250" i="1"/>
  <c r="BL250" i="1"/>
  <c r="BW250" i="1" s="1"/>
  <c r="CD250" i="1" s="1"/>
  <c r="BI250" i="1"/>
  <c r="BH251" i="1"/>
  <c r="BF271" i="3" l="1"/>
  <c r="BV248" i="1"/>
  <c r="BM248" i="1"/>
  <c r="BN248" i="1" s="1"/>
  <c r="CE250" i="1"/>
  <c r="BK251" i="1"/>
  <c r="BL251" i="1"/>
  <c r="BW251" i="1" s="1"/>
  <c r="CD251" i="1" s="1"/>
  <c r="CE251" i="1" s="1"/>
  <c r="BJ252" i="1"/>
  <c r="BX250" i="1"/>
  <c r="BI251" i="1"/>
  <c r="BH252" i="1"/>
  <c r="CE248" i="1"/>
  <c r="CE249" i="1"/>
  <c r="BP248" i="1" l="1"/>
  <c r="BO248" i="1"/>
  <c r="BX251" i="1"/>
  <c r="BL252" i="1"/>
  <c r="BW252" i="1" s="1"/>
  <c r="BK252" i="1"/>
  <c r="BI252" i="1"/>
  <c r="BR248" i="1" l="1"/>
  <c r="AQ249" i="1" s="1"/>
  <c r="BC249" i="1" s="1"/>
  <c r="BU249" i="1" s="1"/>
  <c r="BV249" i="1" s="1"/>
  <c r="CD252" i="1"/>
  <c r="BX252" i="1"/>
  <c r="CB249" i="1" l="1"/>
  <c r="CC249" i="1" s="1"/>
  <c r="BM249" i="1"/>
  <c r="BO249" i="1" s="1"/>
  <c r="BY248" i="1"/>
  <c r="CE252" i="1"/>
  <c r="BN249" i="1" l="1"/>
  <c r="BP249" i="1"/>
  <c r="BR249" i="1" l="1"/>
  <c r="AQ250" i="1" s="1"/>
  <c r="BC250" i="1" s="1"/>
  <c r="BU250" i="1" s="1"/>
  <c r="CB250" i="1" s="1"/>
  <c r="CC250" i="1" s="1"/>
  <c r="BV250" i="1" l="1"/>
  <c r="BM250" i="1"/>
  <c r="BN250" i="1" s="1"/>
  <c r="BY249" i="1"/>
  <c r="BO250" i="1" l="1"/>
  <c r="BP250" i="1"/>
  <c r="BR250" i="1" l="1"/>
  <c r="BY250" i="1" s="1"/>
  <c r="AQ251" i="1" l="1"/>
  <c r="BC251" i="1" s="1"/>
  <c r="BU251" i="1" s="1"/>
  <c r="BV251" i="1" s="1"/>
  <c r="CB251" i="1" l="1"/>
  <c r="CC251" i="1" s="1"/>
  <c r="BM251" i="1"/>
  <c r="BN251" i="1" s="1"/>
  <c r="BO251" i="1" l="1"/>
  <c r="BP251" i="1"/>
  <c r="BR251" i="1" l="1"/>
  <c r="BY251" i="1" s="1"/>
  <c r="AQ252" i="1" l="1"/>
  <c r="BC252" i="1" s="1"/>
  <c r="BU252" i="1" s="1"/>
  <c r="CB252" i="1" s="1"/>
  <c r="CC252" i="1" s="1"/>
  <c r="BM252" i="1"/>
  <c r="BN252" i="1" s="1"/>
  <c r="BV252" i="1"/>
  <c r="BP252" i="1" l="1"/>
  <c r="BO252" i="1"/>
  <c r="BR252" i="1" l="1"/>
  <c r="BY252" i="1" s="1"/>
  <c r="AQ253" i="1" l="1"/>
  <c r="BC253" i="1" s="1"/>
  <c r="BU253" i="1" s="1"/>
  <c r="BV253" i="1" s="1"/>
  <c r="CH253" i="1"/>
  <c r="CH254" i="1" s="1"/>
  <c r="CH255" i="1" s="1"/>
  <c r="BH253" i="1"/>
  <c r="BJ253" i="1" l="1"/>
  <c r="BK253" i="1" s="1"/>
  <c r="CB253" i="1"/>
  <c r="CC253" i="1" s="1"/>
  <c r="BI253" i="1"/>
  <c r="BH254" i="1"/>
  <c r="BJ254" i="1" l="1"/>
  <c r="BK254" i="1" s="1"/>
  <c r="BL253" i="1"/>
  <c r="BW253" i="1" s="1"/>
  <c r="BH255" i="1"/>
  <c r="BI254" i="1"/>
  <c r="BJ255" i="1" l="1"/>
  <c r="BL255" i="1" s="1"/>
  <c r="BW255" i="1" s="1"/>
  <c r="BL254" i="1"/>
  <c r="BW254" i="1" s="1"/>
  <c r="CD254" i="1" s="1"/>
  <c r="BM253" i="1"/>
  <c r="BP253" i="1" s="1"/>
  <c r="BI255" i="1"/>
  <c r="BH256" i="1"/>
  <c r="CD253" i="1"/>
  <c r="CE253" i="1" s="1"/>
  <c r="BX253" i="1"/>
  <c r="BX254" i="1" l="1"/>
  <c r="BJ256" i="1"/>
  <c r="BJ257" i="1" s="1"/>
  <c r="BO253" i="1"/>
  <c r="BN253" i="1"/>
  <c r="BK255" i="1"/>
  <c r="CD255" i="1"/>
  <c r="CE255" i="1" s="1"/>
  <c r="BX255" i="1"/>
  <c r="BH257" i="1"/>
  <c r="BI256" i="1"/>
  <c r="CE254" i="1"/>
  <c r="BR253" i="1" l="1"/>
  <c r="BY253" i="1" s="1"/>
  <c r="BK256" i="1"/>
  <c r="BL256" i="1"/>
  <c r="BW256" i="1" s="1"/>
  <c r="CD256" i="1" s="1"/>
  <c r="CE256" i="1" s="1"/>
  <c r="BJ258" i="1"/>
  <c r="BL257" i="1"/>
  <c r="BW257" i="1" s="1"/>
  <c r="BK257" i="1"/>
  <c r="BI257" i="1"/>
  <c r="BH258" i="1"/>
  <c r="AQ254" i="1" l="1"/>
  <c r="BC254" i="1" s="1"/>
  <c r="BU254" i="1" s="1"/>
  <c r="BX256" i="1"/>
  <c r="BI258" i="1"/>
  <c r="BX257" i="1"/>
  <c r="CD257" i="1"/>
  <c r="CE257" i="1" s="1"/>
  <c r="BL258" i="1"/>
  <c r="BW258" i="1" s="1"/>
  <c r="BK258" i="1"/>
  <c r="BM254" i="1" l="1"/>
  <c r="BP254" i="1" s="1"/>
  <c r="CD258" i="1"/>
  <c r="CE258" i="1" s="1"/>
  <c r="BX258" i="1"/>
  <c r="CB254" i="1"/>
  <c r="CC254" i="1" s="1"/>
  <c r="BV254" i="1"/>
  <c r="BO254" i="1" l="1"/>
  <c r="BN254" i="1"/>
  <c r="BR254" i="1" l="1"/>
  <c r="AQ255" i="1" s="1"/>
  <c r="BC255" i="1" s="1"/>
  <c r="BU255" i="1" s="1"/>
  <c r="BY254" i="1" l="1"/>
  <c r="BM255" i="1"/>
  <c r="BP255" i="1" s="1"/>
  <c r="BV255" i="1"/>
  <c r="CB255" i="1"/>
  <c r="CC255" i="1" s="1"/>
  <c r="CH256" i="1"/>
  <c r="CH257" i="1" s="1"/>
  <c r="CH258" i="1" s="1"/>
  <c r="BO255" i="1" l="1"/>
  <c r="BN255" i="1"/>
  <c r="BR255" i="1" l="1"/>
  <c r="AQ256" i="1" s="1"/>
  <c r="BC256" i="1" s="1"/>
  <c r="BU256" i="1" s="1"/>
  <c r="CB256" i="1" s="1"/>
  <c r="CC256" i="1" s="1"/>
  <c r="BY255" i="1" l="1"/>
  <c r="BM256" i="1"/>
  <c r="BO256" i="1" s="1"/>
  <c r="BV256" i="1"/>
  <c r="BN256" i="1" l="1"/>
  <c r="BP256" i="1"/>
  <c r="BR256" i="1" l="1"/>
  <c r="AQ257" i="1" s="1"/>
  <c r="BC257" i="1" s="1"/>
  <c r="BU257" i="1" s="1"/>
  <c r="CB257" i="1" s="1"/>
  <c r="CC257" i="1" s="1"/>
  <c r="BY256" i="1" l="1"/>
  <c r="BM257" i="1"/>
  <c r="BO257" i="1" s="1"/>
  <c r="BV257" i="1"/>
  <c r="BP257" i="1" l="1"/>
  <c r="BN257" i="1"/>
  <c r="BR257" i="1" l="1"/>
  <c r="AQ258" i="1" s="1"/>
  <c r="BC258" i="1" s="1"/>
  <c r="BU258" i="1" s="1"/>
  <c r="BV258" i="1" s="1"/>
  <c r="BM258" i="1" l="1"/>
  <c r="BO258" i="1" s="1"/>
  <c r="CB258" i="1"/>
  <c r="CC258" i="1" s="1"/>
  <c r="BY257" i="1"/>
  <c r="BN258" i="1" l="1"/>
  <c r="BP258" i="1"/>
  <c r="BR258" i="1" l="1"/>
  <c r="BY258" i="1" s="1"/>
  <c r="AQ259" i="1" l="1"/>
  <c r="BC259" i="1" l="1"/>
  <c r="BU259" i="1" s="1"/>
  <c r="CB259" i="1" s="1"/>
  <c r="CC259" i="1" s="1"/>
  <c r="M75" i="1" s="1"/>
  <c r="AH128" i="10" s="1"/>
  <c r="AH272" i="3" l="1"/>
  <c r="CH259" i="1"/>
  <c r="BJ259" i="1"/>
  <c r="BK259" i="1" s="1"/>
  <c r="BV259" i="1"/>
  <c r="L75" i="1" s="1"/>
  <c r="Z128" i="10" s="1"/>
  <c r="BH259" i="1"/>
  <c r="BI259" i="1" s="1"/>
  <c r="BJ260" i="1" l="1"/>
  <c r="BK260" i="1" s="1"/>
  <c r="Z272" i="3"/>
  <c r="BL259" i="1"/>
  <c r="BW259" i="1" s="1"/>
  <c r="BH260" i="1"/>
  <c r="CH260" i="1"/>
  <c r="CH261" i="1" s="1"/>
  <c r="CH262" i="1" s="1"/>
  <c r="CH263" i="1" s="1"/>
  <c r="CH264" i="1" s="1"/>
  <c r="BL260" i="1" l="1"/>
  <c r="BW260" i="1" s="1"/>
  <c r="BJ261" i="1"/>
  <c r="BK261" i="1" s="1"/>
  <c r="BM259" i="1"/>
  <c r="BO259" i="1" s="1"/>
  <c r="CD259" i="1"/>
  <c r="CE259" i="1" s="1"/>
  <c r="O75" i="1" s="1"/>
  <c r="AX128" i="10" s="1"/>
  <c r="BX259" i="1"/>
  <c r="N75" i="1" s="1"/>
  <c r="AP128" i="10" s="1"/>
  <c r="BI260" i="1"/>
  <c r="BH261" i="1"/>
  <c r="CD260" i="1"/>
  <c r="BX260" i="1"/>
  <c r="BL261" i="1" l="1"/>
  <c r="BW261" i="1" s="1"/>
  <c r="CD261" i="1" s="1"/>
  <c r="CE261" i="1" s="1"/>
  <c r="BJ262" i="1"/>
  <c r="BK262" i="1" s="1"/>
  <c r="AX272" i="3"/>
  <c r="BP259" i="1"/>
  <c r="BN259" i="1"/>
  <c r="AF74" i="1"/>
  <c r="AI74" i="1" s="1"/>
  <c r="AP272" i="3"/>
  <c r="BI261" i="1"/>
  <c r="BH262" i="1"/>
  <c r="CE260" i="1"/>
  <c r="BX261" i="1" l="1"/>
  <c r="BJ263" i="1"/>
  <c r="BK263" i="1" s="1"/>
  <c r="BL262" i="1"/>
  <c r="BW262" i="1" s="1"/>
  <c r="BX262" i="1" s="1"/>
  <c r="BR259" i="1"/>
  <c r="AQ260" i="1" s="1"/>
  <c r="BC260" i="1" s="1"/>
  <c r="BU260" i="1" s="1"/>
  <c r="BH263" i="1"/>
  <c r="BI262" i="1"/>
  <c r="CD262" i="1" l="1"/>
  <c r="CE262" i="1" s="1"/>
  <c r="BL263" i="1"/>
  <c r="BW263" i="1" s="1"/>
  <c r="CD263" i="1" s="1"/>
  <c r="CE263" i="1" s="1"/>
  <c r="BJ264" i="1"/>
  <c r="BK264" i="1" s="1"/>
  <c r="P75" i="1"/>
  <c r="BY259" i="1"/>
  <c r="Q75" i="1" s="1"/>
  <c r="BN128" i="10" s="1"/>
  <c r="BM260" i="1"/>
  <c r="BP260" i="1" s="1"/>
  <c r="CB260" i="1"/>
  <c r="CC260" i="1" s="1"/>
  <c r="BV260" i="1"/>
  <c r="BI263" i="1"/>
  <c r="BH264" i="1"/>
  <c r="BX263" i="1" l="1"/>
  <c r="BL264" i="1"/>
  <c r="BW264" i="1" s="1"/>
  <c r="CD264" i="1" s="1"/>
  <c r="CE264" i="1" s="1"/>
  <c r="BF272" i="3"/>
  <c r="BF128" i="10"/>
  <c r="BN272" i="3"/>
  <c r="BO260" i="1"/>
  <c r="BN260" i="1"/>
  <c r="BI264" i="1"/>
  <c r="BX264" i="1"/>
  <c r="BR260" i="1" l="1"/>
  <c r="AQ261" i="1" s="1"/>
  <c r="BY260" i="1" l="1"/>
  <c r="BC261" i="1"/>
  <c r="BU261" i="1" s="1"/>
  <c r="BM261" i="1" l="1"/>
  <c r="BN261" i="1" s="1"/>
  <c r="CB261" i="1"/>
  <c r="CC261" i="1" s="1"/>
  <c r="BV261" i="1"/>
  <c r="BO261" i="1" l="1"/>
  <c r="BP261" i="1"/>
  <c r="BR261" i="1" l="1"/>
  <c r="BY261" i="1" s="1"/>
  <c r="AQ262" i="1" l="1"/>
  <c r="BC262" i="1" s="1"/>
  <c r="BU262" i="1" s="1"/>
  <c r="CB262" i="1" s="1"/>
  <c r="CC262" i="1" s="1"/>
  <c r="BM262" i="1" l="1"/>
  <c r="BO262" i="1" s="1"/>
  <c r="BV262" i="1"/>
  <c r="BP262" i="1" l="1"/>
  <c r="BN262" i="1"/>
  <c r="BR262" i="1" l="1"/>
  <c r="AQ263" i="1" s="1"/>
  <c r="BC263" i="1" s="1"/>
  <c r="BU263" i="1" s="1"/>
  <c r="CB263" i="1" s="1"/>
  <c r="CC263" i="1" s="1"/>
  <c r="BM263" i="1" l="1"/>
  <c r="BP263" i="1" s="1"/>
  <c r="BV263" i="1"/>
  <c r="BY262" i="1"/>
  <c r="BN263" i="1" l="1"/>
  <c r="BO263" i="1"/>
  <c r="BR263" i="1" l="1"/>
  <c r="BY263" i="1" s="1"/>
  <c r="AQ264" i="1" l="1"/>
  <c r="BC264" i="1" s="1"/>
  <c r="BU264" i="1" s="1"/>
  <c r="BV264" i="1" s="1"/>
  <c r="BM264" i="1" l="1"/>
  <c r="BO264" i="1" s="1"/>
  <c r="CB264" i="1"/>
  <c r="CC264" i="1" s="1"/>
  <c r="BP264" i="1" l="1"/>
  <c r="BN264" i="1"/>
  <c r="BR264" i="1" l="1"/>
  <c r="BY264" i="1" s="1"/>
  <c r="AQ265" i="1" l="1"/>
  <c r="BC265" i="1" s="1"/>
  <c r="BU265" i="1" s="1"/>
  <c r="BJ265" i="1"/>
  <c r="BH265" i="1"/>
  <c r="BI265" i="1" s="1"/>
  <c r="CH265" i="1"/>
  <c r="CH266" i="1" s="1"/>
  <c r="CH267" i="1" s="1"/>
  <c r="CH268" i="1" s="1"/>
  <c r="CH269" i="1" s="1"/>
  <c r="CH270" i="1" s="1"/>
  <c r="BH266" i="1" l="1"/>
  <c r="BI266" i="1" s="1"/>
  <c r="BL265" i="1"/>
  <c r="BW265" i="1" s="1"/>
  <c r="BJ266" i="1"/>
  <c r="BK266" i="1" s="1"/>
  <c r="BK265" i="1"/>
  <c r="CB265" i="1"/>
  <c r="CC265" i="1" s="1"/>
  <c r="BV265" i="1"/>
  <c r="BH267" i="1" l="1"/>
  <c r="BI267" i="1" s="1"/>
  <c r="BX265" i="1"/>
  <c r="CD265" i="1"/>
  <c r="BJ267" i="1"/>
  <c r="BJ268" i="1" s="1"/>
  <c r="BM265" i="1"/>
  <c r="BN265" i="1" s="1"/>
  <c r="BL266" i="1"/>
  <c r="BW266" i="1" s="1"/>
  <c r="BX266" i="1" s="1"/>
  <c r="CE265" i="1"/>
  <c r="BH268" i="1" l="1"/>
  <c r="BI268" i="1" s="1"/>
  <c r="BP265" i="1"/>
  <c r="BO265" i="1"/>
  <c r="BL267" i="1"/>
  <c r="BW267" i="1" s="1"/>
  <c r="CD267" i="1" s="1"/>
  <c r="BK267" i="1"/>
  <c r="CD266" i="1"/>
  <c r="CE266" i="1" s="1"/>
  <c r="BL268" i="1"/>
  <c r="BW268" i="1" s="1"/>
  <c r="BJ269" i="1"/>
  <c r="BK268" i="1"/>
  <c r="BH269" i="1" l="1"/>
  <c r="BI269" i="1" s="1"/>
  <c r="BR265" i="1"/>
  <c r="AQ266" i="1" s="1"/>
  <c r="BC266" i="1" s="1"/>
  <c r="BU266" i="1" s="1"/>
  <c r="BV266" i="1" s="1"/>
  <c r="BX267" i="1"/>
  <c r="CE267" i="1"/>
  <c r="BK269" i="1"/>
  <c r="BL269" i="1"/>
  <c r="BW269" i="1" s="1"/>
  <c r="CD269" i="1" s="1"/>
  <c r="BJ270" i="1"/>
  <c r="BH270" i="1"/>
  <c r="BX268" i="1"/>
  <c r="CD268" i="1"/>
  <c r="BY265" i="1" l="1"/>
  <c r="CB266" i="1"/>
  <c r="CC266" i="1" s="1"/>
  <c r="BM266" i="1"/>
  <c r="BN266" i="1" s="1"/>
  <c r="BX269" i="1"/>
  <c r="CE268" i="1"/>
  <c r="CE269" i="1"/>
  <c r="BI270" i="1"/>
  <c r="BK270" i="1"/>
  <c r="BL270" i="1"/>
  <c r="BW270" i="1" s="1"/>
  <c r="BP266" i="1" l="1"/>
  <c r="BO266" i="1"/>
  <c r="BX270" i="1"/>
  <c r="CD270" i="1"/>
  <c r="BR266" i="1" l="1"/>
  <c r="AQ267" i="1" s="1"/>
  <c r="BC267" i="1" s="1"/>
  <c r="BU267" i="1" s="1"/>
  <c r="CE270" i="1"/>
  <c r="BY266" i="1" l="1"/>
  <c r="BM267" i="1"/>
  <c r="BN267" i="1" s="1"/>
  <c r="CB267" i="1"/>
  <c r="CC267" i="1" s="1"/>
  <c r="BV267" i="1"/>
  <c r="BO267" i="1" l="1"/>
  <c r="BP267" i="1"/>
  <c r="BR267" i="1" l="1"/>
  <c r="AQ268" i="1" s="1"/>
  <c r="BC268" i="1" s="1"/>
  <c r="BU268" i="1" s="1"/>
  <c r="BY267" i="1" l="1"/>
  <c r="CB268" i="1"/>
  <c r="CC268" i="1" s="1"/>
  <c r="BV268" i="1"/>
  <c r="BM268" i="1"/>
  <c r="BP268" i="1" l="1"/>
  <c r="BN268" i="1"/>
  <c r="BO268" i="1"/>
  <c r="BR268" i="1" l="1"/>
  <c r="AQ269" i="1" s="1"/>
  <c r="BY268" i="1" l="1"/>
  <c r="BC269" i="1"/>
  <c r="BU269" i="1" s="1"/>
  <c r="CB269" i="1" l="1"/>
  <c r="CC269" i="1" s="1"/>
  <c r="BV269" i="1"/>
  <c r="BM269" i="1"/>
  <c r="BN269" i="1" l="1"/>
  <c r="BP269" i="1"/>
  <c r="BO269" i="1"/>
  <c r="BR269" i="1" l="1"/>
  <c r="AQ270" i="1" s="1"/>
  <c r="BY269" i="1" l="1"/>
  <c r="BC270" i="1"/>
  <c r="BU270" i="1" s="1"/>
  <c r="BM270" i="1" l="1"/>
  <c r="CB270" i="1"/>
  <c r="CC270" i="1" s="1"/>
  <c r="BV270" i="1"/>
  <c r="BN270" i="1" l="1"/>
  <c r="BP270" i="1"/>
  <c r="BO270" i="1"/>
  <c r="BR270" i="1" l="1"/>
  <c r="AQ271" i="1" s="1"/>
  <c r="BY270" i="1" l="1"/>
  <c r="BC271" i="1"/>
  <c r="BU271" i="1" s="1"/>
  <c r="CH271" i="1" l="1"/>
  <c r="CH272" i="1" s="1"/>
  <c r="CH273" i="1" s="1"/>
  <c r="CH274" i="1" s="1"/>
  <c r="CH275" i="1" s="1"/>
  <c r="CH276" i="1" s="1"/>
  <c r="BH271" i="1"/>
  <c r="BJ271" i="1"/>
  <c r="CB271" i="1"/>
  <c r="CC271" i="1" s="1"/>
  <c r="M76" i="1" s="1"/>
  <c r="AH129" i="10" s="1"/>
  <c r="BV271" i="1"/>
  <c r="L76" i="1" s="1"/>
  <c r="Z129" i="10" s="1"/>
  <c r="AH273" i="3" l="1"/>
  <c r="Z273" i="3"/>
  <c r="BK271" i="1"/>
  <c r="BL271" i="1"/>
  <c r="BJ272" i="1"/>
  <c r="BI271" i="1"/>
  <c r="BH272" i="1"/>
  <c r="BK272" i="1" l="1"/>
  <c r="BJ273" i="1"/>
  <c r="BL272" i="1"/>
  <c r="BW272" i="1" s="1"/>
  <c r="CD272" i="1" s="1"/>
  <c r="BW271" i="1"/>
  <c r="BM271" i="1"/>
  <c r="BH273" i="1"/>
  <c r="BI272" i="1"/>
  <c r="CD271" i="1" l="1"/>
  <c r="BX271" i="1"/>
  <c r="N76" i="1" s="1"/>
  <c r="AP129" i="10" s="1"/>
  <c r="BX272" i="1"/>
  <c r="BH274" i="1"/>
  <c r="BI273" i="1"/>
  <c r="BN271" i="1"/>
  <c r="BP271" i="1"/>
  <c r="BO271" i="1"/>
  <c r="BJ274" i="1"/>
  <c r="BL273" i="1"/>
  <c r="BW273" i="1" s="1"/>
  <c r="CD273" i="1" s="1"/>
  <c r="BK273" i="1"/>
  <c r="BR271" i="1" l="1"/>
  <c r="AQ272" i="1" s="1"/>
  <c r="BC272" i="1" s="1"/>
  <c r="BU272" i="1" s="1"/>
  <c r="AP273" i="3"/>
  <c r="AF75" i="1"/>
  <c r="AI75" i="1" s="1"/>
  <c r="BL274" i="1"/>
  <c r="BW274" i="1" s="1"/>
  <c r="CD274" i="1" s="1"/>
  <c r="CE274" i="1" s="1"/>
  <c r="BK274" i="1"/>
  <c r="BJ275" i="1"/>
  <c r="BX273" i="1"/>
  <c r="CE271" i="1"/>
  <c r="O76" i="1" s="1"/>
  <c r="AX129" i="10" s="1"/>
  <c r="CE272" i="1"/>
  <c r="CE273" i="1"/>
  <c r="BI274" i="1"/>
  <c r="BH275" i="1"/>
  <c r="P76" i="1" l="1"/>
  <c r="AX273" i="3"/>
  <c r="BY271" i="1"/>
  <c r="Q76" i="1" s="1"/>
  <c r="BN129" i="10" s="1"/>
  <c r="BX274" i="1"/>
  <c r="BI275" i="1"/>
  <c r="BH276" i="1"/>
  <c r="BI276" i="1" s="1"/>
  <c r="BJ276" i="1"/>
  <c r="BK275" i="1"/>
  <c r="BL275" i="1"/>
  <c r="BW275" i="1" s="1"/>
  <c r="CB272" i="1"/>
  <c r="CC272" i="1" s="1"/>
  <c r="BV272" i="1"/>
  <c r="BM272" i="1"/>
  <c r="BF273" i="3" l="1"/>
  <c r="BF129" i="10"/>
  <c r="BN273" i="3"/>
  <c r="CD275" i="1"/>
  <c r="BX275" i="1"/>
  <c r="BL276" i="1"/>
  <c r="BW276" i="1" s="1"/>
  <c r="CD276" i="1" s="1"/>
  <c r="BK276" i="1"/>
  <c r="BO272" i="1"/>
  <c r="BP272" i="1"/>
  <c r="BN272" i="1"/>
  <c r="BX276" i="1" l="1"/>
  <c r="CE275" i="1"/>
  <c r="CE276" i="1"/>
  <c r="BR272" i="1"/>
  <c r="AQ273" i="1" s="1"/>
  <c r="BY272" i="1" l="1"/>
  <c r="BC273" i="1"/>
  <c r="BU273" i="1" s="1"/>
  <c r="CB273" i="1" l="1"/>
  <c r="CC273" i="1" s="1"/>
  <c r="BV273" i="1"/>
  <c r="BM273" i="1"/>
  <c r="BP273" i="1" l="1"/>
  <c r="BN273" i="1"/>
  <c r="BO273" i="1"/>
  <c r="BR273" i="1" l="1"/>
  <c r="BY273" i="1" s="1"/>
  <c r="AQ274" i="1" l="1"/>
  <c r="BC274" i="1" s="1"/>
  <c r="BU274" i="1" s="1"/>
  <c r="BM274" i="1" l="1"/>
  <c r="BN274" i="1" s="1"/>
  <c r="CB274" i="1"/>
  <c r="BV274" i="1"/>
  <c r="BO274" i="1" l="1"/>
  <c r="BP274" i="1"/>
  <c r="CC274" i="1"/>
  <c r="BR274" i="1" l="1"/>
  <c r="BY274" i="1" s="1"/>
  <c r="AQ275" i="1" l="1"/>
  <c r="BC275" i="1" s="1"/>
  <c r="BU275" i="1" s="1"/>
  <c r="CB275" i="1" s="1"/>
  <c r="BV275" i="1" l="1"/>
  <c r="BM275" i="1"/>
  <c r="BP275" i="1" s="1"/>
  <c r="CC275" i="1"/>
  <c r="BO275" i="1" l="1"/>
  <c r="BN275" i="1"/>
  <c r="BR275" i="1" l="1"/>
  <c r="BY275" i="1" s="1"/>
  <c r="AQ276" i="1" l="1"/>
  <c r="BC276" i="1" s="1"/>
  <c r="BU276" i="1" s="1"/>
  <c r="CB276" i="1" s="1"/>
  <c r="BV276" i="1" l="1"/>
  <c r="BM276" i="1"/>
  <c r="BN276" i="1" s="1"/>
  <c r="CC276" i="1"/>
  <c r="BP276" i="1" l="1"/>
  <c r="BO276" i="1"/>
  <c r="BR276" i="1" l="1"/>
  <c r="BY276" i="1" s="1"/>
  <c r="CH277" i="1"/>
  <c r="CH278" i="1" s="1"/>
  <c r="CH279" i="1" s="1"/>
  <c r="CH280" i="1" s="1"/>
  <c r="CH281" i="1" s="1"/>
  <c r="CH282" i="1" s="1"/>
  <c r="BJ277" i="1"/>
  <c r="BH277" i="1"/>
  <c r="BH278" i="1" s="1"/>
  <c r="AQ277" i="1" l="1"/>
  <c r="BC277" i="1" s="1"/>
  <c r="BU277" i="1" s="1"/>
  <c r="CB277" i="1" s="1"/>
  <c r="CC277" i="1" s="1"/>
  <c r="BL277" i="1"/>
  <c r="BJ278" i="1"/>
  <c r="BL278" i="1" s="1"/>
  <c r="BW278" i="1" s="1"/>
  <c r="CD278" i="1" s="1"/>
  <c r="BK277" i="1"/>
  <c r="BI277" i="1"/>
  <c r="BI278" i="1"/>
  <c r="BH279" i="1"/>
  <c r="BM277" i="1" l="1"/>
  <c r="BV277" i="1"/>
  <c r="BW277" i="1"/>
  <c r="BX278" i="1" s="1"/>
  <c r="BJ279" i="1"/>
  <c r="BK279" i="1" s="1"/>
  <c r="BK278" i="1"/>
  <c r="BP277" i="1"/>
  <c r="BO277" i="1"/>
  <c r="BN277" i="1"/>
  <c r="BI279" i="1"/>
  <c r="BH280" i="1"/>
  <c r="BX277" i="1" l="1"/>
  <c r="CD277" i="1"/>
  <c r="CE278" i="1" s="1"/>
  <c r="BJ280" i="1"/>
  <c r="BJ281" i="1" s="1"/>
  <c r="BL279" i="1"/>
  <c r="BW279" i="1" s="1"/>
  <c r="BX279" i="1" s="1"/>
  <c r="BR277" i="1"/>
  <c r="BY277" i="1" s="1"/>
  <c r="BI280" i="1"/>
  <c r="BH281" i="1"/>
  <c r="CE277" i="1"/>
  <c r="CD279" i="1" l="1"/>
  <c r="CE279" i="1" s="1"/>
  <c r="BL280" i="1"/>
  <c r="BW280" i="1" s="1"/>
  <c r="CD280" i="1" s="1"/>
  <c r="BK280" i="1"/>
  <c r="AQ278" i="1"/>
  <c r="BC278" i="1" s="1"/>
  <c r="BU278" i="1" s="1"/>
  <c r="BK281" i="1"/>
  <c r="BJ282" i="1"/>
  <c r="BL281" i="1"/>
  <c r="BW281" i="1" s="1"/>
  <c r="BI281" i="1"/>
  <c r="BH282" i="1"/>
  <c r="CE280" i="1" l="1"/>
  <c r="BX280" i="1"/>
  <c r="BM278" i="1"/>
  <c r="BP278" i="1" s="1"/>
  <c r="BL282" i="1"/>
  <c r="BW282" i="1" s="1"/>
  <c r="CD282" i="1" s="1"/>
  <c r="BI282" i="1"/>
  <c r="CB278" i="1"/>
  <c r="CC278" i="1" s="1"/>
  <c r="BV278" i="1"/>
  <c r="CD281" i="1"/>
  <c r="CE281" i="1" s="1"/>
  <c r="BX281" i="1"/>
  <c r="BK282" i="1"/>
  <c r="BN278" i="1" l="1"/>
  <c r="BO278" i="1"/>
  <c r="BX282" i="1"/>
  <c r="CE282" i="1"/>
  <c r="BR278" i="1" l="1"/>
  <c r="BY278" i="1" s="1"/>
  <c r="AQ279" i="1" l="1"/>
  <c r="BC279" i="1" s="1"/>
  <c r="BU279" i="1" s="1"/>
  <c r="CB279" i="1" s="1"/>
  <c r="CC279" i="1" s="1"/>
  <c r="BV279" i="1" l="1"/>
  <c r="BM279" i="1"/>
  <c r="BP279" i="1" s="1"/>
  <c r="BO279" i="1" l="1"/>
  <c r="BN279" i="1"/>
  <c r="BR279" i="1" l="1"/>
  <c r="BY279" i="1" s="1"/>
  <c r="AQ280" i="1" l="1"/>
  <c r="BC280" i="1" s="1"/>
  <c r="BU280" i="1" s="1"/>
  <c r="CB280" i="1" s="1"/>
  <c r="CC280" i="1" s="1"/>
  <c r="BV280" i="1" l="1"/>
  <c r="BM280" i="1"/>
  <c r="BP280" i="1" s="1"/>
  <c r="BO280" i="1" l="1"/>
  <c r="BN280" i="1"/>
  <c r="BR280" i="1" l="1"/>
  <c r="BY280" i="1" s="1"/>
  <c r="AQ281" i="1" l="1"/>
  <c r="BC281" i="1" s="1"/>
  <c r="BU281" i="1" s="1"/>
  <c r="CB281" i="1" s="1"/>
  <c r="CC281" i="1" s="1"/>
  <c r="BV281" i="1" l="1"/>
  <c r="BM281" i="1"/>
  <c r="BO281" i="1" s="1"/>
  <c r="BN281" i="1" l="1"/>
  <c r="BP281" i="1"/>
  <c r="BR281" i="1" s="1"/>
  <c r="BY281" i="1" s="1"/>
  <c r="AQ282" i="1" l="1"/>
  <c r="BC282" i="1" s="1"/>
  <c r="BU282" i="1" s="1"/>
  <c r="BM282" i="1" l="1"/>
  <c r="CB282" i="1"/>
  <c r="CC282" i="1" s="1"/>
  <c r="BV282" i="1"/>
  <c r="BN282" i="1" l="1"/>
  <c r="BO282" i="1"/>
  <c r="BP282" i="1"/>
  <c r="BR282" i="1" l="1"/>
  <c r="BY282" i="1" s="1"/>
  <c r="AQ283" i="1" l="1"/>
  <c r="BC283" i="1" l="1"/>
  <c r="BU283" i="1" s="1"/>
  <c r="BV283" i="1" s="1"/>
  <c r="L77" i="1" s="1"/>
  <c r="Z130" i="10" s="1"/>
  <c r="BJ283" i="1"/>
  <c r="BH283" i="1"/>
  <c r="CH283" i="1"/>
  <c r="CH284" i="1" s="1"/>
  <c r="CH285" i="1" s="1"/>
  <c r="CH286" i="1" s="1"/>
  <c r="CH287" i="1" s="1"/>
  <c r="CH288" i="1" s="1"/>
  <c r="CB283" i="1" l="1"/>
  <c r="CC283" i="1" s="1"/>
  <c r="M77" i="1" s="1"/>
  <c r="Z274" i="3"/>
  <c r="BI283" i="1"/>
  <c r="BH284" i="1"/>
  <c r="BK283" i="1"/>
  <c r="BL283" i="1"/>
  <c r="BJ284" i="1"/>
  <c r="AH274" i="3" l="1"/>
  <c r="AH130" i="10"/>
  <c r="BW283" i="1"/>
  <c r="BM283" i="1"/>
  <c r="BL284" i="1"/>
  <c r="BW284" i="1" s="1"/>
  <c r="CD284" i="1" s="1"/>
  <c r="BI284" i="1"/>
  <c r="BH285" i="1"/>
  <c r="BK284" i="1"/>
  <c r="BJ285" i="1"/>
  <c r="BL285" i="1" l="1"/>
  <c r="BW285" i="1" s="1"/>
  <c r="CD285" i="1" s="1"/>
  <c r="BJ286" i="1"/>
  <c r="BK285" i="1"/>
  <c r="BI285" i="1"/>
  <c r="BH286" i="1"/>
  <c r="BP283" i="1"/>
  <c r="BO283" i="1"/>
  <c r="BN283" i="1"/>
  <c r="BX283" i="1"/>
  <c r="N77" i="1" s="1"/>
  <c r="AP130" i="10" s="1"/>
  <c r="CD283" i="1"/>
  <c r="BX284" i="1"/>
  <c r="BR283" i="1" l="1"/>
  <c r="AQ284" i="1" s="1"/>
  <c r="BX285" i="1"/>
  <c r="BI286" i="1"/>
  <c r="BH287" i="1"/>
  <c r="CE283" i="1"/>
  <c r="O77" i="1" s="1"/>
  <c r="AX130" i="10" s="1"/>
  <c r="CE284" i="1"/>
  <c r="CE285" i="1"/>
  <c r="BK286" i="1"/>
  <c r="BL286" i="1"/>
  <c r="BW286" i="1" s="1"/>
  <c r="BJ287" i="1"/>
  <c r="AP274" i="3"/>
  <c r="AF76" i="1"/>
  <c r="AI76" i="1" s="1"/>
  <c r="P77" i="1" l="1"/>
  <c r="AX274" i="3"/>
  <c r="BC284" i="1"/>
  <c r="BU284" i="1" s="1"/>
  <c r="BY283" i="1"/>
  <c r="Q77" i="1" s="1"/>
  <c r="BN130" i="10" s="1"/>
  <c r="BI287" i="1"/>
  <c r="BH288" i="1"/>
  <c r="BI288" i="1" s="1"/>
  <c r="BX286" i="1"/>
  <c r="CD286" i="1"/>
  <c r="BK287" i="1"/>
  <c r="BL287" i="1"/>
  <c r="BW287" i="1" s="1"/>
  <c r="CD287" i="1" s="1"/>
  <c r="BJ288" i="1"/>
  <c r="BF274" i="3" l="1"/>
  <c r="BF130" i="10"/>
  <c r="BN274" i="3"/>
  <c r="BM284" i="1"/>
  <c r="CE287" i="1"/>
  <c r="CB284" i="1"/>
  <c r="CC284" i="1" s="1"/>
  <c r="BV284" i="1"/>
  <c r="BX287" i="1"/>
  <c r="CE286" i="1"/>
  <c r="BK288" i="1"/>
  <c r="BL288" i="1"/>
  <c r="BW288" i="1" s="1"/>
  <c r="CD288" i="1" s="1"/>
  <c r="CE288" i="1" s="1"/>
  <c r="BO284" i="1" l="1"/>
  <c r="BN284" i="1"/>
  <c r="BP284" i="1"/>
  <c r="BX288" i="1"/>
  <c r="BR284" i="1" l="1"/>
  <c r="AQ285" i="1" l="1"/>
  <c r="BY284" i="1"/>
  <c r="BC285" i="1" l="1"/>
  <c r="BU285" i="1" s="1"/>
  <c r="BM285" i="1" l="1"/>
  <c r="BO285" i="1" s="1"/>
  <c r="CB285" i="1"/>
  <c r="CC285" i="1" s="1"/>
  <c r="BV285" i="1"/>
  <c r="BP285" i="1" l="1"/>
  <c r="BN285" i="1"/>
  <c r="BR285" i="1" l="1"/>
  <c r="BY285" i="1" s="1"/>
  <c r="AQ286" i="1" l="1"/>
  <c r="BC286" i="1" s="1"/>
  <c r="BU286" i="1" s="1"/>
  <c r="BM286" i="1" l="1"/>
  <c r="CB286" i="1"/>
  <c r="CC286" i="1" s="1"/>
  <c r="BV286" i="1"/>
  <c r="BP286" i="1" l="1"/>
  <c r="BO286" i="1"/>
  <c r="BN286" i="1"/>
  <c r="BR286" i="1" l="1"/>
  <c r="BY286" i="1" s="1"/>
  <c r="AQ287" i="1" l="1"/>
  <c r="BC287" i="1" s="1"/>
  <c r="BU287" i="1" s="1"/>
  <c r="BM287" i="1" l="1"/>
  <c r="BO287" i="1" s="1"/>
  <c r="BV287" i="1"/>
  <c r="CB287" i="1"/>
  <c r="CC287" i="1" s="1"/>
  <c r="BP287" i="1" l="1"/>
  <c r="BN287" i="1"/>
  <c r="BR287" i="1" l="1"/>
  <c r="AQ288" i="1" s="1"/>
  <c r="BC288" i="1" s="1"/>
  <c r="BU288" i="1" s="1"/>
  <c r="BY287" i="1" l="1"/>
  <c r="CB288" i="1"/>
  <c r="CC288" i="1" s="1"/>
  <c r="BV288" i="1"/>
  <c r="BM288" i="1"/>
  <c r="CH289" i="1"/>
  <c r="CH290" i="1" s="1"/>
  <c r="CH291" i="1" s="1"/>
  <c r="CH292" i="1" s="1"/>
  <c r="CH293" i="1" s="1"/>
  <c r="CH294" i="1" s="1"/>
  <c r="BJ289" i="1"/>
  <c r="BH289" i="1"/>
  <c r="BP288" i="1" l="1"/>
  <c r="BO288" i="1"/>
  <c r="BN288" i="1"/>
  <c r="BI289" i="1"/>
  <c r="BH290" i="1"/>
  <c r="BK289" i="1"/>
  <c r="BL289" i="1"/>
  <c r="BJ290" i="1"/>
  <c r="BR288" i="1" l="1"/>
  <c r="AQ289" i="1" s="1"/>
  <c r="BK290" i="1"/>
  <c r="BJ291" i="1"/>
  <c r="BL290" i="1"/>
  <c r="BW290" i="1" s="1"/>
  <c r="CD290" i="1" s="1"/>
  <c r="BW289" i="1"/>
  <c r="BI290" i="1"/>
  <c r="BH291" i="1"/>
  <c r="BC289" i="1" l="1"/>
  <c r="BU289" i="1" s="1"/>
  <c r="CB289" i="1" s="1"/>
  <c r="CC289" i="1" s="1"/>
  <c r="BY288" i="1"/>
  <c r="BI291" i="1"/>
  <c r="BH292" i="1"/>
  <c r="BX290" i="1"/>
  <c r="BX289" i="1"/>
  <c r="CD289" i="1"/>
  <c r="BL291" i="1"/>
  <c r="BW291" i="1" s="1"/>
  <c r="BX291" i="1" s="1"/>
  <c r="BK291" i="1"/>
  <c r="BJ292" i="1"/>
  <c r="BV289" i="1" l="1"/>
  <c r="BM289" i="1"/>
  <c r="BP289" i="1" s="1"/>
  <c r="BL292" i="1"/>
  <c r="BW292" i="1" s="1"/>
  <c r="CD292" i="1" s="1"/>
  <c r="BJ293" i="1"/>
  <c r="BK292" i="1"/>
  <c r="BI292" i="1"/>
  <c r="BH293" i="1"/>
  <c r="CD291" i="1"/>
  <c r="CE291" i="1" s="1"/>
  <c r="CE289" i="1"/>
  <c r="CE290" i="1"/>
  <c r="BO289" i="1" l="1"/>
  <c r="BN289" i="1"/>
  <c r="CE292" i="1"/>
  <c r="BH294" i="1"/>
  <c r="BI293" i="1"/>
  <c r="BJ294" i="1"/>
  <c r="BK293" i="1"/>
  <c r="BL293" i="1"/>
  <c r="BW293" i="1" s="1"/>
  <c r="BX292" i="1"/>
  <c r="BR289" i="1" l="1"/>
  <c r="BL294" i="1"/>
  <c r="BW294" i="1" s="1"/>
  <c r="CD294" i="1" s="1"/>
  <c r="BK294" i="1"/>
  <c r="BI294" i="1"/>
  <c r="CD293" i="1"/>
  <c r="BX293" i="1"/>
  <c r="BY289" i="1" l="1"/>
  <c r="AQ290" i="1"/>
  <c r="BX294" i="1"/>
  <c r="CE294" i="1"/>
  <c r="CE293" i="1"/>
  <c r="BC290" i="1" l="1"/>
  <c r="BU290" i="1" s="1"/>
  <c r="BV290" i="1" l="1"/>
  <c r="CB290" i="1"/>
  <c r="CC290" i="1" s="1"/>
  <c r="BM290" i="1"/>
  <c r="BO290" i="1" l="1"/>
  <c r="BP290" i="1"/>
  <c r="BN290" i="1"/>
  <c r="BR290" i="1" l="1"/>
  <c r="AQ291" i="1" s="1"/>
  <c r="BY290" i="1" l="1"/>
  <c r="BC291" i="1"/>
  <c r="BU291" i="1" s="1"/>
  <c r="BM291" i="1" l="1"/>
  <c r="CB291" i="1"/>
  <c r="CC291" i="1" s="1"/>
  <c r="BV291" i="1"/>
  <c r="BP291" i="1" l="1"/>
  <c r="BN291" i="1"/>
  <c r="BO291" i="1"/>
  <c r="BR291" i="1" l="1"/>
  <c r="AQ292" i="1" s="1"/>
  <c r="BY291" i="1" l="1"/>
  <c r="BC292" i="1"/>
  <c r="BU292" i="1" s="1"/>
  <c r="CB292" i="1" l="1"/>
  <c r="CC292" i="1" s="1"/>
  <c r="BV292" i="1"/>
  <c r="BM292" i="1"/>
  <c r="BO292" i="1" l="1"/>
  <c r="BP292" i="1"/>
  <c r="BN292" i="1"/>
  <c r="BR292" i="1" l="1"/>
  <c r="AQ293" i="1" s="1"/>
  <c r="BY292" i="1" l="1"/>
  <c r="BC293" i="1"/>
  <c r="BU293" i="1" s="1"/>
  <c r="BM293" i="1" l="1"/>
  <c r="BO293" i="1" s="1"/>
  <c r="CB293" i="1"/>
  <c r="CC293" i="1" s="1"/>
  <c r="BV293" i="1"/>
  <c r="BN293" i="1" l="1"/>
  <c r="BP293" i="1"/>
  <c r="BR293" i="1" l="1"/>
  <c r="AQ294" i="1" s="1"/>
  <c r="BC294" i="1" s="1"/>
  <c r="BU294" i="1" s="1"/>
  <c r="BY293" i="1" l="1"/>
  <c r="BM294" i="1"/>
  <c r="BN294" i="1" s="1"/>
  <c r="CB294" i="1"/>
  <c r="CC294" i="1" s="1"/>
  <c r="BV294" i="1"/>
  <c r="BO294" i="1" l="1"/>
  <c r="BP294" i="1"/>
  <c r="BR294" i="1" l="1"/>
  <c r="BY294" i="1" s="1"/>
  <c r="AQ295" i="1" l="1"/>
  <c r="BC295" i="1" s="1"/>
  <c r="BU295" i="1" s="1"/>
  <c r="BV295" i="1" s="1"/>
  <c r="L78" i="1" s="1"/>
  <c r="Z131" i="10" s="1"/>
  <c r="CH295" i="1"/>
  <c r="CH296" i="1" s="1"/>
  <c r="CH297" i="1" s="1"/>
  <c r="CH298" i="1" s="1"/>
  <c r="CH299" i="1" s="1"/>
  <c r="CH300" i="1" s="1"/>
  <c r="BJ295" i="1"/>
  <c r="BK295" i="1" s="1"/>
  <c r="BH295" i="1"/>
  <c r="BI295" i="1" s="1"/>
  <c r="CB295" i="1" l="1"/>
  <c r="CC295" i="1" s="1"/>
  <c r="M78" i="1" s="1"/>
  <c r="AH131" i="10" s="1"/>
  <c r="BH296" i="1"/>
  <c r="BI296" i="1" s="1"/>
  <c r="BJ296" i="1"/>
  <c r="BL296" i="1" s="1"/>
  <c r="BW296" i="1" s="1"/>
  <c r="CD296" i="1" s="1"/>
  <c r="BL295" i="1"/>
  <c r="Z275" i="3"/>
  <c r="BW295" i="1"/>
  <c r="BM295" i="1"/>
  <c r="AH275" i="3" l="1"/>
  <c r="BH297" i="1"/>
  <c r="BI297" i="1" s="1"/>
  <c r="BJ297" i="1"/>
  <c r="BL297" i="1" s="1"/>
  <c r="BW297" i="1" s="1"/>
  <c r="CD297" i="1" s="1"/>
  <c r="BK296" i="1"/>
  <c r="BO295" i="1"/>
  <c r="BN295" i="1"/>
  <c r="BP295" i="1"/>
  <c r="CD295" i="1"/>
  <c r="BX296" i="1"/>
  <c r="BX295" i="1"/>
  <c r="N78" i="1" s="1"/>
  <c r="AP131" i="10" s="1"/>
  <c r="BH298" i="1" l="1"/>
  <c r="BI298" i="1" s="1"/>
  <c r="BJ298" i="1"/>
  <c r="BK298" i="1" s="1"/>
  <c r="BK297" i="1"/>
  <c r="BR295" i="1"/>
  <c r="AQ296" i="1" s="1"/>
  <c r="CE296" i="1"/>
  <c r="CE295" i="1"/>
  <c r="O78" i="1" s="1"/>
  <c r="AX131" i="10" s="1"/>
  <c r="CE297" i="1"/>
  <c r="BX297" i="1"/>
  <c r="AP275" i="3"/>
  <c r="AF77" i="1"/>
  <c r="AI77" i="1" s="1"/>
  <c r="BH299" i="1" l="1"/>
  <c r="BI299" i="1" s="1"/>
  <c r="BL298" i="1"/>
  <c r="BW298" i="1" s="1"/>
  <c r="BX298" i="1" s="1"/>
  <c r="BJ299" i="1"/>
  <c r="BJ300" i="1" s="1"/>
  <c r="BY295" i="1"/>
  <c r="Q78" i="1" s="1"/>
  <c r="P78" i="1"/>
  <c r="BH300" i="1"/>
  <c r="BI300" i="1" s="1"/>
  <c r="AX275" i="3"/>
  <c r="CD298" i="1"/>
  <c r="BC296" i="1"/>
  <c r="BU296" i="1" s="1"/>
  <c r="BL299" i="1" l="1"/>
  <c r="BW299" i="1" s="1"/>
  <c r="CD299" i="1" s="1"/>
  <c r="BK299" i="1"/>
  <c r="BF275" i="3"/>
  <c r="BF131" i="10"/>
  <c r="BN275" i="3"/>
  <c r="BN131" i="10"/>
  <c r="BM296" i="1"/>
  <c r="BN296" i="1" s="1"/>
  <c r="CE299" i="1"/>
  <c r="CE298" i="1"/>
  <c r="BK300" i="1"/>
  <c r="BL300" i="1"/>
  <c r="BW300" i="1" s="1"/>
  <c r="BV296" i="1"/>
  <c r="CB296" i="1"/>
  <c r="CC296" i="1" s="1"/>
  <c r="BX299" i="1" l="1"/>
  <c r="BP296" i="1"/>
  <c r="BO296" i="1"/>
  <c r="CD300" i="1"/>
  <c r="CE300" i="1" s="1"/>
  <c r="BX300" i="1"/>
  <c r="BR296" i="1" l="1"/>
  <c r="AQ297" i="1" s="1"/>
  <c r="BC297" i="1" s="1"/>
  <c r="BU297" i="1" s="1"/>
  <c r="BY296" i="1" l="1"/>
  <c r="BM297" i="1"/>
  <c r="BO297" i="1" s="1"/>
  <c r="BV297" i="1"/>
  <c r="CB297" i="1"/>
  <c r="CC297" i="1" s="1"/>
  <c r="BN297" i="1" l="1"/>
  <c r="BP297" i="1"/>
  <c r="BR297" i="1" l="1"/>
  <c r="AQ298" i="1" s="1"/>
  <c r="BC298" i="1" s="1"/>
  <c r="BU298" i="1" s="1"/>
  <c r="BV298" i="1" s="1"/>
  <c r="BY297" i="1" l="1"/>
  <c r="CB298" i="1"/>
  <c r="CC298" i="1" s="1"/>
  <c r="BM298" i="1"/>
  <c r="BO298" i="1" s="1"/>
  <c r="BP298" i="1" l="1"/>
  <c r="BN298" i="1"/>
  <c r="BR298" i="1" l="1"/>
  <c r="AQ299" i="1" s="1"/>
  <c r="BC299" i="1" s="1"/>
  <c r="BU299" i="1" s="1"/>
  <c r="BV299" i="1" s="1"/>
  <c r="CB299" i="1" l="1"/>
  <c r="CC299" i="1" s="1"/>
  <c r="BM299" i="1"/>
  <c r="BN299" i="1" s="1"/>
  <c r="BY298" i="1"/>
  <c r="BP299" i="1" l="1"/>
  <c r="BO299" i="1"/>
  <c r="BR299" i="1" l="1"/>
  <c r="BY299" i="1" s="1"/>
  <c r="AQ300" i="1" l="1"/>
  <c r="BC300" i="1" s="1"/>
  <c r="BU300" i="1" s="1"/>
  <c r="CB300" i="1" s="1"/>
  <c r="CC300" i="1" s="1"/>
  <c r="BV300" i="1" l="1"/>
  <c r="BM300" i="1"/>
  <c r="BP300" i="1" s="1"/>
  <c r="BN300" i="1" l="1"/>
  <c r="BO300" i="1"/>
  <c r="BJ301" i="1"/>
  <c r="CH301" i="1"/>
  <c r="CH302" i="1" s="1"/>
  <c r="CH303" i="1" s="1"/>
  <c r="CH304" i="1" s="1"/>
  <c r="CH305" i="1" s="1"/>
  <c r="CH306" i="1" s="1"/>
  <c r="BR300" i="1" l="1"/>
  <c r="AQ301" i="1" s="1"/>
  <c r="BC301" i="1" s="1"/>
  <c r="BH301" i="1"/>
  <c r="BI301" i="1" s="1"/>
  <c r="BU301" i="1"/>
  <c r="CB301" i="1" s="1"/>
  <c r="CC301" i="1" s="1"/>
  <c r="BY300" i="1"/>
  <c r="BV301" i="1"/>
  <c r="BL301" i="1"/>
  <c r="BJ302" i="1"/>
  <c r="BK301" i="1"/>
  <c r="BH302" i="1" l="1"/>
  <c r="BI302" i="1" s="1"/>
  <c r="BH303" i="1"/>
  <c r="BI303" i="1" s="1"/>
  <c r="BL302" i="1"/>
  <c r="BW302" i="1" s="1"/>
  <c r="CD302" i="1" s="1"/>
  <c r="BJ303" i="1"/>
  <c r="BK302" i="1"/>
  <c r="BW301" i="1"/>
  <c r="BM301" i="1"/>
  <c r="BH304" i="1"/>
  <c r="BI304" i="1" l="1"/>
  <c r="BH305" i="1"/>
  <c r="BO301" i="1"/>
  <c r="BP301" i="1"/>
  <c r="BN301" i="1"/>
  <c r="CD301" i="1"/>
  <c r="BX301" i="1"/>
  <c r="BX302" i="1"/>
  <c r="BL303" i="1"/>
  <c r="BW303" i="1" s="1"/>
  <c r="CD303" i="1" s="1"/>
  <c r="BK303" i="1"/>
  <c r="BJ304" i="1"/>
  <c r="CE303" i="1" l="1"/>
  <c r="BX303" i="1"/>
  <c r="BJ305" i="1"/>
  <c r="BK304" i="1"/>
  <c r="BL304" i="1"/>
  <c r="BW304" i="1" s="1"/>
  <c r="BX304" i="1" s="1"/>
  <c r="CE301" i="1"/>
  <c r="CE302" i="1"/>
  <c r="BR301" i="1"/>
  <c r="BI305" i="1"/>
  <c r="BH306" i="1"/>
  <c r="BY301" i="1" l="1"/>
  <c r="AQ302" i="1"/>
  <c r="CD304" i="1"/>
  <c r="BI306" i="1"/>
  <c r="BK305" i="1"/>
  <c r="BL305" i="1"/>
  <c r="BW305" i="1" s="1"/>
  <c r="BJ306" i="1"/>
  <c r="CE304" i="1" l="1"/>
  <c r="CD305" i="1"/>
  <c r="CE305" i="1" s="1"/>
  <c r="BX305" i="1"/>
  <c r="BK306" i="1"/>
  <c r="BL306" i="1"/>
  <c r="BW306" i="1" s="1"/>
  <c r="CD306" i="1" s="1"/>
  <c r="BC302" i="1"/>
  <c r="BU302" i="1" s="1"/>
  <c r="BM302" i="1" l="1"/>
  <c r="BO302" i="1" s="1"/>
  <c r="BX306" i="1"/>
  <c r="CE306" i="1"/>
  <c r="BV302" i="1"/>
  <c r="CB302" i="1"/>
  <c r="CC302" i="1" s="1"/>
  <c r="BP302" i="1" l="1"/>
  <c r="BN302" i="1"/>
  <c r="BR302" i="1" l="1"/>
  <c r="BY302" i="1" s="1"/>
  <c r="AQ303" i="1" l="1"/>
  <c r="BC303" i="1" s="1"/>
  <c r="BU303" i="1" s="1"/>
  <c r="CB303" i="1" s="1"/>
  <c r="CC303" i="1" s="1"/>
  <c r="BV303" i="1" l="1"/>
  <c r="BM303" i="1"/>
  <c r="BP303" i="1" s="1"/>
  <c r="BN303" i="1" l="1"/>
  <c r="BO303" i="1"/>
  <c r="BR303" i="1" l="1"/>
  <c r="AQ304" i="1" s="1"/>
  <c r="BC304" i="1" s="1"/>
  <c r="BU304" i="1" s="1"/>
  <c r="BV304" i="1" s="1"/>
  <c r="CB304" i="1" l="1"/>
  <c r="CC304" i="1" s="1"/>
  <c r="BM304" i="1"/>
  <c r="BO304" i="1" s="1"/>
  <c r="BY303" i="1"/>
  <c r="BP304" i="1" l="1"/>
  <c r="BN304" i="1"/>
  <c r="BR304" i="1" l="1"/>
  <c r="AQ305" i="1" s="1"/>
  <c r="BC305" i="1" s="1"/>
  <c r="BU305" i="1" s="1"/>
  <c r="BY304" i="1" l="1"/>
  <c r="BM305" i="1"/>
  <c r="CB305" i="1"/>
  <c r="CC305" i="1" s="1"/>
  <c r="BV305" i="1"/>
  <c r="BP305" i="1" l="1"/>
  <c r="BO305" i="1"/>
  <c r="BN305" i="1"/>
  <c r="BR305" i="1" l="1"/>
  <c r="BY305" i="1" s="1"/>
  <c r="AQ306" i="1" l="1"/>
  <c r="BC306" i="1" s="1"/>
  <c r="BU306" i="1" s="1"/>
  <c r="BM306" i="1" l="1"/>
  <c r="BV306" i="1"/>
  <c r="CB306" i="1"/>
  <c r="CC306" i="1" s="1"/>
  <c r="BN306" i="1" l="1"/>
  <c r="BO306" i="1"/>
  <c r="BP306" i="1"/>
  <c r="BR306" i="1" l="1"/>
  <c r="BY306" i="1" s="1"/>
  <c r="AQ307" i="1" l="1"/>
  <c r="BC307" i="1" l="1"/>
  <c r="BU307" i="1" s="1"/>
  <c r="BH307" i="1"/>
  <c r="BJ307" i="1"/>
  <c r="CH307" i="1"/>
  <c r="CH308" i="1" s="1"/>
  <c r="CH309" i="1" s="1"/>
  <c r="CH310" i="1" s="1"/>
  <c r="CH311" i="1" s="1"/>
  <c r="CH312" i="1" s="1"/>
  <c r="BV307" i="1"/>
  <c r="L79" i="1" s="1"/>
  <c r="Z132" i="10" s="1"/>
  <c r="CB307" i="1"/>
  <c r="CC307" i="1" s="1"/>
  <c r="M79" i="1" s="1"/>
  <c r="AH132" i="10" s="1"/>
  <c r="AH276" i="3" l="1"/>
  <c r="Z276" i="3"/>
  <c r="BI307" i="1"/>
  <c r="BH308" i="1"/>
  <c r="BL307" i="1"/>
  <c r="BK307" i="1"/>
  <c r="BJ308" i="1"/>
  <c r="BK308" i="1" l="1"/>
  <c r="BL308" i="1"/>
  <c r="BW308" i="1" s="1"/>
  <c r="CD308" i="1" s="1"/>
  <c r="BJ309" i="1"/>
  <c r="BH309" i="1"/>
  <c r="BI308" i="1"/>
  <c r="BW307" i="1"/>
  <c r="BM307" i="1"/>
  <c r="BI309" i="1" l="1"/>
  <c r="BH310" i="1"/>
  <c r="BL309" i="1"/>
  <c r="BW309" i="1" s="1"/>
  <c r="CD309" i="1" s="1"/>
  <c r="BK309" i="1"/>
  <c r="BJ310" i="1"/>
  <c r="BP307" i="1"/>
  <c r="BO307" i="1"/>
  <c r="BN307" i="1"/>
  <c r="CD307" i="1"/>
  <c r="BX307" i="1"/>
  <c r="N79" i="1" s="1"/>
  <c r="AP132" i="10" s="1"/>
  <c r="BX308" i="1"/>
  <c r="BR307" i="1" l="1"/>
  <c r="BY307" i="1" s="1"/>
  <c r="Q79" i="1" s="1"/>
  <c r="BN132" i="10" s="1"/>
  <c r="BX309" i="1"/>
  <c r="BH311" i="1"/>
  <c r="BI310" i="1"/>
  <c r="AF78" i="1"/>
  <c r="AI78" i="1" s="1"/>
  <c r="AP276" i="3"/>
  <c r="CE307" i="1"/>
  <c r="O79" i="1" s="1"/>
  <c r="AX132" i="10" s="1"/>
  <c r="CE309" i="1"/>
  <c r="CE308" i="1"/>
  <c r="BL310" i="1"/>
  <c r="BW310" i="1" s="1"/>
  <c r="BK310" i="1"/>
  <c r="BJ311" i="1"/>
  <c r="P79" i="1" l="1"/>
  <c r="BF132" i="10" s="1"/>
  <c r="AQ308" i="1"/>
  <c r="BC308" i="1" s="1"/>
  <c r="BU308" i="1" s="1"/>
  <c r="BV308" i="1" s="1"/>
  <c r="BN276" i="3"/>
  <c r="AX276" i="3"/>
  <c r="CD310" i="1"/>
  <c r="BX310" i="1"/>
  <c r="BI311" i="1"/>
  <c r="BH312" i="1"/>
  <c r="BI312" i="1" s="1"/>
  <c r="BK311" i="1"/>
  <c r="BJ312" i="1"/>
  <c r="BL311" i="1"/>
  <c r="BW311" i="1" s="1"/>
  <c r="CD311" i="1" s="1"/>
  <c r="CB308" i="1" l="1"/>
  <c r="CC308" i="1" s="1"/>
  <c r="BM308" i="1"/>
  <c r="BN308" i="1" s="1"/>
  <c r="BF276" i="3"/>
  <c r="CE311" i="1"/>
  <c r="BX311" i="1"/>
  <c r="BK312" i="1"/>
  <c r="BL312" i="1"/>
  <c r="BW312" i="1" s="1"/>
  <c r="CE310" i="1"/>
  <c r="BO308" i="1" l="1"/>
  <c r="BP308" i="1"/>
  <c r="CD312" i="1"/>
  <c r="CE312" i="1" s="1"/>
  <c r="BX312" i="1"/>
  <c r="BR308" i="1" l="1"/>
  <c r="BY308" i="1" s="1"/>
  <c r="AQ309" i="1" l="1"/>
  <c r="BC309" i="1" s="1"/>
  <c r="BU309" i="1" s="1"/>
  <c r="CB309" i="1" s="1"/>
  <c r="CC309" i="1" s="1"/>
  <c r="BV309" i="1"/>
  <c r="BM309" i="1"/>
  <c r="BN309" i="1" s="1"/>
  <c r="BO309" i="1" l="1"/>
  <c r="BP309" i="1"/>
  <c r="BR309" i="1" l="1"/>
  <c r="AQ310" i="1" s="1"/>
  <c r="BC310" i="1" s="1"/>
  <c r="BU310" i="1" s="1"/>
  <c r="BV310" i="1" s="1"/>
  <c r="CB310" i="1" l="1"/>
  <c r="BY309" i="1"/>
  <c r="BM310" i="1"/>
  <c r="BN310" i="1" s="1"/>
  <c r="CC310" i="1"/>
  <c r="BO310" i="1" l="1"/>
  <c r="BP310" i="1"/>
  <c r="BR310" i="1" l="1"/>
  <c r="BY310" i="1" s="1"/>
  <c r="AQ311" i="1"/>
  <c r="BC311" i="1" s="1"/>
  <c r="BU311" i="1" s="1"/>
  <c r="CB311" i="1" s="1"/>
  <c r="BV311" i="1" l="1"/>
  <c r="BM311" i="1"/>
  <c r="BP311" i="1" s="1"/>
  <c r="CC311" i="1"/>
  <c r="BN311" i="1" l="1"/>
  <c r="BO311" i="1"/>
  <c r="BR311" i="1" l="1"/>
  <c r="AQ312" i="1" s="1"/>
  <c r="BC312" i="1" s="1"/>
  <c r="BU312" i="1" s="1"/>
  <c r="CB312" i="1" s="1"/>
  <c r="BV312" i="1" l="1"/>
  <c r="BM312" i="1"/>
  <c r="BP312" i="1" s="1"/>
  <c r="BY311" i="1"/>
  <c r="CC312" i="1"/>
  <c r="BN312" i="1" l="1"/>
  <c r="BO312" i="1"/>
  <c r="BR312" i="1" l="1"/>
  <c r="BY312" i="1" s="1"/>
  <c r="AQ313" i="1" l="1"/>
  <c r="BC313" i="1" s="1"/>
  <c r="BU313" i="1" s="1"/>
  <c r="BH313" i="1"/>
  <c r="BI313" i="1" s="1"/>
  <c r="BJ313" i="1"/>
  <c r="BL313" i="1" s="1"/>
  <c r="CH313" i="1"/>
  <c r="CH314" i="1" s="1"/>
  <c r="CH315" i="1" s="1"/>
  <c r="CH316" i="1" s="1"/>
  <c r="CH317" i="1" s="1"/>
  <c r="CH318" i="1" s="1"/>
  <c r="BV313" i="1" l="1"/>
  <c r="CB313" i="1"/>
  <c r="CC313" i="1" s="1"/>
  <c r="BJ314" i="1"/>
  <c r="BL314" i="1" s="1"/>
  <c r="BW314" i="1" s="1"/>
  <c r="CD314" i="1" s="1"/>
  <c r="BH314" i="1"/>
  <c r="BI314" i="1" s="1"/>
  <c r="BK313" i="1"/>
  <c r="BW313" i="1"/>
  <c r="BM313" i="1"/>
  <c r="BH315" i="1" l="1"/>
  <c r="BI315" i="1" s="1"/>
  <c r="BJ315" i="1"/>
  <c r="BK315" i="1" s="1"/>
  <c r="BK314" i="1"/>
  <c r="BO313" i="1"/>
  <c r="BP313" i="1"/>
  <c r="BN313" i="1"/>
  <c r="CD313" i="1"/>
  <c r="BX313" i="1"/>
  <c r="BX314" i="1"/>
  <c r="BH316" i="1" l="1"/>
  <c r="BH317" i="1" s="1"/>
  <c r="BJ316" i="1"/>
  <c r="BL316" i="1" s="1"/>
  <c r="BW316" i="1" s="1"/>
  <c r="BR313" i="1"/>
  <c r="BY313" i="1" s="1"/>
  <c r="BL315" i="1"/>
  <c r="BW315" i="1" s="1"/>
  <c r="CE313" i="1"/>
  <c r="CE314" i="1"/>
  <c r="BI316" i="1" l="1"/>
  <c r="BJ317" i="1"/>
  <c r="BK317" i="1" s="1"/>
  <c r="BK316" i="1"/>
  <c r="AQ314" i="1"/>
  <c r="BC314" i="1" s="1"/>
  <c r="BU314" i="1" s="1"/>
  <c r="BX316" i="1"/>
  <c r="CD315" i="1"/>
  <c r="CE315" i="1" s="1"/>
  <c r="BX315" i="1"/>
  <c r="BI317" i="1"/>
  <c r="BH318" i="1"/>
  <c r="CD316" i="1"/>
  <c r="BJ318" i="1" l="1"/>
  <c r="BK318" i="1" s="1"/>
  <c r="BL317" i="1"/>
  <c r="BW317" i="1" s="1"/>
  <c r="CD317" i="1" s="1"/>
  <c r="CE317" i="1" s="1"/>
  <c r="CE316" i="1"/>
  <c r="BM314" i="1"/>
  <c r="CB314" i="1"/>
  <c r="CC314" i="1" s="1"/>
  <c r="BV314" i="1"/>
  <c r="BI318" i="1"/>
  <c r="BL318" i="1" l="1"/>
  <c r="BW318" i="1" s="1"/>
  <c r="CD318" i="1" s="1"/>
  <c r="CE318" i="1" s="1"/>
  <c r="BX317" i="1"/>
  <c r="BP314" i="1"/>
  <c r="BO314" i="1"/>
  <c r="BN314" i="1"/>
  <c r="BX318" i="1" l="1"/>
  <c r="BR314" i="1"/>
  <c r="BY314" i="1" s="1"/>
  <c r="AQ315" i="1" l="1"/>
  <c r="BC315" i="1" s="1"/>
  <c r="BU315" i="1" s="1"/>
  <c r="BM315" i="1" l="1"/>
  <c r="BO315" i="1" s="1"/>
  <c r="CB315" i="1"/>
  <c r="CC315" i="1" s="1"/>
  <c r="BV315" i="1"/>
  <c r="BN315" i="1" l="1"/>
  <c r="BP315" i="1"/>
  <c r="BR315" i="1" l="1"/>
  <c r="AQ316" i="1" s="1"/>
  <c r="BC316" i="1" s="1"/>
  <c r="BU316" i="1" s="1"/>
  <c r="BY315" i="1" l="1"/>
  <c r="BM316" i="1"/>
  <c r="CB316" i="1"/>
  <c r="CC316" i="1" s="1"/>
  <c r="BV316" i="1"/>
  <c r="BO316" i="1" l="1"/>
  <c r="BN316" i="1"/>
  <c r="BP316" i="1"/>
  <c r="BR316" i="1" l="1"/>
  <c r="BY316" i="1" s="1"/>
  <c r="AQ317" i="1" l="1"/>
  <c r="BC317" i="1" s="1"/>
  <c r="BU317" i="1" s="1"/>
  <c r="BM317" i="1" l="1"/>
  <c r="BP317" i="1" s="1"/>
  <c r="CB317" i="1"/>
  <c r="CC317" i="1" s="1"/>
  <c r="BV317" i="1"/>
  <c r="BN317" i="1" l="1"/>
  <c r="BO317" i="1"/>
  <c r="BR317" i="1" l="1"/>
  <c r="BY317" i="1" s="1"/>
  <c r="AQ318" i="1" l="1"/>
  <c r="BC318" i="1" s="1"/>
  <c r="BU318" i="1" s="1"/>
  <c r="BV318" i="1" s="1"/>
  <c r="CB318" i="1" l="1"/>
  <c r="CC318" i="1" s="1"/>
  <c r="BM318" i="1"/>
  <c r="BN318" i="1" s="1"/>
  <c r="BO318" i="1" l="1"/>
  <c r="BP318" i="1"/>
  <c r="BR318" i="1" l="1"/>
  <c r="BY318" i="1" s="1"/>
  <c r="AQ319" i="1" l="1"/>
  <c r="BC319" i="1" s="1"/>
  <c r="BU319" i="1" s="1"/>
  <c r="BJ319" i="1"/>
  <c r="BJ320" i="1" s="1"/>
  <c r="BH319" i="1"/>
  <c r="BI319" i="1" s="1"/>
  <c r="CH319" i="1"/>
  <c r="CH320" i="1" s="1"/>
  <c r="CH321" i="1" s="1"/>
  <c r="CH322" i="1" s="1"/>
  <c r="CH323" i="1" s="1"/>
  <c r="CH324" i="1" s="1"/>
  <c r="BK319" i="1" l="1"/>
  <c r="BH320" i="1"/>
  <c r="BH321" i="1" s="1"/>
  <c r="BL319" i="1"/>
  <c r="BW319" i="1" s="1"/>
  <c r="BV319" i="1"/>
  <c r="L80" i="1" s="1"/>
  <c r="Z133" i="10" s="1"/>
  <c r="CB319" i="1"/>
  <c r="CC319" i="1" s="1"/>
  <c r="M80" i="1" s="1"/>
  <c r="AH133" i="10" s="1"/>
  <c r="BJ321" i="1"/>
  <c r="BK320" i="1"/>
  <c r="BL320" i="1"/>
  <c r="BW320" i="1" s="1"/>
  <c r="BM319" i="1" l="1"/>
  <c r="BO319" i="1" s="1"/>
  <c r="BI320" i="1"/>
  <c r="AH277" i="3"/>
  <c r="Z277" i="3"/>
  <c r="BL321" i="1"/>
  <c r="BW321" i="1" s="1"/>
  <c r="CD321" i="1" s="1"/>
  <c r="BK321" i="1"/>
  <c r="BJ322" i="1"/>
  <c r="BX320" i="1"/>
  <c r="CD320" i="1"/>
  <c r="BP319" i="1"/>
  <c r="BH322" i="1"/>
  <c r="BI321" i="1"/>
  <c r="CD319" i="1"/>
  <c r="BX319" i="1"/>
  <c r="N80" i="1" s="1"/>
  <c r="AP133" i="10" s="1"/>
  <c r="BN319" i="1" l="1"/>
  <c r="BX321" i="1"/>
  <c r="CE320" i="1"/>
  <c r="BR319" i="1"/>
  <c r="BY319" i="1" s="1"/>
  <c r="Q80" i="1" s="1"/>
  <c r="BN133" i="10" s="1"/>
  <c r="CE319" i="1"/>
  <c r="O80" i="1" s="1"/>
  <c r="AX133" i="10" s="1"/>
  <c r="CE321" i="1"/>
  <c r="BK322" i="1"/>
  <c r="BJ323" i="1"/>
  <c r="BL322" i="1"/>
  <c r="BW322" i="1" s="1"/>
  <c r="AP277" i="3"/>
  <c r="AF79" i="1"/>
  <c r="AI79" i="1" s="1"/>
  <c r="BI322" i="1"/>
  <c r="BH323" i="1"/>
  <c r="AX277" i="3" l="1"/>
  <c r="BN277" i="3"/>
  <c r="AQ320" i="1"/>
  <c r="P80" i="1"/>
  <c r="BF133" i="10" s="1"/>
  <c r="CD322" i="1"/>
  <c r="BX322" i="1"/>
  <c r="BJ324" i="1"/>
  <c r="BK323" i="1"/>
  <c r="BL323" i="1"/>
  <c r="BW323" i="1" s="1"/>
  <c r="CD323" i="1" s="1"/>
  <c r="BH324" i="1"/>
  <c r="BI324" i="1" s="1"/>
  <c r="BI323" i="1"/>
  <c r="BF277" i="3" l="1"/>
  <c r="BC320" i="1"/>
  <c r="BU320" i="1" s="1"/>
  <c r="BK324" i="1"/>
  <c r="BL324" i="1"/>
  <c r="BW324" i="1" s="1"/>
  <c r="CD324" i="1" s="1"/>
  <c r="CE324" i="1" s="1"/>
  <c r="BX323" i="1"/>
  <c r="CE322" i="1"/>
  <c r="CE323" i="1"/>
  <c r="BX324" i="1" l="1"/>
  <c r="BM320" i="1"/>
  <c r="BV320" i="1"/>
  <c r="CB320" i="1"/>
  <c r="CC320" i="1" s="1"/>
  <c r="BN320" i="1" l="1"/>
  <c r="BO320" i="1"/>
  <c r="BP320" i="1"/>
  <c r="BR320" i="1" l="1"/>
  <c r="BY320" i="1" s="1"/>
  <c r="AQ321" i="1" l="1"/>
  <c r="BC321" i="1" s="1"/>
  <c r="BU321" i="1" s="1"/>
  <c r="BM321" i="1" l="1"/>
  <c r="CB321" i="1"/>
  <c r="CC321" i="1" s="1"/>
  <c r="BV321" i="1"/>
  <c r="BO321" i="1" l="1"/>
  <c r="BP321" i="1"/>
  <c r="BN321" i="1"/>
  <c r="BR321" i="1" l="1"/>
  <c r="BY321" i="1" s="1"/>
  <c r="AQ322" i="1" l="1"/>
  <c r="BC322" i="1" s="1"/>
  <c r="BU322" i="1" s="1"/>
  <c r="BM322" i="1" l="1"/>
  <c r="CB322" i="1"/>
  <c r="CC322" i="1" s="1"/>
  <c r="BV322" i="1"/>
  <c r="BO322" i="1" l="1"/>
  <c r="BP322" i="1"/>
  <c r="BN322" i="1"/>
  <c r="BR322" i="1" l="1"/>
  <c r="AQ323" i="1" s="1"/>
  <c r="BY322" i="1" l="1"/>
  <c r="BC323" i="1"/>
  <c r="BU323" i="1" s="1"/>
  <c r="BM323" i="1" l="1"/>
  <c r="CB323" i="1"/>
  <c r="CC323" i="1" s="1"/>
  <c r="BV323" i="1"/>
  <c r="BP323" i="1" l="1"/>
  <c r="BN323" i="1"/>
  <c r="BO323" i="1"/>
  <c r="BR323" i="1" l="1"/>
  <c r="AQ324" i="1" s="1"/>
  <c r="CH325" i="1"/>
  <c r="CH326" i="1" s="1"/>
  <c r="CH327" i="1" s="1"/>
  <c r="BY323" i="1" l="1"/>
  <c r="BC324" i="1"/>
  <c r="BU324" i="1" s="1"/>
  <c r="BH325" i="1"/>
  <c r="BJ325" i="1"/>
  <c r="BM324" i="1" l="1"/>
  <c r="BV324" i="1"/>
  <c r="CB324" i="1"/>
  <c r="CC324" i="1" s="1"/>
  <c r="BL325" i="1"/>
  <c r="BK325" i="1"/>
  <c r="BJ326" i="1"/>
  <c r="BI325" i="1"/>
  <c r="BH326" i="1"/>
  <c r="CH328" i="1"/>
  <c r="CH329" i="1" s="1"/>
  <c r="CH330" i="1" s="1"/>
  <c r="BN324" i="1" l="1"/>
  <c r="BO324" i="1"/>
  <c r="BP324" i="1"/>
  <c r="BH327" i="1"/>
  <c r="BI326" i="1"/>
  <c r="BK326" i="1"/>
  <c r="BJ327" i="1"/>
  <c r="BL326" i="1"/>
  <c r="BW326" i="1" s="1"/>
  <c r="CD326" i="1" s="1"/>
  <c r="BW325" i="1"/>
  <c r="BR324" i="1" l="1"/>
  <c r="AQ325" i="1" s="1"/>
  <c r="BI327" i="1"/>
  <c r="BH328" i="1"/>
  <c r="CD325" i="1"/>
  <c r="CE326" i="1" s="1"/>
  <c r="BX325" i="1"/>
  <c r="BX326" i="1"/>
  <c r="BL327" i="1"/>
  <c r="BW327" i="1" s="1"/>
  <c r="CD327" i="1" s="1"/>
  <c r="BK327" i="1"/>
  <c r="BJ328" i="1"/>
  <c r="BY324" i="1" l="1"/>
  <c r="BC325" i="1"/>
  <c r="BU325" i="1" s="1"/>
  <c r="CE325" i="1"/>
  <c r="CE327" i="1"/>
  <c r="BK328" i="1"/>
  <c r="BL328" i="1"/>
  <c r="BW328" i="1" s="1"/>
  <c r="CD328" i="1" s="1"/>
  <c r="CE328" i="1" s="1"/>
  <c r="BJ329" i="1"/>
  <c r="BX327" i="1"/>
  <c r="BH329" i="1"/>
  <c r="BI328" i="1"/>
  <c r="BM325" i="1" l="1"/>
  <c r="CB325" i="1"/>
  <c r="CC325" i="1" s="1"/>
  <c r="BV325" i="1"/>
  <c r="BK329" i="1"/>
  <c r="BJ330" i="1"/>
  <c r="BL329" i="1"/>
  <c r="BW329" i="1" s="1"/>
  <c r="BH330" i="1"/>
  <c r="BI329" i="1"/>
  <c r="BX328" i="1"/>
  <c r="BP325" i="1" l="1"/>
  <c r="BO325" i="1"/>
  <c r="BN325" i="1"/>
  <c r="BI330" i="1"/>
  <c r="CD329" i="1"/>
  <c r="CE329" i="1" s="1"/>
  <c r="BX329" i="1"/>
  <c r="BK330" i="1"/>
  <c r="BL330" i="1"/>
  <c r="BW330" i="1" s="1"/>
  <c r="BR325" i="1" l="1"/>
  <c r="BY325" i="1" s="1"/>
  <c r="BX330" i="1"/>
  <c r="CD330" i="1"/>
  <c r="CE330" i="1" s="1"/>
  <c r="AQ326" i="1" l="1"/>
  <c r="BC326" i="1" s="1"/>
  <c r="BU326" i="1" s="1"/>
  <c r="BM326" i="1" l="1"/>
  <c r="BV326" i="1"/>
  <c r="CB326" i="1"/>
  <c r="CC326" i="1" s="1"/>
  <c r="BP326" i="1" l="1"/>
  <c r="BN326" i="1"/>
  <c r="BO326" i="1"/>
  <c r="BR326" i="1" l="1"/>
  <c r="AQ327" i="1" s="1"/>
  <c r="BY326" i="1" l="1"/>
  <c r="BC327" i="1"/>
  <c r="BU327" i="1" s="1"/>
  <c r="BM327" i="1" l="1"/>
  <c r="BV327" i="1"/>
  <c r="CB327" i="1"/>
  <c r="CC327" i="1" s="1"/>
  <c r="BN327" i="1" l="1"/>
  <c r="BP327" i="1"/>
  <c r="BO327" i="1"/>
  <c r="BR327" i="1" l="1"/>
  <c r="BY327" i="1" s="1"/>
  <c r="AQ328" i="1" l="1"/>
  <c r="BC328" i="1" s="1"/>
  <c r="BU328" i="1" s="1"/>
  <c r="BM328" i="1" l="1"/>
  <c r="CB328" i="1"/>
  <c r="CC328" i="1" s="1"/>
  <c r="BV328" i="1"/>
  <c r="BP328" i="1" l="1"/>
  <c r="BN328" i="1"/>
  <c r="BO328" i="1"/>
  <c r="BR328" i="1" l="1"/>
  <c r="BY328" i="1" s="1"/>
  <c r="AQ329" i="1" l="1"/>
  <c r="BC329" i="1" s="1"/>
  <c r="BU329" i="1" s="1"/>
  <c r="BM329" i="1" l="1"/>
  <c r="CB329" i="1"/>
  <c r="CC329" i="1" s="1"/>
  <c r="BV329" i="1"/>
  <c r="BP329" i="1" l="1"/>
  <c r="BO329" i="1"/>
  <c r="BN329" i="1"/>
  <c r="BR329" i="1" l="1"/>
  <c r="BY329" i="1" s="1"/>
  <c r="AQ330" i="1" l="1"/>
  <c r="BC330" i="1" s="1"/>
  <c r="BU330" i="1" s="1"/>
  <c r="BM330" i="1" l="1"/>
  <c r="CB330" i="1"/>
  <c r="CC330" i="1" s="1"/>
  <c r="BV330" i="1"/>
  <c r="BO330" i="1" l="1"/>
  <c r="BP330" i="1"/>
  <c r="BN330" i="1"/>
  <c r="BR330" i="1" l="1"/>
  <c r="AQ331" i="1" s="1"/>
  <c r="BY330" i="1" l="1"/>
  <c r="BC331" i="1"/>
  <c r="BU331" i="1" s="1"/>
  <c r="BJ331" i="1"/>
  <c r="BH331" i="1"/>
  <c r="CH331" i="1" l="1"/>
  <c r="CH332" i="1" s="1"/>
  <c r="CH333" i="1" s="1"/>
  <c r="CH334" i="1" s="1"/>
  <c r="CH335" i="1" s="1"/>
  <c r="CH336" i="1" s="1"/>
  <c r="BI331" i="1"/>
  <c r="BH332" i="1"/>
  <c r="BL331" i="1"/>
  <c r="BJ332" i="1"/>
  <c r="BK331" i="1"/>
  <c r="CB331" i="1"/>
  <c r="CC331" i="1" s="1"/>
  <c r="M81" i="1" s="1"/>
  <c r="AH134" i="10" s="1"/>
  <c r="BV331" i="1"/>
  <c r="L81" i="1" s="1"/>
  <c r="Z134" i="10" s="1"/>
  <c r="Z278" i="3" l="1"/>
  <c r="AH278" i="3"/>
  <c r="BL332" i="1"/>
  <c r="BW332" i="1" s="1"/>
  <c r="CD332" i="1" s="1"/>
  <c r="BJ333" i="1"/>
  <c r="BK332" i="1"/>
  <c r="BW331" i="1"/>
  <c r="BM331" i="1"/>
  <c r="BH333" i="1"/>
  <c r="BI332" i="1"/>
  <c r="BH334" i="1" l="1"/>
  <c r="BI333" i="1"/>
  <c r="BX331" i="1"/>
  <c r="N81" i="1" s="1"/>
  <c r="AP134" i="10" s="1"/>
  <c r="CD331" i="1"/>
  <c r="BX332" i="1"/>
  <c r="BJ334" i="1"/>
  <c r="BK333" i="1"/>
  <c r="BL333" i="1"/>
  <c r="BW333" i="1" s="1"/>
  <c r="BX333" i="1" s="1"/>
  <c r="BP331" i="1"/>
  <c r="BO331" i="1"/>
  <c r="BN331" i="1"/>
  <c r="BR331" i="1" l="1"/>
  <c r="P81" i="1" s="1"/>
  <c r="BF134" i="10" s="1"/>
  <c r="CE331" i="1"/>
  <c r="O81" i="1" s="1"/>
  <c r="AX134" i="10" s="1"/>
  <c r="CE332" i="1"/>
  <c r="AP278" i="3"/>
  <c r="AF80" i="1"/>
  <c r="AI80" i="1" s="1"/>
  <c r="BL334" i="1"/>
  <c r="BW334" i="1" s="1"/>
  <c r="BK334" i="1"/>
  <c r="BJ335" i="1"/>
  <c r="CD333" i="1"/>
  <c r="BI334" i="1"/>
  <c r="BH335" i="1"/>
  <c r="BY331" i="1" l="1"/>
  <c r="Q81" i="1" s="1"/>
  <c r="AQ332" i="1"/>
  <c r="BC332" i="1" s="1"/>
  <c r="BU332" i="1" s="1"/>
  <c r="AX278" i="3"/>
  <c r="BF278" i="3"/>
  <c r="BI335" i="1"/>
  <c r="BH336" i="1"/>
  <c r="BI336" i="1" s="1"/>
  <c r="BJ336" i="1"/>
  <c r="BL335" i="1"/>
  <c r="BW335" i="1" s="1"/>
  <c r="BK335" i="1"/>
  <c r="CD334" i="1"/>
  <c r="CE334" i="1" s="1"/>
  <c r="BX334" i="1"/>
  <c r="CE333" i="1"/>
  <c r="BN278" i="3" l="1"/>
  <c r="BN134" i="10"/>
  <c r="BM332" i="1"/>
  <c r="BO332" i="1" s="1"/>
  <c r="CD335" i="1"/>
  <c r="BX335" i="1"/>
  <c r="BK336" i="1"/>
  <c r="BL336" i="1"/>
  <c r="BW336" i="1" s="1"/>
  <c r="CD336" i="1" s="1"/>
  <c r="CB332" i="1"/>
  <c r="CC332" i="1" s="1"/>
  <c r="BV332" i="1"/>
  <c r="BP332" i="1" l="1"/>
  <c r="BN332" i="1"/>
  <c r="BX336" i="1"/>
  <c r="CE335" i="1"/>
  <c r="CE336" i="1"/>
  <c r="BR332" i="1" l="1"/>
  <c r="AQ333" i="1" s="1"/>
  <c r="BC333" i="1" s="1"/>
  <c r="BU333" i="1" s="1"/>
  <c r="BY332" i="1" l="1"/>
  <c r="BM333" i="1"/>
  <c r="CB333" i="1"/>
  <c r="CC333" i="1" s="1"/>
  <c r="BV333" i="1"/>
  <c r="BN333" i="1" l="1"/>
  <c r="BO333" i="1"/>
  <c r="BP333" i="1"/>
  <c r="BR333" i="1" l="1"/>
  <c r="AQ334" i="1" s="1"/>
  <c r="BY333" i="1" l="1"/>
  <c r="BC334" i="1"/>
  <c r="BU334" i="1" s="1"/>
  <c r="CB334" i="1" l="1"/>
  <c r="CC334" i="1" s="1"/>
  <c r="BV334" i="1"/>
  <c r="BM334" i="1"/>
  <c r="BO334" i="1" l="1"/>
  <c r="BN334" i="1"/>
  <c r="BP334" i="1"/>
  <c r="BR334" i="1" l="1"/>
  <c r="BY334" i="1" s="1"/>
  <c r="AQ335" i="1" l="1"/>
  <c r="BC335" i="1" s="1"/>
  <c r="BU335" i="1" s="1"/>
  <c r="CH337" i="1"/>
  <c r="CH338" i="1" s="1"/>
  <c r="CH339" i="1" s="1"/>
  <c r="BJ337" i="1"/>
  <c r="BL337" i="1" s="1"/>
  <c r="BM335" i="1" l="1"/>
  <c r="BO335" i="1" s="1"/>
  <c r="BV335" i="1"/>
  <c r="CB335" i="1"/>
  <c r="CC335" i="1" s="1"/>
  <c r="BH337" i="1"/>
  <c r="BI337" i="1" s="1"/>
  <c r="BJ338" i="1"/>
  <c r="BL338" i="1" s="1"/>
  <c r="BW338" i="1" s="1"/>
  <c r="CD338" i="1" s="1"/>
  <c r="BK337" i="1"/>
  <c r="BW337" i="1"/>
  <c r="BP335" i="1" l="1"/>
  <c r="BN335" i="1"/>
  <c r="BH338" i="1"/>
  <c r="BI338" i="1" s="1"/>
  <c r="BJ339" i="1"/>
  <c r="BL339" i="1" s="1"/>
  <c r="BW339" i="1" s="1"/>
  <c r="CD339" i="1" s="1"/>
  <c r="BK338" i="1"/>
  <c r="CD337" i="1"/>
  <c r="BX337" i="1"/>
  <c r="BX338" i="1"/>
  <c r="BR335" i="1" l="1"/>
  <c r="AQ336" i="1" s="1"/>
  <c r="BH339" i="1"/>
  <c r="BI339" i="1" s="1"/>
  <c r="CE339" i="1"/>
  <c r="BK339" i="1"/>
  <c r="BX339" i="1"/>
  <c r="CE338" i="1"/>
  <c r="CE337" i="1"/>
  <c r="BY335" i="1" l="1"/>
  <c r="BC336" i="1"/>
  <c r="BU336" i="1" s="1"/>
  <c r="CB336" i="1" s="1"/>
  <c r="CC336" i="1" s="1"/>
  <c r="BV336" i="1" l="1"/>
  <c r="BM336" i="1"/>
  <c r="BO336" i="1" s="1"/>
  <c r="CH340" i="1"/>
  <c r="CH341" i="1" s="1"/>
  <c r="CH342" i="1" s="1"/>
  <c r="BJ340" i="1"/>
  <c r="BH340" i="1"/>
  <c r="BN336" i="1" l="1"/>
  <c r="BP336" i="1"/>
  <c r="BH341" i="1"/>
  <c r="BI340" i="1"/>
  <c r="BK340" i="1"/>
  <c r="BL340" i="1"/>
  <c r="BJ341" i="1"/>
  <c r="BR336" i="1" l="1"/>
  <c r="BY336" i="1" s="1"/>
  <c r="BL341" i="1"/>
  <c r="BW341" i="1" s="1"/>
  <c r="CD341" i="1" s="1"/>
  <c r="BK341" i="1"/>
  <c r="BJ342" i="1"/>
  <c r="BW340" i="1"/>
  <c r="BI341" i="1"/>
  <c r="BH342" i="1"/>
  <c r="AQ337" i="1" l="1"/>
  <c r="BC337" i="1" s="1"/>
  <c r="BU337" i="1" s="1"/>
  <c r="CB337" i="1" s="1"/>
  <c r="CC337" i="1" s="1"/>
  <c r="BI342" i="1"/>
  <c r="BK342" i="1"/>
  <c r="BL342" i="1"/>
  <c r="BW342" i="1" s="1"/>
  <c r="BX341" i="1"/>
  <c r="CD340" i="1"/>
  <c r="BX340" i="1"/>
  <c r="BM337" i="1" l="1"/>
  <c r="BN337" i="1" s="1"/>
  <c r="BV337" i="1"/>
  <c r="CD342" i="1"/>
  <c r="CE342" i="1" s="1"/>
  <c r="BX342" i="1"/>
  <c r="CE340" i="1"/>
  <c r="CE341" i="1"/>
  <c r="BP337" i="1" l="1"/>
  <c r="BO337" i="1"/>
  <c r="BR337" i="1" l="1"/>
  <c r="AQ338" i="1" s="1"/>
  <c r="BY337" i="1" l="1"/>
  <c r="BC338" i="1"/>
  <c r="BU338" i="1" s="1"/>
  <c r="BM338" i="1" l="1"/>
  <c r="BN338" i="1" s="1"/>
  <c r="CB338" i="1"/>
  <c r="CC338" i="1" s="1"/>
  <c r="BV338" i="1"/>
  <c r="BP338" i="1" l="1"/>
  <c r="BO338" i="1"/>
  <c r="BR338" i="1" l="1"/>
  <c r="AQ339" i="1" s="1"/>
  <c r="BC339" i="1" s="1"/>
  <c r="BU339" i="1" s="1"/>
  <c r="BY338" i="1" l="1"/>
  <c r="BM339" i="1"/>
  <c r="BP339" i="1" s="1"/>
  <c r="BV339" i="1"/>
  <c r="CB339" i="1"/>
  <c r="CC339" i="1" s="1"/>
  <c r="BN339" i="1" l="1"/>
  <c r="BO339" i="1"/>
  <c r="BR339" i="1" l="1"/>
  <c r="BY339" i="1" s="1"/>
  <c r="AQ340" i="1" l="1"/>
  <c r="BC340" i="1" s="1"/>
  <c r="BU340" i="1" s="1"/>
  <c r="CB340" i="1" s="1"/>
  <c r="CC340" i="1" s="1"/>
  <c r="BM340" i="1" l="1"/>
  <c r="BN340" i="1" s="1"/>
  <c r="BV340" i="1"/>
  <c r="BP340" i="1" l="1"/>
  <c r="BO340" i="1"/>
  <c r="BR340" i="1" l="1"/>
  <c r="BY340" i="1" s="1"/>
  <c r="AQ341" i="1" l="1"/>
  <c r="BC341" i="1" s="1"/>
  <c r="BU341" i="1" s="1"/>
  <c r="BV341" i="1" s="1"/>
  <c r="BM341" i="1" l="1"/>
  <c r="BO341" i="1" s="1"/>
  <c r="CB341" i="1"/>
  <c r="CC341" i="1" s="1"/>
  <c r="BN341" i="1" l="1"/>
  <c r="BP341" i="1"/>
  <c r="BR341" i="1" l="1"/>
  <c r="AQ342" i="1" s="1"/>
  <c r="BC342" i="1" s="1"/>
  <c r="BU342" i="1" s="1"/>
  <c r="BV342" i="1" s="1"/>
  <c r="BY341" i="1"/>
  <c r="BM342" i="1"/>
  <c r="BO342" i="1" s="1"/>
  <c r="CB342" i="1"/>
  <c r="CC342" i="1" s="1"/>
  <c r="BP342" i="1" l="1"/>
  <c r="BN342" i="1"/>
  <c r="BR342" i="1" l="1"/>
  <c r="BY342" i="1" l="1"/>
  <c r="AQ343" i="1"/>
  <c r="BC343" i="1" l="1"/>
  <c r="BU343" i="1" s="1"/>
  <c r="BH343" i="1" l="1"/>
  <c r="BI343" i="1" s="1"/>
  <c r="BV343" i="1"/>
  <c r="L82" i="1" s="1"/>
  <c r="CB343" i="1"/>
  <c r="CC343" i="1" s="1"/>
  <c r="M82" i="1" s="1"/>
  <c r="BJ343" i="1"/>
  <c r="BH344" i="1"/>
  <c r="CH343" i="1"/>
  <c r="CH344" i="1" s="1"/>
  <c r="CH345" i="1" s="1"/>
  <c r="CH346" i="1" s="1"/>
  <c r="CH347" i="1" s="1"/>
  <c r="CH348" i="1" s="1"/>
  <c r="Z135" i="10" l="1"/>
  <c r="Z279" i="3"/>
  <c r="AH135" i="10"/>
  <c r="AH279" i="3"/>
  <c r="BI344" i="1"/>
  <c r="BH345" i="1"/>
  <c r="BL343" i="1"/>
  <c r="BJ344" i="1"/>
  <c r="BK343" i="1"/>
  <c r="BL344" i="1" l="1"/>
  <c r="BW344" i="1" s="1"/>
  <c r="CD344" i="1" s="1"/>
  <c r="BJ345" i="1"/>
  <c r="BK344" i="1"/>
  <c r="BW343" i="1"/>
  <c r="BM343" i="1"/>
  <c r="BI345" i="1"/>
  <c r="BH346" i="1"/>
  <c r="BH347" i="1" l="1"/>
  <c r="BI346" i="1"/>
  <c r="BL345" i="1"/>
  <c r="BW345" i="1" s="1"/>
  <c r="BJ346" i="1"/>
  <c r="BK345" i="1"/>
  <c r="BO343" i="1"/>
  <c r="BP343" i="1"/>
  <c r="BN343" i="1"/>
  <c r="BX344" i="1"/>
  <c r="BX343" i="1"/>
  <c r="N82" i="1" s="1"/>
  <c r="CD343" i="1"/>
  <c r="BR343" i="1" l="1"/>
  <c r="CE343" i="1"/>
  <c r="O82" i="1" s="1"/>
  <c r="CE344" i="1"/>
  <c r="AQ344" i="1"/>
  <c r="P82" i="1"/>
  <c r="BY343" i="1"/>
  <c r="Q82" i="1" s="1"/>
  <c r="BI347" i="1"/>
  <c r="BH348" i="1"/>
  <c r="BI348" i="1" s="1"/>
  <c r="BK346" i="1"/>
  <c r="BL346" i="1"/>
  <c r="BW346" i="1" s="1"/>
  <c r="BX346" i="1" s="1"/>
  <c r="BJ347" i="1"/>
  <c r="AP135" i="10"/>
  <c r="AP279" i="3"/>
  <c r="AF81" i="1"/>
  <c r="AI81" i="1" s="1"/>
  <c r="BX345" i="1"/>
  <c r="CD345" i="1"/>
  <c r="CE345" i="1" s="1"/>
  <c r="BF135" i="10" l="1"/>
  <c r="BF279" i="3"/>
  <c r="BJ348" i="1"/>
  <c r="BL347" i="1"/>
  <c r="BW347" i="1" s="1"/>
  <c r="BK347" i="1"/>
  <c r="BC344" i="1"/>
  <c r="BU344" i="1" s="1"/>
  <c r="BN279" i="3"/>
  <c r="BN135" i="10"/>
  <c r="CD346" i="1"/>
  <c r="CE346" i="1" s="1"/>
  <c r="AX135" i="10"/>
  <c r="AX279" i="3"/>
  <c r="BM344" i="1" l="1"/>
  <c r="BP344" i="1" s="1"/>
  <c r="BV344" i="1"/>
  <c r="CB344" i="1"/>
  <c r="CC344" i="1" s="1"/>
  <c r="BL348" i="1"/>
  <c r="BW348" i="1" s="1"/>
  <c r="CD348" i="1" s="1"/>
  <c r="BK348" i="1"/>
  <c r="CD347" i="1"/>
  <c r="CE347" i="1" s="1"/>
  <c r="BX347" i="1"/>
  <c r="CE348" i="1" l="1"/>
  <c r="BN344" i="1"/>
  <c r="BO344" i="1"/>
  <c r="BX348" i="1"/>
  <c r="BR344" i="1" l="1"/>
  <c r="BY344" i="1" s="1"/>
  <c r="AQ345" i="1" l="1"/>
  <c r="BC345" i="1" s="1"/>
  <c r="BU345" i="1" s="1"/>
  <c r="CB345" i="1" s="1"/>
  <c r="CC345" i="1" s="1"/>
  <c r="BM345" i="1" l="1"/>
  <c r="BO345" i="1" s="1"/>
  <c r="BV345" i="1"/>
  <c r="BN345" i="1" l="1"/>
  <c r="BP345" i="1"/>
  <c r="BR345" i="1"/>
  <c r="AQ346" i="1" s="1"/>
  <c r="BY345" i="1" l="1"/>
  <c r="BC346" i="1"/>
  <c r="BU346" i="1" s="1"/>
  <c r="CB346" i="1" l="1"/>
  <c r="CC346" i="1" s="1"/>
  <c r="BV346" i="1"/>
  <c r="BM346" i="1"/>
  <c r="CH349" i="1"/>
  <c r="CH350" i="1" s="1"/>
  <c r="CH351" i="1" s="1"/>
  <c r="BH349" i="1"/>
  <c r="BJ349" i="1"/>
  <c r="BO346" i="1" l="1"/>
  <c r="BN346" i="1"/>
  <c r="BP346" i="1"/>
  <c r="BH350" i="1"/>
  <c r="BI349" i="1"/>
  <c r="BJ350" i="1"/>
  <c r="BK349" i="1"/>
  <c r="BL349" i="1"/>
  <c r="BW349" i="1" s="1"/>
  <c r="BR346" i="1" l="1"/>
  <c r="BY346" i="1" s="1"/>
  <c r="BL350" i="1"/>
  <c r="BW350" i="1" s="1"/>
  <c r="CD350" i="1" s="1"/>
  <c r="BK350" i="1"/>
  <c r="BJ351" i="1"/>
  <c r="CD349" i="1"/>
  <c r="BX349" i="1"/>
  <c r="BI350" i="1"/>
  <c r="BH351" i="1"/>
  <c r="BI351" i="1" s="1"/>
  <c r="AQ347" i="1" l="1"/>
  <c r="BC347" i="1" s="1"/>
  <c r="BU347" i="1" s="1"/>
  <c r="BL351" i="1"/>
  <c r="BW351" i="1" s="1"/>
  <c r="CD351" i="1" s="1"/>
  <c r="CE351" i="1" s="1"/>
  <c r="BK351" i="1"/>
  <c r="CE349" i="1"/>
  <c r="CE350" i="1"/>
  <c r="BX350" i="1"/>
  <c r="BJ352" i="1"/>
  <c r="BM347" i="1" l="1"/>
  <c r="CB347" i="1"/>
  <c r="CC347" i="1" s="1"/>
  <c r="BV347" i="1"/>
  <c r="BX351" i="1"/>
  <c r="BH352" i="1"/>
  <c r="BL352" i="1" s="1"/>
  <c r="BK352" i="1"/>
  <c r="BJ353" i="1"/>
  <c r="BN347" i="1" l="1"/>
  <c r="BO347" i="1"/>
  <c r="BP347" i="1"/>
  <c r="BH353" i="1"/>
  <c r="BL353" i="1" s="1"/>
  <c r="BW353" i="1" s="1"/>
  <c r="BI352" i="1"/>
  <c r="BW352" i="1"/>
  <c r="BJ354" i="1"/>
  <c r="BK353" i="1"/>
  <c r="BR347" i="1" l="1"/>
  <c r="AQ348" i="1" s="1"/>
  <c r="BH354" i="1"/>
  <c r="BL354" i="1" s="1"/>
  <c r="BW354" i="1" s="1"/>
  <c r="BI353" i="1"/>
  <c r="CH352" i="1"/>
  <c r="CH353" i="1" s="1"/>
  <c r="CH354" i="1" s="1"/>
  <c r="CD353" i="1"/>
  <c r="BX353" i="1"/>
  <c r="BK354" i="1"/>
  <c r="CD352" i="1"/>
  <c r="BX352" i="1"/>
  <c r="BY347" i="1" l="1"/>
  <c r="BC348" i="1"/>
  <c r="BU348" i="1" s="1"/>
  <c r="BI354" i="1"/>
  <c r="CE352" i="1"/>
  <c r="CD354" i="1"/>
  <c r="BX354" i="1"/>
  <c r="CE353" i="1"/>
  <c r="BM348" i="1" l="1"/>
  <c r="CB348" i="1"/>
  <c r="CC348" i="1" s="1"/>
  <c r="BV348" i="1"/>
  <c r="CE354" i="1"/>
  <c r="BP348" i="1" l="1"/>
  <c r="BO348" i="1"/>
  <c r="BN348" i="1"/>
  <c r="BR348" i="1" l="1"/>
  <c r="AQ349" i="1" s="1"/>
  <c r="BY348" i="1" l="1"/>
  <c r="BC349" i="1"/>
  <c r="BU349" i="1" s="1"/>
  <c r="BM349" i="1" l="1"/>
  <c r="BO349" i="1" s="1"/>
  <c r="CB349" i="1"/>
  <c r="CC349" i="1" s="1"/>
  <c r="BV349" i="1"/>
  <c r="BN349" i="1" l="1"/>
  <c r="BP349" i="1"/>
  <c r="BR349" i="1" l="1"/>
  <c r="BY349" i="1" s="1"/>
  <c r="AQ350" i="1" l="1"/>
  <c r="BC350" i="1" s="1"/>
  <c r="BU350" i="1" s="1"/>
  <c r="CB350" i="1" s="1"/>
  <c r="CC350" i="1" s="1"/>
  <c r="BV350" i="1" l="1"/>
  <c r="BM350" i="1"/>
  <c r="BN350" i="1" s="1"/>
  <c r="BP350" i="1" l="1"/>
  <c r="BO350" i="1"/>
  <c r="BR350" i="1" s="1"/>
  <c r="AQ351" i="1" s="1"/>
  <c r="BY350" i="1" l="1"/>
  <c r="BC351" i="1"/>
  <c r="BU351" i="1" s="1"/>
  <c r="CB351" i="1" l="1"/>
  <c r="CC351" i="1" s="1"/>
  <c r="BV351" i="1"/>
  <c r="BM351" i="1"/>
  <c r="BO351" i="1" l="1"/>
  <c r="BN351" i="1"/>
  <c r="BP351" i="1"/>
  <c r="BR351" i="1" l="1"/>
  <c r="BY351" i="1" s="1"/>
  <c r="AQ352" i="1" l="1"/>
  <c r="BC352" i="1" s="1"/>
  <c r="BU352" i="1" s="1"/>
  <c r="BM352" i="1" l="1"/>
  <c r="BP352" i="1" s="1"/>
  <c r="BV352" i="1"/>
  <c r="CB352" i="1"/>
  <c r="CC352" i="1" s="1"/>
  <c r="BO352" i="1" l="1"/>
  <c r="BN352" i="1"/>
  <c r="BR352" i="1" l="1"/>
  <c r="BY352" i="1" s="1"/>
  <c r="AQ353" i="1" l="1"/>
  <c r="BC353" i="1" s="1"/>
  <c r="BU353" i="1" s="1"/>
  <c r="BV353" i="1" s="1"/>
  <c r="CB353" i="1" l="1"/>
  <c r="CC353" i="1" s="1"/>
  <c r="BM353" i="1"/>
  <c r="BN353" i="1" s="1"/>
  <c r="BP353" i="1" l="1"/>
  <c r="BO353" i="1"/>
  <c r="BR353" i="1"/>
  <c r="BY353" i="1" s="1"/>
  <c r="AQ354" i="1" l="1"/>
  <c r="BC354" i="1" s="1"/>
  <c r="BU354" i="1" s="1"/>
  <c r="BM354" i="1" l="1"/>
  <c r="BO354" i="1" s="1"/>
  <c r="CB354" i="1"/>
  <c r="CC354" i="1" s="1"/>
  <c r="BV354" i="1"/>
  <c r="BP354" i="1" l="1"/>
  <c r="BN354" i="1"/>
  <c r="BR354" i="1" l="1"/>
  <c r="AQ355" i="1" s="1"/>
  <c r="BY354" i="1" l="1"/>
  <c r="BC355" i="1"/>
  <c r="BU355" i="1" s="1"/>
  <c r="CB355" i="1" s="1"/>
  <c r="CC355" i="1" s="1"/>
  <c r="M83" i="1" s="1"/>
  <c r="BH355" i="1"/>
  <c r="BI355" i="1" s="1"/>
  <c r="BV355" i="1" l="1"/>
  <c r="L83" i="1" s="1"/>
  <c r="BJ355" i="1"/>
  <c r="BK355" i="1" s="1"/>
  <c r="CH355" i="1"/>
  <c r="CH356" i="1" s="1"/>
  <c r="CH357" i="1" s="1"/>
  <c r="CH358" i="1" s="1"/>
  <c r="CH359" i="1" s="1"/>
  <c r="CH360" i="1" s="1"/>
  <c r="BH356" i="1"/>
  <c r="BI356" i="1" s="1"/>
  <c r="AH136" i="10"/>
  <c r="AH280" i="3"/>
  <c r="Z136" i="10"/>
  <c r="Z280" i="3"/>
  <c r="BH357" i="1" l="1"/>
  <c r="BI357" i="1" s="1"/>
  <c r="BL355" i="1"/>
  <c r="BJ356" i="1"/>
  <c r="BH358" i="1" l="1"/>
  <c r="BJ357" i="1"/>
  <c r="BK356" i="1"/>
  <c r="BL356" i="1"/>
  <c r="BW356" i="1" s="1"/>
  <c r="CD356" i="1" s="1"/>
  <c r="BW355" i="1"/>
  <c r="BM355" i="1"/>
  <c r="BH359" i="1"/>
  <c r="BI358" i="1"/>
  <c r="BN355" i="1" l="1"/>
  <c r="BO355" i="1"/>
  <c r="BP355" i="1"/>
  <c r="BX356" i="1"/>
  <c r="CD355" i="1"/>
  <c r="BX355" i="1"/>
  <c r="N83" i="1" s="1"/>
  <c r="BK357" i="1"/>
  <c r="BJ358" i="1"/>
  <c r="BL357" i="1"/>
  <c r="BW357" i="1" s="1"/>
  <c r="BI359" i="1"/>
  <c r="BH360" i="1"/>
  <c r="BI360" i="1" s="1"/>
  <c r="AP280" i="3" l="1"/>
  <c r="AF82" i="1"/>
  <c r="AI82" i="1" s="1"/>
  <c r="AP136" i="10"/>
  <c r="CE355" i="1"/>
  <c r="O83" i="1" s="1"/>
  <c r="CE356" i="1"/>
  <c r="BJ359" i="1"/>
  <c r="BL358" i="1"/>
  <c r="BW358" i="1" s="1"/>
  <c r="BK358" i="1"/>
  <c r="BX357" i="1"/>
  <c r="CD357" i="1"/>
  <c r="CE357" i="1" s="1"/>
  <c r="BR355" i="1"/>
  <c r="CD358" i="1" l="1"/>
  <c r="CE358" i="1" s="1"/>
  <c r="BX358" i="1"/>
  <c r="BJ360" i="1"/>
  <c r="BK359" i="1"/>
  <c r="BL359" i="1"/>
  <c r="BW359" i="1" s="1"/>
  <c r="AQ356" i="1"/>
  <c r="P83" i="1"/>
  <c r="BY355" i="1"/>
  <c r="Q83" i="1" s="1"/>
  <c r="AX280" i="3"/>
  <c r="AX136" i="10"/>
  <c r="BX359" i="1" l="1"/>
  <c r="CD359" i="1"/>
  <c r="CE359" i="1" s="1"/>
  <c r="BK360" i="1"/>
  <c r="BL360" i="1"/>
  <c r="BW360" i="1" s="1"/>
  <c r="BN136" i="10"/>
  <c r="BN280" i="3"/>
  <c r="BC356" i="1"/>
  <c r="BU356" i="1" s="1"/>
  <c r="BF136" i="10"/>
  <c r="BF280" i="3"/>
  <c r="CD360" i="1" l="1"/>
  <c r="CE360" i="1" s="1"/>
  <c r="BX360" i="1"/>
  <c r="BV356" i="1"/>
  <c r="CB356" i="1"/>
  <c r="CC356" i="1" s="1"/>
  <c r="BM356" i="1"/>
  <c r="BN356" i="1" l="1"/>
  <c r="BO356" i="1"/>
  <c r="BP356" i="1"/>
  <c r="BR356" i="1" l="1"/>
  <c r="AQ357" i="1" s="1"/>
  <c r="BY356" i="1" l="1"/>
  <c r="BC357" i="1"/>
  <c r="BU357" i="1" s="1"/>
  <c r="BM357" i="1" l="1"/>
  <c r="CB357" i="1"/>
  <c r="CC357" i="1" s="1"/>
  <c r="BV357" i="1"/>
  <c r="BN357" i="1" l="1"/>
  <c r="BO357" i="1"/>
  <c r="BP357" i="1"/>
  <c r="BR357" i="1" l="1"/>
  <c r="AQ358" i="1" s="1"/>
  <c r="BY357" i="1" l="1"/>
  <c r="BC358" i="1"/>
  <c r="BU358" i="1" s="1"/>
  <c r="CH361" i="1"/>
  <c r="CH362" i="1" s="1"/>
  <c r="CH363" i="1" s="1"/>
  <c r="BH361" i="1"/>
  <c r="BI361" i="1" s="1"/>
  <c r="BJ361" i="1"/>
  <c r="BJ362" i="1" s="1"/>
  <c r="BM358" i="1" l="1"/>
  <c r="BP358" i="1" s="1"/>
  <c r="CB358" i="1"/>
  <c r="CC358" i="1" s="1"/>
  <c r="BV358" i="1"/>
  <c r="BH362" i="1"/>
  <c r="BI362" i="1" s="1"/>
  <c r="BL361" i="1"/>
  <c r="BW361" i="1" s="1"/>
  <c r="BK361" i="1"/>
  <c r="BK362" i="1"/>
  <c r="BL362" i="1"/>
  <c r="BW362" i="1" s="1"/>
  <c r="CD362" i="1" s="1"/>
  <c r="BJ363" i="1"/>
  <c r="BN358" i="1" l="1"/>
  <c r="BO358" i="1"/>
  <c r="BH363" i="1"/>
  <c r="BI363" i="1" s="1"/>
  <c r="BL363" i="1"/>
  <c r="BW363" i="1" s="1"/>
  <c r="CD363" i="1" s="1"/>
  <c r="BK363" i="1"/>
  <c r="CD361" i="1"/>
  <c r="BX361" i="1"/>
  <c r="BX362" i="1"/>
  <c r="CH364" i="1"/>
  <c r="CH365" i="1" s="1"/>
  <c r="CH366" i="1" s="1"/>
  <c r="BJ364" i="1"/>
  <c r="BR358" i="1" l="1"/>
  <c r="AQ359" i="1" s="1"/>
  <c r="BC359" i="1" s="1"/>
  <c r="BU359" i="1" s="1"/>
  <c r="BY358" i="1"/>
  <c r="BH364" i="1"/>
  <c r="BI364" i="1" s="1"/>
  <c r="BX363" i="1"/>
  <c r="CE361" i="1"/>
  <c r="CE362" i="1"/>
  <c r="CE363" i="1"/>
  <c r="BK364" i="1"/>
  <c r="BJ365" i="1"/>
  <c r="BL364" i="1"/>
  <c r="BM359" i="1" l="1"/>
  <c r="BN359" i="1" s="1"/>
  <c r="CB359" i="1"/>
  <c r="CC359" i="1" s="1"/>
  <c r="BV359" i="1"/>
  <c r="BH365" i="1"/>
  <c r="BI365" i="1" s="1"/>
  <c r="BW364" i="1"/>
  <c r="BK365" i="1"/>
  <c r="BL365" i="1"/>
  <c r="BW365" i="1" s="1"/>
  <c r="BJ366" i="1"/>
  <c r="BO359" i="1" l="1"/>
  <c r="BP359" i="1"/>
  <c r="BH366" i="1"/>
  <c r="BI366" i="1" s="1"/>
  <c r="CD364" i="1"/>
  <c r="BX364" i="1"/>
  <c r="BL366" i="1"/>
  <c r="BW366" i="1" s="1"/>
  <c r="BK366" i="1"/>
  <c r="CD365" i="1"/>
  <c r="BX365" i="1"/>
  <c r="BR359" i="1" l="1"/>
  <c r="BY359" i="1" s="1"/>
  <c r="CD366" i="1"/>
  <c r="BX366" i="1"/>
  <c r="CE364" i="1"/>
  <c r="CE365" i="1"/>
  <c r="AQ360" i="1" l="1"/>
  <c r="BC360" i="1" s="1"/>
  <c r="BU360" i="1" s="1"/>
  <c r="CB360" i="1" s="1"/>
  <c r="CC360" i="1" s="1"/>
  <c r="BV360" i="1"/>
  <c r="CE366" i="1"/>
  <c r="BM360" i="1" l="1"/>
  <c r="BP360" i="1" s="1"/>
  <c r="BN360" i="1" l="1"/>
  <c r="BO360" i="1"/>
  <c r="BR360" i="1" l="1"/>
  <c r="AQ361" i="1"/>
  <c r="BC361" i="1" s="1"/>
  <c r="BU361" i="1" s="1"/>
  <c r="BY360" i="1"/>
  <c r="CB361" i="1"/>
  <c r="CC361" i="1" s="1"/>
  <c r="BV361" i="1"/>
  <c r="BM361" i="1" l="1"/>
  <c r="BN361" i="1" l="1"/>
  <c r="BO361" i="1"/>
  <c r="BP361" i="1"/>
  <c r="BR361" i="1" l="1"/>
  <c r="BY361" i="1" l="1"/>
  <c r="AQ362" i="1"/>
  <c r="BC362" i="1" l="1"/>
  <c r="BU362" i="1" s="1"/>
  <c r="BM362" i="1" l="1"/>
  <c r="BP362" i="1"/>
  <c r="BO362" i="1"/>
  <c r="BN362" i="1"/>
  <c r="BR362" i="1" s="1"/>
  <c r="CB362" i="1"/>
  <c r="CC362" i="1" s="1"/>
  <c r="BV362" i="1"/>
  <c r="AQ363" i="1" l="1"/>
  <c r="BY362" i="1"/>
  <c r="BC363" i="1" l="1"/>
  <c r="BU363" i="1" s="1"/>
  <c r="BM363" i="1" l="1"/>
  <c r="CB363" i="1"/>
  <c r="CC363" i="1" s="1"/>
  <c r="BV363" i="1"/>
  <c r="BN363" i="1" l="1"/>
  <c r="BP363" i="1"/>
  <c r="BO363" i="1"/>
  <c r="BR363" i="1" l="1"/>
  <c r="BY363" i="1"/>
  <c r="AQ364" i="1"/>
  <c r="BC364" i="1" l="1"/>
  <c r="BU364" i="1" s="1"/>
  <c r="BM364" i="1"/>
  <c r="BP364" i="1" l="1"/>
  <c r="BO364" i="1"/>
  <c r="BN364" i="1"/>
  <c r="BV364" i="1"/>
  <c r="CB364" i="1"/>
  <c r="CC364" i="1" s="1"/>
  <c r="BR364" i="1" l="1"/>
  <c r="AQ365" i="1"/>
  <c r="BY364" i="1"/>
  <c r="BC365" i="1" l="1"/>
  <c r="BU365" i="1" s="1"/>
  <c r="BM365" i="1" l="1"/>
  <c r="BP365" i="1"/>
  <c r="BO365" i="1"/>
  <c r="BN365" i="1"/>
  <c r="BR365" i="1" s="1"/>
  <c r="BV365" i="1"/>
  <c r="CB365" i="1"/>
  <c r="CC365" i="1" s="1"/>
  <c r="AQ366" i="1" l="1"/>
  <c r="BC366" i="1" s="1"/>
  <c r="BU366" i="1" s="1"/>
  <c r="CB366" i="1" s="1"/>
  <c r="CC366" i="1" s="1"/>
  <c r="BY365" i="1"/>
  <c r="BV366" i="1"/>
  <c r="BM366" i="1"/>
  <c r="BO366" i="1" s="1"/>
  <c r="BP366" i="1" l="1"/>
  <c r="BN366" i="1"/>
  <c r="BR366" i="1" l="1"/>
  <c r="BY366" i="1" s="1"/>
  <c r="AQ367" i="1" l="1"/>
  <c r="BC367" i="1" l="1"/>
  <c r="BU367" i="1" s="1"/>
  <c r="BH367" i="1"/>
  <c r="CH367" i="1"/>
  <c r="CH368" i="1" s="1"/>
  <c r="CH369" i="1" s="1"/>
  <c r="CH370" i="1" s="1"/>
  <c r="CH371" i="1" s="1"/>
  <c r="CH372" i="1" s="1"/>
  <c r="BJ367" i="1"/>
  <c r="BJ368" i="1" l="1"/>
  <c r="BK367" i="1"/>
  <c r="BL367" i="1"/>
  <c r="BI367" i="1"/>
  <c r="BH368" i="1"/>
  <c r="CB367" i="1"/>
  <c r="CC367" i="1" s="1"/>
  <c r="M84" i="1" s="1"/>
  <c r="BV367" i="1"/>
  <c r="L84" i="1" s="1"/>
  <c r="BH369" i="1" l="1"/>
  <c r="BI368" i="1"/>
  <c r="Z137" i="10"/>
  <c r="Z281" i="3"/>
  <c r="BW367" i="1"/>
  <c r="BM367" i="1"/>
  <c r="AH137" i="10"/>
  <c r="AH281" i="3"/>
  <c r="BK368" i="1"/>
  <c r="BL368" i="1"/>
  <c r="BW368" i="1" s="1"/>
  <c r="CD368" i="1" s="1"/>
  <c r="BJ369" i="1"/>
  <c r="BX367" i="1" l="1"/>
  <c r="N84" i="1" s="1"/>
  <c r="BX368" i="1"/>
  <c r="CD367" i="1"/>
  <c r="BN367" i="1"/>
  <c r="BP367" i="1"/>
  <c r="BO367" i="1"/>
  <c r="BJ370" i="1"/>
  <c r="BL369" i="1"/>
  <c r="BW369" i="1" s="1"/>
  <c r="BK369" i="1"/>
  <c r="BI369" i="1"/>
  <c r="BH370" i="1"/>
  <c r="BK370" i="1" l="1"/>
  <c r="BL370" i="1"/>
  <c r="BW370" i="1" s="1"/>
  <c r="CD370" i="1" s="1"/>
  <c r="BJ371" i="1"/>
  <c r="BR367" i="1"/>
  <c r="CE368" i="1"/>
  <c r="CE367" i="1"/>
  <c r="O84" i="1" s="1"/>
  <c r="BX369" i="1"/>
  <c r="CD369" i="1"/>
  <c r="CE370" i="1" s="1"/>
  <c r="BI370" i="1"/>
  <c r="BH371" i="1"/>
  <c r="AP137" i="10"/>
  <c r="AP281" i="3"/>
  <c r="AF83" i="1"/>
  <c r="AI83" i="1" s="1"/>
  <c r="AX137" i="10" l="1"/>
  <c r="AX281" i="3"/>
  <c r="BH372" i="1"/>
  <c r="BI372" i="1" s="1"/>
  <c r="BI371" i="1"/>
  <c r="BK371" i="1"/>
  <c r="BJ372" i="1"/>
  <c r="BL371" i="1"/>
  <c r="BW371" i="1" s="1"/>
  <c r="BX370" i="1"/>
  <c r="BY367" i="1"/>
  <c r="Q84" i="1" s="1"/>
  <c r="P84" i="1"/>
  <c r="AQ368" i="1"/>
  <c r="CE369" i="1"/>
  <c r="CD371" i="1" l="1"/>
  <c r="CE371" i="1" s="1"/>
  <c r="BX371" i="1"/>
  <c r="BC368" i="1"/>
  <c r="BU368" i="1" s="1"/>
  <c r="BN137" i="10"/>
  <c r="BN281" i="3"/>
  <c r="BK372" i="1"/>
  <c r="BL372" i="1"/>
  <c r="BW372" i="1" s="1"/>
  <c r="CD372" i="1" s="1"/>
  <c r="CE372" i="1" s="1"/>
  <c r="BF137" i="10"/>
  <c r="BF281" i="3"/>
  <c r="BX372" i="1" l="1"/>
  <c r="BM368" i="1"/>
  <c r="CB368" i="1"/>
  <c r="CC368" i="1" s="1"/>
  <c r="BV368" i="1"/>
  <c r="BN368" i="1"/>
  <c r="BO368" i="1"/>
  <c r="BP368" i="1"/>
  <c r="BR368" i="1" l="1"/>
  <c r="BY368" i="1" s="1"/>
  <c r="AQ369" i="1"/>
  <c r="BC369" i="1" l="1"/>
  <c r="BU369" i="1" s="1"/>
  <c r="BM369" i="1"/>
  <c r="BN369" i="1" l="1"/>
  <c r="BO369" i="1"/>
  <c r="BP369" i="1"/>
  <c r="CB369" i="1"/>
  <c r="CC369" i="1" s="1"/>
  <c r="BV369" i="1"/>
  <c r="BR369" i="1" l="1"/>
  <c r="AQ370" i="1" l="1"/>
  <c r="BY369" i="1"/>
  <c r="BC370" i="1" l="1"/>
  <c r="BU370" i="1" s="1"/>
  <c r="BM370" i="1"/>
  <c r="BO370" i="1" l="1"/>
  <c r="BP370" i="1"/>
  <c r="BN370" i="1"/>
  <c r="BR370" i="1" s="1"/>
  <c r="BY370" i="1" s="1"/>
  <c r="BV370" i="1"/>
  <c r="CB370" i="1"/>
  <c r="CC370" i="1" s="1"/>
  <c r="BJ373" i="1"/>
  <c r="BK373" i="1" s="1"/>
  <c r="BH373" i="1"/>
  <c r="CH373" i="1"/>
  <c r="CH374" i="1" s="1"/>
  <c r="CH375" i="1" s="1"/>
  <c r="AQ371" i="1" l="1"/>
  <c r="BC371" i="1" s="1"/>
  <c r="BU371" i="1" s="1"/>
  <c r="CB371" i="1" s="1"/>
  <c r="CC371" i="1" s="1"/>
  <c r="BJ374" i="1"/>
  <c r="BK374" i="1" s="1"/>
  <c r="BL373" i="1"/>
  <c r="BH374" i="1"/>
  <c r="BI373" i="1"/>
  <c r="BM371" i="1" l="1"/>
  <c r="BO371" i="1" s="1"/>
  <c r="BV371" i="1"/>
  <c r="BN371" i="1"/>
  <c r="BP371" i="1"/>
  <c r="BJ375" i="1"/>
  <c r="BK375" i="1" s="1"/>
  <c r="BL374" i="1"/>
  <c r="BW374" i="1" s="1"/>
  <c r="CD374" i="1" s="1"/>
  <c r="BW373" i="1"/>
  <c r="BH375" i="1"/>
  <c r="BI375" i="1" s="1"/>
  <c r="BI374" i="1"/>
  <c r="BR371" i="1" l="1"/>
  <c r="BY371" i="1" s="1"/>
  <c r="BL375" i="1"/>
  <c r="BW375" i="1" s="1"/>
  <c r="CD375" i="1" s="1"/>
  <c r="BX374" i="1"/>
  <c r="BX373" i="1"/>
  <c r="CD373" i="1"/>
  <c r="AQ372" i="1" l="1"/>
  <c r="BC372" i="1" s="1"/>
  <c r="BU372" i="1" s="1"/>
  <c r="CB372" i="1"/>
  <c r="BV372" i="1"/>
  <c r="BX375" i="1"/>
  <c r="CE373" i="1"/>
  <c r="CE374" i="1"/>
  <c r="CE375" i="1"/>
  <c r="CH376" i="1"/>
  <c r="CH377" i="1" s="1"/>
  <c r="CH378" i="1" s="1"/>
  <c r="BM372" i="1" l="1"/>
  <c r="CC372" i="1"/>
  <c r="BN372" i="1"/>
  <c r="BP372" i="1"/>
  <c r="BO372" i="1"/>
  <c r="BJ376" i="1"/>
  <c r="BK376" i="1" s="1"/>
  <c r="BH376" i="1"/>
  <c r="BI376" i="1" s="1"/>
  <c r="BR372" i="1" l="1"/>
  <c r="BY372" i="1" s="1"/>
  <c r="BH377" i="1"/>
  <c r="BH378" i="1" s="1"/>
  <c r="BJ377" i="1"/>
  <c r="BJ378" i="1" s="1"/>
  <c r="BL376" i="1"/>
  <c r="BW376" i="1" s="1"/>
  <c r="AQ373" i="1" l="1"/>
  <c r="BC373" i="1" s="1"/>
  <c r="BU373" i="1" s="1"/>
  <c r="BK377" i="1"/>
  <c r="BL377" i="1"/>
  <c r="BW377" i="1" s="1"/>
  <c r="CD377" i="1" s="1"/>
  <c r="BI377" i="1"/>
  <c r="BL378" i="1"/>
  <c r="BW378" i="1" s="1"/>
  <c r="CD378" i="1" s="1"/>
  <c r="BK378" i="1"/>
  <c r="CD376" i="1"/>
  <c r="BX376" i="1"/>
  <c r="BI378" i="1"/>
  <c r="BM373" i="1" l="1"/>
  <c r="BN373" i="1" s="1"/>
  <c r="CB373" i="1"/>
  <c r="CC373" i="1" s="1"/>
  <c r="BV373" i="1"/>
  <c r="BX377" i="1"/>
  <c r="BX378" i="1"/>
  <c r="CE378" i="1"/>
  <c r="CE377" i="1"/>
  <c r="CE376" i="1"/>
  <c r="BO373" i="1" l="1"/>
  <c r="BP373" i="1"/>
  <c r="BR373" i="1" l="1"/>
  <c r="BY373" i="1" s="1"/>
  <c r="AQ374" i="1" l="1"/>
  <c r="BC374" i="1" s="1"/>
  <c r="BU374" i="1" s="1"/>
  <c r="BV374" i="1" s="1"/>
  <c r="BM374" i="1"/>
  <c r="CB374" i="1" l="1"/>
  <c r="CC374" i="1" s="1"/>
  <c r="BN374" i="1"/>
  <c r="BP374" i="1"/>
  <c r="BO374" i="1"/>
  <c r="BR374" i="1" l="1"/>
  <c r="BY374" i="1" s="1"/>
  <c r="AQ375" i="1" l="1"/>
  <c r="BC375" i="1" s="1"/>
  <c r="BU375" i="1" s="1"/>
  <c r="BM375" i="1" l="1"/>
  <c r="BO375" i="1" s="1"/>
  <c r="CB375" i="1"/>
  <c r="CC375" i="1" s="1"/>
  <c r="BV375" i="1"/>
  <c r="BP375" i="1" l="1"/>
  <c r="BN375" i="1"/>
  <c r="BR375" i="1" l="1"/>
  <c r="AQ376" i="1" s="1"/>
  <c r="BC376" i="1" s="1"/>
  <c r="BU376" i="1" s="1"/>
  <c r="BY375" i="1" l="1"/>
  <c r="BM376" i="1"/>
  <c r="BN376" i="1" s="1"/>
  <c r="BV376" i="1"/>
  <c r="CB376" i="1"/>
  <c r="CC376" i="1" s="1"/>
  <c r="BO376" i="1" l="1"/>
  <c r="BP376" i="1"/>
  <c r="BR376" i="1" l="1"/>
  <c r="AQ377" i="1" s="1"/>
  <c r="BC377" i="1" s="1"/>
  <c r="BU377" i="1" s="1"/>
  <c r="BY376" i="1" l="1"/>
  <c r="BM377" i="1"/>
  <c r="BP377" i="1" s="1"/>
  <c r="CB377" i="1"/>
  <c r="CC377" i="1" s="1"/>
  <c r="BV377" i="1"/>
  <c r="BN377" i="1" l="1"/>
  <c r="BO377" i="1"/>
  <c r="BR377" i="1" l="1"/>
  <c r="AQ378" i="1" s="1"/>
  <c r="BC378" i="1" s="1"/>
  <c r="BU378" i="1" s="1"/>
  <c r="BY377" i="1" l="1"/>
  <c r="CB378" i="1"/>
  <c r="CC378" i="1" s="1"/>
  <c r="BV378" i="1"/>
  <c r="BM378" i="1"/>
  <c r="BN378" i="1" l="1"/>
  <c r="BP378" i="1"/>
  <c r="BO378" i="1"/>
  <c r="BR378" i="1" l="1"/>
  <c r="AQ379" i="1" s="1"/>
  <c r="BY378" i="1" l="1"/>
  <c r="BC379" i="1"/>
  <c r="BU379" i="1" s="1"/>
  <c r="BJ379" i="1"/>
  <c r="CH379" i="1"/>
  <c r="CH380" i="1" s="1"/>
  <c r="CH381" i="1" s="1"/>
  <c r="CH382" i="1" s="1"/>
  <c r="CH383" i="1" s="1"/>
  <c r="CH384" i="1" s="1"/>
  <c r="BH379" i="1"/>
  <c r="BI379" i="1" l="1"/>
  <c r="BH380" i="1"/>
  <c r="BK379" i="1"/>
  <c r="BL379" i="1"/>
  <c r="BJ380" i="1"/>
  <c r="CB379" i="1"/>
  <c r="CC379" i="1" s="1"/>
  <c r="M85" i="1" s="1"/>
  <c r="AH138" i="10" s="1"/>
  <c r="BV379" i="1"/>
  <c r="L85" i="1" s="1"/>
  <c r="Z138" i="10" s="1"/>
  <c r="Z282" i="3" l="1"/>
  <c r="AH282" i="3"/>
  <c r="BK380" i="1"/>
  <c r="BL380" i="1"/>
  <c r="BW380" i="1" s="1"/>
  <c r="BJ381" i="1"/>
  <c r="BM379" i="1"/>
  <c r="BW379" i="1"/>
  <c r="BI380" i="1"/>
  <c r="BH381" i="1"/>
  <c r="BJ382" i="1" l="1"/>
  <c r="BL381" i="1"/>
  <c r="BW381" i="1" s="1"/>
  <c r="CD381" i="1" s="1"/>
  <c r="BK381" i="1"/>
  <c r="BX380" i="1"/>
  <c r="CD380" i="1"/>
  <c r="CD379" i="1"/>
  <c r="BX379" i="1"/>
  <c r="N85" i="1" s="1"/>
  <c r="AP138" i="10" s="1"/>
  <c r="BP379" i="1"/>
  <c r="BN379" i="1"/>
  <c r="BO379" i="1"/>
  <c r="BI381" i="1"/>
  <c r="BH382" i="1"/>
  <c r="BR379" i="1" l="1"/>
  <c r="BY379" i="1" s="1"/>
  <c r="Q85" i="1" s="1"/>
  <c r="BN138" i="10" s="1"/>
  <c r="P85" i="1"/>
  <c r="BF138" i="10" s="1"/>
  <c r="BI382" i="1"/>
  <c r="BH383" i="1"/>
  <c r="AP282" i="3"/>
  <c r="AF84" i="1"/>
  <c r="AI84" i="1" s="1"/>
  <c r="CE379" i="1"/>
  <c r="O85" i="1" s="1"/>
  <c r="AX138" i="10" s="1"/>
  <c r="CE381" i="1"/>
  <c r="BX381" i="1"/>
  <c r="CE380" i="1"/>
  <c r="BJ383" i="1"/>
  <c r="BK382" i="1"/>
  <c r="BL382" i="1"/>
  <c r="BW382" i="1" s="1"/>
  <c r="AQ380" i="1" l="1"/>
  <c r="BC380" i="1" s="1"/>
  <c r="BU380" i="1" s="1"/>
  <c r="AX282" i="3"/>
  <c r="CD382" i="1"/>
  <c r="BX382" i="1"/>
  <c r="BH384" i="1"/>
  <c r="BI384" i="1" s="1"/>
  <c r="BI383" i="1"/>
  <c r="BK383" i="1"/>
  <c r="BJ384" i="1"/>
  <c r="BL383" i="1"/>
  <c r="BW383" i="1" s="1"/>
  <c r="BF282" i="3"/>
  <c r="BN282" i="3"/>
  <c r="BK384" i="1" l="1"/>
  <c r="BL384" i="1"/>
  <c r="BW384" i="1" s="1"/>
  <c r="CD384" i="1" s="1"/>
  <c r="CD383" i="1"/>
  <c r="CE383" i="1" s="1"/>
  <c r="BX383" i="1"/>
  <c r="CB380" i="1"/>
  <c r="CC380" i="1" s="1"/>
  <c r="BV380" i="1"/>
  <c r="BM380" i="1"/>
  <c r="CE382" i="1"/>
  <c r="BX384" i="1" l="1"/>
  <c r="BN380" i="1"/>
  <c r="BP380" i="1"/>
  <c r="BO380" i="1"/>
  <c r="CE384" i="1"/>
  <c r="BR380" i="1" l="1"/>
  <c r="BY380" i="1" s="1"/>
  <c r="AQ381" i="1" l="1"/>
  <c r="BC381" i="1" s="1"/>
  <c r="BU381" i="1" s="1"/>
  <c r="BM381" i="1" l="1"/>
  <c r="BO381" i="1" s="1"/>
  <c r="CB381" i="1"/>
  <c r="CC381" i="1" s="1"/>
  <c r="BV381" i="1"/>
  <c r="BP381" i="1" l="1"/>
  <c r="BN381" i="1"/>
  <c r="BR381" i="1" l="1"/>
  <c r="AQ382" i="1" l="1"/>
  <c r="BY381" i="1"/>
  <c r="BC382" i="1" l="1"/>
  <c r="BU382" i="1" s="1"/>
  <c r="BM382" i="1" l="1"/>
  <c r="BV382" i="1"/>
  <c r="CB382" i="1"/>
  <c r="CC382" i="1" s="1"/>
  <c r="BP382" i="1" l="1"/>
  <c r="BO382" i="1"/>
  <c r="BN382" i="1"/>
  <c r="BR382" i="1" l="1"/>
  <c r="AQ383" i="1" s="1"/>
  <c r="BY382" i="1" l="1"/>
  <c r="BC383" i="1"/>
  <c r="BU383" i="1" s="1"/>
  <c r="BM383" i="1" l="1"/>
  <c r="BN383" i="1" s="1"/>
  <c r="CB383" i="1"/>
  <c r="CC383" i="1" s="1"/>
  <c r="BV383" i="1"/>
  <c r="BO383" i="1" l="1"/>
  <c r="BP383" i="1"/>
  <c r="BJ385" i="1"/>
  <c r="BL385" i="1" s="1"/>
  <c r="BH385" i="1"/>
  <c r="BH386" i="1" s="1"/>
  <c r="CH385" i="1"/>
  <c r="CH386" i="1" s="1"/>
  <c r="CH387" i="1" s="1"/>
  <c r="BR383" i="1" l="1"/>
  <c r="BY383" i="1" s="1"/>
  <c r="AQ384" i="1"/>
  <c r="BC384" i="1" s="1"/>
  <c r="BU384" i="1" s="1"/>
  <c r="BJ386" i="1"/>
  <c r="BL386" i="1" s="1"/>
  <c r="BW386" i="1" s="1"/>
  <c r="CD386" i="1" s="1"/>
  <c r="BK385" i="1"/>
  <c r="BI385" i="1"/>
  <c r="BH387" i="1"/>
  <c r="BI387" i="1" s="1"/>
  <c r="BI386" i="1"/>
  <c r="BW385" i="1"/>
  <c r="BM384" i="1" l="1"/>
  <c r="BN384" i="1" s="1"/>
  <c r="CB384" i="1"/>
  <c r="CC384" i="1" s="1"/>
  <c r="BV384" i="1"/>
  <c r="BJ387" i="1"/>
  <c r="BK387" i="1" s="1"/>
  <c r="BK386" i="1"/>
  <c r="CD385" i="1"/>
  <c r="CE385" i="1" s="1"/>
  <c r="BX385" i="1"/>
  <c r="BX386" i="1"/>
  <c r="BP384" i="1" l="1"/>
  <c r="BO384" i="1"/>
  <c r="BL387" i="1"/>
  <c r="BW387" i="1" s="1"/>
  <c r="CD387" i="1" s="1"/>
  <c r="CE387" i="1" s="1"/>
  <c r="CE386" i="1"/>
  <c r="BJ388" i="1"/>
  <c r="BH388" i="1"/>
  <c r="BR384" i="1" l="1"/>
  <c r="AQ385" i="1" s="1"/>
  <c r="BX387" i="1"/>
  <c r="BL388" i="1"/>
  <c r="BH389" i="1"/>
  <c r="BI388" i="1"/>
  <c r="BJ389" i="1"/>
  <c r="BK388" i="1"/>
  <c r="BY384" i="1" l="1"/>
  <c r="BC385" i="1"/>
  <c r="BU385" i="1" s="1"/>
  <c r="BL389" i="1"/>
  <c r="BW389" i="1" s="1"/>
  <c r="BJ390" i="1"/>
  <c r="BK389" i="1"/>
  <c r="BH390" i="1"/>
  <c r="BI389" i="1"/>
  <c r="BW388" i="1"/>
  <c r="BM385" i="1" l="1"/>
  <c r="BV385" i="1"/>
  <c r="CB385" i="1"/>
  <c r="CC385" i="1" s="1"/>
  <c r="CD388" i="1"/>
  <c r="BX388" i="1"/>
  <c r="BK390" i="1"/>
  <c r="BL390" i="1"/>
  <c r="BW390" i="1" s="1"/>
  <c r="BI390" i="1"/>
  <c r="CD389" i="1"/>
  <c r="BX389" i="1"/>
  <c r="BO385" i="1" l="1"/>
  <c r="BP385" i="1"/>
  <c r="BN385" i="1"/>
  <c r="CD390" i="1"/>
  <c r="BX390" i="1"/>
  <c r="CE388" i="1"/>
  <c r="CE389" i="1"/>
  <c r="BR385" i="1" l="1"/>
  <c r="BY385" i="1" s="1"/>
  <c r="CE390" i="1"/>
  <c r="AQ386" i="1" l="1"/>
  <c r="BC386" i="1" s="1"/>
  <c r="BU386" i="1" s="1"/>
  <c r="BM386" i="1" l="1"/>
  <c r="BN386" i="1" s="1"/>
  <c r="CB386" i="1"/>
  <c r="BV386" i="1"/>
  <c r="CH388" i="1"/>
  <c r="CH389" i="1" s="1"/>
  <c r="CH390" i="1" s="1"/>
  <c r="BP386" i="1" l="1"/>
  <c r="BO386" i="1"/>
  <c r="CC386" i="1"/>
  <c r="BR386" i="1" l="1"/>
  <c r="AQ387" i="1" s="1"/>
  <c r="BC387" i="1" s="1"/>
  <c r="BU387" i="1" s="1"/>
  <c r="BY386" i="1" l="1"/>
  <c r="BM387" i="1"/>
  <c r="BN387" i="1" s="1"/>
  <c r="CB387" i="1"/>
  <c r="BV387" i="1"/>
  <c r="BP387" i="1" l="1"/>
  <c r="BO387" i="1"/>
  <c r="BR387" i="1" s="1"/>
  <c r="CC387" i="1"/>
  <c r="BY387" i="1" l="1"/>
  <c r="AQ388" i="1"/>
  <c r="BC388" i="1" s="1"/>
  <c r="BU388" i="1" s="1"/>
  <c r="BM388" i="1" l="1"/>
  <c r="BP388" i="1" s="1"/>
  <c r="CB388" i="1"/>
  <c r="BV388" i="1"/>
  <c r="BO388" i="1" l="1"/>
  <c r="BN388" i="1"/>
  <c r="CC388" i="1"/>
  <c r="BR388" i="1" l="1"/>
  <c r="BY388" i="1" l="1"/>
  <c r="AQ389" i="1"/>
  <c r="BC389" i="1" s="1"/>
  <c r="BU389" i="1" s="1"/>
  <c r="CB389" i="1" s="1"/>
  <c r="CC389" i="1" s="1"/>
  <c r="BV389" i="1" l="1"/>
  <c r="BM389" i="1"/>
  <c r="BO389" i="1" s="1"/>
  <c r="BP389" i="1" l="1"/>
  <c r="BN389" i="1"/>
  <c r="BR389" i="1" l="1"/>
  <c r="BY389" i="1" s="1"/>
  <c r="AQ390" i="1" l="1"/>
  <c r="BC390" i="1" s="1"/>
  <c r="BU390" i="1" s="1"/>
  <c r="CB390" i="1" s="1"/>
  <c r="CC390" i="1" s="1"/>
  <c r="BM390" i="1" l="1"/>
  <c r="BP390" i="1" s="1"/>
  <c r="BV390" i="1"/>
  <c r="BN390" i="1" l="1"/>
  <c r="BO390" i="1"/>
  <c r="BR390" i="1" l="1"/>
  <c r="AQ391" i="1" s="1"/>
  <c r="BC391" i="1" s="1"/>
  <c r="BU391" i="1" s="1"/>
  <c r="BY390" i="1" l="1"/>
  <c r="BV391" i="1"/>
  <c r="L86" i="1" s="1"/>
  <c r="CB391" i="1"/>
  <c r="CC391" i="1" s="1"/>
  <c r="M86" i="1" s="1"/>
  <c r="BH391" i="1"/>
  <c r="CH391" i="1"/>
  <c r="CH392" i="1" s="1"/>
  <c r="CH393" i="1" s="1"/>
  <c r="CH394" i="1" s="1"/>
  <c r="CH395" i="1" s="1"/>
  <c r="CH396" i="1" s="1"/>
  <c r="BJ391" i="1"/>
  <c r="BL391" i="1" l="1"/>
  <c r="BJ392" i="1"/>
  <c r="BK391" i="1"/>
  <c r="BI391" i="1"/>
  <c r="BH392" i="1"/>
  <c r="AH283" i="3"/>
  <c r="AH139" i="10"/>
  <c r="Z283" i="3"/>
  <c r="Z139" i="10"/>
  <c r="BL392" i="1" l="1"/>
  <c r="BW392" i="1" s="1"/>
  <c r="CD392" i="1" s="1"/>
  <c r="BJ393" i="1"/>
  <c r="BK392" i="1"/>
  <c r="BH393" i="1"/>
  <c r="BI392" i="1"/>
  <c r="BW391" i="1"/>
  <c r="BM391" i="1"/>
  <c r="BX391" i="1" l="1"/>
  <c r="N86" i="1" s="1"/>
  <c r="CD391" i="1"/>
  <c r="BX392" i="1"/>
  <c r="BO391" i="1"/>
  <c r="BN391" i="1"/>
  <c r="BP391" i="1"/>
  <c r="BI393" i="1"/>
  <c r="BH394" i="1"/>
  <c r="BL393" i="1"/>
  <c r="BW393" i="1" s="1"/>
  <c r="CD393" i="1" s="1"/>
  <c r="BK393" i="1"/>
  <c r="BJ394" i="1"/>
  <c r="BR391" i="1" l="1"/>
  <c r="P86" i="1"/>
  <c r="AQ392" i="1"/>
  <c r="BC392" i="1" s="1"/>
  <c r="BU392" i="1" s="1"/>
  <c r="CB392" i="1" s="1"/>
  <c r="CC392" i="1" s="1"/>
  <c r="BY391" i="1"/>
  <c r="Q86" i="1" s="1"/>
  <c r="BJ395" i="1"/>
  <c r="BL394" i="1"/>
  <c r="BW394" i="1" s="1"/>
  <c r="BX394" i="1" s="1"/>
  <c r="BK394" i="1"/>
  <c r="BX393" i="1"/>
  <c r="BI394" i="1"/>
  <c r="BH395" i="1"/>
  <c r="CE391" i="1"/>
  <c r="O86" i="1" s="1"/>
  <c r="CE392" i="1"/>
  <c r="CE393" i="1"/>
  <c r="AP139" i="10"/>
  <c r="AP283" i="3"/>
  <c r="AF85" i="1"/>
  <c r="AI85" i="1" s="1"/>
  <c r="BV392" i="1" l="1"/>
  <c r="BM392" i="1"/>
  <c r="BN392" i="1" s="1"/>
  <c r="CD394" i="1"/>
  <c r="BK395" i="1"/>
  <c r="BJ396" i="1"/>
  <c r="BL395" i="1"/>
  <c r="BW395" i="1" s="1"/>
  <c r="AX139" i="10"/>
  <c r="AX283" i="3"/>
  <c r="BN139" i="10"/>
  <c r="BN283" i="3"/>
  <c r="BH396" i="1"/>
  <c r="BI396" i="1" s="1"/>
  <c r="BI395" i="1"/>
  <c r="BF283" i="3"/>
  <c r="BF139" i="10"/>
  <c r="BP392" i="1"/>
  <c r="BO392" i="1"/>
  <c r="CD395" i="1" l="1"/>
  <c r="CE395" i="1" s="1"/>
  <c r="BX395" i="1"/>
  <c r="BK396" i="1"/>
  <c r="BL396" i="1"/>
  <c r="BW396" i="1" s="1"/>
  <c r="CD396" i="1" s="1"/>
  <c r="CE394" i="1"/>
  <c r="BR392" i="1"/>
  <c r="AQ393" i="1" s="1"/>
  <c r="BX396" i="1" l="1"/>
  <c r="CE396" i="1"/>
  <c r="BY392" i="1"/>
  <c r="BC393" i="1"/>
  <c r="BU393" i="1" s="1"/>
  <c r="BM393" i="1" l="1"/>
  <c r="BN393" i="1" s="1"/>
  <c r="CB393" i="1"/>
  <c r="CC393" i="1" s="1"/>
  <c r="BV393" i="1"/>
  <c r="BO393" i="1" l="1"/>
  <c r="BP393" i="1"/>
  <c r="BR393" i="1" l="1"/>
  <c r="BY393" i="1" s="1"/>
  <c r="AQ394" i="1" l="1"/>
  <c r="BC394" i="1"/>
  <c r="BU394" i="1" s="1"/>
  <c r="CB394" i="1" s="1"/>
  <c r="CC394" i="1" s="1"/>
  <c r="BV394" i="1" l="1"/>
  <c r="BM394" i="1"/>
  <c r="BN394" i="1" l="1"/>
  <c r="BO394" i="1"/>
  <c r="BP394" i="1"/>
  <c r="BR394" i="1" l="1"/>
  <c r="AQ395" i="1" s="1"/>
  <c r="BY394" i="1" l="1"/>
  <c r="BC395" i="1"/>
  <c r="BU395" i="1" s="1"/>
  <c r="CB395" i="1" l="1"/>
  <c r="CC395" i="1" s="1"/>
  <c r="BV395" i="1"/>
  <c r="BM395" i="1"/>
  <c r="BP395" i="1" l="1"/>
  <c r="BN395" i="1"/>
  <c r="BO395" i="1"/>
  <c r="BR395" i="1" l="1"/>
  <c r="AQ396" i="1" l="1"/>
  <c r="BY395" i="1"/>
  <c r="BC396" i="1" l="1"/>
  <c r="BU396" i="1" s="1"/>
  <c r="CH397" i="1"/>
  <c r="CH398" i="1" s="1"/>
  <c r="CH399" i="1" s="1"/>
  <c r="CH400" i="1" s="1"/>
  <c r="CH401" i="1" s="1"/>
  <c r="CH402" i="1" s="1"/>
  <c r="BH397" i="1"/>
  <c r="BI397" i="1" s="1"/>
  <c r="BJ397" i="1"/>
  <c r="BL397" i="1" s="1"/>
  <c r="CB396" i="1" l="1"/>
  <c r="CC396" i="1" s="1"/>
  <c r="BV396" i="1"/>
  <c r="BM396" i="1"/>
  <c r="BH398" i="1"/>
  <c r="BI398" i="1" s="1"/>
  <c r="BJ398" i="1"/>
  <c r="BL398" i="1" s="1"/>
  <c r="BW398" i="1" s="1"/>
  <c r="CD398" i="1" s="1"/>
  <c r="BK397" i="1"/>
  <c r="BW397" i="1"/>
  <c r="BN396" i="1" l="1"/>
  <c r="BP396" i="1"/>
  <c r="BO396" i="1"/>
  <c r="BH399" i="1"/>
  <c r="BI399" i="1" s="1"/>
  <c r="BJ399" i="1"/>
  <c r="BL399" i="1" s="1"/>
  <c r="BW399" i="1" s="1"/>
  <c r="CD399" i="1" s="1"/>
  <c r="BK398" i="1"/>
  <c r="CD397" i="1"/>
  <c r="CE398" i="1" s="1"/>
  <c r="BX397" i="1"/>
  <c r="BX398" i="1"/>
  <c r="BR396" i="1" l="1"/>
  <c r="BY396" i="1" s="1"/>
  <c r="BH400" i="1"/>
  <c r="BI400" i="1" s="1"/>
  <c r="BJ400" i="1"/>
  <c r="BL400" i="1" s="1"/>
  <c r="BW400" i="1" s="1"/>
  <c r="CD400" i="1" s="1"/>
  <c r="CE400" i="1" s="1"/>
  <c r="BK399" i="1"/>
  <c r="CE399" i="1"/>
  <c r="BX399" i="1"/>
  <c r="CE397" i="1"/>
  <c r="AQ397" i="1" l="1"/>
  <c r="BC397" i="1" s="1"/>
  <c r="BU397" i="1" s="1"/>
  <c r="BH401" i="1"/>
  <c r="BI401" i="1" s="1"/>
  <c r="BK400" i="1"/>
  <c r="BJ401" i="1"/>
  <c r="BK401" i="1" s="1"/>
  <c r="BX400" i="1"/>
  <c r="BM397" i="1" l="1"/>
  <c r="BO397" i="1" s="1"/>
  <c r="BV397" i="1"/>
  <c r="CB397" i="1"/>
  <c r="CC397" i="1" s="1"/>
  <c r="BH402" i="1"/>
  <c r="BI402" i="1" s="1"/>
  <c r="BJ402" i="1"/>
  <c r="BL402" i="1" s="1"/>
  <c r="BW402" i="1" s="1"/>
  <c r="BL401" i="1"/>
  <c r="BW401" i="1" s="1"/>
  <c r="CD401" i="1" s="1"/>
  <c r="BP397" i="1" l="1"/>
  <c r="BN397" i="1"/>
  <c r="BR397" i="1" s="1"/>
  <c r="BX401" i="1"/>
  <c r="BK402" i="1"/>
  <c r="CE401" i="1"/>
  <c r="BX402" i="1"/>
  <c r="CD402" i="1"/>
  <c r="CE402" i="1" s="1"/>
  <c r="BY397" i="1" l="1"/>
  <c r="AQ398" i="1"/>
  <c r="BC398" i="1" s="1"/>
  <c r="BU398" i="1" s="1"/>
  <c r="BV398" i="1" s="1"/>
  <c r="BM398" i="1" l="1"/>
  <c r="BP398" i="1" s="1"/>
  <c r="CB398" i="1"/>
  <c r="CC398" i="1" s="1"/>
  <c r="BN398" i="1" l="1"/>
  <c r="BO398" i="1"/>
  <c r="BR398" i="1" s="1"/>
  <c r="AQ399" i="1" s="1"/>
  <c r="BC399" i="1" s="1"/>
  <c r="BU399" i="1" s="1"/>
  <c r="BV399" i="1" s="1"/>
  <c r="CB399" i="1" l="1"/>
  <c r="CC399" i="1" s="1"/>
  <c r="BM399" i="1"/>
  <c r="BO399" i="1" s="1"/>
  <c r="BY398" i="1"/>
  <c r="BN399" i="1" l="1"/>
  <c r="BP399" i="1"/>
  <c r="BR399" i="1" s="1"/>
  <c r="BY399" i="1" s="1"/>
  <c r="AQ400" i="1" l="1"/>
  <c r="BC400" i="1" s="1"/>
  <c r="BU400" i="1" s="1"/>
  <c r="CB400" i="1" s="1"/>
  <c r="CC400" i="1" s="1"/>
  <c r="BV400" i="1" l="1"/>
  <c r="BM400" i="1"/>
  <c r="BO400" i="1" s="1"/>
  <c r="BN400" i="1" l="1"/>
  <c r="BP400" i="1"/>
  <c r="BR400" i="1" l="1"/>
  <c r="AQ401" i="1" l="1"/>
  <c r="BY400" i="1"/>
  <c r="BC401" i="1" l="1"/>
  <c r="BU401" i="1" s="1"/>
  <c r="BM401" i="1" l="1"/>
  <c r="BP401" i="1" s="1"/>
  <c r="CB401" i="1"/>
  <c r="CC401" i="1" s="1"/>
  <c r="BV401" i="1"/>
  <c r="BO401" i="1" l="1"/>
  <c r="BN401" i="1"/>
  <c r="BR401" i="1" l="1"/>
  <c r="BY401" i="1" s="1"/>
  <c r="AQ402" i="1" l="1"/>
  <c r="BC402" i="1" s="1"/>
  <c r="BU402" i="1" s="1"/>
  <c r="CB402" i="1" s="1"/>
  <c r="CC402" i="1" s="1"/>
  <c r="BV402" i="1" l="1"/>
  <c r="BM402" i="1"/>
  <c r="BN402" i="1" s="1"/>
  <c r="BO402" i="1" l="1"/>
  <c r="BP402" i="1"/>
  <c r="BR402" i="1" l="1"/>
  <c r="BY402" i="1" l="1"/>
  <c r="AQ403" i="1"/>
  <c r="BC403" i="1" l="1"/>
  <c r="BU403" i="1" s="1"/>
  <c r="CH403" i="1" l="1"/>
  <c r="CH404" i="1" s="1"/>
  <c r="CH405" i="1" s="1"/>
  <c r="CH406" i="1" s="1"/>
  <c r="CH407" i="1" s="1"/>
  <c r="CH408" i="1" s="1"/>
  <c r="BJ403" i="1"/>
  <c r="BL403" i="1" s="1"/>
  <c r="BH403" i="1"/>
  <c r="CB403" i="1"/>
  <c r="CC403" i="1" s="1"/>
  <c r="M87" i="1" s="1"/>
  <c r="AH140" i="10" s="1"/>
  <c r="BV403" i="1"/>
  <c r="L87" i="1" s="1"/>
  <c r="Z140" i="10" s="1"/>
  <c r="Z284" i="3" l="1"/>
  <c r="AH284" i="3"/>
  <c r="BJ404" i="1"/>
  <c r="BK404" i="1" s="1"/>
  <c r="BW403" i="1"/>
  <c r="CD403" i="1" s="1"/>
  <c r="CE403" i="1" s="1"/>
  <c r="O87" i="1" s="1"/>
  <c r="AX140" i="10" s="1"/>
  <c r="BM403" i="1"/>
  <c r="BN403" i="1" s="1"/>
  <c r="BK403" i="1"/>
  <c r="BI403" i="1"/>
  <c r="BH404" i="1"/>
  <c r="BJ405" i="1" l="1"/>
  <c r="BL405" i="1" s="1"/>
  <c r="BW405" i="1" s="1"/>
  <c r="CD405" i="1" s="1"/>
  <c r="AX284" i="3"/>
  <c r="BX403" i="1"/>
  <c r="N87" i="1" s="1"/>
  <c r="AP140" i="10" s="1"/>
  <c r="BL404" i="1"/>
  <c r="BW404" i="1" s="1"/>
  <c r="CD404" i="1" s="1"/>
  <c r="BP403" i="1"/>
  <c r="BO403" i="1"/>
  <c r="BH405" i="1"/>
  <c r="BI404" i="1"/>
  <c r="BX404" i="1" l="1"/>
  <c r="BJ406" i="1"/>
  <c r="BK406" i="1" s="1"/>
  <c r="BR403" i="1"/>
  <c r="BY403" i="1" s="1"/>
  <c r="Q87" i="1" s="1"/>
  <c r="BN140" i="10" s="1"/>
  <c r="BK405" i="1"/>
  <c r="AF86" i="1"/>
  <c r="AI86" i="1" s="1"/>
  <c r="AP284" i="3"/>
  <c r="CE405" i="1"/>
  <c r="BX405" i="1"/>
  <c r="BI405" i="1"/>
  <c r="BH406" i="1"/>
  <c r="CE404" i="1"/>
  <c r="P87" i="1" l="1"/>
  <c r="BF140" i="10" s="1"/>
  <c r="BJ407" i="1"/>
  <c r="BK407" i="1" s="1"/>
  <c r="BL406" i="1"/>
  <c r="BW406" i="1" s="1"/>
  <c r="CD406" i="1" s="1"/>
  <c r="CE406" i="1" s="1"/>
  <c r="AQ404" i="1"/>
  <c r="BC404" i="1" s="1"/>
  <c r="BU404" i="1" s="1"/>
  <c r="CB404" i="1" s="1"/>
  <c r="CC404" i="1" s="1"/>
  <c r="BN284" i="3"/>
  <c r="BH407" i="1"/>
  <c r="BI406" i="1"/>
  <c r="BF284" i="3" l="1"/>
  <c r="BX406" i="1"/>
  <c r="BJ408" i="1"/>
  <c r="BL408" i="1" s="1"/>
  <c r="BW408" i="1" s="1"/>
  <c r="CD408" i="1" s="1"/>
  <c r="BL407" i="1"/>
  <c r="BW407" i="1" s="1"/>
  <c r="CD407" i="1" s="1"/>
  <c r="CE407" i="1" s="1"/>
  <c r="BM404" i="1"/>
  <c r="BP404" i="1" s="1"/>
  <c r="BV404" i="1"/>
  <c r="BI407" i="1"/>
  <c r="BH408" i="1"/>
  <c r="BI408" i="1" s="1"/>
  <c r="BX407" i="1" l="1"/>
  <c r="BO404" i="1"/>
  <c r="BK408" i="1"/>
  <c r="BN404" i="1"/>
  <c r="BX408" i="1"/>
  <c r="CE408" i="1"/>
  <c r="BR404" i="1" l="1"/>
  <c r="BY404" i="1" s="1"/>
  <c r="AQ405" i="1" l="1"/>
  <c r="BC405" i="1" s="1"/>
  <c r="BU405" i="1" s="1"/>
  <c r="CB405" i="1" s="1"/>
  <c r="CC405" i="1" s="1"/>
  <c r="BV405" i="1" l="1"/>
  <c r="BM405" i="1"/>
  <c r="BP405" i="1" s="1"/>
  <c r="BN405" i="1" l="1"/>
  <c r="BO405" i="1"/>
  <c r="BR405" i="1" l="1"/>
  <c r="AQ406" i="1" s="1"/>
  <c r="BC406" i="1" s="1"/>
  <c r="BU406" i="1" s="1"/>
  <c r="CB406" i="1" s="1"/>
  <c r="CC406" i="1" s="1"/>
  <c r="BM406" i="1" l="1"/>
  <c r="BO406" i="1" s="1"/>
  <c r="BV406" i="1"/>
  <c r="BY405" i="1"/>
  <c r="BP406" i="1" l="1"/>
  <c r="BN406" i="1"/>
  <c r="BR406" i="1" l="1"/>
  <c r="AQ407" i="1" s="1"/>
  <c r="BC407" i="1" s="1"/>
  <c r="BU407" i="1" s="1"/>
  <c r="BV407" i="1" s="1"/>
  <c r="BY406" i="1"/>
  <c r="CB407" i="1"/>
  <c r="CC407" i="1" s="1"/>
  <c r="BM407" i="1"/>
  <c r="BP407" i="1" l="1"/>
  <c r="BN407" i="1"/>
  <c r="BO407" i="1"/>
  <c r="BR407" i="1" l="1"/>
  <c r="AQ408" i="1" s="1"/>
  <c r="BY407" i="1" l="1"/>
  <c r="BC408" i="1"/>
  <c r="BU408" i="1" s="1"/>
  <c r="BM408" i="1" l="1"/>
  <c r="BO408" i="1" s="1"/>
  <c r="BV408" i="1"/>
  <c r="CB408" i="1"/>
  <c r="CC408" i="1" s="1"/>
  <c r="BN408" i="1" l="1"/>
  <c r="BP408" i="1"/>
  <c r="BR408" i="1" l="1"/>
  <c r="AQ409" i="1" s="1"/>
  <c r="BY408" i="1" l="1"/>
  <c r="BC409" i="1"/>
  <c r="BU409" i="1" s="1"/>
  <c r="CH409" i="1"/>
  <c r="CH410" i="1" s="1"/>
  <c r="CH411" i="1" s="1"/>
  <c r="CH412" i="1" s="1"/>
  <c r="CH413" i="1" s="1"/>
  <c r="CH414" i="1" s="1"/>
  <c r="BJ409" i="1" l="1"/>
  <c r="BK409" i="1" s="1"/>
  <c r="BH409" i="1"/>
  <c r="BH410" i="1" s="1"/>
  <c r="CB409" i="1"/>
  <c r="CC409" i="1" s="1"/>
  <c r="BV409" i="1"/>
  <c r="BJ410" i="1" l="1"/>
  <c r="BL410" i="1" s="1"/>
  <c r="BW410" i="1" s="1"/>
  <c r="CD410" i="1" s="1"/>
  <c r="BI409" i="1"/>
  <c r="BL409" i="1"/>
  <c r="BW409" i="1" s="1"/>
  <c r="BH411" i="1"/>
  <c r="BI410" i="1"/>
  <c r="BJ411" i="1" l="1"/>
  <c r="BK411" i="1" s="1"/>
  <c r="BK410" i="1"/>
  <c r="BM409" i="1"/>
  <c r="BP409" i="1" s="1"/>
  <c r="BI411" i="1"/>
  <c r="BH412" i="1"/>
  <c r="CD409" i="1"/>
  <c r="BX409" i="1"/>
  <c r="BX410" i="1"/>
  <c r="BJ412" i="1" l="1"/>
  <c r="BL412" i="1" s="1"/>
  <c r="BW412" i="1" s="1"/>
  <c r="BL411" i="1"/>
  <c r="BW411" i="1" s="1"/>
  <c r="CD411" i="1" s="1"/>
  <c r="CE411" i="1" s="1"/>
  <c r="BN409" i="1"/>
  <c r="BO409" i="1"/>
  <c r="BH413" i="1"/>
  <c r="BI412" i="1"/>
  <c r="CE409" i="1"/>
  <c r="CE410" i="1"/>
  <c r="BJ413" i="1" l="1"/>
  <c r="BK413" i="1" s="1"/>
  <c r="BK412" i="1"/>
  <c r="BX411" i="1"/>
  <c r="BR409" i="1"/>
  <c r="BY409" i="1" s="1"/>
  <c r="BX412" i="1"/>
  <c r="CD412" i="1"/>
  <c r="BI413" i="1"/>
  <c r="BH414" i="1"/>
  <c r="BJ414" i="1" l="1"/>
  <c r="BK414" i="1" s="1"/>
  <c r="BL413" i="1"/>
  <c r="BW413" i="1" s="1"/>
  <c r="BX413" i="1" s="1"/>
  <c r="AQ410" i="1"/>
  <c r="BC410" i="1" s="1"/>
  <c r="BU410" i="1" s="1"/>
  <c r="CB410" i="1" s="1"/>
  <c r="CC410" i="1" s="1"/>
  <c r="CE412" i="1"/>
  <c r="BI414" i="1"/>
  <c r="BL414" i="1" l="1"/>
  <c r="BW414" i="1" s="1"/>
  <c r="CD414" i="1" s="1"/>
  <c r="CD413" i="1"/>
  <c r="CE413" i="1" s="1"/>
  <c r="BM410" i="1"/>
  <c r="BN410" i="1" s="1"/>
  <c r="BV410" i="1"/>
  <c r="BX414" i="1" l="1"/>
  <c r="CE414" i="1"/>
  <c r="BP410" i="1"/>
  <c r="BO410" i="1"/>
  <c r="BR410" i="1" l="1"/>
  <c r="BY410" i="1" s="1"/>
  <c r="AQ411" i="1" l="1"/>
  <c r="BC411" i="1" s="1"/>
  <c r="BU411" i="1" s="1"/>
  <c r="CB411" i="1" s="1"/>
  <c r="CC411" i="1" s="1"/>
  <c r="BV411" i="1" l="1"/>
  <c r="BM411" i="1"/>
  <c r="BN411" i="1" s="1"/>
  <c r="BP411" i="1" l="1"/>
  <c r="BO411" i="1"/>
  <c r="BR411" i="1" l="1"/>
  <c r="BY411" i="1" s="1"/>
  <c r="AQ412" i="1" l="1"/>
  <c r="BC412" i="1" s="1"/>
  <c r="BU412" i="1" s="1"/>
  <c r="CB412" i="1" s="1"/>
  <c r="CC412" i="1" s="1"/>
  <c r="BM412" i="1" l="1"/>
  <c r="BP412" i="1" s="1"/>
  <c r="BV412" i="1"/>
  <c r="BO412" i="1" l="1"/>
  <c r="BN412" i="1"/>
  <c r="BR412" i="1" l="1"/>
  <c r="BY412" i="1" s="1"/>
  <c r="AQ413" i="1" l="1"/>
  <c r="BC413" i="1" s="1"/>
  <c r="BU413" i="1" s="1"/>
  <c r="CB413" i="1" s="1"/>
  <c r="CC413" i="1" s="1"/>
  <c r="BV413" i="1" l="1"/>
  <c r="BM413" i="1"/>
  <c r="BO413" i="1" s="1"/>
  <c r="BN413" i="1" l="1"/>
  <c r="BP413" i="1"/>
  <c r="BR413" i="1" l="1"/>
  <c r="BY413" i="1" s="1"/>
  <c r="AQ414" i="1" l="1"/>
  <c r="BC414" i="1" s="1"/>
  <c r="BU414" i="1" s="1"/>
  <c r="CB414" i="1" s="1"/>
  <c r="CC414" i="1" s="1"/>
  <c r="BM414" i="1" l="1"/>
  <c r="BP414" i="1" s="1"/>
  <c r="BV414" i="1"/>
  <c r="BN414" i="1" l="1"/>
  <c r="BO414" i="1"/>
  <c r="BR414" i="1" l="1"/>
  <c r="AQ415" i="1" s="1"/>
  <c r="BC415" i="1" s="1"/>
  <c r="BU415" i="1" s="1"/>
  <c r="BY414" i="1" l="1"/>
  <c r="BJ415" i="1"/>
  <c r="BL415" i="1" s="1"/>
  <c r="BW415" i="1" s="1"/>
  <c r="BH415" i="1"/>
  <c r="BI415" i="1" s="1"/>
  <c r="CH415" i="1"/>
  <c r="CH416" i="1" s="1"/>
  <c r="CH417" i="1" s="1"/>
  <c r="CH418" i="1" s="1"/>
  <c r="CH419" i="1" s="1"/>
  <c r="CH420" i="1" s="1"/>
  <c r="CB415" i="1"/>
  <c r="CC415" i="1" s="1"/>
  <c r="M88" i="1" s="1"/>
  <c r="AH141" i="10" s="1"/>
  <c r="BV415" i="1"/>
  <c r="L88" i="1" s="1"/>
  <c r="Z141" i="10" s="1"/>
  <c r="Z285" i="3" l="1"/>
  <c r="AH285" i="3"/>
  <c r="BH416" i="1"/>
  <c r="BH417" i="1" s="1"/>
  <c r="BJ416" i="1"/>
  <c r="BK416" i="1" s="1"/>
  <c r="BK415" i="1"/>
  <c r="BM415" i="1"/>
  <c r="BP415" i="1" s="1"/>
  <c r="CD415" i="1"/>
  <c r="BX415" i="1"/>
  <c r="N88" i="1" s="1"/>
  <c r="AP141" i="10" s="1"/>
  <c r="BI416" i="1" l="1"/>
  <c r="BJ417" i="1"/>
  <c r="BL417" i="1" s="1"/>
  <c r="BW417" i="1" s="1"/>
  <c r="BL416" i="1"/>
  <c r="BW416" i="1" s="1"/>
  <c r="BX416" i="1" s="1"/>
  <c r="BO415" i="1"/>
  <c r="BN415" i="1"/>
  <c r="CE415" i="1"/>
  <c r="O88" i="1" s="1"/>
  <c r="AX141" i="10" s="1"/>
  <c r="BH418" i="1"/>
  <c r="BI417" i="1"/>
  <c r="AP285" i="3"/>
  <c r="AF87" i="1"/>
  <c r="AI87" i="1" s="1"/>
  <c r="AX285" i="3" l="1"/>
  <c r="BR415" i="1"/>
  <c r="BY415" i="1" s="1"/>
  <c r="Q88" i="1" s="1"/>
  <c r="BN141" i="10" s="1"/>
  <c r="CD416" i="1"/>
  <c r="CE416" i="1" s="1"/>
  <c r="BJ418" i="1"/>
  <c r="BK418" i="1" s="1"/>
  <c r="BK417" i="1"/>
  <c r="BI418" i="1"/>
  <c r="BH419" i="1"/>
  <c r="CD417" i="1"/>
  <c r="BX417" i="1"/>
  <c r="P88" i="1"/>
  <c r="BF141" i="10" s="1"/>
  <c r="AQ416" i="1" l="1"/>
  <c r="BN285" i="3"/>
  <c r="BF285" i="3"/>
  <c r="BJ419" i="1"/>
  <c r="BK419" i="1" s="1"/>
  <c r="BL418" i="1"/>
  <c r="BW418" i="1" s="1"/>
  <c r="BX418" i="1" s="1"/>
  <c r="BH420" i="1"/>
  <c r="BI420" i="1" s="1"/>
  <c r="BI419" i="1"/>
  <c r="CE417" i="1"/>
  <c r="BC416" i="1"/>
  <c r="BU416" i="1" s="1"/>
  <c r="BJ420" i="1" l="1"/>
  <c r="BL420" i="1" s="1"/>
  <c r="BW420" i="1" s="1"/>
  <c r="BL419" i="1"/>
  <c r="BW419" i="1" s="1"/>
  <c r="CD419" i="1" s="1"/>
  <c r="CD418" i="1"/>
  <c r="BM416" i="1"/>
  <c r="BN416" i="1" s="1"/>
  <c r="BV416" i="1"/>
  <c r="CB416" i="1"/>
  <c r="CC416" i="1" s="1"/>
  <c r="BX419" i="1" l="1"/>
  <c r="CE419" i="1"/>
  <c r="CE418" i="1"/>
  <c r="BK420" i="1"/>
  <c r="CD420" i="1"/>
  <c r="CE420" i="1" s="1"/>
  <c r="BX420" i="1"/>
  <c r="BO416" i="1"/>
  <c r="BP416" i="1"/>
  <c r="BR416" i="1" l="1"/>
  <c r="AQ417" i="1" s="1"/>
  <c r="BC417" i="1" s="1"/>
  <c r="BU417" i="1" s="1"/>
  <c r="BY416" i="1" l="1"/>
  <c r="CB417" i="1"/>
  <c r="CC417" i="1" s="1"/>
  <c r="BV417" i="1"/>
  <c r="BM417" i="1"/>
  <c r="BP417" i="1" l="1"/>
  <c r="BN417" i="1"/>
  <c r="BO417" i="1"/>
  <c r="BR417" i="1" l="1"/>
  <c r="BY417" i="1" s="1"/>
  <c r="AQ418" i="1" l="1"/>
  <c r="BC418" i="1" s="1"/>
  <c r="BU418" i="1" s="1"/>
  <c r="BM418" i="1" l="1"/>
  <c r="CB418" i="1"/>
  <c r="CC418" i="1" s="1"/>
  <c r="BV418" i="1"/>
  <c r="BO418" i="1" l="1"/>
  <c r="BN418" i="1"/>
  <c r="BP418" i="1"/>
  <c r="BR418" i="1" l="1"/>
  <c r="BY418" i="1" l="1"/>
  <c r="AQ419" i="1"/>
  <c r="BC419" i="1" l="1"/>
  <c r="BU419" i="1" s="1"/>
  <c r="CB419" i="1" l="1"/>
  <c r="CC419" i="1" s="1"/>
  <c r="BV419" i="1"/>
  <c r="BM419" i="1"/>
  <c r="BO419" i="1" l="1"/>
  <c r="BN419" i="1"/>
  <c r="BP419" i="1"/>
  <c r="BR419" i="1" l="1"/>
  <c r="AQ420" i="1" s="1"/>
  <c r="BY419" i="1" l="1"/>
  <c r="BC420" i="1"/>
  <c r="BU420" i="1" s="1"/>
  <c r="BM420" i="1" l="1"/>
  <c r="CB420" i="1"/>
  <c r="CC420" i="1" s="1"/>
  <c r="BV420" i="1"/>
  <c r="BP420" i="1" l="1"/>
  <c r="BN420" i="1"/>
  <c r="BO420" i="1"/>
  <c r="BR420" i="1" l="1"/>
  <c r="AQ421" i="1" l="1"/>
  <c r="BY420" i="1"/>
  <c r="BC421" i="1" l="1"/>
  <c r="BU421" i="1" s="1"/>
  <c r="CH421" i="1"/>
  <c r="CH422" i="1" s="1"/>
  <c r="CH423" i="1" s="1"/>
  <c r="CH424" i="1" s="1"/>
  <c r="CH425" i="1" s="1"/>
  <c r="CH426" i="1" s="1"/>
  <c r="BH421" i="1" l="1"/>
  <c r="BI421" i="1" s="1"/>
  <c r="BJ421" i="1"/>
  <c r="BL421" i="1" s="1"/>
  <c r="CB421" i="1"/>
  <c r="CC421" i="1" s="1"/>
  <c r="BV421" i="1"/>
  <c r="BJ422" i="1" l="1"/>
  <c r="BK422" i="1" s="1"/>
  <c r="BH422" i="1"/>
  <c r="BI422" i="1" s="1"/>
  <c r="BK421" i="1"/>
  <c r="BW421" i="1"/>
  <c r="BM421" i="1"/>
  <c r="BJ423" i="1" l="1"/>
  <c r="BK423" i="1" s="1"/>
  <c r="BL422" i="1"/>
  <c r="BW422" i="1" s="1"/>
  <c r="CD422" i="1" s="1"/>
  <c r="BH423" i="1"/>
  <c r="BH424" i="1" s="1"/>
  <c r="BP421" i="1"/>
  <c r="BO421" i="1"/>
  <c r="BN421" i="1"/>
  <c r="CD421" i="1"/>
  <c r="BX421" i="1"/>
  <c r="BX422" i="1" l="1"/>
  <c r="BJ424" i="1"/>
  <c r="BK424" i="1" s="1"/>
  <c r="BL423" i="1"/>
  <c r="BW423" i="1" s="1"/>
  <c r="CD423" i="1" s="1"/>
  <c r="CE423" i="1" s="1"/>
  <c r="BI423" i="1"/>
  <c r="BR421" i="1"/>
  <c r="BY421" i="1" s="1"/>
  <c r="CE422" i="1"/>
  <c r="CE421" i="1"/>
  <c r="BI424" i="1"/>
  <c r="BH425" i="1"/>
  <c r="BJ425" i="1" l="1"/>
  <c r="BJ426" i="1" s="1"/>
  <c r="BL424" i="1"/>
  <c r="BW424" i="1" s="1"/>
  <c r="CD424" i="1" s="1"/>
  <c r="BX423" i="1"/>
  <c r="AQ422" i="1"/>
  <c r="BC422" i="1" s="1"/>
  <c r="BU422" i="1" s="1"/>
  <c r="BH426" i="1"/>
  <c r="BI425" i="1"/>
  <c r="BL425" i="1" l="1"/>
  <c r="BW425" i="1" s="1"/>
  <c r="CD425" i="1" s="1"/>
  <c r="CE425" i="1" s="1"/>
  <c r="BK425" i="1"/>
  <c r="BX424" i="1"/>
  <c r="BM422" i="1"/>
  <c r="BN422" i="1" s="1"/>
  <c r="BL426" i="1"/>
  <c r="BW426" i="1" s="1"/>
  <c r="CD426" i="1" s="1"/>
  <c r="BK426" i="1"/>
  <c r="BI426" i="1"/>
  <c r="CB422" i="1"/>
  <c r="CC422" i="1" s="1"/>
  <c r="BV422" i="1"/>
  <c r="CE424" i="1"/>
  <c r="BX425" i="1" l="1"/>
  <c r="CE426" i="1"/>
  <c r="BX426" i="1"/>
  <c r="BP422" i="1"/>
  <c r="BO422" i="1"/>
  <c r="BR422" i="1" l="1"/>
  <c r="AQ423" i="1" s="1"/>
  <c r="BC423" i="1" s="1"/>
  <c r="BU423" i="1" s="1"/>
  <c r="BY422" i="1" l="1"/>
  <c r="BM423" i="1"/>
  <c r="BP423" i="1" s="1"/>
  <c r="CB423" i="1"/>
  <c r="CC423" i="1" s="1"/>
  <c r="BV423" i="1"/>
  <c r="BO423" i="1" l="1"/>
  <c r="BN423" i="1"/>
  <c r="BR423" i="1" l="1"/>
  <c r="BY423" i="1" s="1"/>
  <c r="AQ424" i="1" l="1"/>
  <c r="BC424" i="1" s="1"/>
  <c r="BU424" i="1" s="1"/>
  <c r="CB424" i="1" l="1"/>
  <c r="CC424" i="1" s="1"/>
  <c r="BV424" i="1"/>
  <c r="BM424" i="1"/>
  <c r="BP424" i="1" s="1"/>
  <c r="BN424" i="1" l="1"/>
  <c r="BO424" i="1"/>
  <c r="BR424" i="1" l="1"/>
  <c r="AQ425" i="1" s="1"/>
  <c r="BC425" i="1" l="1"/>
  <c r="BU425" i="1" s="1"/>
  <c r="BY424" i="1"/>
  <c r="BM425" i="1" l="1"/>
  <c r="BN425" i="1" s="1"/>
  <c r="BV425" i="1"/>
  <c r="CB425" i="1"/>
  <c r="CC425" i="1" s="1"/>
  <c r="BO425" i="1" l="1"/>
  <c r="BP425" i="1"/>
  <c r="BR425" i="1" l="1"/>
  <c r="AQ426" i="1" s="1"/>
  <c r="BY425" i="1" l="1"/>
  <c r="BC426" i="1"/>
  <c r="BU426" i="1" s="1"/>
  <c r="CB426" i="1" l="1"/>
  <c r="CC426" i="1" s="1"/>
  <c r="BV426" i="1"/>
  <c r="BM426" i="1"/>
  <c r="BP426" i="1" l="1"/>
  <c r="BN426" i="1"/>
  <c r="BO426" i="1"/>
  <c r="BR426" i="1" l="1"/>
  <c r="AQ427" i="1" s="1"/>
  <c r="BY426" i="1" l="1"/>
  <c r="BC427" i="1"/>
  <c r="BU427" i="1" s="1"/>
  <c r="CH427" i="1" l="1"/>
  <c r="CH428" i="1" s="1"/>
  <c r="CH429" i="1" s="1"/>
  <c r="CH430" i="1" s="1"/>
  <c r="CH431" i="1" s="1"/>
  <c r="CH432" i="1" s="1"/>
  <c r="BJ427" i="1"/>
  <c r="BH427" i="1"/>
  <c r="CB427" i="1"/>
  <c r="CC427" i="1" s="1"/>
  <c r="M89" i="1" s="1"/>
  <c r="AH142" i="10" s="1"/>
  <c r="BV427" i="1"/>
  <c r="L89" i="1" s="1"/>
  <c r="Z142" i="10" s="1"/>
  <c r="Z286" i="3" l="1"/>
  <c r="AH286" i="3"/>
  <c r="BI427" i="1"/>
  <c r="BH428" i="1"/>
  <c r="BL427" i="1"/>
  <c r="BK427" i="1"/>
  <c r="BJ428" i="1"/>
  <c r="BW427" i="1" l="1"/>
  <c r="BM427" i="1"/>
  <c r="BH429" i="1"/>
  <c r="BI428" i="1"/>
  <c r="BL428" i="1"/>
  <c r="BW428" i="1" s="1"/>
  <c r="CD428" i="1" s="1"/>
  <c r="BJ429" i="1"/>
  <c r="BK428" i="1"/>
  <c r="BI429" i="1" l="1"/>
  <c r="BH430" i="1"/>
  <c r="BJ430" i="1"/>
  <c r="BK429" i="1"/>
  <c r="BL429" i="1"/>
  <c r="BW429" i="1" s="1"/>
  <c r="BP427" i="1"/>
  <c r="BO427" i="1"/>
  <c r="BN427" i="1"/>
  <c r="BX427" i="1"/>
  <c r="N89" i="1" s="1"/>
  <c r="AP142" i="10" s="1"/>
  <c r="CD427" i="1"/>
  <c r="BX428" i="1"/>
  <c r="BR427" i="1" l="1"/>
  <c r="AQ428" i="1" s="1"/>
  <c r="BX429" i="1"/>
  <c r="CD429" i="1"/>
  <c r="CE429" i="1" s="1"/>
  <c r="BJ431" i="1"/>
  <c r="BL430" i="1"/>
  <c r="BW430" i="1" s="1"/>
  <c r="BK430" i="1"/>
  <c r="CE427" i="1"/>
  <c r="O89" i="1" s="1"/>
  <c r="AX142" i="10" s="1"/>
  <c r="CE428" i="1"/>
  <c r="BH431" i="1"/>
  <c r="BI430" i="1"/>
  <c r="AF88" i="1"/>
  <c r="AI88" i="1" s="1"/>
  <c r="AP286" i="3"/>
  <c r="BY427" i="1" l="1"/>
  <c r="Q89" i="1" s="1"/>
  <c r="P89" i="1"/>
  <c r="AX286" i="3"/>
  <c r="BC428" i="1"/>
  <c r="BU428" i="1" s="1"/>
  <c r="BI431" i="1"/>
  <c r="BH432" i="1"/>
  <c r="BI432" i="1" s="1"/>
  <c r="BX430" i="1"/>
  <c r="CD430" i="1"/>
  <c r="BJ432" i="1"/>
  <c r="BK431" i="1"/>
  <c r="BL431" i="1"/>
  <c r="BW431" i="1" s="1"/>
  <c r="CD431" i="1" s="1"/>
  <c r="BN286" i="3" l="1"/>
  <c r="BN142" i="10"/>
  <c r="BF286" i="3"/>
  <c r="BF142" i="10"/>
  <c r="BM428" i="1"/>
  <c r="BN428" i="1" s="1"/>
  <c r="BV428" i="1"/>
  <c r="CB428" i="1"/>
  <c r="CC428" i="1" s="1"/>
  <c r="BX431" i="1"/>
  <c r="BK432" i="1"/>
  <c r="BL432" i="1"/>
  <c r="BW432" i="1" s="1"/>
  <c r="CE431" i="1"/>
  <c r="CE430" i="1"/>
  <c r="BP428" i="1" l="1"/>
  <c r="BO428" i="1"/>
  <c r="CD432" i="1"/>
  <c r="CE432" i="1" s="1"/>
  <c r="BX432" i="1"/>
  <c r="BR428" i="1" l="1"/>
  <c r="AQ429" i="1" l="1"/>
  <c r="BY428" i="1"/>
  <c r="BC429" i="1" l="1"/>
  <c r="BU429" i="1" s="1"/>
  <c r="BM429" i="1" l="1"/>
  <c r="BP429" i="1" s="1"/>
  <c r="BV429" i="1"/>
  <c r="CB429" i="1"/>
  <c r="CC429" i="1" s="1"/>
  <c r="BO429" i="1" l="1"/>
  <c r="BN429" i="1"/>
  <c r="BR429" i="1" l="1"/>
  <c r="BY429" i="1" s="1"/>
  <c r="AQ430" i="1" l="1"/>
  <c r="BC430" i="1" s="1"/>
  <c r="BU430" i="1" s="1"/>
  <c r="BV430" i="1" s="1"/>
  <c r="CB430" i="1" l="1"/>
  <c r="CC430" i="1" s="1"/>
  <c r="BM430" i="1"/>
  <c r="BN430" i="1" s="1"/>
  <c r="BO430" i="1" l="1"/>
  <c r="BP430" i="1"/>
  <c r="BR430" i="1" l="1"/>
  <c r="AQ431" i="1" s="1"/>
  <c r="BY430" i="1"/>
  <c r="BC431" i="1" l="1"/>
  <c r="BU431" i="1" s="1"/>
  <c r="BM431" i="1" l="1"/>
  <c r="BV431" i="1"/>
  <c r="CB431" i="1"/>
  <c r="CC431" i="1" s="1"/>
  <c r="BN431" i="1" l="1"/>
  <c r="BO431" i="1"/>
  <c r="BP431" i="1"/>
  <c r="BR431" i="1" l="1"/>
  <c r="AQ432" i="1" s="1"/>
  <c r="BY431" i="1" l="1"/>
  <c r="BC432" i="1"/>
  <c r="BU432" i="1" s="1"/>
  <c r="BM432" i="1" l="1"/>
  <c r="CB432" i="1"/>
  <c r="CC432" i="1" s="1"/>
  <c r="BV432" i="1"/>
  <c r="CH433" i="1"/>
  <c r="CH434" i="1" s="1"/>
  <c r="CH435" i="1" s="1"/>
  <c r="CH436" i="1" s="1"/>
  <c r="CH437" i="1" s="1"/>
  <c r="CH438" i="1" s="1"/>
  <c r="BH433" i="1"/>
  <c r="BH434" i="1" s="1"/>
  <c r="BJ433" i="1"/>
  <c r="BJ434" i="1" s="1"/>
  <c r="BP432" i="1" l="1"/>
  <c r="BO432" i="1"/>
  <c r="BN432" i="1"/>
  <c r="BL433" i="1"/>
  <c r="BW433" i="1" s="1"/>
  <c r="BK433" i="1"/>
  <c r="BI433" i="1"/>
  <c r="BJ435" i="1"/>
  <c r="BK434" i="1"/>
  <c r="BL434" i="1"/>
  <c r="BW434" i="1" s="1"/>
  <c r="CD434" i="1" s="1"/>
  <c r="BI434" i="1"/>
  <c r="BH435" i="1"/>
  <c r="BR432" i="1" l="1"/>
  <c r="BY432" i="1"/>
  <c r="AQ433" i="1"/>
  <c r="BX433" i="1"/>
  <c r="CD433" i="1"/>
  <c r="BX434" i="1"/>
  <c r="BH436" i="1"/>
  <c r="BI435" i="1"/>
  <c r="BK435" i="1"/>
  <c r="BL435" i="1"/>
  <c r="BW435" i="1" s="1"/>
  <c r="CD435" i="1" s="1"/>
  <c r="BJ436" i="1"/>
  <c r="BC433" i="1" l="1"/>
  <c r="BU433" i="1" s="1"/>
  <c r="BJ437" i="1"/>
  <c r="BK436" i="1"/>
  <c r="BL436" i="1"/>
  <c r="BW436" i="1" s="1"/>
  <c r="BX435" i="1"/>
  <c r="CE433" i="1"/>
  <c r="CE435" i="1"/>
  <c r="CE434" i="1"/>
  <c r="BI436" i="1"/>
  <c r="BH437" i="1"/>
  <c r="BM433" i="1" l="1"/>
  <c r="BN433" i="1" s="1"/>
  <c r="CB433" i="1"/>
  <c r="CC433" i="1" s="1"/>
  <c r="BV433" i="1"/>
  <c r="BI437" i="1"/>
  <c r="BH438" i="1"/>
  <c r="CD436" i="1"/>
  <c r="BX436" i="1"/>
  <c r="BK437" i="1"/>
  <c r="BL437" i="1"/>
  <c r="BW437" i="1" s="1"/>
  <c r="CD437" i="1" s="1"/>
  <c r="BJ438" i="1"/>
  <c r="BP433" i="1" l="1"/>
  <c r="BO433" i="1"/>
  <c r="BX437" i="1"/>
  <c r="CE436" i="1"/>
  <c r="CE437" i="1"/>
  <c r="BI438" i="1"/>
  <c r="BL438" i="1"/>
  <c r="BW438" i="1" s="1"/>
  <c r="BK438" i="1"/>
  <c r="BR433" i="1" l="1"/>
  <c r="AQ434" i="1" s="1"/>
  <c r="CD438" i="1"/>
  <c r="CE438" i="1" s="1"/>
  <c r="BX438" i="1"/>
  <c r="BC434" i="1" l="1"/>
  <c r="BU434" i="1" s="1"/>
  <c r="CB434" i="1" s="1"/>
  <c r="CC434" i="1" s="1"/>
  <c r="BY433" i="1"/>
  <c r="BV434" i="1" l="1"/>
  <c r="BM434" i="1"/>
  <c r="BP434" i="1" l="1"/>
  <c r="BN434" i="1"/>
  <c r="BO434" i="1"/>
  <c r="BR434" i="1" l="1"/>
  <c r="AQ435" i="1" l="1"/>
  <c r="BY434" i="1"/>
  <c r="BC435" i="1" l="1"/>
  <c r="BU435" i="1" s="1"/>
  <c r="CB435" i="1" l="1"/>
  <c r="CC435" i="1" s="1"/>
  <c r="BV435" i="1"/>
  <c r="BM435" i="1"/>
  <c r="BP435" i="1" l="1"/>
  <c r="BO435" i="1"/>
  <c r="BN435" i="1"/>
  <c r="BR435" i="1" l="1"/>
  <c r="BY435" i="1" s="1"/>
  <c r="AQ436" i="1" l="1"/>
  <c r="BC436" i="1" s="1"/>
  <c r="BU436" i="1" s="1"/>
  <c r="BV436" i="1" l="1"/>
  <c r="CB436" i="1"/>
  <c r="CC436" i="1" s="1"/>
  <c r="BM436" i="1"/>
  <c r="BP436" i="1" l="1"/>
  <c r="BO436" i="1"/>
  <c r="BN436" i="1"/>
  <c r="BR436" i="1" l="1"/>
  <c r="BY436" i="1" s="1"/>
  <c r="AQ437" i="1" l="1"/>
  <c r="BC437" i="1" s="1"/>
  <c r="BU437" i="1" s="1"/>
  <c r="BM437" i="1" l="1"/>
  <c r="BO437" i="1" s="1"/>
  <c r="BV437" i="1"/>
  <c r="CB437" i="1"/>
  <c r="CC437" i="1" s="1"/>
  <c r="BP437" i="1" l="1"/>
  <c r="BN437" i="1"/>
  <c r="BR437" i="1" s="1"/>
  <c r="AQ438" i="1" s="1"/>
  <c r="BY437" i="1" l="1"/>
  <c r="BC438" i="1"/>
  <c r="BU438" i="1" s="1"/>
  <c r="BM438" i="1" l="1"/>
  <c r="BN438" i="1" s="1"/>
  <c r="CB438" i="1"/>
  <c r="CC438" i="1" s="1"/>
  <c r="BV438" i="1"/>
  <c r="BP438" i="1" l="1"/>
  <c r="BO438" i="1"/>
  <c r="BR438" i="1" l="1"/>
  <c r="BY438" i="1" s="1"/>
  <c r="AQ439" i="1" l="1"/>
  <c r="BC439" i="1" l="1"/>
  <c r="CH439" i="1"/>
  <c r="CH440" i="1" s="1"/>
  <c r="CH441" i="1" s="1"/>
  <c r="CH442" i="1" s="1"/>
  <c r="CH443" i="1" s="1"/>
  <c r="CH444" i="1" s="1"/>
  <c r="BJ439" i="1"/>
  <c r="BK439" i="1" l="1"/>
  <c r="BL439" i="1"/>
  <c r="BJ440" i="1"/>
  <c r="BU439" i="1"/>
  <c r="BH439" i="1"/>
  <c r="BI439" i="1" l="1"/>
  <c r="BH440" i="1"/>
  <c r="BK440" i="1"/>
  <c r="BJ441" i="1"/>
  <c r="BL440" i="1"/>
  <c r="BW440" i="1" s="1"/>
  <c r="CD440" i="1" s="1"/>
  <c r="BW439" i="1"/>
  <c r="BM439" i="1"/>
  <c r="CB439" i="1"/>
  <c r="CC439" i="1" s="1"/>
  <c r="M90" i="1" s="1"/>
  <c r="BV439" i="1"/>
  <c r="L90" i="1" s="1"/>
  <c r="CD439" i="1" l="1"/>
  <c r="CE440" i="1" s="1"/>
  <c r="BX439" i="1"/>
  <c r="N90" i="1" s="1"/>
  <c r="BX440" i="1"/>
  <c r="BJ442" i="1"/>
  <c r="BK441" i="1"/>
  <c r="BL441" i="1"/>
  <c r="BW441" i="1" s="1"/>
  <c r="AH143" i="10"/>
  <c r="AH287" i="3"/>
  <c r="BN439" i="1"/>
  <c r="BP439" i="1"/>
  <c r="BO439" i="1"/>
  <c r="BI440" i="1"/>
  <c r="BH441" i="1"/>
  <c r="Z143" i="10"/>
  <c r="Z287" i="3"/>
  <c r="BR439" i="1" l="1"/>
  <c r="AQ440" i="1" s="1"/>
  <c r="BC440" i="1" s="1"/>
  <c r="BU440" i="1" s="1"/>
  <c r="BI441" i="1"/>
  <c r="BH442" i="1"/>
  <c r="CD441" i="1"/>
  <c r="CE441" i="1" s="1"/>
  <c r="AP143" i="10"/>
  <c r="AF89" i="1"/>
  <c r="AI89" i="1" s="1"/>
  <c r="AP287" i="3"/>
  <c r="CE439" i="1"/>
  <c r="O90" i="1" s="1"/>
  <c r="BJ443" i="1"/>
  <c r="BL442" i="1"/>
  <c r="BW442" i="1" s="1"/>
  <c r="CD442" i="1" s="1"/>
  <c r="BK442" i="1"/>
  <c r="BX441" i="1"/>
  <c r="P90" i="1" l="1"/>
  <c r="BF143" i="10" s="1"/>
  <c r="CE442" i="1"/>
  <c r="BY439" i="1"/>
  <c r="Q90" i="1" s="1"/>
  <c r="BN143" i="10" s="1"/>
  <c r="BX442" i="1"/>
  <c r="BJ444" i="1"/>
  <c r="BK443" i="1"/>
  <c r="BL443" i="1"/>
  <c r="BW443" i="1" s="1"/>
  <c r="BH443" i="1"/>
  <c r="BI442" i="1"/>
  <c r="AX143" i="10"/>
  <c r="AX287" i="3"/>
  <c r="BM440" i="1"/>
  <c r="CB440" i="1"/>
  <c r="CC440" i="1" s="1"/>
  <c r="BV440" i="1"/>
  <c r="BF287" i="3" l="1"/>
  <c r="BN287" i="3"/>
  <c r="BI443" i="1"/>
  <c r="BH444" i="1"/>
  <c r="BI444" i="1" s="1"/>
  <c r="BK444" i="1"/>
  <c r="BL444" i="1"/>
  <c r="BW444" i="1" s="1"/>
  <c r="CD443" i="1"/>
  <c r="CE443" i="1" s="1"/>
  <c r="BX443" i="1"/>
  <c r="BP440" i="1"/>
  <c r="BN440" i="1"/>
  <c r="BO440" i="1"/>
  <c r="CD444" i="1" l="1"/>
  <c r="CE444" i="1" s="1"/>
  <c r="BX444" i="1"/>
  <c r="BR440" i="1"/>
  <c r="BY440" i="1" s="1"/>
  <c r="AQ441" i="1" l="1"/>
  <c r="BC441" i="1" s="1"/>
  <c r="BU441" i="1" s="1"/>
  <c r="BM441" i="1" l="1"/>
  <c r="BP441" i="1" s="1"/>
  <c r="CB441" i="1"/>
  <c r="CC441" i="1" s="1"/>
  <c r="BV441" i="1"/>
  <c r="BO441" i="1" l="1"/>
  <c r="BN441" i="1"/>
  <c r="BR441" i="1" l="1"/>
  <c r="BY441" i="1" l="1"/>
  <c r="AQ442" i="1"/>
  <c r="BC442" i="1" l="1"/>
  <c r="BU442" i="1" s="1"/>
  <c r="BM442" i="1" l="1"/>
  <c r="CB442" i="1"/>
  <c r="CC442" i="1" s="1"/>
  <c r="BV442" i="1"/>
  <c r="BN442" i="1" l="1"/>
  <c r="BO442" i="1"/>
  <c r="BP442" i="1"/>
  <c r="BR442" i="1" l="1"/>
  <c r="BY442" i="1" s="1"/>
  <c r="AQ443" i="1" l="1"/>
  <c r="BC443" i="1" s="1"/>
  <c r="BU443" i="1" s="1"/>
  <c r="BM443" i="1" l="1"/>
  <c r="BP443" i="1" s="1"/>
  <c r="CB443" i="1"/>
  <c r="CC443" i="1" s="1"/>
  <c r="BV443" i="1"/>
  <c r="BO443" i="1" l="1"/>
  <c r="BN443" i="1"/>
  <c r="BR443" i="1" l="1"/>
  <c r="AQ444" i="1" s="1"/>
  <c r="CH445" i="1"/>
  <c r="CH446" i="1" s="1"/>
  <c r="CH447" i="1" s="1"/>
  <c r="CH448" i="1" s="1"/>
  <c r="CH449" i="1" s="1"/>
  <c r="CH450" i="1" s="1"/>
  <c r="BY443" i="1" l="1"/>
  <c r="BC444" i="1"/>
  <c r="BU444" i="1" s="1"/>
  <c r="BJ445" i="1"/>
  <c r="BK445" i="1" s="1"/>
  <c r="BH445" i="1"/>
  <c r="BI445" i="1" s="1"/>
  <c r="BM444" i="1" l="1"/>
  <c r="BN444" i="1" s="1"/>
  <c r="BV444" i="1"/>
  <c r="CB444" i="1"/>
  <c r="CC444" i="1" s="1"/>
  <c r="BH446" i="1"/>
  <c r="BI446" i="1" s="1"/>
  <c r="BJ446" i="1"/>
  <c r="BK446" i="1" s="1"/>
  <c r="BL445" i="1"/>
  <c r="BW445" i="1" s="1"/>
  <c r="BP444" i="1" l="1"/>
  <c r="BO444" i="1"/>
  <c r="BH447" i="1"/>
  <c r="BI447" i="1" s="1"/>
  <c r="BJ447" i="1"/>
  <c r="BK447" i="1" s="1"/>
  <c r="BL446" i="1"/>
  <c r="BW446" i="1" s="1"/>
  <c r="CD446" i="1" s="1"/>
  <c r="CD445" i="1"/>
  <c r="BX445" i="1"/>
  <c r="BR444" i="1" l="1"/>
  <c r="BY444" i="1" s="1"/>
  <c r="BH448" i="1"/>
  <c r="BI448" i="1" s="1"/>
  <c r="BJ448" i="1"/>
  <c r="BK448" i="1" s="1"/>
  <c r="BX446" i="1"/>
  <c r="BL447" i="1"/>
  <c r="BW447" i="1" s="1"/>
  <c r="CD447" i="1" s="1"/>
  <c r="CE447" i="1" s="1"/>
  <c r="CE446" i="1"/>
  <c r="CE445" i="1"/>
  <c r="AQ445" i="1" l="1"/>
  <c r="BC445" i="1" s="1"/>
  <c r="BU445" i="1" s="1"/>
  <c r="BH449" i="1"/>
  <c r="BI449" i="1" s="1"/>
  <c r="BJ449" i="1"/>
  <c r="BK449" i="1" s="1"/>
  <c r="BL448" i="1"/>
  <c r="BW448" i="1" s="1"/>
  <c r="BX448" i="1" s="1"/>
  <c r="BX447" i="1"/>
  <c r="CB445" i="1" l="1"/>
  <c r="CC445" i="1" s="1"/>
  <c r="BV445" i="1"/>
  <c r="BM445" i="1"/>
  <c r="BP445" i="1" s="1"/>
  <c r="BH450" i="1"/>
  <c r="BI450" i="1" s="1"/>
  <c r="BJ450" i="1"/>
  <c r="BL450" i="1" s="1"/>
  <c r="BW450" i="1" s="1"/>
  <c r="BL449" i="1"/>
  <c r="BW449" i="1" s="1"/>
  <c r="CD449" i="1" s="1"/>
  <c r="CD448" i="1"/>
  <c r="CE448" i="1" s="1"/>
  <c r="BO445" i="1" l="1"/>
  <c r="BN445" i="1"/>
  <c r="BK450" i="1"/>
  <c r="BX449" i="1"/>
  <c r="CE449" i="1"/>
  <c r="CD450" i="1"/>
  <c r="CE450" i="1" s="1"/>
  <c r="BX450" i="1"/>
  <c r="BR445" i="1" l="1"/>
  <c r="AQ446" i="1" s="1"/>
  <c r="BC446" i="1" s="1"/>
  <c r="BU446" i="1" s="1"/>
  <c r="BY445" i="1" l="1"/>
  <c r="BM446" i="1"/>
  <c r="BN446" i="1" s="1"/>
  <c r="CB446" i="1"/>
  <c r="CC446" i="1" s="1"/>
  <c r="BV446" i="1"/>
  <c r="BO446" i="1" l="1"/>
  <c r="BP446" i="1"/>
  <c r="BR446" i="1" l="1"/>
  <c r="AQ447" i="1" s="1"/>
  <c r="BC447" i="1" s="1"/>
  <c r="BU447" i="1" s="1"/>
  <c r="CB447" i="1" s="1"/>
  <c r="CC447" i="1" s="1"/>
  <c r="BM447" i="1" l="1"/>
  <c r="BN447" i="1" s="1"/>
  <c r="BV447" i="1"/>
  <c r="BY446" i="1"/>
  <c r="BO447" i="1" l="1"/>
  <c r="BP447" i="1"/>
  <c r="BR447" i="1" l="1"/>
  <c r="BY447" i="1" s="1"/>
  <c r="AQ448" i="1" l="1"/>
  <c r="BC448" i="1" s="1"/>
  <c r="BU448" i="1" s="1"/>
  <c r="CB448" i="1" s="1"/>
  <c r="BV448" i="1" l="1"/>
  <c r="BM448" i="1"/>
  <c r="BP448" i="1" s="1"/>
  <c r="CC448" i="1"/>
  <c r="BO448" i="1" l="1"/>
  <c r="BN448" i="1"/>
  <c r="BR448" i="1" l="1"/>
  <c r="BY448" i="1" s="1"/>
  <c r="AQ449" i="1" l="1"/>
  <c r="BC449" i="1" s="1"/>
  <c r="BU449" i="1" s="1"/>
  <c r="CB449" i="1" s="1"/>
  <c r="BV449" i="1"/>
  <c r="BM449" i="1"/>
  <c r="BP449" i="1" s="1"/>
  <c r="CC449" i="1"/>
  <c r="BO449" i="1" l="1"/>
  <c r="BN449" i="1"/>
  <c r="BR449" i="1" l="1"/>
  <c r="BY449" i="1" s="1"/>
  <c r="AQ450" i="1" l="1"/>
  <c r="BC450" i="1" s="1"/>
  <c r="BU450" i="1" s="1"/>
  <c r="CB450" i="1" s="1"/>
  <c r="BV450" i="1" l="1"/>
  <c r="BM450" i="1"/>
  <c r="BO450" i="1" s="1"/>
  <c r="CC450" i="1"/>
  <c r="BP450" i="1" l="1"/>
  <c r="BN450" i="1"/>
  <c r="BR450" i="1" l="1"/>
  <c r="BY450" i="1" s="1"/>
  <c r="AQ451" i="1" l="1"/>
  <c r="BC451" i="1" s="1"/>
  <c r="BU451" i="1" l="1"/>
  <c r="BV451" i="1" s="1"/>
  <c r="L91" i="1" s="1"/>
  <c r="CH451" i="1"/>
  <c r="CH452" i="1" s="1"/>
  <c r="CH453" i="1" s="1"/>
  <c r="CH454" i="1" s="1"/>
  <c r="CH455" i="1" s="1"/>
  <c r="CH456" i="1" s="1"/>
  <c r="BH451" i="1"/>
  <c r="BI451" i="1" s="1"/>
  <c r="BJ451" i="1"/>
  <c r="BL451" i="1" s="1"/>
  <c r="Z288" i="3" l="1"/>
  <c r="CB451" i="1"/>
  <c r="CC451" i="1" s="1"/>
  <c r="M91" i="1" s="1"/>
  <c r="BH452" i="1"/>
  <c r="BI452" i="1" s="1"/>
  <c r="BJ452" i="1"/>
  <c r="BJ453" i="1" s="1"/>
  <c r="BK451" i="1"/>
  <c r="BW451" i="1"/>
  <c r="BM451" i="1"/>
  <c r="BH453" i="1" l="1"/>
  <c r="BI453" i="1" s="1"/>
  <c r="AH288" i="3"/>
  <c r="BK452" i="1"/>
  <c r="BL452" i="1"/>
  <c r="BW452" i="1" s="1"/>
  <c r="CD452" i="1" s="1"/>
  <c r="BJ454" i="1"/>
  <c r="BL453" i="1"/>
  <c r="BW453" i="1" s="1"/>
  <c r="CD453" i="1" s="1"/>
  <c r="BK453" i="1"/>
  <c r="BN451" i="1"/>
  <c r="BP451" i="1"/>
  <c r="BO451" i="1"/>
  <c r="CD451" i="1"/>
  <c r="BX451" i="1"/>
  <c r="N91" i="1" s="1"/>
  <c r="BX452" i="1" l="1"/>
  <c r="BH454" i="1"/>
  <c r="BI454" i="1" s="1"/>
  <c r="BX453" i="1"/>
  <c r="BR451" i="1"/>
  <c r="BY451" i="1" s="1"/>
  <c r="Q91" i="1" s="1"/>
  <c r="BL454" i="1"/>
  <c r="BW454" i="1" s="1"/>
  <c r="BK454" i="1"/>
  <c r="BJ455" i="1"/>
  <c r="AF90" i="1"/>
  <c r="AI90" i="1" s="1"/>
  <c r="AP288" i="3"/>
  <c r="CE451" i="1"/>
  <c r="O91" i="1" s="1"/>
  <c r="CE453" i="1"/>
  <c r="CE452" i="1"/>
  <c r="P91" i="1" l="1"/>
  <c r="BF288" i="3" s="1"/>
  <c r="BH455" i="1"/>
  <c r="BI455" i="1" s="1"/>
  <c r="AX288" i="3"/>
  <c r="BN288" i="3"/>
  <c r="AQ452" i="1"/>
  <c r="BH456" i="1"/>
  <c r="BI456" i="1" s="1"/>
  <c r="BK455" i="1"/>
  <c r="BL455" i="1"/>
  <c r="BW455" i="1" s="1"/>
  <c r="CD455" i="1" s="1"/>
  <c r="BJ456" i="1"/>
  <c r="CD454" i="1"/>
  <c r="CE454" i="1" s="1"/>
  <c r="BX454" i="1"/>
  <c r="BC452" i="1" l="1"/>
  <c r="BU452" i="1" s="1"/>
  <c r="CE455" i="1"/>
  <c r="BX455" i="1"/>
  <c r="BK456" i="1"/>
  <c r="BL456" i="1"/>
  <c r="BW456" i="1" s="1"/>
  <c r="BM452" i="1" l="1"/>
  <c r="BP452" i="1" s="1"/>
  <c r="CB452" i="1"/>
  <c r="CC452" i="1" s="1"/>
  <c r="BV452" i="1"/>
  <c r="CD456" i="1"/>
  <c r="CE456" i="1" s="1"/>
  <c r="BX456" i="1"/>
  <c r="BN452" i="1" l="1"/>
  <c r="BO452" i="1"/>
  <c r="BR452" i="1" l="1"/>
  <c r="BY452" i="1" s="1"/>
  <c r="AQ453" i="1" l="1"/>
  <c r="BC453" i="1" s="1"/>
  <c r="BU453" i="1" s="1"/>
  <c r="BM453" i="1" l="1"/>
  <c r="BO453" i="1" s="1"/>
  <c r="CB453" i="1"/>
  <c r="CC453" i="1" s="1"/>
  <c r="BV453" i="1"/>
  <c r="BN453" i="1" l="1"/>
  <c r="BP453" i="1"/>
  <c r="BR453" i="1" l="1"/>
  <c r="BY453" i="1" s="1"/>
  <c r="AQ454" i="1" l="1"/>
  <c r="BC454" i="1" s="1"/>
  <c r="BU454" i="1" s="1"/>
  <c r="CB454" i="1" s="1"/>
  <c r="CC454" i="1" s="1"/>
  <c r="BV454" i="1" l="1"/>
  <c r="BM454" i="1"/>
  <c r="BN454" i="1" s="1"/>
  <c r="BP454" i="1" l="1"/>
  <c r="BO454" i="1"/>
  <c r="BR454" i="1" l="1"/>
  <c r="AQ455" i="1" s="1"/>
  <c r="BC455" i="1" s="1"/>
  <c r="BU455" i="1" s="1"/>
  <c r="CB455" i="1" s="1"/>
  <c r="CC455" i="1" s="1"/>
  <c r="D82" i="1"/>
  <c r="BY454" i="1" l="1"/>
  <c r="BM455" i="1"/>
  <c r="BP455" i="1" s="1"/>
  <c r="BV455" i="1"/>
  <c r="BO455" i="1" l="1"/>
  <c r="BN455" i="1"/>
  <c r="CH457" i="1"/>
  <c r="CH458" i="1" s="1"/>
  <c r="CH459" i="1" s="1"/>
  <c r="CH460" i="1" s="1"/>
  <c r="CH461" i="1" s="1"/>
  <c r="CH462" i="1" s="1"/>
  <c r="BH457" i="1"/>
  <c r="BI457" i="1" s="1"/>
  <c r="BJ457" i="1"/>
  <c r="BL457" i="1" s="1"/>
  <c r="BR455" i="1" l="1"/>
  <c r="AQ456" i="1" s="1"/>
  <c r="BC456" i="1" s="1"/>
  <c r="BU456" i="1" s="1"/>
  <c r="CB456" i="1" s="1"/>
  <c r="CC456" i="1" s="1"/>
  <c r="BJ458" i="1"/>
  <c r="BK458" i="1" s="1"/>
  <c r="BK457" i="1"/>
  <c r="BH458" i="1"/>
  <c r="BH459" i="1" s="1"/>
  <c r="BW457" i="1"/>
  <c r="N18" i="1"/>
  <c r="AR74" i="10" s="1"/>
  <c r="BM456" i="1" l="1"/>
  <c r="BN456" i="1" s="1"/>
  <c r="BY455" i="1"/>
  <c r="BV456" i="1"/>
  <c r="BL458" i="1"/>
  <c r="BW458" i="1" s="1"/>
  <c r="CD458" i="1" s="1"/>
  <c r="BJ459" i="1"/>
  <c r="BL459" i="1" s="1"/>
  <c r="BW459" i="1" s="1"/>
  <c r="BI458" i="1"/>
  <c r="BX457" i="1"/>
  <c r="CD457" i="1"/>
  <c r="BI459" i="1"/>
  <c r="BH460" i="1"/>
  <c r="P18" i="1"/>
  <c r="BG74" i="10" s="1"/>
  <c r="AR218" i="3"/>
  <c r="BP456" i="1" l="1"/>
  <c r="BO456" i="1"/>
  <c r="BG218" i="3"/>
  <c r="BX458" i="1"/>
  <c r="BJ460" i="1"/>
  <c r="BL460" i="1" s="1"/>
  <c r="BW460" i="1" s="1"/>
  <c r="CD459" i="1"/>
  <c r="CE459" i="1" s="1"/>
  <c r="BX459" i="1"/>
  <c r="BK459" i="1"/>
  <c r="CE458" i="1"/>
  <c r="CE457" i="1"/>
  <c r="BI460" i="1"/>
  <c r="BH461" i="1"/>
  <c r="BR456" i="1" l="1"/>
  <c r="BY456" i="1" s="1"/>
  <c r="BJ461" i="1"/>
  <c r="BK461" i="1" s="1"/>
  <c r="BK460" i="1"/>
  <c r="CD460" i="1"/>
  <c r="BX460" i="1"/>
  <c r="BI461" i="1"/>
  <c r="BH462" i="1"/>
  <c r="AQ457" i="1" l="1"/>
  <c r="BC457" i="1" s="1"/>
  <c r="BU457" i="1" s="1"/>
  <c r="CB457" i="1" s="1"/>
  <c r="CC457" i="1" s="1"/>
  <c r="BJ462" i="1"/>
  <c r="BK462" i="1" s="1"/>
  <c r="BL461" i="1"/>
  <c r="BW461" i="1" s="1"/>
  <c r="CE460" i="1"/>
  <c r="BI462" i="1"/>
  <c r="BM457" i="1" l="1"/>
  <c r="BO457" i="1" s="1"/>
  <c r="BV457" i="1"/>
  <c r="BN457" i="1"/>
  <c r="BP457" i="1"/>
  <c r="BL462" i="1"/>
  <c r="BW462" i="1" s="1"/>
  <c r="CD462" i="1" s="1"/>
  <c r="CD461" i="1"/>
  <c r="CE461" i="1" s="1"/>
  <c r="BX461" i="1"/>
  <c r="BR457" i="1" l="1"/>
  <c r="AQ458" i="1" s="1"/>
  <c r="BC458" i="1" s="1"/>
  <c r="BU458" i="1" s="1"/>
  <c r="BV458" i="1" s="1"/>
  <c r="BX462" i="1"/>
  <c r="CE462" i="1"/>
  <c r="CB458" i="1" l="1"/>
  <c r="CC458" i="1" s="1"/>
  <c r="BM458" i="1"/>
  <c r="BP458" i="1" s="1"/>
  <c r="BY457" i="1"/>
  <c r="BN458" i="1" l="1"/>
  <c r="BO458" i="1"/>
  <c r="BR458" i="1" l="1"/>
  <c r="BY458" i="1" s="1"/>
  <c r="AQ459" i="1" l="1"/>
  <c r="BC459" i="1" s="1"/>
  <c r="BU459" i="1" s="1"/>
  <c r="BV459" i="1" s="1"/>
  <c r="CB459" i="1" l="1"/>
  <c r="CC459" i="1" s="1"/>
  <c r="BM459" i="1"/>
  <c r="BO459" i="1" s="1"/>
  <c r="BP459" i="1" l="1"/>
  <c r="BN459" i="1"/>
  <c r="BR459" i="1" l="1"/>
  <c r="AQ460" i="1" s="1"/>
  <c r="BY459" i="1" l="1"/>
  <c r="BC460" i="1"/>
  <c r="BU460" i="1" s="1"/>
  <c r="BM460" i="1" l="1"/>
  <c r="BO460" i="1" s="1"/>
  <c r="BV460" i="1"/>
  <c r="CB460" i="1"/>
  <c r="CC460" i="1" s="1"/>
  <c r="BP460" i="1" l="1"/>
  <c r="BN460" i="1"/>
  <c r="BR460" i="1" l="1"/>
  <c r="AQ461" i="1" s="1"/>
  <c r="BY460" i="1" l="1"/>
  <c r="BC461" i="1"/>
  <c r="BU461" i="1" s="1"/>
  <c r="BM461" i="1" l="1"/>
  <c r="CB461" i="1"/>
  <c r="CC461" i="1" s="1"/>
  <c r="BV461" i="1"/>
  <c r="BN461" i="1" l="1"/>
  <c r="BO461" i="1"/>
  <c r="BP461" i="1"/>
  <c r="BR461" i="1" l="1"/>
  <c r="AQ462" i="1" s="1"/>
  <c r="BY461" i="1" l="1"/>
  <c r="BC462" i="1"/>
  <c r="BU462" i="1" s="1"/>
  <c r="CB462" i="1" l="1"/>
  <c r="CC462" i="1" s="1"/>
  <c r="BV462" i="1"/>
  <c r="BM462" i="1"/>
  <c r="BO462" i="1" l="1"/>
  <c r="BN462" i="1"/>
  <c r="BP462" i="1"/>
  <c r="BR462" i="1" l="1"/>
  <c r="AQ463" i="1" s="1"/>
  <c r="BY462" i="1" l="1"/>
  <c r="BC463" i="1"/>
  <c r="BU463" i="1" s="1"/>
  <c r="BH463" i="1" l="1"/>
  <c r="BI463" i="1" s="1"/>
  <c r="D92" i="1" s="1"/>
  <c r="BJ463" i="1"/>
  <c r="BK463" i="1" s="1"/>
  <c r="CH463" i="1"/>
  <c r="CH464" i="1" s="1"/>
  <c r="CH465" i="1" s="1"/>
  <c r="CH466" i="1" s="1"/>
  <c r="CH467" i="1" s="1"/>
  <c r="CH468" i="1" s="1"/>
  <c r="CB463" i="1"/>
  <c r="CC463" i="1" s="1"/>
  <c r="M92" i="1" s="1"/>
  <c r="BV463" i="1"/>
  <c r="L92" i="1" s="1"/>
  <c r="BH464" i="1" l="1"/>
  <c r="BI464" i="1" s="1"/>
  <c r="BJ464" i="1"/>
  <c r="BL464" i="1" s="1"/>
  <c r="BW464" i="1" s="1"/>
  <c r="CD464" i="1" s="1"/>
  <c r="BL463" i="1"/>
  <c r="BM463" i="1" s="1"/>
  <c r="Z289" i="3"/>
  <c r="AH289" i="3"/>
  <c r="BW463" i="1" l="1"/>
  <c r="BH465" i="1"/>
  <c r="BI465" i="1" s="1"/>
  <c r="BJ465" i="1"/>
  <c r="BL465" i="1" s="1"/>
  <c r="BW465" i="1" s="1"/>
  <c r="BX465" i="1" s="1"/>
  <c r="BK464" i="1"/>
  <c r="BX464" i="1"/>
  <c r="BX463" i="1"/>
  <c r="N92" i="1" s="1"/>
  <c r="CD463" i="1"/>
  <c r="BH466" i="1"/>
  <c r="BN463" i="1"/>
  <c r="BO463" i="1"/>
  <c r="BP463" i="1"/>
  <c r="BJ466" i="1" l="1"/>
  <c r="BK466" i="1" s="1"/>
  <c r="BK465" i="1"/>
  <c r="BR463" i="1"/>
  <c r="BY463" i="1" s="1"/>
  <c r="Q92" i="1" s="1"/>
  <c r="BI466" i="1"/>
  <c r="BH467" i="1"/>
  <c r="CE463" i="1"/>
  <c r="O92" i="1" s="1"/>
  <c r="CE464" i="1"/>
  <c r="CD465" i="1"/>
  <c r="CE465" i="1" s="1"/>
  <c r="AP289" i="3"/>
  <c r="AF91" i="1"/>
  <c r="AI91" i="1" s="1"/>
  <c r="P92" i="1" l="1"/>
  <c r="BF289" i="3" s="1"/>
  <c r="BJ467" i="1"/>
  <c r="BL467" i="1" s="1"/>
  <c r="BW467" i="1" s="1"/>
  <c r="BL466" i="1"/>
  <c r="BW466" i="1" s="1"/>
  <c r="CD466" i="1" s="1"/>
  <c r="CE466" i="1" s="1"/>
  <c r="AX289" i="3"/>
  <c r="BN289" i="3"/>
  <c r="AQ464" i="1"/>
  <c r="BC464" i="1" s="1"/>
  <c r="BU464" i="1" s="1"/>
  <c r="BI467" i="1"/>
  <c r="BH468" i="1"/>
  <c r="BI468" i="1" s="1"/>
  <c r="BX466" i="1" l="1"/>
  <c r="BX467" i="1"/>
  <c r="BJ468" i="1"/>
  <c r="BL468" i="1" s="1"/>
  <c r="BW468" i="1" s="1"/>
  <c r="CD468" i="1" s="1"/>
  <c r="BK467" i="1"/>
  <c r="BM464" i="1"/>
  <c r="BO464" i="1" s="1"/>
  <c r="CD467" i="1"/>
  <c r="CE467" i="1" s="1"/>
  <c r="CB464" i="1"/>
  <c r="CC464" i="1" s="1"/>
  <c r="BV464" i="1"/>
  <c r="BK468" i="1" l="1"/>
  <c r="CE468" i="1"/>
  <c r="BP464" i="1"/>
  <c r="BN464" i="1"/>
  <c r="BX468" i="1"/>
  <c r="BR464" i="1" l="1"/>
  <c r="AQ465" i="1" s="1"/>
  <c r="BC465" i="1" s="1"/>
  <c r="BU465" i="1" s="1"/>
  <c r="BY464" i="1" l="1"/>
  <c r="BM465" i="1"/>
  <c r="BN465" i="1" s="1"/>
  <c r="CB465" i="1"/>
  <c r="CC465" i="1" s="1"/>
  <c r="BV465" i="1"/>
  <c r="BP465" i="1" l="1"/>
  <c r="BO465" i="1"/>
  <c r="BR465" i="1" l="1"/>
  <c r="BY465" i="1" s="1"/>
  <c r="AQ466" i="1" l="1"/>
  <c r="BC466" i="1" s="1"/>
  <c r="BU466" i="1" s="1"/>
  <c r="CB466" i="1" s="1"/>
  <c r="CC466" i="1" s="1"/>
  <c r="BV466" i="1" l="1"/>
  <c r="BM466" i="1"/>
  <c r="BO466" i="1" s="1"/>
  <c r="BP466" i="1" l="1"/>
  <c r="BN466" i="1"/>
  <c r="BR466" i="1" l="1"/>
  <c r="AQ467" i="1" s="1"/>
  <c r="BC467" i="1" s="1"/>
  <c r="BU467" i="1" s="1"/>
  <c r="BY466" i="1" l="1"/>
  <c r="BM467" i="1"/>
  <c r="BN467" i="1" s="1"/>
  <c r="CB467" i="1"/>
  <c r="CC467" i="1" s="1"/>
  <c r="BV467" i="1"/>
  <c r="BP467" i="1" l="1"/>
  <c r="BO467" i="1"/>
  <c r="BR467" i="1" l="1"/>
  <c r="BY467" i="1" s="1"/>
  <c r="BH469" i="1"/>
  <c r="BJ469" i="1"/>
  <c r="CH469" i="1"/>
  <c r="CH470" i="1" s="1"/>
  <c r="CH471" i="1" s="1"/>
  <c r="CH472" i="1" s="1"/>
  <c r="CH473" i="1" s="1"/>
  <c r="CH474" i="1" s="1"/>
  <c r="AQ468" i="1" l="1"/>
  <c r="BC468" i="1" s="1"/>
  <c r="BU468" i="1" s="1"/>
  <c r="BL469" i="1"/>
  <c r="BJ470" i="1"/>
  <c r="BK469" i="1"/>
  <c r="BH470" i="1"/>
  <c r="BI469" i="1"/>
  <c r="CB468" i="1" l="1"/>
  <c r="CC468" i="1" s="1"/>
  <c r="BV468" i="1"/>
  <c r="BM468" i="1"/>
  <c r="BP468" i="1" s="1"/>
  <c r="BH471" i="1"/>
  <c r="BI470" i="1"/>
  <c r="BK470" i="1"/>
  <c r="BL470" i="1"/>
  <c r="BW470" i="1" s="1"/>
  <c r="CD470" i="1" s="1"/>
  <c r="BJ471" i="1"/>
  <c r="BW469" i="1"/>
  <c r="BO468" i="1" l="1"/>
  <c r="BN468" i="1"/>
  <c r="CD469" i="1"/>
  <c r="BX469" i="1"/>
  <c r="BX470" i="1"/>
  <c r="BK471" i="1"/>
  <c r="BL471" i="1"/>
  <c r="BW471" i="1" s="1"/>
  <c r="BX471" i="1" s="1"/>
  <c r="BJ472" i="1"/>
  <c r="BI471" i="1"/>
  <c r="BH472" i="1"/>
  <c r="BR468" i="1" l="1"/>
  <c r="AQ469" i="1" s="1"/>
  <c r="BC469" i="1" s="1"/>
  <c r="BU469" i="1" s="1"/>
  <c r="BH473" i="1"/>
  <c r="BI472" i="1"/>
  <c r="BJ473" i="1"/>
  <c r="BK472" i="1"/>
  <c r="BL472" i="1"/>
  <c r="BW472" i="1" s="1"/>
  <c r="CD471" i="1"/>
  <c r="CE470" i="1"/>
  <c r="CE469" i="1"/>
  <c r="BY468" i="1" l="1"/>
  <c r="BM469" i="1"/>
  <c r="BO469" i="1" s="1"/>
  <c r="CB469" i="1"/>
  <c r="CC469" i="1" s="1"/>
  <c r="BV469" i="1"/>
  <c r="BL473" i="1"/>
  <c r="BW473" i="1" s="1"/>
  <c r="CD473" i="1" s="1"/>
  <c r="BK473" i="1"/>
  <c r="BJ474" i="1"/>
  <c r="CD472" i="1"/>
  <c r="CE472" i="1" s="1"/>
  <c r="BX472" i="1"/>
  <c r="BI473" i="1"/>
  <c r="BH474" i="1"/>
  <c r="CE471" i="1"/>
  <c r="BN469" i="1" l="1"/>
  <c r="BP469" i="1"/>
  <c r="BX473" i="1"/>
  <c r="BL474" i="1"/>
  <c r="BW474" i="1" s="1"/>
  <c r="BK474" i="1"/>
  <c r="BI474" i="1"/>
  <c r="CE473" i="1"/>
  <c r="BR469" i="1" l="1"/>
  <c r="AQ470" i="1" s="1"/>
  <c r="BC470" i="1" s="1"/>
  <c r="BU470" i="1" s="1"/>
  <c r="BV470" i="1" s="1"/>
  <c r="CD474" i="1"/>
  <c r="BX474" i="1"/>
  <c r="BM470" i="1" l="1"/>
  <c r="BP470" i="1" s="1"/>
  <c r="CB470" i="1"/>
  <c r="CC470" i="1" s="1"/>
  <c r="BY469" i="1"/>
  <c r="CE474" i="1"/>
  <c r="BO470" i="1" l="1"/>
  <c r="BN470" i="1"/>
  <c r="BR470" i="1" l="1"/>
  <c r="BY470" i="1" s="1"/>
  <c r="AQ471" i="1" l="1"/>
  <c r="BC471" i="1" s="1"/>
  <c r="BU471" i="1" s="1"/>
  <c r="CB471" i="1" s="1"/>
  <c r="CC471" i="1" s="1"/>
  <c r="BM471" i="1" l="1"/>
  <c r="BP471" i="1" s="1"/>
  <c r="BV471" i="1"/>
  <c r="BO471" i="1" l="1"/>
  <c r="BN471" i="1"/>
  <c r="BR471" i="1" l="1"/>
  <c r="BY471" i="1" s="1"/>
  <c r="AQ472" i="1"/>
  <c r="BC472" i="1" s="1"/>
  <c r="BU472" i="1" s="1"/>
  <c r="CB472" i="1" s="1"/>
  <c r="CC472" i="1" s="1"/>
  <c r="BM472" i="1" l="1"/>
  <c r="BN472" i="1" s="1"/>
  <c r="BV472" i="1"/>
  <c r="BP472" i="1" l="1"/>
  <c r="BO472" i="1"/>
  <c r="BR472" i="1" l="1"/>
  <c r="BY472" i="1" s="1"/>
  <c r="AQ473" i="1" l="1"/>
  <c r="BC473" i="1" s="1"/>
  <c r="BU473" i="1" s="1"/>
  <c r="CB473" i="1" s="1"/>
  <c r="CC473" i="1" s="1"/>
  <c r="BV473" i="1" l="1"/>
  <c r="BM473" i="1"/>
  <c r="BO473" i="1" s="1"/>
  <c r="BP473" i="1" l="1"/>
  <c r="BN473" i="1"/>
  <c r="BR473" i="1" l="1"/>
  <c r="BY473" i="1" s="1"/>
  <c r="AQ474" i="1" l="1"/>
  <c r="BC474" i="1" s="1"/>
  <c r="BU474" i="1" s="1"/>
  <c r="CB474" i="1" s="1"/>
  <c r="CC474" i="1" s="1"/>
  <c r="BV474" i="1" l="1"/>
  <c r="BM474" i="1"/>
  <c r="BN474" i="1" s="1"/>
  <c r="BP474" i="1" l="1"/>
  <c r="BO474" i="1"/>
  <c r="BR474" i="1" l="1"/>
  <c r="BY474" i="1" s="1"/>
  <c r="AQ475" i="1" l="1"/>
  <c r="BC475" i="1" s="1"/>
  <c r="BJ475" i="1" s="1"/>
  <c r="BU475" i="1" l="1"/>
  <c r="BH475" i="1"/>
  <c r="CH475" i="1"/>
  <c r="CH476" i="1" s="1"/>
  <c r="CH477" i="1" s="1"/>
  <c r="CH478" i="1" s="1"/>
  <c r="CH479" i="1" s="1"/>
  <c r="CH480" i="1" s="1"/>
  <c r="BK475" i="1"/>
  <c r="BJ476" i="1"/>
  <c r="BL475" i="1"/>
  <c r="BW475" i="1" s="1"/>
  <c r="BX475" i="1" l="1"/>
  <c r="N93" i="1" s="1"/>
  <c r="CD475" i="1"/>
  <c r="BK476" i="1"/>
  <c r="BJ477" i="1"/>
  <c r="BL476" i="1"/>
  <c r="BW476" i="1" s="1"/>
  <c r="CD476" i="1" s="1"/>
  <c r="BM475" i="1"/>
  <c r="BI475" i="1"/>
  <c r="BH476" i="1"/>
  <c r="CB475" i="1"/>
  <c r="CC475" i="1" s="1"/>
  <c r="M93" i="1" s="1"/>
  <c r="BV475" i="1"/>
  <c r="L93" i="1" s="1"/>
  <c r="AH290" i="3" l="1"/>
  <c r="Z290" i="3"/>
  <c r="BP475" i="1"/>
  <c r="BO475" i="1"/>
  <c r="BN475" i="1"/>
  <c r="BJ478" i="1"/>
  <c r="BL477" i="1"/>
  <c r="BW477" i="1" s="1"/>
  <c r="BK477" i="1"/>
  <c r="BX476" i="1"/>
  <c r="BH477" i="1"/>
  <c r="BI476" i="1"/>
  <c r="CE476" i="1"/>
  <c r="CE475" i="1"/>
  <c r="O93" i="1" s="1"/>
  <c r="AP290" i="3"/>
  <c r="AF92" i="1"/>
  <c r="AI92" i="1" s="1"/>
  <c r="AX290" i="3" l="1"/>
  <c r="BR475" i="1"/>
  <c r="AQ476" i="1" s="1"/>
  <c r="CD477" i="1"/>
  <c r="BX477" i="1"/>
  <c r="BK478" i="1"/>
  <c r="BL478" i="1"/>
  <c r="BW478" i="1" s="1"/>
  <c r="BJ479" i="1"/>
  <c r="BH478" i="1"/>
  <c r="BI477" i="1"/>
  <c r="BY475" i="1" l="1"/>
  <c r="Q93" i="1" s="1"/>
  <c r="P93" i="1"/>
  <c r="BC476" i="1"/>
  <c r="BU476" i="1" s="1"/>
  <c r="CD478" i="1"/>
  <c r="CE478" i="1" s="1"/>
  <c r="BL479" i="1"/>
  <c r="BW479" i="1" s="1"/>
  <c r="CD479" i="1" s="1"/>
  <c r="BK479" i="1"/>
  <c r="BJ480" i="1"/>
  <c r="BX478" i="1"/>
  <c r="BI478" i="1"/>
  <c r="BH479" i="1"/>
  <c r="CE477" i="1"/>
  <c r="BM476" i="1" l="1"/>
  <c r="BN476" i="1" s="1"/>
  <c r="BF290" i="3"/>
  <c r="BN290" i="3"/>
  <c r="BV476" i="1"/>
  <c r="CB476" i="1"/>
  <c r="CC476" i="1" s="1"/>
  <c r="CE479" i="1"/>
  <c r="BL480" i="1"/>
  <c r="BW480" i="1" s="1"/>
  <c r="CD480" i="1" s="1"/>
  <c r="CE480" i="1" s="1"/>
  <c r="BK480" i="1"/>
  <c r="BI479" i="1"/>
  <c r="BH480" i="1"/>
  <c r="BI480" i="1" s="1"/>
  <c r="BX479" i="1"/>
  <c r="BP476" i="1" l="1"/>
  <c r="BO476" i="1"/>
  <c r="BR476" i="1" s="1"/>
  <c r="BY476" i="1" s="1"/>
  <c r="BX480" i="1"/>
  <c r="AQ477" i="1" l="1"/>
  <c r="BC477" i="1" s="1"/>
  <c r="BU477" i="1" s="1"/>
  <c r="CB477" i="1" s="1"/>
  <c r="CC477" i="1" s="1"/>
  <c r="BM477" i="1" l="1"/>
  <c r="BP477" i="1" s="1"/>
  <c r="BV477" i="1"/>
  <c r="BN477" i="1" l="1"/>
  <c r="BO477" i="1"/>
  <c r="BR477" i="1" l="1"/>
  <c r="AQ478" i="1" s="1"/>
  <c r="BC478" i="1" s="1"/>
  <c r="BU478" i="1" s="1"/>
  <c r="CB478" i="1" s="1"/>
  <c r="CC478" i="1" s="1"/>
  <c r="BY477" i="1" l="1"/>
  <c r="BV478" i="1"/>
  <c r="BM478" i="1"/>
  <c r="BO478" i="1" s="1"/>
  <c r="BP478" i="1" l="1"/>
  <c r="BN478" i="1"/>
  <c r="BR478" i="1" l="1"/>
  <c r="BY478" i="1" s="1"/>
  <c r="AQ479" i="1"/>
  <c r="BC479" i="1" s="1"/>
  <c r="BU479" i="1" s="1"/>
  <c r="BM479" i="1" l="1"/>
  <c r="CB479" i="1"/>
  <c r="CC479" i="1" s="1"/>
  <c r="BV479" i="1"/>
  <c r="BO479" i="1" l="1"/>
  <c r="BN479" i="1"/>
  <c r="BP479" i="1"/>
  <c r="BR479" i="1" l="1"/>
  <c r="BY479" i="1" s="1"/>
  <c r="AQ480" i="1" l="1"/>
  <c r="BC480" i="1" s="1"/>
  <c r="BU480" i="1" s="1"/>
  <c r="BH481" i="1"/>
  <c r="BJ481" i="1"/>
  <c r="CH481" i="1"/>
  <c r="CH482" i="1" s="1"/>
  <c r="CH483" i="1" s="1"/>
  <c r="CH484" i="1" s="1"/>
  <c r="CH485" i="1" s="1"/>
  <c r="CH486" i="1" s="1"/>
  <c r="BM480" i="1" l="1"/>
  <c r="CB480" i="1"/>
  <c r="CC480" i="1" s="1"/>
  <c r="BV480" i="1"/>
  <c r="BI481" i="1"/>
  <c r="BH482" i="1"/>
  <c r="BL481" i="1"/>
  <c r="BJ482" i="1"/>
  <c r="BK481" i="1"/>
  <c r="BO480" i="1" l="1"/>
  <c r="BN480" i="1"/>
  <c r="BP480" i="1"/>
  <c r="BK482" i="1"/>
  <c r="BJ483" i="1"/>
  <c r="BL482" i="1"/>
  <c r="BW482" i="1" s="1"/>
  <c r="CD482" i="1" s="1"/>
  <c r="BW481" i="1"/>
  <c r="BI482" i="1"/>
  <c r="BH483" i="1"/>
  <c r="BR480" i="1" l="1"/>
  <c r="AQ481" i="1" s="1"/>
  <c r="CD481" i="1"/>
  <c r="BX481" i="1"/>
  <c r="BX482" i="1"/>
  <c r="BJ484" i="1"/>
  <c r="BK483" i="1"/>
  <c r="BL483" i="1"/>
  <c r="BW483" i="1" s="1"/>
  <c r="CD483" i="1" s="1"/>
  <c r="BI483" i="1"/>
  <c r="BH484" i="1"/>
  <c r="BY480" i="1" l="1"/>
  <c r="BC481" i="1"/>
  <c r="BU481" i="1" s="1"/>
  <c r="BX483" i="1"/>
  <c r="CE483" i="1"/>
  <c r="BH485" i="1"/>
  <c r="BI484" i="1"/>
  <c r="CE481" i="1"/>
  <c r="CE482" i="1"/>
  <c r="BL484" i="1"/>
  <c r="BW484" i="1" s="1"/>
  <c r="BK484" i="1"/>
  <c r="BJ485" i="1"/>
  <c r="BM481" i="1" l="1"/>
  <c r="CB481" i="1"/>
  <c r="CC481" i="1" s="1"/>
  <c r="BV481" i="1"/>
  <c r="BX484" i="1"/>
  <c r="CD484" i="1"/>
  <c r="BI485" i="1"/>
  <c r="BH486" i="1"/>
  <c r="BK485" i="1"/>
  <c r="BJ486" i="1"/>
  <c r="BL485" i="1"/>
  <c r="BW485" i="1" s="1"/>
  <c r="CD485" i="1" s="1"/>
  <c r="BO481" i="1" l="1"/>
  <c r="BN481" i="1"/>
  <c r="BP481" i="1"/>
  <c r="BI486" i="1"/>
  <c r="BX485" i="1"/>
  <c r="CE484" i="1"/>
  <c r="CE485" i="1"/>
  <c r="BK486" i="1"/>
  <c r="BL486" i="1"/>
  <c r="BW486" i="1" s="1"/>
  <c r="BR481" i="1" l="1"/>
  <c r="AQ482" i="1" s="1"/>
  <c r="BX486" i="1"/>
  <c r="CD486" i="1"/>
  <c r="CE486" i="1" s="1"/>
  <c r="BY481" i="1" l="1"/>
  <c r="BC482" i="1"/>
  <c r="BU482" i="1" s="1"/>
  <c r="BM482" i="1" l="1"/>
  <c r="BO482" i="1" s="1"/>
  <c r="BV482" i="1"/>
  <c r="CB482" i="1"/>
  <c r="CC482" i="1" s="1"/>
  <c r="BP482" i="1" l="1"/>
  <c r="BN482" i="1"/>
  <c r="BR482" i="1" l="1"/>
  <c r="AQ483" i="1" s="1"/>
  <c r="BY482" i="1" l="1"/>
  <c r="BC483" i="1"/>
  <c r="BU483" i="1" s="1"/>
  <c r="BM483" i="1" l="1"/>
  <c r="CB483" i="1"/>
  <c r="CC483" i="1" s="1"/>
  <c r="BV483" i="1"/>
  <c r="BO483" i="1" l="1"/>
  <c r="BP483" i="1"/>
  <c r="BN483" i="1"/>
  <c r="BR483" i="1" l="1"/>
  <c r="BY483" i="1" s="1"/>
  <c r="AQ484" i="1" l="1"/>
  <c r="BC484" i="1" s="1"/>
  <c r="BU484" i="1" s="1"/>
  <c r="BM484" i="1" l="1"/>
  <c r="BV484" i="1"/>
  <c r="CB484" i="1"/>
  <c r="CC484" i="1" s="1"/>
  <c r="BP484" i="1" l="1"/>
  <c r="BN484" i="1"/>
  <c r="BO484" i="1"/>
  <c r="BR484" i="1" l="1"/>
  <c r="BY484" i="1" s="1"/>
  <c r="AQ485" i="1" l="1"/>
  <c r="BC485" i="1" s="1"/>
  <c r="BU485" i="1" s="1"/>
  <c r="BM485" i="1" l="1"/>
  <c r="BP485" i="1" s="1"/>
  <c r="CB485" i="1"/>
  <c r="CC485" i="1" s="1"/>
  <c r="BV485" i="1"/>
  <c r="BO485" i="1" l="1"/>
  <c r="BN485" i="1"/>
  <c r="BR485" i="1" l="1"/>
  <c r="BY485" i="1" s="1"/>
  <c r="AQ486" i="1" l="1"/>
  <c r="BC486" i="1" s="1"/>
  <c r="BU486" i="1" s="1"/>
  <c r="BV486" i="1" s="1"/>
  <c r="CB486" i="1" l="1"/>
  <c r="CC486" i="1" s="1"/>
  <c r="BM486" i="1"/>
  <c r="BN486" i="1" s="1"/>
  <c r="BO486" i="1" l="1"/>
  <c r="BP486" i="1"/>
  <c r="BR486" i="1" l="1"/>
  <c r="AQ487" i="1" s="1"/>
  <c r="BC487" i="1" s="1"/>
  <c r="BY486" i="1" l="1"/>
  <c r="BU487" i="1"/>
  <c r="CH487" i="1"/>
  <c r="CH488" i="1" s="1"/>
  <c r="CH489" i="1" s="1"/>
  <c r="CH490" i="1" s="1"/>
  <c r="CH491" i="1" s="1"/>
  <c r="CH492" i="1" s="1"/>
  <c r="BJ487" i="1"/>
  <c r="BK487" i="1" s="1"/>
  <c r="BH487" i="1"/>
  <c r="BJ488" i="1" l="1"/>
  <c r="BL488" i="1" s="1"/>
  <c r="BW488" i="1" s="1"/>
  <c r="BL487" i="1"/>
  <c r="BW487" i="1" s="1"/>
  <c r="CD487" i="1" s="1"/>
  <c r="BV487" i="1"/>
  <c r="L94" i="1" s="1"/>
  <c r="CB487" i="1"/>
  <c r="CC487" i="1" s="1"/>
  <c r="M94" i="1" s="1"/>
  <c r="BI487" i="1"/>
  <c r="BH488" i="1"/>
  <c r="BX487" i="1"/>
  <c r="N94" i="1" s="1"/>
  <c r="BJ489" i="1" l="1"/>
  <c r="BK489" i="1" s="1"/>
  <c r="BK488" i="1"/>
  <c r="BX488" i="1"/>
  <c r="CD488" i="1"/>
  <c r="BM487" i="1"/>
  <c r="BN487" i="1" s="1"/>
  <c r="AH291" i="3"/>
  <c r="Z291" i="3"/>
  <c r="BJ490" i="1"/>
  <c r="BL490" i="1" s="1"/>
  <c r="BW490" i="1" s="1"/>
  <c r="BL489" i="1"/>
  <c r="BW489" i="1" s="1"/>
  <c r="BX489" i="1" s="1"/>
  <c r="BH489" i="1"/>
  <c r="BI488" i="1"/>
  <c r="AF93" i="1"/>
  <c r="AI93" i="1" s="1"/>
  <c r="AP291" i="3"/>
  <c r="CE487" i="1"/>
  <c r="O94" i="1" s="1"/>
  <c r="CE488" i="1"/>
  <c r="BO487" i="1" l="1"/>
  <c r="BP487" i="1"/>
  <c r="BJ491" i="1"/>
  <c r="BL491" i="1" s="1"/>
  <c r="BW491" i="1" s="1"/>
  <c r="BK490" i="1"/>
  <c r="CD489" i="1"/>
  <c r="CE489" i="1" s="1"/>
  <c r="BI489" i="1"/>
  <c r="BH490" i="1"/>
  <c r="AX291" i="3"/>
  <c r="CD490" i="1"/>
  <c r="BX490" i="1"/>
  <c r="BR487" i="1" l="1"/>
  <c r="AQ488" i="1" s="1"/>
  <c r="BC488" i="1" s="1"/>
  <c r="BU488" i="1" s="1"/>
  <c r="BJ492" i="1"/>
  <c r="BK492" i="1" s="1"/>
  <c r="BY487" i="1"/>
  <c r="Q94" i="1" s="1"/>
  <c r="BN291" i="3" s="1"/>
  <c r="P94" i="1"/>
  <c r="BF291" i="3" s="1"/>
  <c r="BK491" i="1"/>
  <c r="BH491" i="1"/>
  <c r="BI490" i="1"/>
  <c r="BM488" i="1"/>
  <c r="BV488" i="1"/>
  <c r="CB488" i="1"/>
  <c r="CC488" i="1" s="1"/>
  <c r="CE490" i="1"/>
  <c r="CD491" i="1"/>
  <c r="BX491" i="1"/>
  <c r="BL492" i="1" l="1"/>
  <c r="BW492" i="1" s="1"/>
  <c r="CD492" i="1" s="1"/>
  <c r="BI491" i="1"/>
  <c r="BH492" i="1"/>
  <c r="BI492" i="1" s="1"/>
  <c r="CE492" i="1"/>
  <c r="BX492" i="1"/>
  <c r="CE491" i="1"/>
  <c r="BN488" i="1"/>
  <c r="BP488" i="1"/>
  <c r="BO488" i="1"/>
  <c r="BR488" i="1" l="1"/>
  <c r="BY488" i="1" s="1"/>
  <c r="AQ489" i="1" l="1"/>
  <c r="BC489" i="1" s="1"/>
  <c r="BU489" i="1" s="1"/>
  <c r="BM489" i="1" l="1"/>
  <c r="BP489" i="1" s="1"/>
  <c r="CB489" i="1"/>
  <c r="CC489" i="1" s="1"/>
  <c r="BV489" i="1"/>
  <c r="BN489" i="1" l="1"/>
  <c r="BO489" i="1"/>
  <c r="BR489" i="1" l="1"/>
  <c r="AQ490" i="1" s="1"/>
  <c r="BC490" i="1" s="1"/>
  <c r="BU490" i="1" s="1"/>
  <c r="BY489" i="1" l="1"/>
  <c r="BM490" i="1"/>
  <c r="BN490" i="1" s="1"/>
  <c r="CB490" i="1"/>
  <c r="BV490" i="1"/>
  <c r="BP490" i="1" l="1"/>
  <c r="BO490" i="1"/>
  <c r="CC490" i="1"/>
  <c r="BR490" i="1" l="1"/>
  <c r="AQ491" i="1" s="1"/>
  <c r="BC491" i="1" s="1"/>
  <c r="BU491" i="1" s="1"/>
  <c r="BJ493" i="1"/>
  <c r="CH493" i="1"/>
  <c r="CH494" i="1" s="1"/>
  <c r="CH495" i="1" s="1"/>
  <c r="CH496" i="1" s="1"/>
  <c r="CH497" i="1" s="1"/>
  <c r="CH498" i="1" s="1"/>
  <c r="BH493" i="1"/>
  <c r="BY490" i="1" l="1"/>
  <c r="BM491" i="1"/>
  <c r="CB491" i="1"/>
  <c r="CC491" i="1" s="1"/>
  <c r="BV491" i="1"/>
  <c r="BH494" i="1"/>
  <c r="BI493" i="1"/>
  <c r="BL493" i="1"/>
  <c r="BJ494" i="1"/>
  <c r="BK493" i="1"/>
  <c r="BO491" i="1" l="1"/>
  <c r="BN491" i="1"/>
  <c r="BP491" i="1"/>
  <c r="BK494" i="1"/>
  <c r="BL494" i="1"/>
  <c r="BW494" i="1" s="1"/>
  <c r="CD494" i="1" s="1"/>
  <c r="BJ495" i="1"/>
  <c r="BW493" i="1"/>
  <c r="BH495" i="1"/>
  <c r="BI494" i="1"/>
  <c r="BR491" i="1" l="1"/>
  <c r="AQ492" i="1" s="1"/>
  <c r="BL495" i="1"/>
  <c r="BW495" i="1" s="1"/>
  <c r="BX495" i="1" s="1"/>
  <c r="BK495" i="1"/>
  <c r="BJ496" i="1"/>
  <c r="BI495" i="1"/>
  <c r="BH496" i="1"/>
  <c r="BX493" i="1"/>
  <c r="CD493" i="1"/>
  <c r="BX494" i="1"/>
  <c r="BY491" i="1" l="1"/>
  <c r="BC492" i="1"/>
  <c r="BU492" i="1" s="1"/>
  <c r="BJ497" i="1"/>
  <c r="BL496" i="1"/>
  <c r="BW496" i="1" s="1"/>
  <c r="BK496" i="1"/>
  <c r="BI496" i="1"/>
  <c r="BH497" i="1"/>
  <c r="CE494" i="1"/>
  <c r="CE493" i="1"/>
  <c r="CD495" i="1"/>
  <c r="CE495" i="1" s="1"/>
  <c r="BM492" i="1" l="1"/>
  <c r="CB492" i="1"/>
  <c r="CC492" i="1" s="1"/>
  <c r="BV492" i="1"/>
  <c r="BH498" i="1"/>
  <c r="BI497" i="1"/>
  <c r="CD496" i="1"/>
  <c r="CE496" i="1" s="1"/>
  <c r="BX496" i="1"/>
  <c r="BK497" i="1"/>
  <c r="BL497" i="1"/>
  <c r="BW497" i="1" s="1"/>
  <c r="BJ498" i="1"/>
  <c r="BP492" i="1" l="1"/>
  <c r="BN492" i="1"/>
  <c r="BO492" i="1"/>
  <c r="CD497" i="1"/>
  <c r="CE497" i="1" s="1"/>
  <c r="BX497" i="1"/>
  <c r="BL498" i="1"/>
  <c r="BW498" i="1" s="1"/>
  <c r="CD498" i="1" s="1"/>
  <c r="BK498" i="1"/>
  <c r="BI498" i="1"/>
  <c r="BR492" i="1" l="1"/>
  <c r="AQ493" i="1" s="1"/>
  <c r="CE498" i="1"/>
  <c r="BX498" i="1"/>
  <c r="BY492" i="1" l="1"/>
  <c r="BC493" i="1"/>
  <c r="BU493" i="1" s="1"/>
  <c r="BM493" i="1" l="1"/>
  <c r="BP493" i="1" s="1"/>
  <c r="CB493" i="1"/>
  <c r="CC493" i="1" s="1"/>
  <c r="BV493" i="1"/>
  <c r="BO493" i="1" l="1"/>
  <c r="BN493" i="1"/>
  <c r="BR493" i="1" l="1"/>
  <c r="AQ494" i="1" s="1"/>
  <c r="BC494" i="1" s="1"/>
  <c r="BU494" i="1" s="1"/>
  <c r="BY493" i="1" l="1"/>
  <c r="BM494" i="1"/>
  <c r="BN494" i="1" s="1"/>
  <c r="CB494" i="1"/>
  <c r="CC494" i="1" s="1"/>
  <c r="BV494" i="1"/>
  <c r="BP494" i="1" l="1"/>
  <c r="BO494" i="1"/>
  <c r="BR494" i="1" l="1"/>
  <c r="BY494" i="1" s="1"/>
  <c r="AQ495" i="1" l="1"/>
  <c r="BC495" i="1" s="1"/>
  <c r="BU495" i="1" s="1"/>
  <c r="CB495" i="1" s="1"/>
  <c r="CC495" i="1" s="1"/>
  <c r="BV495" i="1" l="1"/>
  <c r="BM495" i="1"/>
  <c r="BN495" i="1" s="1"/>
  <c r="BP495" i="1" l="1"/>
  <c r="BO495" i="1"/>
  <c r="BR495" i="1" l="1"/>
  <c r="BY495" i="1" s="1"/>
  <c r="AQ496" i="1" l="1"/>
  <c r="BC496" i="1" s="1"/>
  <c r="BU496" i="1" s="1"/>
  <c r="CB496" i="1" l="1"/>
  <c r="CC496" i="1" s="1"/>
  <c r="BV496" i="1"/>
  <c r="BM496" i="1"/>
  <c r="BN496" i="1" l="1"/>
  <c r="BP496" i="1"/>
  <c r="BO496" i="1"/>
  <c r="BR496" i="1" l="1"/>
  <c r="AQ497" i="1" s="1"/>
  <c r="BY496" i="1" l="1"/>
  <c r="BC497" i="1"/>
  <c r="BU497" i="1" s="1"/>
  <c r="BV497" i="1" l="1"/>
  <c r="CB497" i="1"/>
  <c r="CC497" i="1" s="1"/>
  <c r="BM497" i="1"/>
  <c r="BN497" i="1" l="1"/>
  <c r="BO497" i="1"/>
  <c r="BP497" i="1"/>
  <c r="BR497" i="1" l="1"/>
  <c r="BY497" i="1" s="1"/>
  <c r="AQ498" i="1" l="1"/>
  <c r="BC498" i="1" s="1"/>
  <c r="BU498" i="1" s="1"/>
  <c r="CB498" i="1" l="1"/>
  <c r="CC498" i="1" s="1"/>
  <c r="BV498" i="1"/>
  <c r="BM498" i="1"/>
  <c r="BO498" i="1" l="1"/>
  <c r="BN498" i="1"/>
  <c r="BP498" i="1"/>
  <c r="BR498" i="1" l="1"/>
  <c r="BY498" i="1" s="1"/>
  <c r="AQ499" i="1" l="1"/>
  <c r="BC499" i="1" s="1"/>
  <c r="BU499" i="1" l="1"/>
  <c r="BV499" i="1" s="1"/>
  <c r="L95" i="1" s="1"/>
  <c r="CH499" i="1"/>
  <c r="CH500" i="1" s="1"/>
  <c r="CH501" i="1" s="1"/>
  <c r="CH502" i="1" s="1"/>
  <c r="CH503" i="1" s="1"/>
  <c r="CH504" i="1" s="1"/>
  <c r="BH499" i="1"/>
  <c r="BI499" i="1" s="1"/>
  <c r="CB499" i="1"/>
  <c r="CC499" i="1" s="1"/>
  <c r="M95" i="1" s="1"/>
  <c r="BJ499" i="1"/>
  <c r="BH500" i="1" l="1"/>
  <c r="Z292" i="3"/>
  <c r="AH292" i="3"/>
  <c r="BL499" i="1"/>
  <c r="BJ500" i="1"/>
  <c r="BK499" i="1"/>
  <c r="BH501" i="1"/>
  <c r="BI500" i="1"/>
  <c r="BW499" i="1" l="1"/>
  <c r="BM499" i="1"/>
  <c r="BH502" i="1"/>
  <c r="BI501" i="1"/>
  <c r="BJ501" i="1"/>
  <c r="BK500" i="1"/>
  <c r="BL500" i="1"/>
  <c r="BW500" i="1" s="1"/>
  <c r="CD500" i="1" s="1"/>
  <c r="CD499" i="1" l="1"/>
  <c r="BX499" i="1"/>
  <c r="N95" i="1" s="1"/>
  <c r="BX500" i="1"/>
  <c r="BK501" i="1"/>
  <c r="BJ502" i="1"/>
  <c r="BL501" i="1"/>
  <c r="BW501" i="1" s="1"/>
  <c r="BX501" i="1" s="1"/>
  <c r="BH503" i="1"/>
  <c r="BI502" i="1"/>
  <c r="BO499" i="1"/>
  <c r="BP499" i="1"/>
  <c r="BN499" i="1"/>
  <c r="BK502" i="1" l="1"/>
  <c r="BL502" i="1"/>
  <c r="BW502" i="1" s="1"/>
  <c r="BJ503" i="1"/>
  <c r="BH504" i="1"/>
  <c r="BI504" i="1" s="1"/>
  <c r="BI503" i="1"/>
  <c r="BR499" i="1"/>
  <c r="CD501" i="1"/>
  <c r="CE501" i="1" s="1"/>
  <c r="AF94" i="1"/>
  <c r="AI94" i="1" s="1"/>
  <c r="AP292" i="3"/>
  <c r="CE499" i="1"/>
  <c r="O95" i="1" s="1"/>
  <c r="CE500" i="1"/>
  <c r="AX292" i="3" l="1"/>
  <c r="CD502" i="1"/>
  <c r="BX502" i="1"/>
  <c r="BY499" i="1"/>
  <c r="Q95" i="1" s="1"/>
  <c r="AQ500" i="1"/>
  <c r="P95" i="1"/>
  <c r="BL503" i="1"/>
  <c r="BW503" i="1" s="1"/>
  <c r="BK503" i="1"/>
  <c r="BJ504" i="1"/>
  <c r="BN292" i="3" l="1"/>
  <c r="BF292" i="3"/>
  <c r="CD503" i="1"/>
  <c r="CE503" i="1" s="1"/>
  <c r="BC500" i="1"/>
  <c r="BU500" i="1" s="1"/>
  <c r="CE502" i="1"/>
  <c r="BL504" i="1"/>
  <c r="BW504" i="1" s="1"/>
  <c r="CD504" i="1" s="1"/>
  <c r="BK504" i="1"/>
  <c r="BX503" i="1"/>
  <c r="CE504" i="1" l="1"/>
  <c r="BM500" i="1"/>
  <c r="CB500" i="1"/>
  <c r="CC500" i="1" s="1"/>
  <c r="BV500" i="1"/>
  <c r="BX504" i="1"/>
  <c r="BN500" i="1" l="1"/>
  <c r="BP500" i="1"/>
  <c r="BO500" i="1"/>
  <c r="BR500" i="1" l="1"/>
  <c r="BY500" i="1" s="1"/>
  <c r="BH505" i="1"/>
  <c r="BI505" i="1" s="1"/>
  <c r="CH505" i="1"/>
  <c r="CH506" i="1" s="1"/>
  <c r="CH507" i="1" s="1"/>
  <c r="CH508" i="1" s="1"/>
  <c r="CH509" i="1" s="1"/>
  <c r="CH510" i="1" s="1"/>
  <c r="BJ505" i="1"/>
  <c r="BK505" i="1" s="1"/>
  <c r="AQ501" i="1" l="1"/>
  <c r="BC501" i="1" s="1"/>
  <c r="BU501" i="1" s="1"/>
  <c r="BH506" i="1"/>
  <c r="BI506" i="1" s="1"/>
  <c r="BJ506" i="1"/>
  <c r="BK506" i="1" s="1"/>
  <c r="BL505" i="1"/>
  <c r="BW505" i="1" s="1"/>
  <c r="BM501" i="1" l="1"/>
  <c r="BP501" i="1" s="1"/>
  <c r="CB501" i="1"/>
  <c r="CC501" i="1" s="1"/>
  <c r="BV501" i="1"/>
  <c r="BJ507" i="1"/>
  <c r="BJ508" i="1" s="1"/>
  <c r="BH507" i="1"/>
  <c r="BI507" i="1" s="1"/>
  <c r="BL506" i="1"/>
  <c r="BW506" i="1" s="1"/>
  <c r="CD506" i="1" s="1"/>
  <c r="CD505" i="1"/>
  <c r="BX505" i="1"/>
  <c r="BO501" i="1" l="1"/>
  <c r="BN501" i="1"/>
  <c r="BH508" i="1"/>
  <c r="BI508" i="1" s="1"/>
  <c r="BK507" i="1"/>
  <c r="BL507" i="1"/>
  <c r="BW507" i="1" s="1"/>
  <c r="CD507" i="1" s="1"/>
  <c r="CE507" i="1" s="1"/>
  <c r="BX506" i="1"/>
  <c r="CE505" i="1"/>
  <c r="BJ509" i="1"/>
  <c r="BK508" i="1"/>
  <c r="BL508" i="1"/>
  <c r="BW508" i="1" s="1"/>
  <c r="CE506" i="1"/>
  <c r="BX507" i="1" l="1"/>
  <c r="BR501" i="1"/>
  <c r="AQ502" i="1" s="1"/>
  <c r="BC502" i="1" s="1"/>
  <c r="BU502" i="1" s="1"/>
  <c r="BH509" i="1"/>
  <c r="BI509" i="1" s="1"/>
  <c r="BJ510" i="1"/>
  <c r="BK509" i="1"/>
  <c r="CD508" i="1"/>
  <c r="BX508" i="1"/>
  <c r="BL509" i="1"/>
  <c r="BW509" i="1" s="1"/>
  <c r="BH510" i="1" l="1"/>
  <c r="BI510" i="1" s="1"/>
  <c r="BY501" i="1"/>
  <c r="CB502" i="1"/>
  <c r="CC502" i="1" s="1"/>
  <c r="BV502" i="1"/>
  <c r="BM502" i="1"/>
  <c r="CD509" i="1"/>
  <c r="CE509" i="1" s="1"/>
  <c r="BX509" i="1"/>
  <c r="CE508" i="1"/>
  <c r="BK510" i="1"/>
  <c r="BL510" i="1"/>
  <c r="BW510" i="1" s="1"/>
  <c r="CD510" i="1" s="1"/>
  <c r="BO502" i="1" l="1"/>
  <c r="BN502" i="1"/>
  <c r="BP502" i="1"/>
  <c r="CE510" i="1"/>
  <c r="BX510" i="1"/>
  <c r="BR502" i="1" l="1"/>
  <c r="AQ503" i="1" s="1"/>
  <c r="BY502" i="1" l="1"/>
  <c r="BC503" i="1"/>
  <c r="BU503" i="1" s="1"/>
  <c r="BM503" i="1" l="1"/>
  <c r="BO503" i="1" s="1"/>
  <c r="CB503" i="1"/>
  <c r="CC503" i="1" s="1"/>
  <c r="BV503" i="1"/>
  <c r="BP503" i="1" l="1"/>
  <c r="BN503" i="1"/>
  <c r="BR503" i="1" l="1"/>
  <c r="AQ504" i="1" s="1"/>
  <c r="BY503" i="1" l="1"/>
  <c r="BC504" i="1"/>
  <c r="BU504" i="1" s="1"/>
  <c r="BM504" i="1" l="1"/>
  <c r="BP504" i="1" s="1"/>
  <c r="CB504" i="1"/>
  <c r="CC504" i="1" s="1"/>
  <c r="BV504" i="1"/>
  <c r="BO504" i="1" l="1"/>
  <c r="BN504" i="1"/>
  <c r="BR504" i="1" l="1"/>
  <c r="BY504" i="1" l="1"/>
  <c r="AQ505" i="1"/>
  <c r="BC505" i="1" s="1"/>
  <c r="BU505" i="1" s="1"/>
  <c r="CB505" i="1" s="1"/>
  <c r="CC505" i="1" s="1"/>
  <c r="BV505" i="1" l="1"/>
  <c r="BM505" i="1"/>
  <c r="BP505" i="1" s="1"/>
  <c r="BN505" i="1" l="1"/>
  <c r="BO505" i="1"/>
  <c r="BR505" i="1" l="1"/>
  <c r="BY505" i="1" s="1"/>
  <c r="AQ506" i="1" l="1"/>
  <c r="BC506" i="1" s="1"/>
  <c r="BU506" i="1" s="1"/>
  <c r="CB506" i="1" s="1"/>
  <c r="CC506" i="1" s="1"/>
  <c r="BM506" i="1" l="1"/>
  <c r="BO506" i="1" s="1"/>
  <c r="BV506" i="1"/>
  <c r="BN506" i="1" l="1"/>
  <c r="BP506" i="1"/>
  <c r="BR506" i="1" l="1"/>
  <c r="AQ507" i="1" s="1"/>
  <c r="BC507" i="1" s="1"/>
  <c r="BU507" i="1" s="1"/>
  <c r="CB507" i="1" s="1"/>
  <c r="CC507" i="1" s="1"/>
  <c r="BY506" i="1" l="1"/>
  <c r="BM507" i="1"/>
  <c r="BN507" i="1" s="1"/>
  <c r="BV507" i="1"/>
  <c r="BP507" i="1" l="1"/>
  <c r="BO507" i="1"/>
  <c r="BR507" i="1" l="1"/>
  <c r="BY507" i="1" s="1"/>
  <c r="AQ508" i="1" l="1"/>
  <c r="BC508" i="1" s="1"/>
  <c r="BU508" i="1" s="1"/>
  <c r="CB508" i="1" s="1"/>
  <c r="CC508" i="1" s="1"/>
  <c r="BM508" i="1" l="1"/>
  <c r="BO508" i="1" s="1"/>
  <c r="BV508" i="1"/>
  <c r="BP508" i="1" l="1"/>
  <c r="BN508" i="1"/>
  <c r="BR508" i="1" l="1"/>
  <c r="BY508" i="1" s="1"/>
  <c r="AQ509" i="1" l="1"/>
  <c r="BC509" i="1" s="1"/>
  <c r="BU509" i="1" s="1"/>
  <c r="BV509" i="1" s="1"/>
  <c r="BM509" i="1" l="1"/>
  <c r="BP509" i="1" s="1"/>
  <c r="CB509" i="1"/>
  <c r="CC509" i="1" s="1"/>
  <c r="BO509" i="1" l="1"/>
  <c r="BN509" i="1"/>
  <c r="BR509" i="1" l="1"/>
  <c r="BY509" i="1" s="1"/>
  <c r="AQ510" i="1" l="1"/>
  <c r="BC510" i="1" s="1"/>
  <c r="BU510" i="1" s="1"/>
  <c r="CB510" i="1" s="1"/>
  <c r="CC510" i="1" s="1"/>
  <c r="BM510" i="1" l="1"/>
  <c r="BO510" i="1" s="1"/>
  <c r="BV510" i="1"/>
  <c r="BP510" i="1" l="1"/>
  <c r="BN510" i="1"/>
  <c r="BR510" i="1" l="1"/>
  <c r="AQ511" i="1" l="1"/>
  <c r="BY510" i="1"/>
  <c r="BC511" i="1" l="1"/>
  <c r="BU511" i="1" s="1"/>
  <c r="BJ511" i="1"/>
  <c r="BH511" i="1"/>
  <c r="CH511" i="1"/>
  <c r="CH512" i="1" s="1"/>
  <c r="CH513" i="1" s="1"/>
  <c r="CH514" i="1" s="1"/>
  <c r="CH515" i="1" s="1"/>
  <c r="CH516" i="1" s="1"/>
  <c r="BH512" i="1" l="1"/>
  <c r="BI511" i="1"/>
  <c r="BJ512" i="1"/>
  <c r="BK511" i="1"/>
  <c r="BL511" i="1"/>
  <c r="CB511" i="1"/>
  <c r="CC511" i="1" s="1"/>
  <c r="M96" i="1" s="1"/>
  <c r="AH293" i="3" s="1"/>
  <c r="BV511" i="1"/>
  <c r="L96" i="1" s="1"/>
  <c r="Z293" i="3" s="1"/>
  <c r="BJ513" i="1" l="1"/>
  <c r="BL512" i="1"/>
  <c r="BW512" i="1" s="1"/>
  <c r="CD512" i="1" s="1"/>
  <c r="BK512" i="1"/>
  <c r="BM511" i="1"/>
  <c r="BW511" i="1"/>
  <c r="BI512" i="1"/>
  <c r="BH513" i="1"/>
  <c r="BX511" i="1" l="1"/>
  <c r="N96" i="1" s="1"/>
  <c r="BX512" i="1"/>
  <c r="CD511" i="1"/>
  <c r="BH514" i="1"/>
  <c r="BI513" i="1"/>
  <c r="BO511" i="1"/>
  <c r="BN511" i="1"/>
  <c r="BP511" i="1"/>
  <c r="BK513" i="1"/>
  <c r="BL513" i="1"/>
  <c r="BW513" i="1" s="1"/>
  <c r="BJ514" i="1"/>
  <c r="BR511" i="1" l="1"/>
  <c r="P96" i="1"/>
  <c r="BF293" i="3" s="1"/>
  <c r="AQ512" i="1"/>
  <c r="BY511" i="1"/>
  <c r="Q96" i="1" s="1"/>
  <c r="BN293" i="3" s="1"/>
  <c r="BL514" i="1"/>
  <c r="BW514" i="1" s="1"/>
  <c r="BJ515" i="1"/>
  <c r="BK514" i="1"/>
  <c r="BH515" i="1"/>
  <c r="BI514" i="1"/>
  <c r="CD513" i="1"/>
  <c r="CE513" i="1" s="1"/>
  <c r="BX513" i="1"/>
  <c r="CE512" i="1"/>
  <c r="CE511" i="1"/>
  <c r="O96" i="1" s="1"/>
  <c r="AX293" i="3" s="1"/>
  <c r="AP293" i="3"/>
  <c r="AF95" i="1"/>
  <c r="AI95" i="1" s="1"/>
  <c r="BK515" i="1" l="1"/>
  <c r="BL515" i="1"/>
  <c r="BW515" i="1" s="1"/>
  <c r="BJ516" i="1"/>
  <c r="CD514" i="1"/>
  <c r="BX514" i="1"/>
  <c r="BC512" i="1"/>
  <c r="BU512" i="1" s="1"/>
  <c r="BI515" i="1"/>
  <c r="BH516" i="1"/>
  <c r="BI516" i="1" s="1"/>
  <c r="CB512" i="1" l="1"/>
  <c r="CC512" i="1" s="1"/>
  <c r="BV512" i="1"/>
  <c r="BM512" i="1"/>
  <c r="BK516" i="1"/>
  <c r="BL516" i="1"/>
  <c r="BW516" i="1" s="1"/>
  <c r="CE514" i="1"/>
  <c r="CD515" i="1"/>
  <c r="CE515" i="1" s="1"/>
  <c r="BX515" i="1"/>
  <c r="BH517" i="1"/>
  <c r="BI517" i="1" s="1"/>
  <c r="CH517" i="1"/>
  <c r="CH518" i="1" s="1"/>
  <c r="CH519" i="1" s="1"/>
  <c r="CH520" i="1" s="1"/>
  <c r="CH521" i="1" s="1"/>
  <c r="CH522" i="1" s="1"/>
  <c r="BJ517" i="1"/>
  <c r="BO512" i="1" l="1"/>
  <c r="BP512" i="1"/>
  <c r="BN512" i="1"/>
  <c r="BR512" i="1" s="1"/>
  <c r="CD516" i="1"/>
  <c r="CE516" i="1" s="1"/>
  <c r="BX516" i="1"/>
  <c r="BH518" i="1"/>
  <c r="BI518" i="1" s="1"/>
  <c r="BK517" i="1"/>
  <c r="BL517" i="1"/>
  <c r="BJ518" i="1"/>
  <c r="AQ513" i="1" l="1"/>
  <c r="BY512" i="1"/>
  <c r="BH519" i="1"/>
  <c r="BI519" i="1" s="1"/>
  <c r="BW517" i="1"/>
  <c r="BJ519" i="1"/>
  <c r="BK518" i="1"/>
  <c r="BL518" i="1"/>
  <c r="BW518" i="1" s="1"/>
  <c r="CD518" i="1" s="1"/>
  <c r="BC513" i="1" l="1"/>
  <c r="BU513" i="1" s="1"/>
  <c r="BM513" i="1"/>
  <c r="BH520" i="1"/>
  <c r="BI520" i="1" s="1"/>
  <c r="BL519" i="1"/>
  <c r="BW519" i="1" s="1"/>
  <c r="CD519" i="1" s="1"/>
  <c r="BK519" i="1"/>
  <c r="BJ520" i="1"/>
  <c r="BX518" i="1"/>
  <c r="BX517" i="1"/>
  <c r="CD517" i="1"/>
  <c r="BN513" i="1" l="1"/>
  <c r="BO513" i="1"/>
  <c r="BP513" i="1"/>
  <c r="BV513" i="1"/>
  <c r="CB513" i="1"/>
  <c r="CC513" i="1" s="1"/>
  <c r="BH521" i="1"/>
  <c r="BH522" i="1" s="1"/>
  <c r="BX519" i="1"/>
  <c r="BL520" i="1"/>
  <c r="BW520" i="1" s="1"/>
  <c r="BJ521" i="1"/>
  <c r="BK520" i="1"/>
  <c r="CE518" i="1"/>
  <c r="CE519" i="1"/>
  <c r="CE517" i="1"/>
  <c r="BR513" i="1" l="1"/>
  <c r="AQ514" i="1" s="1"/>
  <c r="BC514" i="1" s="1"/>
  <c r="BU514" i="1" s="1"/>
  <c r="CB514" i="1" s="1"/>
  <c r="CC514" i="1" s="1"/>
  <c r="BY513" i="1"/>
  <c r="BV514" i="1"/>
  <c r="BI521" i="1"/>
  <c r="BM514" i="1"/>
  <c r="BO514" i="1" s="1"/>
  <c r="CD520" i="1"/>
  <c r="BX520" i="1"/>
  <c r="BL521" i="1"/>
  <c r="BW521" i="1" s="1"/>
  <c r="CD521" i="1" s="1"/>
  <c r="BJ522" i="1"/>
  <c r="BK521" i="1"/>
  <c r="BI522" i="1"/>
  <c r="BN514" i="1" l="1"/>
  <c r="BP514" i="1"/>
  <c r="BX521" i="1"/>
  <c r="BL522" i="1"/>
  <c r="BW522" i="1" s="1"/>
  <c r="CD522" i="1" s="1"/>
  <c r="CE522" i="1" s="1"/>
  <c r="BK522" i="1"/>
  <c r="CE520" i="1"/>
  <c r="CE521" i="1"/>
  <c r="BR514" i="1" l="1"/>
  <c r="BX522" i="1"/>
  <c r="AQ515" i="1" l="1"/>
  <c r="BC515" i="1" s="1"/>
  <c r="BU515" i="1" s="1"/>
  <c r="CB515" i="1" s="1"/>
  <c r="CC515" i="1" s="1"/>
  <c r="BY514" i="1"/>
  <c r="BV515" i="1" l="1"/>
  <c r="BM515" i="1"/>
  <c r="BN515" i="1" s="1"/>
  <c r="BO515" i="1" l="1"/>
  <c r="BP515" i="1"/>
  <c r="BR515" i="1" l="1"/>
  <c r="AQ516" i="1" s="1"/>
  <c r="BY515" i="1" l="1"/>
  <c r="BC516" i="1"/>
  <c r="BU516" i="1" s="1"/>
  <c r="BM516" i="1" l="1"/>
  <c r="BP516" i="1" s="1"/>
  <c r="CB516" i="1"/>
  <c r="CC516" i="1" s="1"/>
  <c r="BV516" i="1"/>
  <c r="BN516" i="1" l="1"/>
  <c r="BO516" i="1"/>
  <c r="BR516" i="1" l="1"/>
  <c r="BY516" i="1" s="1"/>
  <c r="AQ517" i="1" l="1"/>
  <c r="BC517" i="1" s="1"/>
  <c r="BU517" i="1" s="1"/>
  <c r="CB517" i="1" s="1"/>
  <c r="CC517" i="1" s="1"/>
  <c r="BV517" i="1" l="1"/>
  <c r="BM517" i="1"/>
  <c r="BO517" i="1" s="1"/>
  <c r="BN517" i="1" l="1"/>
  <c r="BP517" i="1"/>
  <c r="BR517" i="1" l="1"/>
  <c r="AQ518" i="1" s="1"/>
  <c r="BC518" i="1" s="1"/>
  <c r="BU518" i="1" s="1"/>
  <c r="BY517" i="1" l="1"/>
  <c r="BM518" i="1"/>
  <c r="BP518" i="1" s="1"/>
  <c r="CB518" i="1"/>
  <c r="CC518" i="1" s="1"/>
  <c r="BV518" i="1"/>
  <c r="BO518" i="1" l="1"/>
  <c r="BN518" i="1"/>
  <c r="BR518" i="1" l="1"/>
  <c r="BY518" i="1" s="1"/>
  <c r="AQ519" i="1" l="1"/>
  <c r="BC519" i="1" s="1"/>
  <c r="BU519" i="1" s="1"/>
  <c r="CB519" i="1" s="1"/>
  <c r="CC519" i="1" s="1"/>
  <c r="BV519" i="1" l="1"/>
  <c r="BM519" i="1"/>
  <c r="BO519" i="1" s="1"/>
  <c r="BP519" i="1" l="1"/>
  <c r="BN519" i="1"/>
  <c r="BR519" i="1" l="1"/>
  <c r="AQ520" i="1" s="1"/>
  <c r="BC520" i="1" s="1"/>
  <c r="BU520" i="1" s="1"/>
  <c r="BV520" i="1" s="1"/>
  <c r="BY519" i="1" l="1"/>
  <c r="CB520" i="1"/>
  <c r="CC520" i="1" s="1"/>
  <c r="BM520" i="1"/>
  <c r="BP520" i="1" s="1"/>
  <c r="BN520" i="1" l="1"/>
  <c r="BO520" i="1"/>
  <c r="BR520" i="1" l="1"/>
  <c r="AQ521" i="1" s="1"/>
  <c r="BC521" i="1" s="1"/>
  <c r="BU521" i="1" s="1"/>
  <c r="BY520" i="1" l="1"/>
  <c r="CB521" i="1"/>
  <c r="CC521" i="1" s="1"/>
  <c r="BV521" i="1"/>
  <c r="BM521" i="1"/>
  <c r="BN521" i="1" l="1"/>
  <c r="BO521" i="1"/>
  <c r="BP521" i="1"/>
  <c r="BR521" i="1" l="1"/>
  <c r="AQ522" i="1" s="1"/>
  <c r="BY521" i="1" l="1"/>
  <c r="BC522" i="1"/>
  <c r="BU522" i="1" s="1"/>
  <c r="BV522" i="1" l="1"/>
  <c r="CB522" i="1"/>
  <c r="CC522" i="1" s="1"/>
  <c r="BM522" i="1"/>
  <c r="BP522" i="1" l="1"/>
  <c r="BN522" i="1"/>
  <c r="BO522" i="1"/>
  <c r="BR522" i="1" l="1"/>
  <c r="AQ523" i="1" s="1"/>
  <c r="BY522" i="1" l="1"/>
  <c r="BC523" i="1"/>
  <c r="BJ523" i="1" s="1"/>
  <c r="BH523" i="1"/>
  <c r="CH523" i="1" l="1"/>
  <c r="CH524" i="1" s="1"/>
  <c r="CH525" i="1" s="1"/>
  <c r="CH526" i="1" s="1"/>
  <c r="CH527" i="1" s="1"/>
  <c r="CH528" i="1" s="1"/>
  <c r="BI523" i="1"/>
  <c r="BH524" i="1"/>
  <c r="BJ524" i="1"/>
  <c r="BL523" i="1"/>
  <c r="BW523" i="1" s="1"/>
  <c r="BK523" i="1"/>
  <c r="BU523" i="1"/>
  <c r="BM523" i="1" l="1"/>
  <c r="BP523" i="1" s="1"/>
  <c r="BV523" i="1"/>
  <c r="L97" i="1" s="1"/>
  <c r="CB523" i="1"/>
  <c r="CC523" i="1" s="1"/>
  <c r="M97" i="1" s="1"/>
  <c r="CD523" i="1"/>
  <c r="BX523" i="1"/>
  <c r="N97" i="1" s="1"/>
  <c r="BK524" i="1"/>
  <c r="BJ525" i="1"/>
  <c r="BL524" i="1"/>
  <c r="BW524" i="1" s="1"/>
  <c r="CD524" i="1" s="1"/>
  <c r="BI524" i="1"/>
  <c r="BH525" i="1"/>
  <c r="BX524" i="1" l="1"/>
  <c r="AH294" i="3"/>
  <c r="Z294" i="3"/>
  <c r="BO523" i="1"/>
  <c r="BN523" i="1"/>
  <c r="AF96" i="1"/>
  <c r="AI96" i="1" s="1"/>
  <c r="AP294" i="3"/>
  <c r="BI525" i="1"/>
  <c r="BH526" i="1"/>
  <c r="CE523" i="1"/>
  <c r="O97" i="1" s="1"/>
  <c r="CE524" i="1"/>
  <c r="BL525" i="1"/>
  <c r="BW525" i="1" s="1"/>
  <c r="BK525" i="1"/>
  <c r="BJ526" i="1"/>
  <c r="BR523" i="1" l="1"/>
  <c r="BY523" i="1" s="1"/>
  <c r="Q97" i="1" s="1"/>
  <c r="AX294" i="3"/>
  <c r="BI526" i="1"/>
  <c r="BH527" i="1"/>
  <c r="BL526" i="1"/>
  <c r="BW526" i="1" s="1"/>
  <c r="BJ527" i="1"/>
  <c r="BK526" i="1"/>
  <c r="CD525" i="1"/>
  <c r="BX525" i="1"/>
  <c r="AQ524" i="1" l="1"/>
  <c r="BC524" i="1" s="1"/>
  <c r="BU524" i="1" s="1"/>
  <c r="CB524" i="1" s="1"/>
  <c r="CC524" i="1" s="1"/>
  <c r="P97" i="1"/>
  <c r="BN294" i="3"/>
  <c r="CE525" i="1"/>
  <c r="BJ528" i="1"/>
  <c r="BL527" i="1"/>
  <c r="BW527" i="1" s="1"/>
  <c r="BX527" i="1" s="1"/>
  <c r="BK527" i="1"/>
  <c r="BX526" i="1"/>
  <c r="CD526" i="1"/>
  <c r="CE526" i="1" s="1"/>
  <c r="BI527" i="1"/>
  <c r="BH528" i="1"/>
  <c r="BI528" i="1" s="1"/>
  <c r="BV524" i="1" l="1"/>
  <c r="BM524" i="1"/>
  <c r="BP524" i="1" s="1"/>
  <c r="BF294" i="3"/>
  <c r="BL528" i="1"/>
  <c r="BW528" i="1" s="1"/>
  <c r="CD528" i="1" s="1"/>
  <c r="BK528" i="1"/>
  <c r="CD527" i="1"/>
  <c r="CE527" i="1" s="1"/>
  <c r="BO524" i="1" l="1"/>
  <c r="BN524" i="1"/>
  <c r="BX528" i="1"/>
  <c r="CE528" i="1"/>
  <c r="BR524" i="1" l="1"/>
  <c r="AQ525" i="1" s="1"/>
  <c r="BC525" i="1" s="1"/>
  <c r="BU525" i="1" s="1"/>
  <c r="BY524" i="1" l="1"/>
  <c r="BM525" i="1"/>
  <c r="BP525" i="1" s="1"/>
  <c r="BV525" i="1"/>
  <c r="CB525" i="1"/>
  <c r="CC525" i="1" s="1"/>
  <c r="BO525" i="1" l="1"/>
  <c r="BN525" i="1"/>
  <c r="BR525" i="1" l="1"/>
  <c r="AQ526" i="1" s="1"/>
  <c r="BC526" i="1" s="1"/>
  <c r="BU526" i="1" s="1"/>
  <c r="CH529" i="1"/>
  <c r="CH530" i="1" s="1"/>
  <c r="CH531" i="1" s="1"/>
  <c r="CH532" i="1" s="1"/>
  <c r="CH533" i="1" s="1"/>
  <c r="CH534" i="1" s="1"/>
  <c r="BH529" i="1"/>
  <c r="BI529" i="1" s="1"/>
  <c r="BJ529" i="1"/>
  <c r="BJ530" i="1" s="1"/>
  <c r="BY525" i="1" l="1"/>
  <c r="BM526" i="1"/>
  <c r="BN526" i="1" s="1"/>
  <c r="CB526" i="1"/>
  <c r="CC526" i="1" s="1"/>
  <c r="BV526" i="1"/>
  <c r="BH530" i="1"/>
  <c r="BI530" i="1" s="1"/>
  <c r="BK529" i="1"/>
  <c r="BL529" i="1"/>
  <c r="BJ531" i="1"/>
  <c r="BK530" i="1"/>
  <c r="BL530" i="1"/>
  <c r="BW530" i="1" s="1"/>
  <c r="CD530" i="1" s="1"/>
  <c r="BP526" i="1" l="1"/>
  <c r="BO526" i="1"/>
  <c r="BH531" i="1"/>
  <c r="BI531" i="1" s="1"/>
  <c r="BW529" i="1"/>
  <c r="BX529" i="1" s="1"/>
  <c r="BL531" i="1"/>
  <c r="BW531" i="1" s="1"/>
  <c r="BK531" i="1"/>
  <c r="BJ532" i="1"/>
  <c r="BR526" i="1" l="1"/>
  <c r="AQ527" i="1" s="1"/>
  <c r="BC527" i="1" s="1"/>
  <c r="BU527" i="1" s="1"/>
  <c r="BX531" i="1"/>
  <c r="BH532" i="1"/>
  <c r="BI532" i="1" s="1"/>
  <c r="CD529" i="1"/>
  <c r="CE529" i="1" s="1"/>
  <c r="BX530" i="1"/>
  <c r="BJ533" i="1"/>
  <c r="BK532" i="1"/>
  <c r="BL532" i="1"/>
  <c r="BW532" i="1" s="1"/>
  <c r="CD532" i="1" s="1"/>
  <c r="CD531" i="1"/>
  <c r="BY526" i="1" l="1"/>
  <c r="BM527" i="1"/>
  <c r="BN527" i="1" s="1"/>
  <c r="BH533" i="1"/>
  <c r="BI533" i="1" s="1"/>
  <c r="CB527" i="1"/>
  <c r="CC527" i="1" s="1"/>
  <c r="BV527" i="1"/>
  <c r="CE530" i="1"/>
  <c r="CE532" i="1"/>
  <c r="CE531" i="1"/>
  <c r="BJ534" i="1"/>
  <c r="BK533" i="1"/>
  <c r="BL533" i="1"/>
  <c r="BW533" i="1" s="1"/>
  <c r="CD533" i="1" s="1"/>
  <c r="BX532" i="1"/>
  <c r="BH534" i="1" l="1"/>
  <c r="BI534" i="1" s="1"/>
  <c r="BO527" i="1"/>
  <c r="BP527" i="1"/>
  <c r="CE533" i="1"/>
  <c r="BX533" i="1"/>
  <c r="BL534" i="1"/>
  <c r="BW534" i="1" s="1"/>
  <c r="BK534" i="1"/>
  <c r="BR527" i="1" l="1"/>
  <c r="BY527" i="1" s="1"/>
  <c r="CD534" i="1"/>
  <c r="BX534" i="1"/>
  <c r="AQ528" i="1" l="1"/>
  <c r="BC528" i="1" s="1"/>
  <c r="BU528" i="1" s="1"/>
  <c r="CE534" i="1"/>
  <c r="BM528" i="1" l="1"/>
  <c r="BP528" i="1" s="1"/>
  <c r="CB528" i="1"/>
  <c r="CC528" i="1" s="1"/>
  <c r="BV528" i="1"/>
  <c r="BO528" i="1" l="1"/>
  <c r="BN528" i="1"/>
  <c r="BR528" i="1" l="1"/>
  <c r="BY528" i="1" s="1"/>
  <c r="AQ529" i="1" l="1"/>
  <c r="BC529" i="1" s="1"/>
  <c r="BU529" i="1" s="1"/>
  <c r="CB529" i="1" s="1"/>
  <c r="CC529" i="1" s="1"/>
  <c r="BV529" i="1" l="1"/>
  <c r="BM529" i="1"/>
  <c r="BP529" i="1" s="1"/>
  <c r="BO529" i="1" l="1"/>
  <c r="BN529" i="1"/>
  <c r="BR529" i="1" l="1"/>
  <c r="AQ530" i="1" s="1"/>
  <c r="BC530" i="1" s="1"/>
  <c r="BU530" i="1" s="1"/>
  <c r="CB530" i="1" s="1"/>
  <c r="CC530" i="1" s="1"/>
  <c r="BY529" i="1" l="1"/>
  <c r="BM530" i="1"/>
  <c r="BN530" i="1" s="1"/>
  <c r="BV530" i="1"/>
  <c r="BO530" i="1" l="1"/>
  <c r="BP530" i="1"/>
  <c r="BR530" i="1" l="1"/>
  <c r="AQ531" i="1" s="1"/>
  <c r="BY530" i="1"/>
  <c r="BC531" i="1" l="1"/>
  <c r="BU531" i="1" s="1"/>
  <c r="BM531" i="1" l="1"/>
  <c r="BN531" i="1" s="1"/>
  <c r="CB531" i="1"/>
  <c r="CC531" i="1" s="1"/>
  <c r="BV531" i="1"/>
  <c r="BO531" i="1" l="1"/>
  <c r="BP531" i="1"/>
  <c r="BR531" i="1" l="1"/>
  <c r="BY531" i="1" s="1"/>
  <c r="AQ532" i="1" l="1"/>
  <c r="BC532" i="1" s="1"/>
  <c r="BU532" i="1" s="1"/>
  <c r="CB532" i="1" s="1"/>
  <c r="CC532" i="1" s="1"/>
  <c r="BM532" i="1" l="1"/>
  <c r="BO532" i="1" s="1"/>
  <c r="BV532" i="1"/>
  <c r="BP532" i="1" l="1"/>
  <c r="BN532" i="1"/>
  <c r="BR532" i="1" l="1"/>
  <c r="AQ533" i="1" s="1"/>
  <c r="BC533" i="1" s="1"/>
  <c r="BU533" i="1" s="1"/>
  <c r="BY532" i="1" l="1"/>
  <c r="BM533" i="1"/>
  <c r="BO533" i="1" s="1"/>
  <c r="CB533" i="1"/>
  <c r="CC533" i="1" s="1"/>
  <c r="BV533" i="1"/>
  <c r="BN533" i="1" l="1"/>
  <c r="BP533" i="1"/>
  <c r="BR533" i="1" l="1"/>
  <c r="AQ534" i="1" s="1"/>
  <c r="BC534" i="1" s="1"/>
  <c r="BU534" i="1" s="1"/>
  <c r="BY533" i="1" l="1"/>
  <c r="BM534" i="1"/>
  <c r="BP534" i="1" s="1"/>
  <c r="BV534" i="1"/>
  <c r="CB534" i="1"/>
  <c r="CC534" i="1" s="1"/>
  <c r="BO534" i="1" l="1"/>
  <c r="BN534" i="1"/>
  <c r="BR534" i="1" l="1"/>
  <c r="AQ535" i="1" s="1"/>
  <c r="BC535" i="1" s="1"/>
  <c r="BU535" i="1" s="1"/>
  <c r="CH535" i="1"/>
  <c r="CH536" i="1" s="1"/>
  <c r="CH537" i="1" s="1"/>
  <c r="CH538" i="1" s="1"/>
  <c r="CH539" i="1" s="1"/>
  <c r="CH540" i="1" s="1"/>
  <c r="BJ535" i="1"/>
  <c r="BH535" i="1" l="1"/>
  <c r="BI535" i="1" s="1"/>
  <c r="BY534" i="1"/>
  <c r="BV535" i="1"/>
  <c r="L98" i="1" s="1"/>
  <c r="CB535" i="1"/>
  <c r="CC535" i="1" s="1"/>
  <c r="M98" i="1" s="1"/>
  <c r="BL535" i="1"/>
  <c r="BK535" i="1"/>
  <c r="BJ536" i="1"/>
  <c r="BH536" i="1"/>
  <c r="AH295" i="3" l="1"/>
  <c r="Z295" i="3"/>
  <c r="BI536" i="1"/>
  <c r="BH537" i="1"/>
  <c r="BK536" i="1"/>
  <c r="BL536" i="1"/>
  <c r="BW536" i="1" s="1"/>
  <c r="CD536" i="1" s="1"/>
  <c r="BJ537" i="1"/>
  <c r="BW535" i="1"/>
  <c r="BM535" i="1"/>
  <c r="BX535" i="1" l="1"/>
  <c r="N98" i="1" s="1"/>
  <c r="CD535" i="1"/>
  <c r="BX536" i="1"/>
  <c r="BK537" i="1"/>
  <c r="BL537" i="1"/>
  <c r="BW537" i="1" s="1"/>
  <c r="CD537" i="1" s="1"/>
  <c r="BJ538" i="1"/>
  <c r="BH538" i="1"/>
  <c r="BI537" i="1"/>
  <c r="BN535" i="1"/>
  <c r="BO535" i="1"/>
  <c r="BP535" i="1"/>
  <c r="BR535" i="1" l="1"/>
  <c r="AQ536" i="1" s="1"/>
  <c r="CE537" i="1"/>
  <c r="BL538" i="1"/>
  <c r="BW538" i="1" s="1"/>
  <c r="CD538" i="1" s="1"/>
  <c r="CE538" i="1" s="1"/>
  <c r="BJ539" i="1"/>
  <c r="BK538" i="1"/>
  <c r="P98" i="1"/>
  <c r="BY535" i="1"/>
  <c r="Q98" i="1" s="1"/>
  <c r="BX537" i="1"/>
  <c r="BI538" i="1"/>
  <c r="BH539" i="1"/>
  <c r="CE536" i="1"/>
  <c r="CE535" i="1"/>
  <c r="O98" i="1" s="1"/>
  <c r="AP295" i="3"/>
  <c r="AF97" i="1"/>
  <c r="AI97" i="1" s="1"/>
  <c r="BX538" i="1" l="1"/>
  <c r="BN295" i="3"/>
  <c r="BF295" i="3"/>
  <c r="AX295" i="3"/>
  <c r="BH540" i="1"/>
  <c r="BI540" i="1" s="1"/>
  <c r="BI539" i="1"/>
  <c r="BC536" i="1"/>
  <c r="BU536" i="1" s="1"/>
  <c r="BJ540" i="1"/>
  <c r="BK539" i="1"/>
  <c r="BL539" i="1"/>
  <c r="BW539" i="1" s="1"/>
  <c r="BK540" i="1" l="1"/>
  <c r="BL540" i="1"/>
  <c r="BW540" i="1" s="1"/>
  <c r="CD540" i="1" s="1"/>
  <c r="CB536" i="1"/>
  <c r="CC536" i="1" s="1"/>
  <c r="BV536" i="1"/>
  <c r="CD539" i="1"/>
  <c r="CE539" i="1" s="1"/>
  <c r="BX539" i="1"/>
  <c r="BM536" i="1"/>
  <c r="BX540" i="1" l="1"/>
  <c r="BP536" i="1"/>
  <c r="BO536" i="1"/>
  <c r="BN536" i="1"/>
  <c r="CE540" i="1"/>
  <c r="BR536" i="1" l="1"/>
  <c r="AQ537" i="1" s="1"/>
  <c r="BY536" i="1" l="1"/>
  <c r="BC537" i="1"/>
  <c r="BU537" i="1" s="1"/>
  <c r="BM537" i="1" l="1"/>
  <c r="BO537" i="1" s="1"/>
  <c r="CB537" i="1"/>
  <c r="CC537" i="1" s="1"/>
  <c r="BV537" i="1"/>
  <c r="BN537" i="1" l="1"/>
  <c r="BP537" i="1"/>
  <c r="BR537" i="1" l="1"/>
  <c r="BY537" i="1" s="1"/>
  <c r="AQ538" i="1" l="1"/>
  <c r="BC538" i="1" s="1"/>
  <c r="BU538" i="1" s="1"/>
  <c r="BV538" i="1" s="1"/>
  <c r="BJ541" i="1"/>
  <c r="BK541" i="1" s="1"/>
  <c r="CH541" i="1"/>
  <c r="CH542" i="1" s="1"/>
  <c r="CH543" i="1" s="1"/>
  <c r="CH544" i="1" s="1"/>
  <c r="CH545" i="1" s="1"/>
  <c r="CH546" i="1" s="1"/>
  <c r="CB538" i="1" l="1"/>
  <c r="CC538" i="1" s="1"/>
  <c r="BM538" i="1"/>
  <c r="BJ542" i="1"/>
  <c r="BK542" i="1" s="1"/>
  <c r="BL541" i="1"/>
  <c r="BW541" i="1" s="1"/>
  <c r="BP538" i="1" l="1"/>
  <c r="BO538" i="1"/>
  <c r="BN538" i="1"/>
  <c r="BJ543" i="1"/>
  <c r="BK543" i="1" s="1"/>
  <c r="BL542" i="1"/>
  <c r="BW542" i="1" s="1"/>
  <c r="CD542" i="1" s="1"/>
  <c r="CD541" i="1"/>
  <c r="BX541" i="1"/>
  <c r="BR538" i="1" l="1"/>
  <c r="BJ544" i="1"/>
  <c r="BL544" i="1" s="1"/>
  <c r="BW544" i="1" s="1"/>
  <c r="BL543" i="1"/>
  <c r="BW543" i="1" s="1"/>
  <c r="CD543" i="1" s="1"/>
  <c r="CE543" i="1" s="1"/>
  <c r="BX542" i="1"/>
  <c r="CE541" i="1"/>
  <c r="CE542" i="1"/>
  <c r="BJ545" i="1" l="1"/>
  <c r="BJ546" i="1" s="1"/>
  <c r="BK544" i="1"/>
  <c r="AQ539" i="1"/>
  <c r="BY538" i="1"/>
  <c r="BX543" i="1"/>
  <c r="CD544" i="1"/>
  <c r="BX544" i="1"/>
  <c r="BL545" i="1" l="1"/>
  <c r="BW545" i="1" s="1"/>
  <c r="CD545" i="1" s="1"/>
  <c r="CE545" i="1" s="1"/>
  <c r="BK545" i="1"/>
  <c r="BC539" i="1"/>
  <c r="BU539" i="1" s="1"/>
  <c r="CE544" i="1"/>
  <c r="BL546" i="1"/>
  <c r="BW546" i="1" s="1"/>
  <c r="CD546" i="1" s="1"/>
  <c r="BK546" i="1"/>
  <c r="BX545" i="1" l="1"/>
  <c r="BV539" i="1"/>
  <c r="CB539" i="1"/>
  <c r="CC539" i="1" s="1"/>
  <c r="BM539" i="1"/>
  <c r="CE546" i="1"/>
  <c r="BX546" i="1"/>
  <c r="BO539" i="1" l="1"/>
  <c r="BN539" i="1"/>
  <c r="BP539" i="1"/>
  <c r="BR539" i="1" l="1"/>
  <c r="BY539" i="1" s="1"/>
  <c r="BH541" i="1"/>
  <c r="AQ540" i="1" l="1"/>
  <c r="BC540" i="1" s="1"/>
  <c r="BU540" i="1" s="1"/>
  <c r="BI541" i="1"/>
  <c r="BH542" i="1"/>
  <c r="BM540" i="1" l="1"/>
  <c r="CB540" i="1"/>
  <c r="CC540" i="1" s="1"/>
  <c r="BV540" i="1"/>
  <c r="BH543" i="1"/>
  <c r="BI542" i="1"/>
  <c r="BN540" i="1" l="1"/>
  <c r="BP540" i="1"/>
  <c r="BO540" i="1"/>
  <c r="BI543" i="1"/>
  <c r="BH544" i="1"/>
  <c r="BR540" i="1" l="1"/>
  <c r="BY540" i="1" s="1"/>
  <c r="BI544" i="1"/>
  <c r="BH545" i="1"/>
  <c r="AQ541" i="1" l="1"/>
  <c r="BC541" i="1" s="1"/>
  <c r="BU541" i="1" s="1"/>
  <c r="BH546" i="1"/>
  <c r="BI546" i="1" s="1"/>
  <c r="BI545" i="1"/>
  <c r="BM541" i="1" l="1"/>
  <c r="BP541" i="1" s="1"/>
  <c r="CB541" i="1"/>
  <c r="CC541" i="1" s="1"/>
  <c r="BV541" i="1"/>
  <c r="BN541" i="1" l="1"/>
  <c r="BO541" i="1"/>
  <c r="BR541" i="1" s="1"/>
  <c r="BY541" i="1" l="1"/>
  <c r="AQ542" i="1"/>
  <c r="BC542" i="1" s="1"/>
  <c r="BU542" i="1" s="1"/>
  <c r="BM542" i="1" l="1"/>
  <c r="BO542" i="1" s="1"/>
  <c r="CB542" i="1"/>
  <c r="CC542" i="1" s="1"/>
  <c r="BV542" i="1"/>
  <c r="BN542" i="1" l="1"/>
  <c r="BP542" i="1"/>
  <c r="BR542" i="1" l="1"/>
  <c r="BY542" i="1" s="1"/>
  <c r="AQ543" i="1" l="1"/>
  <c r="BC543" i="1" s="1"/>
  <c r="BU543" i="1" s="1"/>
  <c r="CB543" i="1" s="1"/>
  <c r="CC543" i="1" s="1"/>
  <c r="BV543" i="1" l="1"/>
  <c r="BM543" i="1"/>
  <c r="BN543" i="1" s="1"/>
  <c r="BP543" i="1" l="1"/>
  <c r="BO543" i="1"/>
  <c r="BR543" i="1" l="1"/>
  <c r="BY543" i="1" s="1"/>
  <c r="AQ544" i="1" l="1"/>
  <c r="BC544" i="1" l="1"/>
  <c r="BU544" i="1" s="1"/>
  <c r="CB544" i="1" l="1"/>
  <c r="CC544" i="1" s="1"/>
  <c r="BV544" i="1"/>
  <c r="BM544" i="1"/>
  <c r="BP544" i="1" l="1"/>
  <c r="BO544" i="1"/>
  <c r="BN544" i="1"/>
  <c r="BR544" i="1" l="1"/>
  <c r="AQ545" i="1" l="1"/>
  <c r="BY544" i="1"/>
  <c r="BC545" i="1" l="1"/>
  <c r="BU545" i="1" s="1"/>
  <c r="BM545" i="1" l="1"/>
  <c r="BP545" i="1" s="1"/>
  <c r="CB545" i="1"/>
  <c r="CC545" i="1" s="1"/>
  <c r="BV545" i="1"/>
  <c r="BO545" i="1" l="1"/>
  <c r="BN545" i="1"/>
  <c r="BR545" i="1" l="1"/>
  <c r="BY545" i="1" s="1"/>
  <c r="AQ546" i="1" l="1"/>
  <c r="BC546" i="1" s="1"/>
  <c r="BU546" i="1" s="1"/>
  <c r="CB546" i="1" s="1"/>
  <c r="CC546" i="1" s="1"/>
  <c r="BV546" i="1" l="1"/>
  <c r="BM546" i="1"/>
  <c r="BP546" i="1" s="1"/>
  <c r="BN546" i="1" l="1"/>
  <c r="BO546" i="1"/>
  <c r="BR546" i="1" s="1"/>
  <c r="BY546" i="1" s="1"/>
  <c r="AQ547" i="1" l="1"/>
  <c r="BC547" i="1" s="1"/>
  <c r="BU547" i="1" s="1"/>
  <c r="BJ547" i="1"/>
  <c r="BL547" i="1" s="1"/>
  <c r="BW547" i="1" s="1"/>
  <c r="CH547" i="1"/>
  <c r="CH548" i="1" s="1"/>
  <c r="CH549" i="1" s="1"/>
  <c r="CH550" i="1" s="1"/>
  <c r="CH551" i="1" s="1"/>
  <c r="CH552" i="1" s="1"/>
  <c r="BJ548" i="1"/>
  <c r="BH547" i="1"/>
  <c r="BK547" i="1" l="1"/>
  <c r="BV547" i="1"/>
  <c r="L99" i="1" s="1"/>
  <c r="Z296" i="3" s="1"/>
  <c r="CB547" i="1"/>
  <c r="CC547" i="1" s="1"/>
  <c r="M99" i="1" s="1"/>
  <c r="AH296" i="3" s="1"/>
  <c r="BH548" i="1"/>
  <c r="BI547" i="1"/>
  <c r="BX547" i="1"/>
  <c r="N99" i="1" s="1"/>
  <c r="CD547" i="1"/>
  <c r="BK548" i="1"/>
  <c r="BL548" i="1"/>
  <c r="BW548" i="1" s="1"/>
  <c r="BX548" i="1" s="1"/>
  <c r="BJ549" i="1"/>
  <c r="BM547" i="1"/>
  <c r="CE547" i="1" l="1"/>
  <c r="O99" i="1" s="1"/>
  <c r="AP296" i="3"/>
  <c r="AF98" i="1"/>
  <c r="AI98" i="1" s="1"/>
  <c r="BK549" i="1"/>
  <c r="BJ550" i="1"/>
  <c r="BL549" i="1"/>
  <c r="BW549" i="1" s="1"/>
  <c r="CD548" i="1"/>
  <c r="CE548" i="1" s="1"/>
  <c r="BO547" i="1"/>
  <c r="BP547" i="1"/>
  <c r="BN547" i="1"/>
  <c r="BH549" i="1"/>
  <c r="BI548" i="1"/>
  <c r="BR547" i="1" l="1"/>
  <c r="BY547" i="1" s="1"/>
  <c r="Q99" i="1" s="1"/>
  <c r="P99" i="1"/>
  <c r="AQ548" i="1"/>
  <c r="BL550" i="1"/>
  <c r="BW550" i="1" s="1"/>
  <c r="CD550" i="1" s="1"/>
  <c r="BJ551" i="1"/>
  <c r="BK550" i="1"/>
  <c r="BH550" i="1"/>
  <c r="BI549" i="1"/>
  <c r="AX296" i="3"/>
  <c r="CD549" i="1"/>
  <c r="CE549" i="1" s="1"/>
  <c r="BX549" i="1"/>
  <c r="BX550" i="1" l="1"/>
  <c r="BH551" i="1"/>
  <c r="BI550" i="1"/>
  <c r="BJ552" i="1"/>
  <c r="BL551" i="1"/>
  <c r="BW551" i="1" s="1"/>
  <c r="BK551" i="1"/>
  <c r="CE550" i="1"/>
  <c r="BC548" i="1"/>
  <c r="BU548" i="1" s="1"/>
  <c r="BF296" i="3"/>
  <c r="BN296" i="3"/>
  <c r="BM548" i="1" l="1"/>
  <c r="BN548" i="1" s="1"/>
  <c r="CB548" i="1"/>
  <c r="CC548" i="1" s="1"/>
  <c r="BV548" i="1"/>
  <c r="BH552" i="1"/>
  <c r="BI552" i="1" s="1"/>
  <c r="BI551" i="1"/>
  <c r="CD551" i="1"/>
  <c r="CE551" i="1" s="1"/>
  <c r="BX551" i="1"/>
  <c r="BL552" i="1"/>
  <c r="BW552" i="1" s="1"/>
  <c r="CD552" i="1" s="1"/>
  <c r="BK552" i="1"/>
  <c r="BP548" i="1" l="1"/>
  <c r="BO548" i="1"/>
  <c r="CE552" i="1"/>
  <c r="BX552" i="1"/>
  <c r="BR548" i="1" l="1"/>
  <c r="AQ549" i="1" s="1"/>
  <c r="BC549" i="1" s="1"/>
  <c r="BU549" i="1" s="1"/>
  <c r="BY548" i="1" l="1"/>
  <c r="BM549" i="1"/>
  <c r="BO549" i="1" s="1"/>
  <c r="CB549" i="1"/>
  <c r="CC549" i="1" s="1"/>
  <c r="BV549" i="1"/>
  <c r="CH553" i="1"/>
  <c r="CH554" i="1" s="1"/>
  <c r="CH555" i="1" s="1"/>
  <c r="CH556" i="1" s="1"/>
  <c r="CH557" i="1" s="1"/>
  <c r="CH558" i="1" s="1"/>
  <c r="BH553" i="1"/>
  <c r="BJ553" i="1"/>
  <c r="BN549" i="1" l="1"/>
  <c r="BP549" i="1"/>
  <c r="BI553" i="1"/>
  <c r="BH554" i="1"/>
  <c r="BK553" i="1"/>
  <c r="BJ554" i="1"/>
  <c r="BL553" i="1"/>
  <c r="BR549" i="1" l="1"/>
  <c r="AQ550" i="1" s="1"/>
  <c r="BC550" i="1" s="1"/>
  <c r="BU550" i="1" s="1"/>
  <c r="CB550" i="1" s="1"/>
  <c r="CC550" i="1" s="1"/>
  <c r="BK554" i="1"/>
  <c r="BJ555" i="1"/>
  <c r="BL554" i="1"/>
  <c r="BW554" i="1" s="1"/>
  <c r="CD554" i="1" s="1"/>
  <c r="BW553" i="1"/>
  <c r="BI554" i="1"/>
  <c r="BH555" i="1"/>
  <c r="BM550" i="1" l="1"/>
  <c r="BP550" i="1" s="1"/>
  <c r="BV550" i="1"/>
  <c r="BY549" i="1"/>
  <c r="CD553" i="1"/>
  <c r="BX553" i="1"/>
  <c r="BX554" i="1"/>
  <c r="BI555" i="1"/>
  <c r="BH556" i="1"/>
  <c r="BL555" i="1"/>
  <c r="BW555" i="1" s="1"/>
  <c r="BX555" i="1" s="1"/>
  <c r="BK555" i="1"/>
  <c r="BJ556" i="1"/>
  <c r="BN550" i="1" l="1"/>
  <c r="BO550" i="1"/>
  <c r="BK556" i="1"/>
  <c r="BL556" i="1"/>
  <c r="BW556" i="1" s="1"/>
  <c r="CD556" i="1" s="1"/>
  <c r="BJ557" i="1"/>
  <c r="CE553" i="1"/>
  <c r="CE554" i="1"/>
  <c r="CD555" i="1"/>
  <c r="CE555" i="1" s="1"/>
  <c r="BI556" i="1"/>
  <c r="BH557" i="1"/>
  <c r="BR550" i="1" l="1"/>
  <c r="BX556" i="1"/>
  <c r="BJ558" i="1"/>
  <c r="BL557" i="1"/>
  <c r="BW557" i="1" s="1"/>
  <c r="BK557" i="1"/>
  <c r="BI557" i="1"/>
  <c r="BH558" i="1"/>
  <c r="CE556" i="1"/>
  <c r="AQ551" i="1" l="1"/>
  <c r="BY550" i="1"/>
  <c r="CD557" i="1"/>
  <c r="BX557" i="1"/>
  <c r="BL558" i="1"/>
  <c r="BW558" i="1" s="1"/>
  <c r="CD558" i="1" s="1"/>
  <c r="BK558" i="1"/>
  <c r="BI558" i="1"/>
  <c r="BC551" i="1" l="1"/>
  <c r="BU551" i="1" s="1"/>
  <c r="BM551" i="1"/>
  <c r="BX558" i="1"/>
  <c r="CE558" i="1"/>
  <c r="CE557" i="1"/>
  <c r="BO551" i="1" l="1"/>
  <c r="BP551" i="1"/>
  <c r="BN551" i="1"/>
  <c r="BR551" i="1" s="1"/>
  <c r="AQ552" i="1" s="1"/>
  <c r="BC552" i="1" s="1"/>
  <c r="BU552" i="1" s="1"/>
  <c r="BV552" i="1" s="1"/>
  <c r="BV551" i="1"/>
  <c r="CB551" i="1"/>
  <c r="CC551" i="1" s="1"/>
  <c r="CB552" i="1" l="1"/>
  <c r="CC552" i="1" s="1"/>
  <c r="BM552" i="1"/>
  <c r="BN552" i="1" s="1"/>
  <c r="BY551" i="1"/>
  <c r="BO552" i="1" l="1"/>
  <c r="BP552" i="1"/>
  <c r="BR552" i="1" s="1"/>
  <c r="AQ553" i="1" s="1"/>
  <c r="BC553" i="1" s="1"/>
  <c r="BU553" i="1" s="1"/>
  <c r="BY552" i="1" l="1"/>
  <c r="BM553" i="1"/>
  <c r="BN553" i="1" s="1"/>
  <c r="CB553" i="1"/>
  <c r="CC553" i="1" s="1"/>
  <c r="BV553" i="1"/>
  <c r="BO553" i="1" l="1"/>
  <c r="BP553" i="1"/>
  <c r="BR553" i="1" l="1"/>
  <c r="AQ554" i="1" s="1"/>
  <c r="BY553" i="1" l="1"/>
  <c r="BC554" i="1"/>
  <c r="BU554" i="1" s="1"/>
  <c r="BM554" i="1" l="1"/>
  <c r="BN554" i="1" s="1"/>
  <c r="CB554" i="1"/>
  <c r="CC554" i="1" s="1"/>
  <c r="BV554" i="1"/>
  <c r="BP554" i="1" l="1"/>
  <c r="BO554" i="1"/>
  <c r="BR554" i="1" l="1"/>
  <c r="BY554" i="1" s="1"/>
  <c r="AQ555" i="1" l="1"/>
  <c r="BC555" i="1" s="1"/>
  <c r="BU555" i="1" s="1"/>
  <c r="CB555" i="1" s="1"/>
  <c r="CC555" i="1" s="1"/>
  <c r="BV555" i="1" l="1"/>
  <c r="BM555" i="1"/>
  <c r="BN555" i="1" s="1"/>
  <c r="BP555" i="1" l="1"/>
  <c r="BO555" i="1"/>
  <c r="BR555" i="1" l="1"/>
  <c r="BY555" i="1" s="1"/>
  <c r="AQ556" i="1" l="1"/>
  <c r="BC556" i="1" s="1"/>
  <c r="BU556" i="1" s="1"/>
  <c r="CB556" i="1" s="1"/>
  <c r="CC556" i="1" s="1"/>
  <c r="BV556" i="1" l="1"/>
  <c r="BM556" i="1"/>
  <c r="BO556" i="1" s="1"/>
  <c r="BN556" i="1" l="1"/>
  <c r="BP556" i="1"/>
  <c r="BR556" i="1" l="1"/>
  <c r="BY556" i="1" s="1"/>
  <c r="AQ557" i="1" l="1"/>
  <c r="BC557" i="1" s="1"/>
  <c r="BU557" i="1" s="1"/>
  <c r="CB557" i="1" s="1"/>
  <c r="CC557" i="1" s="1"/>
  <c r="BV557" i="1" l="1"/>
  <c r="BM557" i="1"/>
  <c r="BP557" i="1" s="1"/>
  <c r="BN557" i="1"/>
  <c r="BO557" i="1" l="1"/>
  <c r="BR557" i="1" s="1"/>
  <c r="BY557" i="1" s="1"/>
  <c r="AQ558" i="1" l="1"/>
  <c r="BC558" i="1" s="1"/>
  <c r="BU558" i="1" s="1"/>
  <c r="CB558" i="1" s="1"/>
  <c r="CC558" i="1" s="1"/>
  <c r="BM558" i="1" l="1"/>
  <c r="BO558" i="1" s="1"/>
  <c r="BV558" i="1"/>
  <c r="BP558" i="1" l="1"/>
  <c r="BN558" i="1"/>
  <c r="BR558" i="1" l="1"/>
  <c r="AQ559" i="1" s="1"/>
  <c r="BC559" i="1" s="1"/>
  <c r="BU559" i="1" l="1"/>
  <c r="BJ559" i="1"/>
  <c r="BK559" i="1" s="1"/>
  <c r="BH559" i="1"/>
  <c r="BI559" i="1" s="1"/>
  <c r="BY558" i="1"/>
  <c r="CH559" i="1"/>
  <c r="CH560" i="1" s="1"/>
  <c r="CH561" i="1" s="1"/>
  <c r="CH562" i="1" s="1"/>
  <c r="CH563" i="1" s="1"/>
  <c r="CH564" i="1" s="1"/>
  <c r="BJ560" i="1" l="1"/>
  <c r="BL560" i="1" s="1"/>
  <c r="BW560" i="1" s="1"/>
  <c r="CD560" i="1" s="1"/>
  <c r="BH560" i="1"/>
  <c r="BI560" i="1" s="1"/>
  <c r="BL559" i="1"/>
  <c r="BW559" i="1" s="1"/>
  <c r="CD559" i="1" s="1"/>
  <c r="BV559" i="1"/>
  <c r="L100" i="1" s="1"/>
  <c r="Z297" i="3" s="1"/>
  <c r="CB559" i="1"/>
  <c r="CC559" i="1" s="1"/>
  <c r="M100" i="1" s="1"/>
  <c r="AH297" i="3" s="1"/>
  <c r="BK560" i="1"/>
  <c r="BJ561" i="1"/>
  <c r="BK561" i="1" s="1"/>
  <c r="BH561" i="1" l="1"/>
  <c r="BH562" i="1" s="1"/>
  <c r="BI562" i="1" s="1"/>
  <c r="BX560" i="1"/>
  <c r="BM559" i="1"/>
  <c r="BP559" i="1" s="1"/>
  <c r="BX559" i="1"/>
  <c r="N100" i="1" s="1"/>
  <c r="AP297" i="3" s="1"/>
  <c r="BL561" i="1"/>
  <c r="BW561" i="1" s="1"/>
  <c r="BJ562" i="1"/>
  <c r="BK562" i="1" s="1"/>
  <c r="BH563" i="1"/>
  <c r="CE559" i="1"/>
  <c r="O100" i="1" s="1"/>
  <c r="CE560" i="1"/>
  <c r="BI561" i="1" l="1"/>
  <c r="BO559" i="1"/>
  <c r="BN559" i="1"/>
  <c r="AF99" i="1"/>
  <c r="AI99" i="1" s="1"/>
  <c r="BJ563" i="1"/>
  <c r="BL563" i="1" s="1"/>
  <c r="BW563" i="1" s="1"/>
  <c r="CD563" i="1" s="1"/>
  <c r="AX297" i="3"/>
  <c r="BL562" i="1"/>
  <c r="BW562" i="1" s="1"/>
  <c r="CD562" i="1" s="1"/>
  <c r="CD561" i="1"/>
  <c r="CE561" i="1" s="1"/>
  <c r="BX561" i="1"/>
  <c r="BI563" i="1"/>
  <c r="BH564" i="1"/>
  <c r="BI564" i="1" s="1"/>
  <c r="BR559" i="1" l="1"/>
  <c r="AQ560" i="1" s="1"/>
  <c r="BC560" i="1" s="1"/>
  <c r="BU560" i="1" s="1"/>
  <c r="BJ564" i="1"/>
  <c r="BL564" i="1" s="1"/>
  <c r="BW564" i="1" s="1"/>
  <c r="CD564" i="1" s="1"/>
  <c r="CE564" i="1" s="1"/>
  <c r="BY559" i="1"/>
  <c r="Q100" i="1" s="1"/>
  <c r="P100" i="1"/>
  <c r="BK563" i="1"/>
  <c r="BX562" i="1"/>
  <c r="BM560" i="1"/>
  <c r="CB560" i="1"/>
  <c r="CC560" i="1" s="1"/>
  <c r="BV560" i="1"/>
  <c r="BX563" i="1"/>
  <c r="CE562" i="1"/>
  <c r="CE563" i="1"/>
  <c r="BK564" i="1" l="1"/>
  <c r="BN297" i="3"/>
  <c r="BF297" i="3"/>
  <c r="BX564" i="1"/>
  <c r="BP560" i="1"/>
  <c r="BN560" i="1"/>
  <c r="BO560" i="1"/>
  <c r="BR560" i="1" l="1"/>
  <c r="AQ561" i="1" s="1"/>
  <c r="BY560" i="1" l="1"/>
  <c r="BC561" i="1"/>
  <c r="BU561" i="1" s="1"/>
  <c r="CB561" i="1" l="1"/>
  <c r="CC561" i="1" s="1"/>
  <c r="BV561" i="1"/>
  <c r="BM561" i="1"/>
  <c r="BO561" i="1" l="1"/>
  <c r="BN561" i="1"/>
  <c r="BP561" i="1"/>
  <c r="BR561" i="1" l="1"/>
  <c r="BY561" i="1" s="1"/>
  <c r="AQ562" i="1" l="1"/>
  <c r="BC562" i="1" s="1"/>
  <c r="BU562" i="1" l="1"/>
  <c r="CB562" i="1" s="1"/>
  <c r="CC562" i="1" s="1"/>
  <c r="BM562" i="1"/>
  <c r="BN562" i="1" s="1"/>
  <c r="BP562" i="1" l="1"/>
  <c r="BV562" i="1"/>
  <c r="BO562" i="1"/>
  <c r="BR562" i="1" l="1"/>
  <c r="BY562" i="1" s="1"/>
  <c r="CH565" i="1"/>
  <c r="CH566" i="1" s="1"/>
  <c r="CH567" i="1" s="1"/>
  <c r="CH568" i="1" s="1"/>
  <c r="CH569" i="1" s="1"/>
  <c r="CH570" i="1" s="1"/>
  <c r="BH565" i="1"/>
  <c r="BJ565" i="1"/>
  <c r="AQ563" i="1" l="1"/>
  <c r="BC563" i="1" s="1"/>
  <c r="BU563" i="1" s="1"/>
  <c r="CB563" i="1" s="1"/>
  <c r="CC563" i="1" s="1"/>
  <c r="BK565" i="1"/>
  <c r="BJ566" i="1"/>
  <c r="BL565" i="1"/>
  <c r="BW565" i="1" s="1"/>
  <c r="BI565" i="1"/>
  <c r="BH566" i="1"/>
  <c r="BV563" i="1" l="1"/>
  <c r="BM563" i="1"/>
  <c r="BO563" i="1" s="1"/>
  <c r="BX565" i="1"/>
  <c r="CD565" i="1"/>
  <c r="BH567" i="1"/>
  <c r="BI566" i="1"/>
  <c r="BL566" i="1"/>
  <c r="BW566" i="1" s="1"/>
  <c r="CD566" i="1" s="1"/>
  <c r="BJ567" i="1"/>
  <c r="BK566" i="1"/>
  <c r="BN563" i="1" l="1"/>
  <c r="BP563" i="1"/>
  <c r="CE565" i="1"/>
  <c r="CE566" i="1"/>
  <c r="BJ568" i="1"/>
  <c r="BK567" i="1"/>
  <c r="BL567" i="1"/>
  <c r="BW567" i="1" s="1"/>
  <c r="BH568" i="1"/>
  <c r="BI567" i="1"/>
  <c r="BX566" i="1"/>
  <c r="BR563" i="1" l="1"/>
  <c r="BY563" i="1" s="1"/>
  <c r="CD567" i="1"/>
  <c r="BX567" i="1"/>
  <c r="BJ569" i="1"/>
  <c r="BK568" i="1"/>
  <c r="BL568" i="1"/>
  <c r="BW568" i="1" s="1"/>
  <c r="CD568" i="1" s="1"/>
  <c r="BI568" i="1"/>
  <c r="BH569" i="1"/>
  <c r="AQ564" i="1" l="1"/>
  <c r="BC564" i="1" s="1"/>
  <c r="BU564" i="1" s="1"/>
  <c r="CB564" i="1" s="1"/>
  <c r="CC564" i="1" s="1"/>
  <c r="BK569" i="1"/>
  <c r="BJ570" i="1"/>
  <c r="BL569" i="1"/>
  <c r="BW569" i="1" s="1"/>
  <c r="BH570" i="1"/>
  <c r="BI569" i="1"/>
  <c r="BX568" i="1"/>
  <c r="CE567" i="1"/>
  <c r="CE568" i="1"/>
  <c r="BM564" i="1" l="1"/>
  <c r="BN564" i="1" s="1"/>
  <c r="BV564" i="1"/>
  <c r="BI570" i="1"/>
  <c r="CD569" i="1"/>
  <c r="BX569" i="1"/>
  <c r="BK570" i="1"/>
  <c r="BL570" i="1"/>
  <c r="BW570" i="1" s="1"/>
  <c r="BP564" i="1" l="1"/>
  <c r="BO564" i="1"/>
  <c r="CD570" i="1"/>
  <c r="CE570" i="1" s="1"/>
  <c r="BX570" i="1"/>
  <c r="CE569" i="1"/>
  <c r="BR564" i="1" l="1"/>
  <c r="AQ565" i="1" s="1"/>
  <c r="BC565" i="1" s="1"/>
  <c r="BU565" i="1" s="1"/>
  <c r="CB565" i="1" s="1"/>
  <c r="CC565" i="1" s="1"/>
  <c r="BY564" i="1"/>
  <c r="BV565" i="1"/>
  <c r="BM565" i="1"/>
  <c r="BO565" i="1" l="1"/>
  <c r="BN565" i="1"/>
  <c r="BP565" i="1"/>
  <c r="BR565" i="1" l="1"/>
  <c r="BY565" i="1" s="1"/>
  <c r="AQ566" i="1" l="1"/>
  <c r="BC566" i="1" s="1"/>
  <c r="BU566" i="1" s="1"/>
  <c r="CB566" i="1" l="1"/>
  <c r="CC566" i="1" s="1"/>
  <c r="BV566" i="1"/>
  <c r="BM566" i="1"/>
  <c r="BP566" i="1" s="1"/>
  <c r="BO566" i="1" l="1"/>
  <c r="BN566" i="1"/>
  <c r="BR566" i="1" l="1"/>
  <c r="BY566" i="1" s="1"/>
  <c r="AQ567" i="1" l="1"/>
  <c r="BC567" i="1" s="1"/>
  <c r="BU567" i="1" s="1"/>
  <c r="CB567" i="1" s="1"/>
  <c r="CC567" i="1" s="1"/>
  <c r="BM567" i="1" l="1"/>
  <c r="BP567" i="1" s="1"/>
  <c r="BV567" i="1"/>
  <c r="BN567" i="1" l="1"/>
  <c r="BO567" i="1"/>
  <c r="BR567" i="1" l="1"/>
  <c r="BY567" i="1" s="1"/>
  <c r="AQ568" i="1" l="1"/>
  <c r="BC568" i="1" s="1"/>
  <c r="BU568" i="1" s="1"/>
  <c r="CB568" i="1" s="1"/>
  <c r="CC568" i="1" s="1"/>
  <c r="BM568" i="1" l="1"/>
  <c r="BO568" i="1" s="1"/>
  <c r="BV568" i="1"/>
  <c r="BP568" i="1" l="1"/>
  <c r="BN568" i="1"/>
  <c r="BR568" i="1" l="1"/>
  <c r="BY568" i="1" s="1"/>
  <c r="AQ569" i="1" l="1"/>
  <c r="BC569" i="1" s="1"/>
  <c r="BU569" i="1" s="1"/>
  <c r="CB569" i="1" s="1"/>
  <c r="CC569" i="1" s="1"/>
  <c r="BM569" i="1"/>
  <c r="BN569" i="1" s="1"/>
  <c r="BV569" i="1"/>
  <c r="BP569" i="1" l="1"/>
  <c r="BO569" i="1"/>
  <c r="BR569" i="1" s="1"/>
  <c r="BY569" i="1" s="1"/>
  <c r="AQ570" i="1" l="1"/>
  <c r="BC570" i="1" s="1"/>
  <c r="BU570" i="1" s="1"/>
  <c r="CB570" i="1" s="1"/>
  <c r="CC570" i="1" s="1"/>
  <c r="BV570" i="1" l="1"/>
  <c r="BM570" i="1"/>
  <c r="BP570" i="1" s="1"/>
  <c r="BO570" i="1" l="1"/>
  <c r="BN570" i="1"/>
  <c r="BR570" i="1" s="1"/>
  <c r="AQ571" i="1" s="1"/>
  <c r="BY570" i="1" l="1"/>
  <c r="BC571" i="1"/>
  <c r="BU571" i="1" s="1"/>
  <c r="CH571" i="1" l="1"/>
  <c r="CH572" i="1" s="1"/>
  <c r="CH573" i="1" s="1"/>
  <c r="CH574" i="1" s="1"/>
  <c r="CH575" i="1" s="1"/>
  <c r="CH576" i="1" s="1"/>
  <c r="BJ571" i="1"/>
  <c r="BL571" i="1" s="1"/>
  <c r="BH571" i="1"/>
  <c r="BI571" i="1" s="1"/>
  <c r="BV571" i="1"/>
  <c r="L101" i="1" s="1"/>
  <c r="CB571" i="1"/>
  <c r="CC571" i="1" s="1"/>
  <c r="M101" i="1" s="1"/>
  <c r="BJ572" i="1" l="1"/>
  <c r="BK572" i="1" s="1"/>
  <c r="BH572" i="1"/>
  <c r="BI572" i="1" s="1"/>
  <c r="BK571" i="1"/>
  <c r="AH298" i="3"/>
  <c r="Z298" i="3"/>
  <c r="BW571" i="1"/>
  <c r="BM571" i="1"/>
  <c r="BL572" i="1" l="1"/>
  <c r="BW572" i="1" s="1"/>
  <c r="CD572" i="1" s="1"/>
  <c r="BJ573" i="1"/>
  <c r="BJ574" i="1" s="1"/>
  <c r="BH573" i="1"/>
  <c r="BI573" i="1" s="1"/>
  <c r="CD571" i="1"/>
  <c r="BX571" i="1"/>
  <c r="N101" i="1" s="1"/>
  <c r="BP571" i="1"/>
  <c r="BN571" i="1"/>
  <c r="BO571" i="1"/>
  <c r="BX572" i="1" l="1"/>
  <c r="BL573" i="1"/>
  <c r="BW573" i="1" s="1"/>
  <c r="CD573" i="1" s="1"/>
  <c r="BK573" i="1"/>
  <c r="BH574" i="1"/>
  <c r="BI574" i="1" s="1"/>
  <c r="BX573" i="1"/>
  <c r="AP298" i="3"/>
  <c r="AF100" i="1"/>
  <c r="AI100" i="1" s="1"/>
  <c r="BK574" i="1"/>
  <c r="BJ575" i="1"/>
  <c r="BL574" i="1"/>
  <c r="BW574" i="1" s="1"/>
  <c r="CD574" i="1" s="1"/>
  <c r="CE574" i="1" s="1"/>
  <c r="BR571" i="1"/>
  <c r="CE571" i="1"/>
  <c r="O101" i="1" s="1"/>
  <c r="CE573" i="1"/>
  <c r="CE572" i="1"/>
  <c r="BH575" i="1" l="1"/>
  <c r="BI575" i="1" s="1"/>
  <c r="AX298" i="3"/>
  <c r="BX574" i="1"/>
  <c r="BY571" i="1"/>
  <c r="Q101" i="1" s="1"/>
  <c r="AQ572" i="1"/>
  <c r="P101" i="1"/>
  <c r="BL575" i="1"/>
  <c r="BW575" i="1" s="1"/>
  <c r="CD575" i="1" s="1"/>
  <c r="CE575" i="1" s="1"/>
  <c r="BK575" i="1"/>
  <c r="BJ576" i="1"/>
  <c r="BH576" i="1"/>
  <c r="BI576" i="1" s="1"/>
  <c r="BF298" i="3" l="1"/>
  <c r="BN298" i="3"/>
  <c r="BK576" i="1"/>
  <c r="BL576" i="1"/>
  <c r="BW576" i="1" s="1"/>
  <c r="CD576" i="1" s="1"/>
  <c r="CE576" i="1" s="1"/>
  <c r="BX575" i="1"/>
  <c r="BC572" i="1"/>
  <c r="BU572" i="1" s="1"/>
  <c r="BX576" i="1" l="1"/>
  <c r="CB572" i="1"/>
  <c r="CC572" i="1" s="1"/>
  <c r="BV572" i="1"/>
  <c r="BM572" i="1"/>
  <c r="BP572" i="1" l="1"/>
  <c r="BO572" i="1"/>
  <c r="BN572" i="1"/>
  <c r="BR572" i="1" l="1"/>
  <c r="AQ573" i="1" s="1"/>
  <c r="BY572" i="1" l="1"/>
  <c r="BC573" i="1"/>
  <c r="BU573" i="1" s="1"/>
  <c r="BM573" i="1" l="1"/>
  <c r="BO573" i="1" s="1"/>
  <c r="CB573" i="1"/>
  <c r="BV573" i="1"/>
  <c r="BN573" i="1" l="1"/>
  <c r="BP573" i="1"/>
  <c r="CC573" i="1"/>
  <c r="BR573" i="1" l="1"/>
  <c r="BY573" i="1" l="1"/>
  <c r="AQ574" i="1"/>
  <c r="BC574" i="1" s="1"/>
  <c r="BU574" i="1" s="1"/>
  <c r="BV574" i="1" s="1"/>
  <c r="CB574" i="1" l="1"/>
  <c r="CC574" i="1" s="1"/>
  <c r="BM574" i="1"/>
  <c r="BO574" i="1" s="1"/>
  <c r="BJ577" i="1"/>
  <c r="CH577" i="1"/>
  <c r="CH578" i="1" s="1"/>
  <c r="CH579" i="1" s="1"/>
  <c r="CH580" i="1" s="1"/>
  <c r="CH581" i="1" s="1"/>
  <c r="CH582" i="1" s="1"/>
  <c r="BH577" i="1"/>
  <c r="BP574" i="1" l="1"/>
  <c r="BN574" i="1"/>
  <c r="BH578" i="1"/>
  <c r="BI577" i="1"/>
  <c r="BL577" i="1"/>
  <c r="BJ578" i="1"/>
  <c r="BK577" i="1"/>
  <c r="BR574" i="1" l="1"/>
  <c r="AQ575" i="1" s="1"/>
  <c r="BC575" i="1" s="1"/>
  <c r="BU575" i="1" s="1"/>
  <c r="BK578" i="1"/>
  <c r="BL578" i="1"/>
  <c r="BW578" i="1" s="1"/>
  <c r="CD578" i="1" s="1"/>
  <c r="BJ579" i="1"/>
  <c r="BW577" i="1"/>
  <c r="BH579" i="1"/>
  <c r="BI578" i="1"/>
  <c r="BY574" i="1" l="1"/>
  <c r="BM575" i="1"/>
  <c r="CB575" i="1"/>
  <c r="CC575" i="1" s="1"/>
  <c r="BV575" i="1"/>
  <c r="BX578" i="1"/>
  <c r="CD577" i="1"/>
  <c r="BX577" i="1"/>
  <c r="BK579" i="1"/>
  <c r="BL579" i="1"/>
  <c r="BW579" i="1" s="1"/>
  <c r="CD579" i="1" s="1"/>
  <c r="BJ580" i="1"/>
  <c r="BI579" i="1"/>
  <c r="BH580" i="1"/>
  <c r="BX579" i="1" l="1"/>
  <c r="BP575" i="1"/>
  <c r="BN575" i="1"/>
  <c r="BO575" i="1"/>
  <c r="CE579" i="1"/>
  <c r="BK580" i="1"/>
  <c r="BL580" i="1"/>
  <c r="BW580" i="1" s="1"/>
  <c r="CD580" i="1" s="1"/>
  <c r="BJ581" i="1"/>
  <c r="CE577" i="1"/>
  <c r="CE578" i="1"/>
  <c r="BI580" i="1"/>
  <c r="BH581" i="1"/>
  <c r="BR575" i="1" l="1"/>
  <c r="BY575" i="1" s="1"/>
  <c r="BX580" i="1"/>
  <c r="BI581" i="1"/>
  <c r="BH582" i="1"/>
  <c r="CE580" i="1"/>
  <c r="BK581" i="1"/>
  <c r="BL581" i="1"/>
  <c r="BW581" i="1" s="1"/>
  <c r="BJ582" i="1"/>
  <c r="AQ576" i="1" l="1"/>
  <c r="BC576" i="1" s="1"/>
  <c r="BU576" i="1" s="1"/>
  <c r="CD581" i="1"/>
  <c r="BX581" i="1"/>
  <c r="BI582" i="1"/>
  <c r="BL582" i="1"/>
  <c r="BW582" i="1" s="1"/>
  <c r="CD582" i="1" s="1"/>
  <c r="BK582" i="1"/>
  <c r="BM576" i="1" l="1"/>
  <c r="CB576" i="1"/>
  <c r="CC576" i="1" s="1"/>
  <c r="BV576" i="1"/>
  <c r="BX582" i="1"/>
  <c r="CE582" i="1"/>
  <c r="CE581" i="1"/>
  <c r="BO576" i="1" l="1"/>
  <c r="BN576" i="1"/>
  <c r="BP576" i="1"/>
  <c r="BR576" i="1" l="1"/>
  <c r="AQ577" i="1" s="1"/>
  <c r="BY576" i="1" l="1"/>
  <c r="BC577" i="1"/>
  <c r="BU577" i="1" s="1"/>
  <c r="BM577" i="1" l="1"/>
  <c r="BP577" i="1" s="1"/>
  <c r="CB577" i="1"/>
  <c r="CC577" i="1" s="1"/>
  <c r="BV577" i="1"/>
  <c r="BO577" i="1" l="1"/>
  <c r="BN577" i="1"/>
  <c r="BR577" i="1" l="1"/>
  <c r="AQ578" i="1" s="1"/>
  <c r="BC578" i="1" s="1"/>
  <c r="BU578" i="1" s="1"/>
  <c r="BY577" i="1" l="1"/>
  <c r="BM578" i="1"/>
  <c r="CB578" i="1"/>
  <c r="CC578" i="1" s="1"/>
  <c r="BV578" i="1"/>
  <c r="BN578" i="1" l="1"/>
  <c r="BP578" i="1"/>
  <c r="BO578" i="1"/>
  <c r="BR578" i="1" l="1"/>
  <c r="BY578" i="1" s="1"/>
  <c r="AQ579" i="1" l="1"/>
  <c r="BC579" i="1" s="1"/>
  <c r="BU579" i="1" s="1"/>
  <c r="BM579" i="1" l="1"/>
  <c r="CB579" i="1"/>
  <c r="CC579" i="1" s="1"/>
  <c r="BV579" i="1"/>
  <c r="BN579" i="1" l="1"/>
  <c r="BO579" i="1"/>
  <c r="BP579" i="1"/>
  <c r="BR579" i="1" l="1"/>
  <c r="AQ580" i="1" s="1"/>
  <c r="BY579" i="1" l="1"/>
  <c r="BC580" i="1"/>
  <c r="BU580" i="1" s="1"/>
  <c r="BM580" i="1" l="1"/>
  <c r="CB580" i="1"/>
  <c r="CC580" i="1" s="1"/>
  <c r="BV580" i="1"/>
  <c r="BO580" i="1" l="1"/>
  <c r="BP580" i="1"/>
  <c r="BN580" i="1"/>
  <c r="BR580" i="1" l="1"/>
  <c r="AQ581" i="1" s="1"/>
  <c r="BY580" i="1" l="1"/>
  <c r="BC581" i="1"/>
  <c r="BU581" i="1" s="1"/>
  <c r="BM581" i="1" l="1"/>
  <c r="CB581" i="1"/>
  <c r="CC581" i="1" s="1"/>
  <c r="BV581" i="1"/>
  <c r="BN581" i="1" l="1"/>
  <c r="BP581" i="1"/>
  <c r="BO581" i="1"/>
  <c r="BR581" i="1" l="1"/>
  <c r="BY581" i="1" s="1"/>
  <c r="AQ582" i="1" l="1"/>
  <c r="BC582" i="1" s="1"/>
  <c r="BU582" i="1" s="1"/>
  <c r="BM582" i="1" l="1"/>
  <c r="CB582" i="1"/>
  <c r="CC582" i="1" s="1"/>
  <c r="BV582" i="1"/>
  <c r="BN582" i="1" l="1"/>
  <c r="BP582" i="1"/>
  <c r="BO582" i="1"/>
  <c r="BR582" i="1" l="1"/>
  <c r="AQ583" i="1" s="1"/>
  <c r="BY582" i="1" l="1"/>
  <c r="BC583" i="1"/>
  <c r="BU583" i="1" s="1"/>
  <c r="CH583" i="1" l="1"/>
  <c r="CH584" i="1" s="1"/>
  <c r="CH585" i="1" s="1"/>
  <c r="CH586" i="1" s="1"/>
  <c r="CH587" i="1" s="1"/>
  <c r="CH588" i="1" s="1"/>
  <c r="BH583" i="1"/>
  <c r="BI583" i="1" s="1"/>
  <c r="BJ583" i="1"/>
  <c r="BJ584" i="1" s="1"/>
  <c r="CB583" i="1"/>
  <c r="CC583" i="1" s="1"/>
  <c r="M102" i="1" s="1"/>
  <c r="BV583" i="1"/>
  <c r="L102" i="1" s="1"/>
  <c r="Z299" i="3" l="1"/>
  <c r="AH299" i="3"/>
  <c r="BK583" i="1"/>
  <c r="BL583" i="1"/>
  <c r="BM583" i="1" s="1"/>
  <c r="BH584" i="1"/>
  <c r="BI584" i="1" s="1"/>
  <c r="BK584" i="1"/>
  <c r="BL584" i="1"/>
  <c r="BW584" i="1" s="1"/>
  <c r="CD584" i="1" s="1"/>
  <c r="BJ585" i="1"/>
  <c r="BW583" i="1" l="1"/>
  <c r="BX584" i="1" s="1"/>
  <c r="BH585" i="1"/>
  <c r="BH586" i="1" s="1"/>
  <c r="BK585" i="1"/>
  <c r="BL585" i="1"/>
  <c r="BW585" i="1" s="1"/>
  <c r="CD585" i="1" s="1"/>
  <c r="BJ586" i="1"/>
  <c r="BN583" i="1"/>
  <c r="BO583" i="1"/>
  <c r="BP583" i="1"/>
  <c r="BX583" i="1"/>
  <c r="N102" i="1" s="1"/>
  <c r="CD583" i="1" l="1"/>
  <c r="CE584" i="1" s="1"/>
  <c r="BX585" i="1"/>
  <c r="BI585" i="1"/>
  <c r="BR583" i="1"/>
  <c r="BJ587" i="1"/>
  <c r="BL586" i="1"/>
  <c r="BW586" i="1" s="1"/>
  <c r="BK586" i="1"/>
  <c r="AF101" i="1"/>
  <c r="AI101" i="1" s="1"/>
  <c r="AP299" i="3"/>
  <c r="BI586" i="1"/>
  <c r="BH587" i="1"/>
  <c r="CE585" i="1" l="1"/>
  <c r="CE583" i="1"/>
  <c r="O102" i="1" s="1"/>
  <c r="BL587" i="1"/>
  <c r="BW587" i="1" s="1"/>
  <c r="CD587" i="1" s="1"/>
  <c r="BI587" i="1"/>
  <c r="BH588" i="1"/>
  <c r="BI588" i="1" s="1"/>
  <c r="BX586" i="1"/>
  <c r="CD586" i="1"/>
  <c r="BK587" i="1"/>
  <c r="BJ588" i="1"/>
  <c r="P102" i="1"/>
  <c r="BY583" i="1"/>
  <c r="Q102" i="1" s="1"/>
  <c r="AQ584" i="1"/>
  <c r="AX299" i="3" l="1"/>
  <c r="BN299" i="3"/>
  <c r="BF299" i="3"/>
  <c r="CE586" i="1"/>
  <c r="CE587" i="1"/>
  <c r="BK588" i="1"/>
  <c r="BL588" i="1"/>
  <c r="BW588" i="1" s="1"/>
  <c r="CD588" i="1" s="1"/>
  <c r="CE588" i="1" s="1"/>
  <c r="BX587" i="1"/>
  <c r="BC584" i="1"/>
  <c r="BU584" i="1" s="1"/>
  <c r="BM584" i="1" l="1"/>
  <c r="BO584" i="1" s="1"/>
  <c r="BX588" i="1"/>
  <c r="CB584" i="1"/>
  <c r="CC584" i="1" s="1"/>
  <c r="BV584" i="1"/>
  <c r="BN584" i="1" l="1"/>
  <c r="BP584" i="1"/>
  <c r="BR584" i="1" l="1"/>
  <c r="BY584" i="1" l="1"/>
  <c r="AQ585" i="1"/>
  <c r="BC585" i="1" s="1"/>
  <c r="BU585" i="1" s="1"/>
  <c r="CB585" i="1" s="1"/>
  <c r="CC585" i="1" s="1"/>
  <c r="CH589" i="1"/>
  <c r="CH590" i="1" s="1"/>
  <c r="CH591" i="1" s="1"/>
  <c r="CH592" i="1" s="1"/>
  <c r="CH593" i="1" s="1"/>
  <c r="CH594" i="1" s="1"/>
  <c r="BM585" i="1" l="1"/>
  <c r="BO585" i="1" s="1"/>
  <c r="BV585" i="1"/>
  <c r="BH589" i="1"/>
  <c r="BP585" i="1" l="1"/>
  <c r="BN585" i="1"/>
  <c r="BH590" i="1"/>
  <c r="BI589" i="1"/>
  <c r="BR585" i="1" l="1"/>
  <c r="AQ586" i="1" s="1"/>
  <c r="BC586" i="1" s="1"/>
  <c r="BU586" i="1" s="1"/>
  <c r="BI590" i="1"/>
  <c r="BH591" i="1"/>
  <c r="BY585" i="1" l="1"/>
  <c r="CB586" i="1"/>
  <c r="CC586" i="1" s="1"/>
  <c r="BV586" i="1"/>
  <c r="BM586" i="1"/>
  <c r="BI591" i="1"/>
  <c r="BH592" i="1"/>
  <c r="BO586" i="1" l="1"/>
  <c r="BN586" i="1"/>
  <c r="BP586" i="1"/>
  <c r="BI592" i="1"/>
  <c r="BH593" i="1"/>
  <c r="BR586" i="1" l="1"/>
  <c r="BY586" i="1" s="1"/>
  <c r="BH594" i="1"/>
  <c r="BI593" i="1"/>
  <c r="AQ587" i="1" l="1"/>
  <c r="BC587" i="1" s="1"/>
  <c r="BU587" i="1" s="1"/>
  <c r="BI594" i="1"/>
  <c r="CB587" i="1" l="1"/>
  <c r="CC587" i="1" s="1"/>
  <c r="BV587" i="1"/>
  <c r="BM587" i="1"/>
  <c r="BO587" i="1" l="1"/>
  <c r="BP587" i="1"/>
  <c r="BN587" i="1"/>
  <c r="BR587" i="1" l="1"/>
  <c r="AQ588" i="1" s="1"/>
  <c r="BY587" i="1" l="1"/>
  <c r="BC588" i="1"/>
  <c r="BU588" i="1" s="1"/>
  <c r="BM588" i="1" l="1"/>
  <c r="CB588" i="1"/>
  <c r="CC588" i="1" s="1"/>
  <c r="BV588" i="1"/>
  <c r="BP588" i="1" l="1"/>
  <c r="BN588" i="1"/>
  <c r="BO588" i="1"/>
  <c r="BR588" i="1" l="1"/>
  <c r="BY588" i="1" s="1"/>
  <c r="AQ589" i="1" l="1"/>
  <c r="BC589" i="1" s="1"/>
  <c r="BJ589" i="1" l="1"/>
  <c r="BU589" i="1"/>
  <c r="CB589" i="1" l="1"/>
  <c r="CC589" i="1" s="1"/>
  <c r="BV589" i="1"/>
  <c r="BK589" i="1"/>
  <c r="BL589" i="1"/>
  <c r="BJ590" i="1"/>
  <c r="BJ591" i="1" l="1"/>
  <c r="BL590" i="1"/>
  <c r="BW590" i="1" s="1"/>
  <c r="CD590" i="1" s="1"/>
  <c r="BK590" i="1"/>
  <c r="BW589" i="1"/>
  <c r="BM589" i="1"/>
  <c r="BX590" i="1" l="1"/>
  <c r="CD589" i="1"/>
  <c r="BX589" i="1"/>
  <c r="BO589" i="1"/>
  <c r="BP589" i="1"/>
  <c r="BN589" i="1"/>
  <c r="BJ592" i="1"/>
  <c r="BK591" i="1"/>
  <c r="BL591" i="1"/>
  <c r="BW591" i="1" s="1"/>
  <c r="BR589" i="1" l="1"/>
  <c r="BY589" i="1" s="1"/>
  <c r="BX591" i="1"/>
  <c r="CD591" i="1"/>
  <c r="BJ593" i="1"/>
  <c r="BK592" i="1"/>
  <c r="BL592" i="1"/>
  <c r="BW592" i="1" s="1"/>
  <c r="BX592" i="1" s="1"/>
  <c r="CE589" i="1"/>
  <c r="CE590" i="1"/>
  <c r="AQ590" i="1" l="1"/>
  <c r="BC590" i="1" s="1"/>
  <c r="BU590" i="1" s="1"/>
  <c r="CE591" i="1"/>
  <c r="BK593" i="1"/>
  <c r="BL593" i="1"/>
  <c r="BW593" i="1" s="1"/>
  <c r="BJ594" i="1"/>
  <c r="CD592" i="1"/>
  <c r="BK594" i="1" l="1"/>
  <c r="BL594" i="1"/>
  <c r="BW594" i="1" s="1"/>
  <c r="BX594" i="1" s="1"/>
  <c r="CE592" i="1"/>
  <c r="CD593" i="1"/>
  <c r="BX593" i="1"/>
  <c r="CB590" i="1"/>
  <c r="CC590" i="1" s="1"/>
  <c r="BV590" i="1"/>
  <c r="BM590" i="1"/>
  <c r="CE593" i="1" l="1"/>
  <c r="CD594" i="1"/>
  <c r="CE594" i="1" s="1"/>
  <c r="BN590" i="1"/>
  <c r="BP590" i="1"/>
  <c r="BO590" i="1"/>
  <c r="BR590" i="1" l="1"/>
  <c r="BY590" i="1" s="1"/>
  <c r="AQ591" i="1" l="1"/>
  <c r="BC591" i="1" s="1"/>
  <c r="BU591" i="1" s="1"/>
  <c r="BM591" i="1" l="1"/>
  <c r="CB591" i="1"/>
  <c r="CC591" i="1" s="1"/>
  <c r="BV591" i="1"/>
  <c r="BN591" i="1" l="1"/>
  <c r="BP591" i="1"/>
  <c r="BO591" i="1"/>
  <c r="BR591" i="1" l="1"/>
  <c r="BY591" i="1" s="1"/>
  <c r="AQ592" i="1" l="1"/>
  <c r="BC592" i="1" s="1"/>
  <c r="BU592" i="1" s="1"/>
  <c r="BM592" i="1" l="1"/>
  <c r="CB592" i="1"/>
  <c r="CC592" i="1" s="1"/>
  <c r="BV592" i="1"/>
  <c r="BO592" i="1" l="1"/>
  <c r="BN592" i="1"/>
  <c r="BP592" i="1"/>
  <c r="BR592" i="1" l="1"/>
  <c r="AQ593" i="1" s="1"/>
  <c r="BY592" i="1" l="1"/>
  <c r="BC593" i="1"/>
  <c r="BU593" i="1" s="1"/>
  <c r="BM593" i="1" l="1"/>
  <c r="BP593" i="1" s="1"/>
  <c r="CB593" i="1"/>
  <c r="CC593" i="1" s="1"/>
  <c r="BV593" i="1"/>
  <c r="BO593" i="1" l="1"/>
  <c r="BN593" i="1"/>
  <c r="BR593" i="1" l="1"/>
  <c r="BY593" i="1" s="1"/>
  <c r="AQ594" i="1" l="1"/>
  <c r="BC594" i="1" s="1"/>
  <c r="BU594" i="1" s="1"/>
  <c r="BM594" i="1" l="1"/>
  <c r="BO594" i="1" s="1"/>
  <c r="CB594" i="1"/>
  <c r="CC594" i="1" s="1"/>
  <c r="BV594" i="1"/>
  <c r="BN594" i="1" l="1"/>
  <c r="BP594" i="1"/>
  <c r="BR594" i="1" l="1"/>
  <c r="AQ595" i="1" s="1"/>
  <c r="BC595" i="1" l="1"/>
  <c r="BH595" i="1" s="1"/>
  <c r="BH596" i="1" s="1"/>
  <c r="BY594" i="1"/>
  <c r="BJ595" i="1"/>
  <c r="BI595" i="1" l="1"/>
  <c r="BU595" i="1"/>
  <c r="CH595" i="1"/>
  <c r="CH596" i="1" s="1"/>
  <c r="CH597" i="1" s="1"/>
  <c r="CH598" i="1" s="1"/>
  <c r="CH599" i="1" s="1"/>
  <c r="CH600" i="1" s="1"/>
  <c r="BI596" i="1"/>
  <c r="BH597" i="1"/>
  <c r="BL595" i="1"/>
  <c r="BK595" i="1"/>
  <c r="BJ596" i="1"/>
  <c r="BV595" i="1" l="1"/>
  <c r="L103" i="1" s="1"/>
  <c r="CB595" i="1"/>
  <c r="CC595" i="1" s="1"/>
  <c r="M103" i="1" s="1"/>
  <c r="BK596" i="1"/>
  <c r="BJ597" i="1"/>
  <c r="BL596" i="1"/>
  <c r="BW596" i="1" s="1"/>
  <c r="CD596" i="1" s="1"/>
  <c r="BH598" i="1"/>
  <c r="BI597" i="1"/>
  <c r="BW595" i="1"/>
  <c r="BM595" i="1"/>
  <c r="AH300" i="3" l="1"/>
  <c r="Z300" i="3"/>
  <c r="BI598" i="1"/>
  <c r="BH599" i="1"/>
  <c r="BJ598" i="1"/>
  <c r="BK597" i="1"/>
  <c r="BL597" i="1"/>
  <c r="BW597" i="1" s="1"/>
  <c r="CD597" i="1" s="1"/>
  <c r="BN595" i="1"/>
  <c r="BO595" i="1"/>
  <c r="BP595" i="1"/>
  <c r="CD595" i="1"/>
  <c r="BX596" i="1"/>
  <c r="BX595" i="1"/>
  <c r="N103" i="1" s="1"/>
  <c r="BR595" i="1" l="1"/>
  <c r="P103" i="1" s="1"/>
  <c r="BX597" i="1"/>
  <c r="AP300" i="3"/>
  <c r="AF102" i="1"/>
  <c r="AI102" i="1" s="1"/>
  <c r="BK598" i="1"/>
  <c r="BJ599" i="1"/>
  <c r="BL598" i="1"/>
  <c r="BW598" i="1" s="1"/>
  <c r="BI599" i="1"/>
  <c r="BH600" i="1"/>
  <c r="BI600" i="1" s="1"/>
  <c r="CE597" i="1"/>
  <c r="CE596" i="1"/>
  <c r="CE595" i="1"/>
  <c r="O103" i="1" s="1"/>
  <c r="CH601" i="1"/>
  <c r="CH602" i="1" s="1"/>
  <c r="CH603" i="1" s="1"/>
  <c r="CH604" i="1" s="1"/>
  <c r="CH605" i="1" s="1"/>
  <c r="CH606" i="1" s="1"/>
  <c r="AX300" i="3" l="1"/>
  <c r="BF300" i="3"/>
  <c r="BY595" i="1"/>
  <c r="Q103" i="1" s="1"/>
  <c r="AQ596" i="1"/>
  <c r="BC596" i="1" s="1"/>
  <c r="BU596" i="1" s="1"/>
  <c r="CD598" i="1"/>
  <c r="CE598" i="1" s="1"/>
  <c r="BX598" i="1"/>
  <c r="BH601" i="1"/>
  <c r="BI601" i="1" s="1"/>
  <c r="BJ600" i="1"/>
  <c r="BK599" i="1"/>
  <c r="BL599" i="1"/>
  <c r="BW599" i="1" s="1"/>
  <c r="CD599" i="1" s="1"/>
  <c r="BN300" i="3" l="1"/>
  <c r="CE599" i="1"/>
  <c r="BM596" i="1"/>
  <c r="BN596" i="1" s="1"/>
  <c r="BH602" i="1"/>
  <c r="BI602" i="1" s="1"/>
  <c r="BL600" i="1"/>
  <c r="BW600" i="1" s="1"/>
  <c r="CD600" i="1" s="1"/>
  <c r="CE600" i="1" s="1"/>
  <c r="BK600" i="1"/>
  <c r="BJ601" i="1"/>
  <c r="BX599" i="1"/>
  <c r="CB596" i="1"/>
  <c r="CC596" i="1" s="1"/>
  <c r="BV596" i="1"/>
  <c r="BO596" i="1" l="1"/>
  <c r="BP596" i="1"/>
  <c r="BH603" i="1"/>
  <c r="BI603" i="1" s="1"/>
  <c r="BK601" i="1"/>
  <c r="BL601" i="1"/>
  <c r="BW601" i="1" s="1"/>
  <c r="BX601" i="1" s="1"/>
  <c r="BJ602" i="1"/>
  <c r="BX600" i="1"/>
  <c r="BR596" i="1" l="1"/>
  <c r="AQ597" i="1" s="1"/>
  <c r="BC597" i="1" s="1"/>
  <c r="BU597" i="1" s="1"/>
  <c r="BH604" i="1"/>
  <c r="BI604" i="1" s="1"/>
  <c r="CD601" i="1"/>
  <c r="CE601" i="1" s="1"/>
  <c r="BK602" i="1"/>
  <c r="BJ603" i="1"/>
  <c r="BL602" i="1"/>
  <c r="BW602" i="1" s="1"/>
  <c r="BY596" i="1" l="1"/>
  <c r="BH605" i="1"/>
  <c r="BI605" i="1" s="1"/>
  <c r="BM597" i="1"/>
  <c r="BO597" i="1" s="1"/>
  <c r="CB597" i="1"/>
  <c r="CC597" i="1" s="1"/>
  <c r="BV597" i="1"/>
  <c r="BK603" i="1"/>
  <c r="BJ604" i="1"/>
  <c r="BL603" i="1"/>
  <c r="BW603" i="1" s="1"/>
  <c r="CD603" i="1" s="1"/>
  <c r="CD602" i="1"/>
  <c r="CE602" i="1" s="1"/>
  <c r="BX602" i="1"/>
  <c r="BH606" i="1" l="1"/>
  <c r="BI606" i="1" s="1"/>
  <c r="BP597" i="1"/>
  <c r="BX603" i="1"/>
  <c r="BN597" i="1"/>
  <c r="CE603" i="1"/>
  <c r="BL604" i="1"/>
  <c r="BW604" i="1" s="1"/>
  <c r="BJ605" i="1"/>
  <c r="BK604" i="1"/>
  <c r="BR597" i="1" l="1"/>
  <c r="CD604" i="1"/>
  <c r="CE604" i="1" s="1"/>
  <c r="BX604" i="1"/>
  <c r="BL605" i="1"/>
  <c r="BW605" i="1" s="1"/>
  <c r="BX605" i="1" s="1"/>
  <c r="BJ606" i="1"/>
  <c r="BK605" i="1"/>
  <c r="AQ598" i="1"/>
  <c r="BY597" i="1"/>
  <c r="BK606" i="1" l="1"/>
  <c r="BL606" i="1"/>
  <c r="BW606" i="1" s="1"/>
  <c r="CD606" i="1" s="1"/>
  <c r="BC598" i="1"/>
  <c r="BU598" i="1" s="1"/>
  <c r="CD605" i="1"/>
  <c r="BX606" i="1"/>
  <c r="CB598" i="1" l="1"/>
  <c r="CC598" i="1" s="1"/>
  <c r="BV598" i="1"/>
  <c r="CE606" i="1"/>
  <c r="CE605" i="1"/>
  <c r="BM598" i="1"/>
  <c r="BN598" i="1" l="1"/>
  <c r="BP598" i="1"/>
  <c r="BO598" i="1"/>
  <c r="BR598" i="1" l="1"/>
  <c r="BY598" i="1" l="1"/>
  <c r="AQ599" i="1"/>
  <c r="BC599" i="1" l="1"/>
  <c r="BU599" i="1" s="1"/>
  <c r="CB599" i="1" l="1"/>
  <c r="CC599" i="1" s="1"/>
  <c r="BV599" i="1"/>
  <c r="BM599" i="1"/>
  <c r="BP599" i="1" l="1"/>
  <c r="BN599" i="1"/>
  <c r="BO599" i="1"/>
  <c r="BR599" i="1" l="1"/>
  <c r="BY599" i="1" s="1"/>
  <c r="AQ600" i="1" l="1"/>
  <c r="BC600" i="1" s="1"/>
  <c r="BU600" i="1" s="1"/>
  <c r="BM600" i="1" l="1"/>
  <c r="BP600" i="1" s="1"/>
  <c r="CB600" i="1"/>
  <c r="CC600" i="1" s="1"/>
  <c r="BV600" i="1"/>
  <c r="BN600" i="1" l="1"/>
  <c r="BO600" i="1"/>
  <c r="BR600" i="1" l="1"/>
  <c r="AQ601" i="1" s="1"/>
  <c r="BC601" i="1" s="1"/>
  <c r="BU601" i="1" s="1"/>
  <c r="BY600" i="1" l="1"/>
  <c r="BM601" i="1"/>
  <c r="CB601" i="1"/>
  <c r="BV601" i="1"/>
  <c r="CC601" i="1" l="1"/>
  <c r="BN601" i="1"/>
  <c r="BO601" i="1"/>
  <c r="BP601" i="1"/>
  <c r="BR601" i="1" l="1"/>
  <c r="AQ602" i="1" s="1"/>
  <c r="BY601" i="1" l="1"/>
  <c r="BC602" i="1"/>
  <c r="BU602" i="1" s="1"/>
  <c r="BM602" i="1" l="1"/>
  <c r="BO602" i="1" s="1"/>
  <c r="CB602" i="1"/>
  <c r="BV602" i="1"/>
  <c r="BP602" i="1" l="1"/>
  <c r="BN602" i="1"/>
  <c r="CC602" i="1"/>
  <c r="BR602" i="1" l="1"/>
  <c r="AQ603" i="1" s="1"/>
  <c r="BC603" i="1" s="1"/>
  <c r="BU603" i="1" s="1"/>
  <c r="BY602" i="1" l="1"/>
  <c r="BM603" i="1"/>
  <c r="CB603" i="1"/>
  <c r="BV603" i="1"/>
  <c r="CC603" i="1" l="1"/>
  <c r="BN603" i="1"/>
  <c r="BO603" i="1"/>
  <c r="BP603" i="1"/>
  <c r="BR603" i="1" l="1"/>
  <c r="AQ604" i="1" s="1"/>
  <c r="BY603" i="1" l="1"/>
  <c r="BC604" i="1"/>
  <c r="BU604" i="1" s="1"/>
  <c r="BM604" i="1" l="1"/>
  <c r="CB604" i="1"/>
  <c r="BV604" i="1"/>
  <c r="CC604" i="1" l="1"/>
  <c r="BP604" i="1"/>
  <c r="BN604" i="1"/>
  <c r="BO604" i="1"/>
  <c r="BR604" i="1" l="1"/>
  <c r="AQ605" i="1" s="1"/>
  <c r="BY604" i="1" l="1"/>
  <c r="BC605" i="1"/>
  <c r="BU605" i="1" s="1"/>
  <c r="BM605" i="1" l="1"/>
  <c r="BP605" i="1" s="1"/>
  <c r="CB605" i="1"/>
  <c r="BV605" i="1"/>
  <c r="BO605" i="1" l="1"/>
  <c r="BN605" i="1"/>
  <c r="CC605" i="1"/>
  <c r="BR605" i="1" l="1"/>
  <c r="AQ606" i="1" s="1"/>
  <c r="BY605" i="1" l="1"/>
  <c r="BC606" i="1"/>
  <c r="BU606" i="1" s="1"/>
  <c r="CB606" i="1" l="1"/>
  <c r="BV606" i="1"/>
  <c r="BM606" i="1"/>
  <c r="BN606" i="1" l="1"/>
  <c r="BO606" i="1"/>
  <c r="BP606" i="1"/>
  <c r="CC606" i="1"/>
  <c r="BR606" i="1" l="1"/>
  <c r="BY606" i="1" s="1"/>
  <c r="AQ607" i="1" l="1"/>
  <c r="BC607" i="1" s="1"/>
  <c r="BU607" i="1" l="1"/>
  <c r="BV607" i="1" s="1"/>
  <c r="L104" i="1" s="1"/>
  <c r="CH607" i="1"/>
  <c r="CH608" i="1" s="1"/>
  <c r="CH609" i="1" s="1"/>
  <c r="CH610" i="1" s="1"/>
  <c r="CH611" i="1" s="1"/>
  <c r="CH612" i="1" s="1"/>
  <c r="CH613" i="1" s="1"/>
  <c r="CH614" i="1" s="1"/>
  <c r="CH615" i="1" s="1"/>
  <c r="BH607" i="1"/>
  <c r="BI607" i="1" s="1"/>
  <c r="BJ607" i="1"/>
  <c r="BK607" i="1" s="1"/>
  <c r="CB607" i="1" l="1"/>
  <c r="CC607" i="1" s="1"/>
  <c r="M104" i="1" s="1"/>
  <c r="Z301" i="3"/>
  <c r="BH608" i="1"/>
  <c r="BI608" i="1" s="1"/>
  <c r="BJ608" i="1"/>
  <c r="BL608" i="1" s="1"/>
  <c r="BW608" i="1" s="1"/>
  <c r="CD608" i="1" s="1"/>
  <c r="BL607" i="1"/>
  <c r="BM607" i="1" s="1"/>
  <c r="BH609" i="1" l="1"/>
  <c r="BI609" i="1" s="1"/>
  <c r="BJ609" i="1"/>
  <c r="BL609" i="1" s="1"/>
  <c r="BW609" i="1" s="1"/>
  <c r="CD609" i="1" s="1"/>
  <c r="AH301" i="3"/>
  <c r="BK608" i="1"/>
  <c r="BW607" i="1"/>
  <c r="CD607" i="1" s="1"/>
  <c r="BN607" i="1"/>
  <c r="BO607" i="1"/>
  <c r="BP607" i="1"/>
  <c r="BH610" i="1" l="1"/>
  <c r="BI610" i="1" s="1"/>
  <c r="BK609" i="1"/>
  <c r="BJ610" i="1"/>
  <c r="BK610" i="1" s="1"/>
  <c r="BX608" i="1"/>
  <c r="BX607" i="1"/>
  <c r="N104" i="1" s="1"/>
  <c r="BR607" i="1"/>
  <c r="AQ608" i="1" s="1"/>
  <c r="BX609" i="1"/>
  <c r="CE607" i="1"/>
  <c r="O104" i="1" s="1"/>
  <c r="CE608" i="1"/>
  <c r="CE609" i="1"/>
  <c r="BJ611" i="1" l="1"/>
  <c r="BK611" i="1" s="1"/>
  <c r="BL610" i="1"/>
  <c r="BW610" i="1" s="1"/>
  <c r="CD610" i="1" s="1"/>
  <c r="CE610" i="1" s="1"/>
  <c r="BH611" i="1"/>
  <c r="BH612" i="1" s="1"/>
  <c r="AX301" i="3"/>
  <c r="AP301" i="3"/>
  <c r="AF103" i="1"/>
  <c r="AI103" i="1" s="1"/>
  <c r="BY607" i="1"/>
  <c r="Q104" i="1" s="1"/>
  <c r="P104" i="1"/>
  <c r="BC608" i="1"/>
  <c r="BU608" i="1" s="1"/>
  <c r="BL611" i="1" l="1"/>
  <c r="BW611" i="1" s="1"/>
  <c r="BX610" i="1"/>
  <c r="BJ612" i="1"/>
  <c r="BL612" i="1" s="1"/>
  <c r="BW612" i="1" s="1"/>
  <c r="BI611" i="1"/>
  <c r="BN301" i="3"/>
  <c r="BF301" i="3"/>
  <c r="BM608" i="1"/>
  <c r="BN608" i="1" s="1"/>
  <c r="BJ613" i="1"/>
  <c r="BI612" i="1"/>
  <c r="BH613" i="1"/>
  <c r="CD611" i="1"/>
  <c r="BX611" i="1"/>
  <c r="CB608" i="1"/>
  <c r="BV608" i="1"/>
  <c r="CH616" i="1"/>
  <c r="CH617" i="1" s="1"/>
  <c r="CH618" i="1" s="1"/>
  <c r="BK612" i="1" l="1"/>
  <c r="BO608" i="1"/>
  <c r="BP608" i="1"/>
  <c r="CC608" i="1"/>
  <c r="CE611" i="1"/>
  <c r="BI613" i="1"/>
  <c r="BH614" i="1"/>
  <c r="BL613" i="1"/>
  <c r="BW613" i="1" s="1"/>
  <c r="BK613" i="1"/>
  <c r="BJ614" i="1"/>
  <c r="BX612" i="1"/>
  <c r="CD612" i="1"/>
  <c r="BR608" i="1" l="1"/>
  <c r="AQ609" i="1" s="1"/>
  <c r="BC609" i="1" s="1"/>
  <c r="BU609" i="1" s="1"/>
  <c r="BK614" i="1"/>
  <c r="BJ615" i="1"/>
  <c r="BL614" i="1"/>
  <c r="BW614" i="1" s="1"/>
  <c r="CD614" i="1" s="1"/>
  <c r="CE612" i="1"/>
  <c r="CD613" i="1"/>
  <c r="BX613" i="1"/>
  <c r="BH615" i="1"/>
  <c r="BI614" i="1"/>
  <c r="BX614" i="1" l="1"/>
  <c r="BY608" i="1"/>
  <c r="CE614" i="1"/>
  <c r="BM609" i="1"/>
  <c r="BO609" i="1" s="1"/>
  <c r="CE613" i="1"/>
  <c r="BI615" i="1"/>
  <c r="BH616" i="1"/>
  <c r="CB609" i="1"/>
  <c r="BV609" i="1"/>
  <c r="BK615" i="1"/>
  <c r="BL615" i="1"/>
  <c r="BW615" i="1" s="1"/>
  <c r="BJ616" i="1"/>
  <c r="BN609" i="1" l="1"/>
  <c r="BP609" i="1"/>
  <c r="CC609" i="1"/>
  <c r="BH617" i="1"/>
  <c r="BI616" i="1"/>
  <c r="BJ617" i="1"/>
  <c r="BK616" i="1"/>
  <c r="BL616" i="1"/>
  <c r="BW616" i="1" s="1"/>
  <c r="CD616" i="1" s="1"/>
  <c r="CD615" i="1"/>
  <c r="CE615" i="1" s="1"/>
  <c r="BX615" i="1"/>
  <c r="BR609" i="1" l="1"/>
  <c r="AQ610" i="1" s="1"/>
  <c r="BC610" i="1" s="1"/>
  <c r="BU610" i="1" s="1"/>
  <c r="CE616" i="1"/>
  <c r="BX616" i="1"/>
  <c r="BH618" i="1"/>
  <c r="BI618" i="1" s="1"/>
  <c r="BI617" i="1"/>
  <c r="BL617" i="1"/>
  <c r="BW617" i="1" s="1"/>
  <c r="BJ618" i="1"/>
  <c r="BK617" i="1"/>
  <c r="BY609" i="1" l="1"/>
  <c r="BM610" i="1"/>
  <c r="CB610" i="1"/>
  <c r="BV610" i="1"/>
  <c r="BK618" i="1"/>
  <c r="BL618" i="1"/>
  <c r="BW618" i="1" s="1"/>
  <c r="BX618" i="1" s="1"/>
  <c r="CD617" i="1"/>
  <c r="BX617" i="1"/>
  <c r="CE617" i="1" l="1"/>
  <c r="CC610" i="1"/>
  <c r="CD618" i="1"/>
  <c r="BO610" i="1"/>
  <c r="BP610" i="1"/>
  <c r="BN610" i="1"/>
  <c r="BR610" i="1" l="1"/>
  <c r="CE618" i="1"/>
  <c r="AQ611" i="1" l="1"/>
  <c r="BY610" i="1"/>
  <c r="BC611" i="1" l="1"/>
  <c r="BU611" i="1" s="1"/>
  <c r="BM611" i="1" l="1"/>
  <c r="BP611" i="1" s="1"/>
  <c r="CB611" i="1"/>
  <c r="BV611" i="1"/>
  <c r="BN611" i="1" l="1"/>
  <c r="BO611" i="1"/>
  <c r="CC611" i="1"/>
  <c r="BR611" i="1" l="1"/>
  <c r="AQ612" i="1" l="1"/>
  <c r="BC612" i="1" s="1"/>
  <c r="BU612" i="1" s="1"/>
  <c r="CB612" i="1" s="1"/>
  <c r="BY611" i="1"/>
  <c r="BV612" i="1" l="1"/>
  <c r="BM612" i="1"/>
  <c r="BO612" i="1" s="1"/>
  <c r="CC612" i="1"/>
  <c r="BN612" i="1" l="1"/>
  <c r="BP612" i="1"/>
  <c r="BR612" i="1" l="1"/>
  <c r="BY612" i="1" s="1"/>
  <c r="AQ613" i="1" l="1"/>
  <c r="BC613" i="1" s="1"/>
  <c r="BU613" i="1" s="1"/>
  <c r="CB613" i="1" s="1"/>
  <c r="BV613" i="1" l="1"/>
  <c r="BM613" i="1"/>
  <c r="BO613" i="1" s="1"/>
  <c r="CC613" i="1"/>
  <c r="BP613" i="1" l="1"/>
  <c r="BN613" i="1"/>
  <c r="BR613" i="1" s="1"/>
  <c r="AQ614" i="1" s="1"/>
  <c r="BY613" i="1" l="1"/>
  <c r="BC614" i="1"/>
  <c r="BU614" i="1" s="1"/>
  <c r="BM614" i="1" l="1"/>
  <c r="CB614" i="1"/>
  <c r="BV614" i="1"/>
  <c r="CC614" i="1" l="1"/>
  <c r="BN614" i="1"/>
  <c r="BO614" i="1"/>
  <c r="BP614" i="1"/>
  <c r="BR614" i="1" l="1"/>
  <c r="AQ615" i="1" l="1"/>
  <c r="BY614" i="1"/>
  <c r="BC615" i="1" l="1"/>
  <c r="BU615" i="1" s="1"/>
  <c r="BM615" i="1" l="1"/>
  <c r="CB615" i="1"/>
  <c r="BV615" i="1"/>
  <c r="CC615" i="1" l="1"/>
  <c r="BN615" i="1"/>
  <c r="BO615" i="1"/>
  <c r="BP615" i="1"/>
  <c r="BR615" i="1" l="1"/>
  <c r="BY615" i="1" s="1"/>
  <c r="AQ616" i="1" l="1"/>
  <c r="BC616" i="1" s="1"/>
  <c r="BU616" i="1" s="1"/>
  <c r="BM616" i="1" l="1"/>
  <c r="CB616" i="1"/>
  <c r="BV616" i="1"/>
  <c r="CC616" i="1" l="1"/>
  <c r="BN616" i="1"/>
  <c r="BO616" i="1"/>
  <c r="BP616" i="1"/>
  <c r="BR616" i="1" l="1"/>
  <c r="AQ617" i="1" s="1"/>
  <c r="BY616" i="1" l="1"/>
  <c r="BC617" i="1"/>
  <c r="BU617" i="1" s="1"/>
  <c r="BM617" i="1" l="1"/>
  <c r="CB617" i="1"/>
  <c r="BV617" i="1"/>
  <c r="CC617" i="1" l="1"/>
  <c r="BP617" i="1"/>
  <c r="BO617" i="1"/>
  <c r="BN617" i="1"/>
  <c r="BR617" i="1" l="1"/>
  <c r="BY617" i="1" s="1"/>
  <c r="AQ618" i="1" l="1"/>
  <c r="BC618" i="1" s="1"/>
  <c r="BU618" i="1" s="1"/>
  <c r="CB618" i="1" l="1"/>
  <c r="BV618" i="1"/>
  <c r="BM618" i="1"/>
  <c r="BO618" i="1" l="1"/>
  <c r="BN618" i="1"/>
  <c r="BP618" i="1"/>
  <c r="CC618" i="1"/>
  <c r="BR618" i="1" l="1"/>
  <c r="BY618" i="1" s="1"/>
  <c r="AQ619" i="1" l="1"/>
  <c r="BC619" i="1" s="1"/>
  <c r="BU619" i="1" l="1"/>
  <c r="CB619" i="1" s="1"/>
  <c r="CH619" i="1"/>
  <c r="CH620" i="1" s="1"/>
  <c r="CH621" i="1" s="1"/>
  <c r="CH622" i="1" s="1"/>
  <c r="CH623" i="1" s="1"/>
  <c r="CH624" i="1" s="1"/>
  <c r="CH625" i="1" s="1"/>
  <c r="CH626" i="1" s="1"/>
  <c r="CH627" i="1" s="1"/>
  <c r="BJ619" i="1"/>
  <c r="BH619" i="1"/>
  <c r="BV619" i="1" l="1"/>
  <c r="L105" i="1" s="1"/>
  <c r="BK619" i="1"/>
  <c r="BL619" i="1"/>
  <c r="BJ620" i="1"/>
  <c r="BI619" i="1"/>
  <c r="BH620" i="1"/>
  <c r="CC619" i="1"/>
  <c r="M105" i="1" s="1"/>
  <c r="AH302" i="3" l="1"/>
  <c r="Z302" i="3"/>
  <c r="BK620" i="1"/>
  <c r="BJ621" i="1"/>
  <c r="BL620" i="1"/>
  <c r="BW620" i="1" s="1"/>
  <c r="CD620" i="1" s="1"/>
  <c r="BH621" i="1"/>
  <c r="BI620" i="1"/>
  <c r="BW619" i="1"/>
  <c r="BM619" i="1"/>
  <c r="BN619" i="1" l="1"/>
  <c r="BP619" i="1"/>
  <c r="BO619" i="1"/>
  <c r="CD619" i="1"/>
  <c r="BX619" i="1"/>
  <c r="N105" i="1" s="1"/>
  <c r="BX620" i="1"/>
  <c r="BK621" i="1"/>
  <c r="BL621" i="1"/>
  <c r="BW621" i="1" s="1"/>
  <c r="CD621" i="1" s="1"/>
  <c r="BJ622" i="1"/>
  <c r="BI621" i="1"/>
  <c r="BH622" i="1"/>
  <c r="BX621" i="1" l="1"/>
  <c r="BR619" i="1"/>
  <c r="BY619" i="1" s="1"/>
  <c r="Q105" i="1" s="1"/>
  <c r="CE619" i="1"/>
  <c r="O105" i="1" s="1"/>
  <c r="CE621" i="1"/>
  <c r="AF104" i="1"/>
  <c r="AI104" i="1" s="1"/>
  <c r="AP302" i="3"/>
  <c r="P105" i="1"/>
  <c r="BL622" i="1"/>
  <c r="BW622" i="1" s="1"/>
  <c r="BX622" i="1" s="1"/>
  <c r="BK622" i="1"/>
  <c r="BJ623" i="1"/>
  <c r="BH623" i="1"/>
  <c r="BI622" i="1"/>
  <c r="CE620" i="1"/>
  <c r="AQ620" i="1" l="1"/>
  <c r="BC620" i="1" s="1"/>
  <c r="BU620" i="1" s="1"/>
  <c r="BN302" i="3"/>
  <c r="AX302" i="3"/>
  <c r="BF302" i="3"/>
  <c r="BI623" i="1"/>
  <c r="BH624" i="1"/>
  <c r="BK623" i="1"/>
  <c r="BJ624" i="1"/>
  <c r="BL623" i="1"/>
  <c r="BW623" i="1" s="1"/>
  <c r="CD623" i="1" s="1"/>
  <c r="CD622" i="1"/>
  <c r="BX623" i="1" l="1"/>
  <c r="BM620" i="1"/>
  <c r="BO620" i="1" s="1"/>
  <c r="CE622" i="1"/>
  <c r="CE623" i="1"/>
  <c r="BK624" i="1"/>
  <c r="BL624" i="1"/>
  <c r="BW624" i="1" s="1"/>
  <c r="BJ625" i="1"/>
  <c r="CB620" i="1"/>
  <c r="BV620" i="1"/>
  <c r="BI624" i="1"/>
  <c r="BH625" i="1"/>
  <c r="BP620" i="1" l="1"/>
  <c r="BN620" i="1"/>
  <c r="CC620" i="1"/>
  <c r="BI625" i="1"/>
  <c r="BH626" i="1"/>
  <c r="BL625" i="1"/>
  <c r="BW625" i="1" s="1"/>
  <c r="BK625" i="1"/>
  <c r="BJ626" i="1"/>
  <c r="CD624" i="1"/>
  <c r="BX624" i="1"/>
  <c r="CH628" i="1"/>
  <c r="CH629" i="1" s="1"/>
  <c r="CH630" i="1" s="1"/>
  <c r="BR620" i="1" l="1"/>
  <c r="BY620" i="1" s="1"/>
  <c r="CD625" i="1"/>
  <c r="CE625" i="1" s="1"/>
  <c r="BX625" i="1"/>
  <c r="BI626" i="1"/>
  <c r="BH627" i="1"/>
  <c r="BI627" i="1" s="1"/>
  <c r="CE624" i="1"/>
  <c r="BK626" i="1"/>
  <c r="BL626" i="1"/>
  <c r="BW626" i="1" s="1"/>
  <c r="CD626" i="1" s="1"/>
  <c r="BJ627" i="1"/>
  <c r="AQ621" i="1" l="1"/>
  <c r="BC621" i="1" s="1"/>
  <c r="BU621" i="1" s="1"/>
  <c r="CB621" i="1" s="1"/>
  <c r="CE626" i="1"/>
  <c r="BH628" i="1"/>
  <c r="BI628" i="1" s="1"/>
  <c r="BX626" i="1"/>
  <c r="BK627" i="1"/>
  <c r="BL627" i="1"/>
  <c r="BW627" i="1" s="1"/>
  <c r="CD627" i="1" s="1"/>
  <c r="CE627" i="1" s="1"/>
  <c r="BJ628" i="1"/>
  <c r="BM621" i="1" l="1"/>
  <c r="BV621" i="1"/>
  <c r="BH629" i="1"/>
  <c r="BI629" i="1" s="1"/>
  <c r="CC621" i="1"/>
  <c r="BK628" i="1"/>
  <c r="BJ629" i="1"/>
  <c r="BL628" i="1"/>
  <c r="BW628" i="1" s="1"/>
  <c r="BO621" i="1"/>
  <c r="BP621" i="1"/>
  <c r="BN621" i="1"/>
  <c r="BX627" i="1"/>
  <c r="BH630" i="1" l="1"/>
  <c r="BI630" i="1" s="1"/>
  <c r="BR621" i="1"/>
  <c r="AQ622" i="1" s="1"/>
  <c r="BJ630" i="1"/>
  <c r="BK630" i="1" s="1"/>
  <c r="BK629" i="1"/>
  <c r="BL629" i="1"/>
  <c r="BW629" i="1" s="1"/>
  <c r="CD629" i="1" s="1"/>
  <c r="CD628" i="1"/>
  <c r="BX628" i="1"/>
  <c r="BY621" i="1" l="1"/>
  <c r="BL630" i="1"/>
  <c r="BW630" i="1" s="1"/>
  <c r="CD630" i="1" s="1"/>
  <c r="CE629" i="1"/>
  <c r="BX629" i="1"/>
  <c r="BC622" i="1"/>
  <c r="BU622" i="1" s="1"/>
  <c r="CE628" i="1"/>
  <c r="BX630" i="1" l="1"/>
  <c r="BM622" i="1"/>
  <c r="BN622" i="1" s="1"/>
  <c r="CB622" i="1"/>
  <c r="BV622" i="1"/>
  <c r="CE630" i="1"/>
  <c r="BP622" i="1" l="1"/>
  <c r="BO622" i="1"/>
  <c r="CC622" i="1"/>
  <c r="BR622" i="1" l="1"/>
  <c r="AQ623" i="1" s="1"/>
  <c r="BC623" i="1" s="1"/>
  <c r="BU623" i="1" s="1"/>
  <c r="BY622" i="1" l="1"/>
  <c r="BM623" i="1"/>
  <c r="BP623" i="1" s="1"/>
  <c r="CB623" i="1"/>
  <c r="BV623" i="1"/>
  <c r="BN623" i="1" l="1"/>
  <c r="BO623" i="1"/>
  <c r="CC623" i="1"/>
  <c r="BR623" i="1" l="1"/>
  <c r="AQ624" i="1" s="1"/>
  <c r="BC624" i="1" s="1"/>
  <c r="BU624" i="1" s="1"/>
  <c r="BY623" i="1" l="1"/>
  <c r="BM624" i="1"/>
  <c r="BN624" i="1" s="1"/>
  <c r="BV624" i="1"/>
  <c r="CB624" i="1"/>
  <c r="BP624" i="1" l="1"/>
  <c r="BO624" i="1"/>
  <c r="CC624" i="1"/>
  <c r="BR624" i="1" l="1"/>
  <c r="BY624" i="1" s="1"/>
  <c r="AQ625" i="1" l="1"/>
  <c r="BC625" i="1" s="1"/>
  <c r="BU625" i="1" s="1"/>
  <c r="CB625" i="1" s="1"/>
  <c r="BV625" i="1" l="1"/>
  <c r="BM625" i="1"/>
  <c r="BN625" i="1" s="1"/>
  <c r="CC625" i="1"/>
  <c r="BO625" i="1" l="1"/>
  <c r="BP625" i="1"/>
  <c r="BR625" i="1" s="1"/>
  <c r="BY625" i="1" s="1"/>
  <c r="AQ626" i="1" l="1"/>
  <c r="BC626" i="1" s="1"/>
  <c r="BU626" i="1" s="1"/>
  <c r="BM626" i="1" l="1"/>
  <c r="BO626" i="1" s="1"/>
  <c r="CB626" i="1"/>
  <c r="BV626" i="1"/>
  <c r="BN626" i="1" l="1"/>
  <c r="BP626" i="1"/>
  <c r="CC626" i="1"/>
  <c r="BR626" i="1" l="1"/>
  <c r="AQ627" i="1" s="1"/>
  <c r="BC627" i="1" s="1"/>
  <c r="BU627" i="1" s="1"/>
  <c r="BY626" i="1" l="1"/>
  <c r="BM627" i="1"/>
  <c r="CB627" i="1"/>
  <c r="BV627" i="1"/>
  <c r="CC627" i="1" l="1"/>
  <c r="BO627" i="1"/>
  <c r="BN627" i="1"/>
  <c r="BP627" i="1"/>
  <c r="BR627" i="1" l="1"/>
  <c r="BY627" i="1" s="1"/>
  <c r="AQ628" i="1" l="1"/>
  <c r="BC628" i="1" s="1"/>
  <c r="BU628" i="1" s="1"/>
  <c r="BM628" i="1" l="1"/>
  <c r="CB628" i="1"/>
  <c r="BV628" i="1"/>
  <c r="CC628" i="1" l="1"/>
  <c r="BP628" i="1"/>
  <c r="BO628" i="1"/>
  <c r="BN628" i="1"/>
  <c r="BR628" i="1" l="1"/>
  <c r="AQ629" i="1" s="1"/>
  <c r="BY628" i="1" l="1"/>
  <c r="BC629" i="1"/>
  <c r="BU629" i="1" s="1"/>
  <c r="BM629" i="1" l="1"/>
  <c r="BO629" i="1" s="1"/>
  <c r="CB629" i="1"/>
  <c r="BV629" i="1"/>
  <c r="BP629" i="1" l="1"/>
  <c r="BN629" i="1"/>
  <c r="CC629" i="1"/>
  <c r="BR629" i="1" l="1"/>
  <c r="BY629" i="1" s="1"/>
  <c r="AQ630" i="1" l="1"/>
  <c r="BC630" i="1" s="1"/>
  <c r="BU630" i="1" s="1"/>
  <c r="CB630" i="1" s="1"/>
  <c r="BV630" i="1" l="1"/>
  <c r="BM630" i="1"/>
  <c r="BN630" i="1" s="1"/>
  <c r="CC630" i="1"/>
  <c r="BP630" i="1" l="1"/>
  <c r="BO630" i="1"/>
  <c r="BR630" i="1" l="1"/>
  <c r="BY630" i="1" s="1"/>
  <c r="AQ631" i="1" l="1"/>
  <c r="BC631" i="1" s="1"/>
  <c r="BU631" i="1" s="1"/>
  <c r="CB631" i="1" s="1"/>
  <c r="CH631" i="1"/>
  <c r="CH632" i="1" s="1"/>
  <c r="CH633" i="1" s="1"/>
  <c r="CH634" i="1" s="1"/>
  <c r="CH635" i="1" s="1"/>
  <c r="CH636" i="1" s="1"/>
  <c r="CH637" i="1" s="1"/>
  <c r="CH638" i="1" s="1"/>
  <c r="CH639" i="1" s="1"/>
  <c r="BJ631" i="1"/>
  <c r="BL631" i="1" s="1"/>
  <c r="BH631" i="1"/>
  <c r="BI631" i="1" s="1"/>
  <c r="BV631" i="1" l="1"/>
  <c r="L106" i="1" s="1"/>
  <c r="BJ632" i="1"/>
  <c r="BK632" i="1" s="1"/>
  <c r="BK631" i="1"/>
  <c r="BH632" i="1"/>
  <c r="BI632" i="1" s="1"/>
  <c r="CC631" i="1"/>
  <c r="M106" i="1" s="1"/>
  <c r="BW631" i="1"/>
  <c r="BM631" i="1"/>
  <c r="Z303" i="3" l="1"/>
  <c r="BJ633" i="1"/>
  <c r="BK633" i="1" s="1"/>
  <c r="AH303" i="3"/>
  <c r="BL632" i="1"/>
  <c r="BW632" i="1" s="1"/>
  <c r="CD632" i="1" s="1"/>
  <c r="BH633" i="1"/>
  <c r="BH634" i="1" s="1"/>
  <c r="BO631" i="1"/>
  <c r="BP631" i="1"/>
  <c r="BN631" i="1"/>
  <c r="CD631" i="1"/>
  <c r="BX631" i="1"/>
  <c r="N106" i="1" s="1"/>
  <c r="BJ634" i="1" l="1"/>
  <c r="BL634" i="1" s="1"/>
  <c r="BW634" i="1" s="1"/>
  <c r="BL633" i="1"/>
  <c r="BW633" i="1" s="1"/>
  <c r="CD633" i="1" s="1"/>
  <c r="CE633" i="1" s="1"/>
  <c r="BX632" i="1"/>
  <c r="BR631" i="1"/>
  <c r="AQ632" i="1" s="1"/>
  <c r="BI633" i="1"/>
  <c r="CE631" i="1"/>
  <c r="O106" i="1" s="1"/>
  <c r="CE632" i="1"/>
  <c r="BJ635" i="1"/>
  <c r="AP303" i="3"/>
  <c r="AF105" i="1"/>
  <c r="AI105" i="1" s="1"/>
  <c r="BI634" i="1"/>
  <c r="BH635" i="1"/>
  <c r="BK634" i="1" l="1"/>
  <c r="BX633" i="1"/>
  <c r="P106" i="1"/>
  <c r="AX303" i="3"/>
  <c r="BY631" i="1"/>
  <c r="Q106" i="1" s="1"/>
  <c r="BX634" i="1"/>
  <c r="CD634" i="1"/>
  <c r="BI635" i="1"/>
  <c r="BH636" i="1"/>
  <c r="BJ636" i="1"/>
  <c r="BK635" i="1"/>
  <c r="BL635" i="1"/>
  <c r="BW635" i="1" s="1"/>
  <c r="BC632" i="1"/>
  <c r="BU632" i="1" s="1"/>
  <c r="BF303" i="3" l="1"/>
  <c r="BN303" i="3"/>
  <c r="CB632" i="1"/>
  <c r="BV632" i="1"/>
  <c r="CD635" i="1"/>
  <c r="BX635" i="1"/>
  <c r="BL636" i="1"/>
  <c r="BW636" i="1" s="1"/>
  <c r="BX636" i="1" s="1"/>
  <c r="BK636" i="1"/>
  <c r="BJ637" i="1"/>
  <c r="CE634" i="1"/>
  <c r="BI636" i="1"/>
  <c r="BH637" i="1"/>
  <c r="BM632" i="1"/>
  <c r="CE635" i="1" l="1"/>
  <c r="BI637" i="1"/>
  <c r="BH638" i="1"/>
  <c r="BK637" i="1"/>
  <c r="BL637" i="1"/>
  <c r="BW637" i="1" s="1"/>
  <c r="BX637" i="1" s="1"/>
  <c r="BJ638" i="1"/>
  <c r="BO632" i="1"/>
  <c r="BP632" i="1"/>
  <c r="BN632" i="1"/>
  <c r="CD636" i="1"/>
  <c r="CE636" i="1" s="1"/>
  <c r="CC632" i="1"/>
  <c r="BR632" i="1" l="1"/>
  <c r="BY632" i="1" s="1"/>
  <c r="BK638" i="1"/>
  <c r="BL638" i="1"/>
  <c r="BW638" i="1" s="1"/>
  <c r="BJ639" i="1"/>
  <c r="CD637" i="1"/>
  <c r="BX638" i="1"/>
  <c r="BH639" i="1"/>
  <c r="BI639" i="1" s="1"/>
  <c r="BI638" i="1"/>
  <c r="AQ633" i="1" l="1"/>
  <c r="BC633" i="1" s="1"/>
  <c r="BU633" i="1" s="1"/>
  <c r="CE637" i="1"/>
  <c r="CD638" i="1"/>
  <c r="CE638" i="1" s="1"/>
  <c r="BL639" i="1"/>
  <c r="BW639" i="1" s="1"/>
  <c r="CD639" i="1" s="1"/>
  <c r="BK639" i="1"/>
  <c r="BM633" i="1" l="1"/>
  <c r="BV633" i="1"/>
  <c r="CB633" i="1"/>
  <c r="BX639" i="1"/>
  <c r="CE639" i="1"/>
  <c r="CC633" i="1" l="1"/>
  <c r="BN633" i="1"/>
  <c r="BO633" i="1"/>
  <c r="BP633" i="1"/>
  <c r="BR633" i="1" l="1"/>
  <c r="BY633" i="1" s="1"/>
  <c r="AQ634" i="1" l="1"/>
  <c r="BC634" i="1" s="1"/>
  <c r="BU634" i="1" s="1"/>
  <c r="BH640" i="1"/>
  <c r="BM634" i="1" l="1"/>
  <c r="CB634" i="1"/>
  <c r="BV634" i="1"/>
  <c r="CH640" i="1"/>
  <c r="CH641" i="1" s="1"/>
  <c r="CH642" i="1" s="1"/>
  <c r="BJ640" i="1"/>
  <c r="BK640" i="1" s="1"/>
  <c r="BH641" i="1"/>
  <c r="BI640" i="1"/>
  <c r="CC634" i="1" l="1"/>
  <c r="BN634" i="1"/>
  <c r="BP634" i="1"/>
  <c r="BO634" i="1"/>
  <c r="BJ641" i="1"/>
  <c r="BK641" i="1" s="1"/>
  <c r="BL640" i="1"/>
  <c r="BW640" i="1" s="1"/>
  <c r="BH642" i="1"/>
  <c r="BI641" i="1"/>
  <c r="BR634" i="1" l="1"/>
  <c r="BJ642" i="1"/>
  <c r="BK642" i="1" s="1"/>
  <c r="BL641" i="1"/>
  <c r="BW641" i="1" s="1"/>
  <c r="CD641" i="1" s="1"/>
  <c r="BI642" i="1"/>
  <c r="CD640" i="1"/>
  <c r="BX640" i="1"/>
  <c r="AQ635" i="1" l="1"/>
  <c r="BY634" i="1"/>
  <c r="BX641" i="1"/>
  <c r="BL642" i="1"/>
  <c r="BW642" i="1" s="1"/>
  <c r="BX642" i="1" s="1"/>
  <c r="CE640" i="1"/>
  <c r="CE641" i="1"/>
  <c r="BC635" i="1" l="1"/>
  <c r="BU635" i="1" s="1"/>
  <c r="CD642" i="1"/>
  <c r="CE642" i="1" s="1"/>
  <c r="BM635" i="1" l="1"/>
  <c r="BN635" i="1" s="1"/>
  <c r="CB635" i="1"/>
  <c r="BV635" i="1"/>
  <c r="BP635" i="1" l="1"/>
  <c r="BO635" i="1"/>
  <c r="CC635" i="1"/>
  <c r="BR635" i="1" l="1"/>
  <c r="BY635" i="1" s="1"/>
  <c r="AQ636" i="1" l="1"/>
  <c r="BC636" i="1" s="1"/>
  <c r="BU636" i="1" s="1"/>
  <c r="CB636" i="1" s="1"/>
  <c r="BV636" i="1" l="1"/>
  <c r="BM636" i="1"/>
  <c r="BP636" i="1" s="1"/>
  <c r="CC636" i="1"/>
  <c r="BO636" i="1" l="1"/>
  <c r="BN636" i="1"/>
  <c r="BR636" i="1" l="1"/>
  <c r="BY636" i="1" s="1"/>
  <c r="AQ637" i="1" l="1"/>
  <c r="BC637" i="1" s="1"/>
  <c r="BU637" i="1" s="1"/>
  <c r="CB637" i="1" s="1"/>
  <c r="BV637" i="1" l="1"/>
  <c r="BM637" i="1"/>
  <c r="BP637" i="1" s="1"/>
  <c r="CC637" i="1"/>
  <c r="BO637" i="1" l="1"/>
  <c r="BN637" i="1"/>
  <c r="BR637" i="1" l="1"/>
  <c r="BY637" i="1" s="1"/>
  <c r="AQ638" i="1" l="1"/>
  <c r="BC638" i="1" s="1"/>
  <c r="BU638" i="1" s="1"/>
  <c r="CB638" i="1" s="1"/>
  <c r="BV638" i="1" l="1"/>
  <c r="BM638" i="1"/>
  <c r="BP638" i="1" s="1"/>
  <c r="CC638" i="1"/>
  <c r="BN638" i="1" l="1"/>
  <c r="BO638" i="1"/>
  <c r="BR638" i="1" l="1"/>
  <c r="AQ639" i="1" s="1"/>
  <c r="BY638" i="1"/>
  <c r="BC639" i="1"/>
  <c r="BU639" i="1" s="1"/>
  <c r="BM639" i="1" l="1"/>
  <c r="BP639" i="1" s="1"/>
  <c r="CB639" i="1"/>
  <c r="BV639" i="1"/>
  <c r="BN639" i="1" l="1"/>
  <c r="BO639" i="1"/>
  <c r="CC639" i="1"/>
  <c r="BR639" i="1" l="1"/>
  <c r="BY639" i="1" s="1"/>
  <c r="AQ640" i="1" l="1"/>
  <c r="BC640" i="1" s="1"/>
  <c r="BU640" i="1" s="1"/>
  <c r="CB640" i="1" s="1"/>
  <c r="BV640" i="1" l="1"/>
  <c r="BM640" i="1"/>
  <c r="BP640" i="1" s="1"/>
  <c r="CC640" i="1"/>
  <c r="BN640" i="1" l="1"/>
  <c r="BO640" i="1"/>
  <c r="BR640" i="1" l="1"/>
  <c r="AQ641" i="1" s="1"/>
  <c r="BC641" i="1" s="1"/>
  <c r="BU641" i="1" s="1"/>
  <c r="BV641" i="1" s="1"/>
  <c r="CB641" i="1" l="1"/>
  <c r="CC641" i="1" s="1"/>
  <c r="BM641" i="1"/>
  <c r="BN641" i="1" s="1"/>
  <c r="BY640" i="1"/>
  <c r="BO641" i="1" l="1"/>
  <c r="BP641" i="1"/>
  <c r="BR641" i="1" l="1"/>
  <c r="AQ642" i="1" s="1"/>
  <c r="BC642" i="1" s="1"/>
  <c r="BU642" i="1" s="1"/>
  <c r="CB642" i="1" s="1"/>
  <c r="BV642" i="1" l="1"/>
  <c r="BM642" i="1"/>
  <c r="BN642" i="1" s="1"/>
  <c r="BY641" i="1"/>
  <c r="CC642" i="1"/>
  <c r="BO642" i="1" l="1"/>
  <c r="BP642" i="1"/>
  <c r="BR642" i="1" l="1"/>
  <c r="BY642" i="1" s="1"/>
  <c r="AQ643" i="1" l="1"/>
  <c r="BC643" i="1"/>
  <c r="BU643" i="1" s="1"/>
  <c r="BJ643" i="1"/>
  <c r="BH643" i="1" l="1"/>
  <c r="BI643" i="1" s="1"/>
  <c r="CH643" i="1"/>
  <c r="CH644" i="1" s="1"/>
  <c r="CH645" i="1" s="1"/>
  <c r="CH646" i="1" s="1"/>
  <c r="CH647" i="1" s="1"/>
  <c r="CH648" i="1" s="1"/>
  <c r="BK643" i="1"/>
  <c r="BJ644" i="1"/>
  <c r="BL643" i="1"/>
  <c r="CB643" i="1"/>
  <c r="CC643" i="1" s="1"/>
  <c r="M107" i="1" s="1"/>
  <c r="BV643" i="1"/>
  <c r="L107" i="1" s="1"/>
  <c r="AH304" i="3" l="1"/>
  <c r="Z304" i="3"/>
  <c r="BH644" i="1"/>
  <c r="BI644" i="1" s="1"/>
  <c r="BW643" i="1"/>
  <c r="BM643" i="1"/>
  <c r="BJ645" i="1"/>
  <c r="BL644" i="1"/>
  <c r="BW644" i="1" s="1"/>
  <c r="CD644" i="1" s="1"/>
  <c r="BK644" i="1"/>
  <c r="BH645" i="1" l="1"/>
  <c r="BI645" i="1" s="1"/>
  <c r="BL645" i="1"/>
  <c r="BW645" i="1" s="1"/>
  <c r="CD645" i="1" s="1"/>
  <c r="BJ646" i="1"/>
  <c r="BK645" i="1"/>
  <c r="BN643" i="1"/>
  <c r="BO643" i="1"/>
  <c r="BP643" i="1"/>
  <c r="BX643" i="1"/>
  <c r="N107" i="1" s="1"/>
  <c r="CD643" i="1"/>
  <c r="BX644" i="1"/>
  <c r="CH649" i="1"/>
  <c r="CH650" i="1" s="1"/>
  <c r="CH651" i="1" s="1"/>
  <c r="BX645" i="1" l="1"/>
  <c r="BR643" i="1"/>
  <c r="AQ644" i="1" s="1"/>
  <c r="BH646" i="1"/>
  <c r="BI646" i="1" s="1"/>
  <c r="AP304" i="3"/>
  <c r="AF106" i="1"/>
  <c r="AI106" i="1" s="1"/>
  <c r="BK646" i="1"/>
  <c r="BL646" i="1"/>
  <c r="BW646" i="1" s="1"/>
  <c r="BJ647" i="1"/>
  <c r="CE645" i="1"/>
  <c r="CE643" i="1"/>
  <c r="O107" i="1" s="1"/>
  <c r="CE644" i="1"/>
  <c r="P107" i="1" l="1"/>
  <c r="BF304" i="3" s="1"/>
  <c r="BY643" i="1"/>
  <c r="Q107" i="1" s="1"/>
  <c r="BC644" i="1"/>
  <c r="BU644" i="1" s="1"/>
  <c r="AX304" i="3"/>
  <c r="BH647" i="1"/>
  <c r="BI647" i="1" s="1"/>
  <c r="BL647" i="1"/>
  <c r="BW647" i="1" s="1"/>
  <c r="CD647" i="1" s="1"/>
  <c r="BJ648" i="1"/>
  <c r="BK647" i="1"/>
  <c r="CD646" i="1"/>
  <c r="BX646" i="1"/>
  <c r="BN304" i="3" l="1"/>
  <c r="BM644" i="1"/>
  <c r="BP644" i="1" s="1"/>
  <c r="CB644" i="1"/>
  <c r="CC644" i="1" s="1"/>
  <c r="BV644" i="1"/>
  <c r="BH648" i="1"/>
  <c r="BI648" i="1" s="1"/>
  <c r="CE647" i="1"/>
  <c r="CE646" i="1"/>
  <c r="BL648" i="1"/>
  <c r="BW648" i="1" s="1"/>
  <c r="BK648" i="1"/>
  <c r="BJ649" i="1"/>
  <c r="BX647" i="1"/>
  <c r="BN644" i="1" l="1"/>
  <c r="BO644" i="1"/>
  <c r="BH649" i="1"/>
  <c r="BI649" i="1" s="1"/>
  <c r="BK649" i="1"/>
  <c r="BL649" i="1"/>
  <c r="BW649" i="1" s="1"/>
  <c r="CD649" i="1" s="1"/>
  <c r="BJ650" i="1"/>
  <c r="CD648" i="1"/>
  <c r="CE648" i="1" s="1"/>
  <c r="BX648" i="1"/>
  <c r="BR644" i="1" l="1"/>
  <c r="BY644" i="1" s="1"/>
  <c r="BH650" i="1"/>
  <c r="BI650" i="1" s="1"/>
  <c r="CE649" i="1"/>
  <c r="BX649" i="1"/>
  <c r="BL650" i="1"/>
  <c r="BW650" i="1" s="1"/>
  <c r="BJ651" i="1"/>
  <c r="BK650" i="1"/>
  <c r="AQ645" i="1" l="1"/>
  <c r="BC645" i="1" s="1"/>
  <c r="BU645" i="1" s="1"/>
  <c r="BV645" i="1" s="1"/>
  <c r="BH651" i="1"/>
  <c r="BI651" i="1" s="1"/>
  <c r="BL651" i="1"/>
  <c r="BW651" i="1" s="1"/>
  <c r="BK651" i="1"/>
  <c r="CD650" i="1"/>
  <c r="BX650" i="1"/>
  <c r="CB645" i="1" l="1"/>
  <c r="CC645" i="1" s="1"/>
  <c r="BM645" i="1"/>
  <c r="BN645" i="1" s="1"/>
  <c r="CE650" i="1"/>
  <c r="CD651" i="1"/>
  <c r="CE651" i="1" s="1"/>
  <c r="BX651" i="1"/>
  <c r="BP645" i="1" l="1"/>
  <c r="BO645" i="1"/>
  <c r="BH652" i="1"/>
  <c r="BR645" i="1" l="1"/>
  <c r="AQ646" i="1" s="1"/>
  <c r="BC646" i="1" s="1"/>
  <c r="BU646" i="1" s="1"/>
  <c r="BV646" i="1" s="1"/>
  <c r="BJ652" i="1"/>
  <c r="BL652" i="1" s="1"/>
  <c r="CH652" i="1"/>
  <c r="CH653" i="1" s="1"/>
  <c r="CH654" i="1" s="1"/>
  <c r="BH653" i="1"/>
  <c r="BI652" i="1"/>
  <c r="BY645" i="1" l="1"/>
  <c r="BM646" i="1"/>
  <c r="BN646" i="1" s="1"/>
  <c r="CB646" i="1"/>
  <c r="CC646" i="1" s="1"/>
  <c r="BP646" i="1"/>
  <c r="BJ653" i="1"/>
  <c r="BL653" i="1" s="1"/>
  <c r="BW653" i="1" s="1"/>
  <c r="BK652" i="1"/>
  <c r="BI653" i="1"/>
  <c r="BH654" i="1"/>
  <c r="BW652" i="1"/>
  <c r="BO646" i="1" l="1"/>
  <c r="BR646" i="1" s="1"/>
  <c r="BY646" i="1" s="1"/>
  <c r="BJ654" i="1"/>
  <c r="BL654" i="1" s="1"/>
  <c r="BW654" i="1" s="1"/>
  <c r="BK653" i="1"/>
  <c r="BI654" i="1"/>
  <c r="CD653" i="1"/>
  <c r="BX653" i="1"/>
  <c r="CD652" i="1"/>
  <c r="BX652" i="1"/>
  <c r="AQ647" i="1" l="1"/>
  <c r="BC647" i="1" s="1"/>
  <c r="BU647" i="1" s="1"/>
  <c r="CB647" i="1" s="1"/>
  <c r="CC647" i="1" s="1"/>
  <c r="BK654" i="1"/>
  <c r="CD654" i="1"/>
  <c r="BX654" i="1"/>
  <c r="CE652" i="1"/>
  <c r="CE653" i="1"/>
  <c r="BV647" i="1" l="1"/>
  <c r="BM647" i="1"/>
  <c r="BO647" i="1" s="1"/>
  <c r="CE654" i="1"/>
  <c r="BN647" i="1" l="1"/>
  <c r="BP647" i="1"/>
  <c r="BR647" i="1" l="1"/>
  <c r="AQ648" i="1" s="1"/>
  <c r="BC648" i="1" s="1"/>
  <c r="BU648" i="1" s="1"/>
  <c r="CB648" i="1" s="1"/>
  <c r="CC648" i="1" s="1"/>
  <c r="BM648" i="1" l="1"/>
  <c r="BN648" i="1" s="1"/>
  <c r="BV648" i="1"/>
  <c r="BY647" i="1"/>
  <c r="BO648" i="1" l="1"/>
  <c r="BP648" i="1"/>
  <c r="BR648" i="1" l="1"/>
  <c r="AQ649" i="1" s="1"/>
  <c r="BY648" i="1"/>
  <c r="BC649" i="1"/>
  <c r="BU649" i="1" s="1"/>
  <c r="BM649" i="1" l="1"/>
  <c r="BV649" i="1"/>
  <c r="CB649" i="1"/>
  <c r="CC649" i="1" s="1"/>
  <c r="BN649" i="1" l="1"/>
  <c r="BP649" i="1"/>
  <c r="BO649" i="1"/>
  <c r="BR649" i="1" l="1"/>
  <c r="BY649" i="1" s="1"/>
  <c r="AQ650" i="1" l="1"/>
  <c r="BC650" i="1" s="1"/>
  <c r="BU650" i="1" s="1"/>
  <c r="BM650" i="1" l="1"/>
  <c r="BO650" i="1" s="1"/>
  <c r="CB650" i="1"/>
  <c r="CC650" i="1" s="1"/>
  <c r="BV650" i="1"/>
  <c r="BN650" i="1" l="1"/>
  <c r="BP650" i="1"/>
  <c r="BR650" i="1" l="1"/>
  <c r="BY650" i="1" s="1"/>
  <c r="AQ651" i="1" l="1"/>
  <c r="BC651" i="1" s="1"/>
  <c r="BU651" i="1" s="1"/>
  <c r="CB651" i="1" s="1"/>
  <c r="CC651" i="1" s="1"/>
  <c r="BV651" i="1" l="1"/>
  <c r="BM651" i="1"/>
  <c r="BO651" i="1" s="1"/>
  <c r="BN651" i="1" l="1"/>
  <c r="BP651" i="1"/>
  <c r="BR651" i="1" l="1"/>
  <c r="AQ652" i="1" s="1"/>
  <c r="BC652" i="1" s="1"/>
  <c r="BU652" i="1" s="1"/>
  <c r="BY651" i="1" l="1"/>
  <c r="BM652" i="1"/>
  <c r="BP652" i="1" s="1"/>
  <c r="CB652" i="1"/>
  <c r="CC652" i="1" s="1"/>
  <c r="BV652" i="1"/>
  <c r="BN652" i="1" l="1"/>
  <c r="BO652" i="1"/>
  <c r="BR652" i="1" l="1"/>
  <c r="BY652" i="1" s="1"/>
  <c r="AQ653" i="1" l="1"/>
  <c r="BC653" i="1" s="1"/>
  <c r="BU653" i="1" s="1"/>
  <c r="CB653" i="1" s="1"/>
  <c r="CC653" i="1" s="1"/>
  <c r="BV653" i="1" l="1"/>
  <c r="BM653" i="1"/>
  <c r="BP653" i="1" s="1"/>
  <c r="BO653" i="1" l="1"/>
  <c r="BN653" i="1"/>
  <c r="BR653" i="1" l="1"/>
  <c r="BY653" i="1" s="1"/>
  <c r="AQ654" i="1" l="1"/>
  <c r="BC654" i="1" s="1"/>
  <c r="BU654" i="1" s="1"/>
  <c r="CB654" i="1" s="1"/>
  <c r="CC654" i="1" s="1"/>
  <c r="BV654" i="1" l="1"/>
  <c r="BM654" i="1"/>
  <c r="BN654" i="1" s="1"/>
  <c r="BO654" i="1" l="1"/>
  <c r="BP654" i="1"/>
  <c r="BR654" i="1" l="1"/>
  <c r="BY654" i="1" s="1"/>
  <c r="AQ655" i="1" l="1"/>
  <c r="BC655" i="1" s="1"/>
  <c r="BU655" i="1" s="1"/>
  <c r="CH655" i="1"/>
  <c r="CH656" i="1" s="1"/>
  <c r="CH657" i="1" s="1"/>
  <c r="CH658" i="1" s="1"/>
  <c r="CH659" i="1" s="1"/>
  <c r="CH660" i="1" s="1"/>
  <c r="BJ655" i="1"/>
  <c r="BL655" i="1" s="1"/>
  <c r="BH655" i="1"/>
  <c r="BH656" i="1" s="1"/>
  <c r="BV655" i="1" l="1"/>
  <c r="L108" i="1" s="1"/>
  <c r="CB655" i="1"/>
  <c r="CC655" i="1" s="1"/>
  <c r="M108" i="1" s="1"/>
  <c r="BJ656" i="1"/>
  <c r="BL656" i="1" s="1"/>
  <c r="BW656" i="1" s="1"/>
  <c r="CD656" i="1" s="1"/>
  <c r="BK655" i="1"/>
  <c r="BI655" i="1"/>
  <c r="BW655" i="1"/>
  <c r="BM655" i="1"/>
  <c r="BH657" i="1"/>
  <c r="BI656" i="1"/>
  <c r="AH305" i="3" l="1"/>
  <c r="Z305" i="3"/>
  <c r="BJ657" i="1"/>
  <c r="BL657" i="1" s="1"/>
  <c r="BW657" i="1" s="1"/>
  <c r="CD657" i="1" s="1"/>
  <c r="BK656" i="1"/>
  <c r="BP655" i="1"/>
  <c r="BN655" i="1"/>
  <c r="BO655" i="1"/>
  <c r="BI657" i="1"/>
  <c r="BH658" i="1"/>
  <c r="CD655" i="1"/>
  <c r="BX655" i="1"/>
  <c r="N108" i="1" s="1"/>
  <c r="BX656" i="1"/>
  <c r="BJ658" i="1" l="1"/>
  <c r="BK658" i="1" s="1"/>
  <c r="CE657" i="1"/>
  <c r="BK657" i="1"/>
  <c r="BR655" i="1"/>
  <c r="BY655" i="1" s="1"/>
  <c r="Q108" i="1" s="1"/>
  <c r="BX657" i="1"/>
  <c r="AF107" i="1"/>
  <c r="AI107" i="1" s="1"/>
  <c r="AP305" i="3"/>
  <c r="CE655" i="1"/>
  <c r="O108" i="1" s="1"/>
  <c r="CE656" i="1"/>
  <c r="BH659" i="1"/>
  <c r="BI658" i="1"/>
  <c r="BJ659" i="1"/>
  <c r="BL658" i="1" l="1"/>
  <c r="BW658" i="1" s="1"/>
  <c r="AQ656" i="1"/>
  <c r="P108" i="1"/>
  <c r="BN305" i="3"/>
  <c r="AX305" i="3"/>
  <c r="BX658" i="1"/>
  <c r="CD658" i="1"/>
  <c r="BL659" i="1"/>
  <c r="BW659" i="1" s="1"/>
  <c r="CD659" i="1" s="1"/>
  <c r="BK659" i="1"/>
  <c r="BJ660" i="1"/>
  <c r="BC656" i="1"/>
  <c r="BU656" i="1" s="1"/>
  <c r="BI659" i="1"/>
  <c r="BH660" i="1"/>
  <c r="BI660" i="1" s="1"/>
  <c r="BF305" i="3" l="1"/>
  <c r="BM656" i="1"/>
  <c r="BN656" i="1" s="1"/>
  <c r="BL660" i="1"/>
  <c r="BW660" i="1" s="1"/>
  <c r="BK660" i="1"/>
  <c r="CB656" i="1"/>
  <c r="CC656" i="1" s="1"/>
  <c r="BV656" i="1"/>
  <c r="BX659" i="1"/>
  <c r="CE658" i="1"/>
  <c r="CE659" i="1"/>
  <c r="CH661" i="1"/>
  <c r="CH662" i="1" s="1"/>
  <c r="CH663" i="1" s="1"/>
  <c r="BH661" i="1"/>
  <c r="BI661" i="1" s="1"/>
  <c r="BO656" i="1" l="1"/>
  <c r="BP656" i="1"/>
  <c r="BX660" i="1"/>
  <c r="CD660" i="1"/>
  <c r="CE660" i="1" s="1"/>
  <c r="BH662" i="1"/>
  <c r="BI662" i="1" s="1"/>
  <c r="BJ661" i="1"/>
  <c r="BR656" i="1" l="1"/>
  <c r="BY656" i="1" s="1"/>
  <c r="BH663" i="1"/>
  <c r="BI663" i="1" s="1"/>
  <c r="BL661" i="1"/>
  <c r="BK661" i="1"/>
  <c r="BJ662" i="1"/>
  <c r="AQ657" i="1" l="1"/>
  <c r="BC657" i="1" s="1"/>
  <c r="BU657" i="1" s="1"/>
  <c r="CB657" i="1" s="1"/>
  <c r="CC657" i="1" s="1"/>
  <c r="BL662" i="1"/>
  <c r="BW662" i="1" s="1"/>
  <c r="CD662" i="1" s="1"/>
  <c r="BJ663" i="1"/>
  <c r="BK662" i="1"/>
  <c r="BW661" i="1"/>
  <c r="BV657" i="1" l="1"/>
  <c r="BM657" i="1"/>
  <c r="BO657" i="1" s="1"/>
  <c r="BL663" i="1"/>
  <c r="BW663" i="1" s="1"/>
  <c r="BK663" i="1"/>
  <c r="BX661" i="1"/>
  <c r="CD661" i="1"/>
  <c r="BX662" i="1"/>
  <c r="BN657" i="1" l="1"/>
  <c r="BP657" i="1"/>
  <c r="CE662" i="1"/>
  <c r="CE661" i="1"/>
  <c r="BX663" i="1"/>
  <c r="CD663" i="1"/>
  <c r="CE663" i="1" s="1"/>
  <c r="BR657" i="1" l="1"/>
  <c r="AQ658" i="1" s="1"/>
  <c r="BC658" i="1" s="1"/>
  <c r="BU658" i="1" s="1"/>
  <c r="CB658" i="1" s="1"/>
  <c r="CC658" i="1" s="1"/>
  <c r="BV658" i="1" l="1"/>
  <c r="BM658" i="1"/>
  <c r="BP658" i="1" s="1"/>
  <c r="BY657" i="1"/>
  <c r="CH664" i="1"/>
  <c r="CH665" i="1" s="1"/>
  <c r="CH666" i="1" s="1"/>
  <c r="BH664" i="1"/>
  <c r="BJ664" i="1"/>
  <c r="BN658" i="1" l="1"/>
  <c r="BO658" i="1"/>
  <c r="BI664" i="1"/>
  <c r="BH665" i="1"/>
  <c r="BK664" i="1"/>
  <c r="BL664" i="1"/>
  <c r="BJ665" i="1"/>
  <c r="BR658" i="1" l="1"/>
  <c r="BY658" i="1" s="1"/>
  <c r="BH666" i="1"/>
  <c r="BI665" i="1"/>
  <c r="BL665" i="1"/>
  <c r="BW665" i="1" s="1"/>
  <c r="BJ666" i="1"/>
  <c r="BK665" i="1"/>
  <c r="BW664" i="1"/>
  <c r="AQ659" i="1" l="1"/>
  <c r="BC659" i="1" s="1"/>
  <c r="BU659" i="1" s="1"/>
  <c r="BM659" i="1"/>
  <c r="CB659" i="1"/>
  <c r="CC659" i="1" s="1"/>
  <c r="BV659" i="1"/>
  <c r="CD664" i="1"/>
  <c r="BX664" i="1"/>
  <c r="CD665" i="1"/>
  <c r="BX665" i="1"/>
  <c r="BI666" i="1"/>
  <c r="BK666" i="1"/>
  <c r="BL666" i="1"/>
  <c r="BW666" i="1" s="1"/>
  <c r="BN659" i="1" l="1"/>
  <c r="BO659" i="1"/>
  <c r="BP659" i="1"/>
  <c r="CE665" i="1"/>
  <c r="CD666" i="1"/>
  <c r="CE666" i="1" s="1"/>
  <c r="BX666" i="1"/>
  <c r="CE664" i="1"/>
  <c r="BR659" i="1" l="1"/>
  <c r="BY659" i="1" s="1"/>
  <c r="AQ660" i="1" l="1"/>
  <c r="BC660" i="1" s="1"/>
  <c r="BU660" i="1" s="1"/>
  <c r="BM660" i="1" l="1"/>
  <c r="CB660" i="1"/>
  <c r="CC660" i="1" s="1"/>
  <c r="BV660" i="1"/>
  <c r="BN660" i="1" l="1"/>
  <c r="BO660" i="1"/>
  <c r="BP660" i="1"/>
  <c r="BR660" i="1" l="1"/>
  <c r="BY660" i="1" s="1"/>
  <c r="AQ661" i="1" l="1"/>
  <c r="BC661" i="1" s="1"/>
  <c r="BU661" i="1" s="1"/>
  <c r="BM661" i="1" l="1"/>
  <c r="BO661" i="1" s="1"/>
  <c r="CB661" i="1"/>
  <c r="CC661" i="1" s="1"/>
  <c r="BV661" i="1"/>
  <c r="BP661" i="1" l="1"/>
  <c r="BN661" i="1"/>
  <c r="BR661" i="1" l="1"/>
  <c r="BY661" i="1" s="1"/>
  <c r="AQ662" i="1" l="1"/>
  <c r="BC662" i="1" s="1"/>
  <c r="BU662" i="1" s="1"/>
  <c r="CB662" i="1" s="1"/>
  <c r="CC662" i="1" s="1"/>
  <c r="BV662" i="1" l="1"/>
  <c r="BM662" i="1"/>
  <c r="BO662" i="1" s="1"/>
  <c r="BP662" i="1" l="1"/>
  <c r="BN662" i="1"/>
  <c r="BR662" i="1" l="1"/>
  <c r="AQ663" i="1" s="1"/>
  <c r="BC663" i="1" s="1"/>
  <c r="BU663" i="1" s="1"/>
  <c r="BY662" i="1" l="1"/>
  <c r="BM663" i="1"/>
  <c r="CB663" i="1"/>
  <c r="CC663" i="1" s="1"/>
  <c r="BV663" i="1"/>
  <c r="BP663" i="1" l="1"/>
  <c r="BO663" i="1"/>
  <c r="BN663" i="1"/>
  <c r="BR663" i="1" l="1"/>
  <c r="BY663" i="1" s="1"/>
  <c r="AQ664" i="1" l="1"/>
  <c r="BC664" i="1" s="1"/>
  <c r="BU664" i="1" s="1"/>
  <c r="BM664" i="1" l="1"/>
  <c r="CB664" i="1"/>
  <c r="CC664" i="1" s="1"/>
  <c r="BV664" i="1"/>
  <c r="BP664" i="1" l="1"/>
  <c r="BO664" i="1"/>
  <c r="BN664" i="1"/>
  <c r="BR664" i="1" l="1"/>
  <c r="BY664" i="1" s="1"/>
  <c r="AQ665" i="1" l="1"/>
  <c r="BC665" i="1" s="1"/>
  <c r="BU665" i="1" s="1"/>
  <c r="BM665" i="1" l="1"/>
  <c r="BP665" i="1" s="1"/>
  <c r="BV665" i="1"/>
  <c r="CB665" i="1"/>
  <c r="CC665" i="1" s="1"/>
  <c r="BN665" i="1" l="1"/>
  <c r="BO665" i="1"/>
  <c r="BR665" i="1" l="1"/>
  <c r="BY665" i="1" l="1"/>
  <c r="AQ666" i="1"/>
  <c r="BC666" i="1" l="1"/>
  <c r="BU666" i="1" s="1"/>
  <c r="BM666" i="1" l="1"/>
  <c r="BO666" i="1" s="1"/>
  <c r="BV666" i="1"/>
  <c r="CB666" i="1"/>
  <c r="CC666" i="1" s="1"/>
  <c r="BP666" i="1" l="1"/>
  <c r="BN666" i="1"/>
  <c r="BR666" i="1" l="1"/>
  <c r="AQ667" i="1" s="1"/>
  <c r="BC667" i="1" s="1"/>
  <c r="BU667" i="1" s="1"/>
  <c r="BY666" i="1" l="1"/>
  <c r="CB667" i="1"/>
  <c r="CC667" i="1" s="1"/>
  <c r="M109" i="1" s="1"/>
  <c r="BV667" i="1"/>
  <c r="L109" i="1" s="1"/>
  <c r="BH667" i="1"/>
  <c r="CH667" i="1"/>
  <c r="CH668" i="1" s="1"/>
  <c r="CH669" i="1" s="1"/>
  <c r="CH670" i="1" s="1"/>
  <c r="CH671" i="1" s="1"/>
  <c r="CH672" i="1" s="1"/>
  <c r="BJ667" i="1"/>
  <c r="AH306" i="3" l="1"/>
  <c r="Z306" i="3"/>
  <c r="BL667" i="1"/>
  <c r="BJ668" i="1"/>
  <c r="BK667" i="1"/>
  <c r="BH668" i="1"/>
  <c r="BI667" i="1"/>
  <c r="BW667" i="1" l="1"/>
  <c r="BM667" i="1"/>
  <c r="BI668" i="1"/>
  <c r="BH669" i="1"/>
  <c r="BK668" i="1"/>
  <c r="BJ669" i="1"/>
  <c r="BL668" i="1"/>
  <c r="BW668" i="1" s="1"/>
  <c r="CD668" i="1" s="1"/>
  <c r="BL669" i="1" l="1"/>
  <c r="BW669" i="1" s="1"/>
  <c r="BX669" i="1" s="1"/>
  <c r="BK669" i="1"/>
  <c r="BJ670" i="1"/>
  <c r="BH670" i="1"/>
  <c r="BI669" i="1"/>
  <c r="CD667" i="1"/>
  <c r="BX668" i="1"/>
  <c r="BX667" i="1"/>
  <c r="N109" i="1" s="1"/>
  <c r="BN667" i="1"/>
  <c r="BO667" i="1"/>
  <c r="BP667" i="1"/>
  <c r="BR667" i="1" l="1"/>
  <c r="AQ668" i="1" s="1"/>
  <c r="CD669" i="1"/>
  <c r="AF108" i="1"/>
  <c r="AI108" i="1" s="1"/>
  <c r="AP306" i="3"/>
  <c r="CE667" i="1"/>
  <c r="O109" i="1" s="1"/>
  <c r="CE668" i="1"/>
  <c r="BL670" i="1"/>
  <c r="BW670" i="1" s="1"/>
  <c r="CD670" i="1" s="1"/>
  <c r="BK670" i="1"/>
  <c r="BJ671" i="1"/>
  <c r="BI670" i="1"/>
  <c r="BH671" i="1"/>
  <c r="P109" i="1" l="1"/>
  <c r="BF306" i="3" s="1"/>
  <c r="BY667" i="1"/>
  <c r="Q109" i="1" s="1"/>
  <c r="AX306" i="3"/>
  <c r="BC668" i="1"/>
  <c r="BU668" i="1" s="1"/>
  <c r="BH672" i="1"/>
  <c r="BI672" i="1" s="1"/>
  <c r="BI671" i="1"/>
  <c r="CE670" i="1"/>
  <c r="CE669" i="1"/>
  <c r="BK671" i="1"/>
  <c r="BJ672" i="1"/>
  <c r="BL671" i="1"/>
  <c r="BW671" i="1" s="1"/>
  <c r="BX670" i="1"/>
  <c r="BN306" i="3" l="1"/>
  <c r="CD671" i="1"/>
  <c r="CE671" i="1" s="1"/>
  <c r="BX671" i="1"/>
  <c r="BL672" i="1"/>
  <c r="BW672" i="1" s="1"/>
  <c r="BK672" i="1"/>
  <c r="BM668" i="1"/>
  <c r="CB668" i="1"/>
  <c r="CC668" i="1" s="1"/>
  <c r="BV668" i="1"/>
  <c r="CH673" i="1"/>
  <c r="CH674" i="1" s="1"/>
  <c r="CH675" i="1" s="1"/>
  <c r="BH673" i="1"/>
  <c r="BH674" i="1" s="1"/>
  <c r="BJ673" i="1"/>
  <c r="BL673" i="1" s="1"/>
  <c r="CD672" i="1" l="1"/>
  <c r="CE672" i="1" s="1"/>
  <c r="BX672" i="1"/>
  <c r="BP668" i="1"/>
  <c r="BO668" i="1"/>
  <c r="BN668" i="1"/>
  <c r="BJ674" i="1"/>
  <c r="BL674" i="1" s="1"/>
  <c r="BW674" i="1" s="1"/>
  <c r="CD674" i="1" s="1"/>
  <c r="BI673" i="1"/>
  <c r="BK673" i="1"/>
  <c r="BI674" i="1"/>
  <c r="BH675" i="1"/>
  <c r="BI675" i="1" s="1"/>
  <c r="BW673" i="1"/>
  <c r="BR668" i="1" l="1"/>
  <c r="AQ669" i="1" s="1"/>
  <c r="BJ675" i="1"/>
  <c r="BL675" i="1" s="1"/>
  <c r="BW675" i="1" s="1"/>
  <c r="CD675" i="1" s="1"/>
  <c r="BK674" i="1"/>
  <c r="BX673" i="1"/>
  <c r="CD673" i="1"/>
  <c r="BX674" i="1"/>
  <c r="BY668" i="1" l="1"/>
  <c r="BC669" i="1"/>
  <c r="BU669" i="1" s="1"/>
  <c r="BK675" i="1"/>
  <c r="CE673" i="1"/>
  <c r="CE674" i="1"/>
  <c r="CE675" i="1"/>
  <c r="BX675" i="1"/>
  <c r="CB669" i="1" l="1"/>
  <c r="CC669" i="1" s="1"/>
  <c r="BV669" i="1"/>
  <c r="BM669" i="1"/>
  <c r="BO669" i="1" l="1"/>
  <c r="BN669" i="1"/>
  <c r="BP669" i="1"/>
  <c r="CH676" i="1"/>
  <c r="CH677" i="1" s="1"/>
  <c r="CH678" i="1" s="1"/>
  <c r="BJ676" i="1"/>
  <c r="BH676" i="1"/>
  <c r="BR669" i="1" l="1"/>
  <c r="BI676" i="1"/>
  <c r="BH677" i="1"/>
  <c r="BJ677" i="1"/>
  <c r="BL676" i="1"/>
  <c r="BK676" i="1"/>
  <c r="BY669" i="1" l="1"/>
  <c r="AQ670" i="1"/>
  <c r="BW676" i="1"/>
  <c r="BJ678" i="1"/>
  <c r="BK677" i="1"/>
  <c r="BL677" i="1"/>
  <c r="BW677" i="1" s="1"/>
  <c r="BH678" i="1"/>
  <c r="BI677" i="1"/>
  <c r="BC670" i="1" l="1"/>
  <c r="BU670" i="1" s="1"/>
  <c r="BI678" i="1"/>
  <c r="CD677" i="1"/>
  <c r="BX677" i="1"/>
  <c r="BL678" i="1"/>
  <c r="BW678" i="1" s="1"/>
  <c r="BK678" i="1"/>
  <c r="CD676" i="1"/>
  <c r="BX676" i="1"/>
  <c r="BM670" i="1" l="1"/>
  <c r="BO670" i="1" s="1"/>
  <c r="CB670" i="1"/>
  <c r="BV670" i="1"/>
  <c r="CE676" i="1"/>
  <c r="CD678" i="1"/>
  <c r="BX678" i="1"/>
  <c r="CE677" i="1"/>
  <c r="BP670" i="1" l="1"/>
  <c r="BN670" i="1"/>
  <c r="CC670" i="1"/>
  <c r="CE678" i="1"/>
  <c r="BR670" i="1" l="1"/>
  <c r="BY670" i="1" s="1"/>
  <c r="AQ671" i="1" l="1"/>
  <c r="BC671" i="1" s="1"/>
  <c r="BU671" i="1" s="1"/>
  <c r="CB671" i="1" s="1"/>
  <c r="CC671" i="1" s="1"/>
  <c r="BV671" i="1" l="1"/>
  <c r="BM671" i="1"/>
  <c r="BN671" i="1" s="1"/>
  <c r="BO671" i="1" l="1"/>
  <c r="BP671" i="1"/>
  <c r="BR671" i="1" s="1"/>
  <c r="BY671" i="1" s="1"/>
  <c r="AQ672" i="1" l="1"/>
  <c r="BC672" i="1" s="1"/>
  <c r="BU672" i="1" s="1"/>
  <c r="CB672" i="1" s="1"/>
  <c r="CC672" i="1" s="1"/>
  <c r="BV672" i="1" l="1"/>
  <c r="BM672" i="1"/>
  <c r="BO672" i="1" s="1"/>
  <c r="BP672" i="1" l="1"/>
  <c r="BN672" i="1"/>
  <c r="BR672" i="1" l="1"/>
  <c r="BY672" i="1" s="1"/>
  <c r="AQ673" i="1" l="1"/>
  <c r="BC673" i="1" s="1"/>
  <c r="BU673" i="1" s="1"/>
  <c r="CB673" i="1" s="1"/>
  <c r="CC673" i="1" s="1"/>
  <c r="BV673" i="1" l="1"/>
  <c r="BM673" i="1"/>
  <c r="BO673" i="1" s="1"/>
  <c r="BN673" i="1" l="1"/>
  <c r="BP673" i="1"/>
  <c r="BR673" i="1" l="1"/>
  <c r="AQ674" i="1" s="1"/>
  <c r="BC674" i="1" s="1"/>
  <c r="BU674" i="1" s="1"/>
  <c r="CB674" i="1" s="1"/>
  <c r="CC674" i="1" s="1"/>
  <c r="BV674" i="1" l="1"/>
  <c r="BM674" i="1"/>
  <c r="BO674" i="1" s="1"/>
  <c r="BY673" i="1"/>
  <c r="BP674" i="1" l="1"/>
  <c r="BN674" i="1"/>
  <c r="BR674" i="1" s="1"/>
  <c r="AQ675" i="1" s="1"/>
  <c r="BC675" i="1" s="1"/>
  <c r="BU675" i="1" s="1"/>
  <c r="BY674" i="1" l="1"/>
  <c r="BM675" i="1"/>
  <c r="BP675" i="1" s="1"/>
  <c r="CB675" i="1"/>
  <c r="CC675" i="1" s="1"/>
  <c r="BV675" i="1"/>
  <c r="BO675" i="1" l="1"/>
  <c r="BN675" i="1"/>
  <c r="BR675" i="1" l="1"/>
  <c r="BY675" i="1" s="1"/>
  <c r="AQ676" i="1" l="1"/>
  <c r="BC676" i="1" s="1"/>
  <c r="BU676" i="1" s="1"/>
  <c r="CB676" i="1" s="1"/>
  <c r="CC676" i="1" s="1"/>
  <c r="BV676" i="1" l="1"/>
  <c r="BM676" i="1"/>
  <c r="BO676" i="1" l="1"/>
  <c r="BN676" i="1"/>
  <c r="BP676" i="1"/>
  <c r="BR676" i="1" l="1"/>
  <c r="BY676" i="1" s="1"/>
  <c r="AQ677" i="1" l="1"/>
  <c r="BC677" i="1" s="1"/>
  <c r="BU677" i="1" s="1"/>
  <c r="CB677" i="1" s="1"/>
  <c r="CC677" i="1" s="1"/>
  <c r="BV677" i="1" l="1"/>
  <c r="BM677" i="1"/>
  <c r="BO677" i="1" s="1"/>
  <c r="BP677" i="1" l="1"/>
  <c r="BN677" i="1"/>
  <c r="BR677" i="1" l="1"/>
  <c r="BY677" i="1" s="1"/>
  <c r="AQ678" i="1" l="1"/>
  <c r="BC678" i="1" s="1"/>
  <c r="BU678" i="1" s="1"/>
  <c r="CB678" i="1" s="1"/>
  <c r="CC678" i="1" s="1"/>
  <c r="BM678" i="1" l="1"/>
  <c r="BP678" i="1" s="1"/>
  <c r="BV678" i="1"/>
  <c r="BO678" i="1" l="1"/>
  <c r="BN678" i="1"/>
  <c r="BR678" i="1" l="1"/>
  <c r="BY678" i="1" s="1"/>
  <c r="AQ679" i="1"/>
  <c r="BC679" i="1"/>
  <c r="BU679" i="1" s="1"/>
  <c r="BJ679" i="1"/>
  <c r="CH679" i="1" l="1"/>
  <c r="CH680" i="1" s="1"/>
  <c r="CH681" i="1" s="1"/>
  <c r="CH682" i="1" s="1"/>
  <c r="CH683" i="1" s="1"/>
  <c r="CH684" i="1" s="1"/>
  <c r="BH679" i="1"/>
  <c r="BI679" i="1" s="1"/>
  <c r="BL679" i="1"/>
  <c r="BK679" i="1"/>
  <c r="BJ680" i="1"/>
  <c r="BV679" i="1"/>
  <c r="L110" i="1" s="1"/>
  <c r="CB679" i="1"/>
  <c r="CC679" i="1" s="1"/>
  <c r="M110" i="1" s="1"/>
  <c r="BH680" i="1" l="1"/>
  <c r="BI680" i="1" s="1"/>
  <c r="AH307" i="3"/>
  <c r="Z307" i="3"/>
  <c r="BW679" i="1"/>
  <c r="BM679" i="1"/>
  <c r="BK680" i="1"/>
  <c r="BL680" i="1"/>
  <c r="BW680" i="1" s="1"/>
  <c r="CD680" i="1" s="1"/>
  <c r="BJ681" i="1"/>
  <c r="BH681" i="1" l="1"/>
  <c r="BH682" i="1" s="1"/>
  <c r="BN679" i="1"/>
  <c r="BO679" i="1"/>
  <c r="BP679" i="1"/>
  <c r="BJ682" i="1"/>
  <c r="BL681" i="1"/>
  <c r="BW681" i="1" s="1"/>
  <c r="CD681" i="1" s="1"/>
  <c r="BK681" i="1"/>
  <c r="CD679" i="1"/>
  <c r="BX680" i="1"/>
  <c r="BX679" i="1"/>
  <c r="N110" i="1" s="1"/>
  <c r="CH685" i="1"/>
  <c r="CH686" i="1" s="1"/>
  <c r="CH687" i="1" s="1"/>
  <c r="BI681" i="1" l="1"/>
  <c r="BR679" i="1"/>
  <c r="AP307" i="3"/>
  <c r="AF109" i="1"/>
  <c r="AI109" i="1" s="1"/>
  <c r="BX681" i="1"/>
  <c r="BK682" i="1"/>
  <c r="BJ683" i="1"/>
  <c r="BL682" i="1"/>
  <c r="BW682" i="1" s="1"/>
  <c r="CD682" i="1" s="1"/>
  <c r="CE682" i="1" s="1"/>
  <c r="CE680" i="1"/>
  <c r="CE681" i="1"/>
  <c r="CE679" i="1"/>
  <c r="O110" i="1" s="1"/>
  <c r="BI682" i="1"/>
  <c r="BH683" i="1"/>
  <c r="AX307" i="3" l="1"/>
  <c r="BL683" i="1"/>
  <c r="BW683" i="1" s="1"/>
  <c r="CD683" i="1" s="1"/>
  <c r="CE683" i="1" s="1"/>
  <c r="BK683" i="1"/>
  <c r="BJ684" i="1"/>
  <c r="BH684" i="1"/>
  <c r="BI683" i="1"/>
  <c r="AQ680" i="1"/>
  <c r="BC680" i="1" s="1"/>
  <c r="BU680" i="1" s="1"/>
  <c r="BV680" i="1" s="1"/>
  <c r="BY679" i="1"/>
  <c r="Q110" i="1" s="1"/>
  <c r="P110" i="1"/>
  <c r="BX682" i="1"/>
  <c r="BF307" i="3" l="1"/>
  <c r="BN307" i="3"/>
  <c r="BX683" i="1"/>
  <c r="BI684" i="1"/>
  <c r="BH685" i="1"/>
  <c r="CB680" i="1"/>
  <c r="CC680" i="1" s="1"/>
  <c r="BJ685" i="1"/>
  <c r="BK684" i="1"/>
  <c r="BL684" i="1"/>
  <c r="BW684" i="1" s="1"/>
  <c r="BM680" i="1"/>
  <c r="BP680" i="1" s="1"/>
  <c r="BO680" i="1" l="1"/>
  <c r="CD684" i="1"/>
  <c r="CE684" i="1" s="1"/>
  <c r="BX684" i="1"/>
  <c r="BJ686" i="1"/>
  <c r="BL685" i="1"/>
  <c r="BW685" i="1" s="1"/>
  <c r="CD685" i="1" s="1"/>
  <c r="BK685" i="1"/>
  <c r="BH686" i="1"/>
  <c r="BI685" i="1"/>
  <c r="BN680" i="1"/>
  <c r="BR680" i="1" s="1"/>
  <c r="BY680" i="1" s="1"/>
  <c r="CE685" i="1" l="1"/>
  <c r="BI686" i="1"/>
  <c r="BH687" i="1"/>
  <c r="BI687" i="1" s="1"/>
  <c r="AQ681" i="1"/>
  <c r="BC681" i="1" s="1"/>
  <c r="BU681" i="1" s="1"/>
  <c r="BV681" i="1" s="1"/>
  <c r="BK686" i="1"/>
  <c r="BL686" i="1"/>
  <c r="BW686" i="1" s="1"/>
  <c r="BJ687" i="1"/>
  <c r="BX685" i="1"/>
  <c r="CB681" i="1" l="1"/>
  <c r="CC681" i="1" s="1"/>
  <c r="BK687" i="1"/>
  <c r="BL687" i="1"/>
  <c r="BW687" i="1" s="1"/>
  <c r="CD687" i="1" s="1"/>
  <c r="CD686" i="1"/>
  <c r="CE686" i="1" s="1"/>
  <c r="BX686" i="1"/>
  <c r="BM681" i="1"/>
  <c r="BP681" i="1" s="1"/>
  <c r="BX687" i="1" l="1"/>
  <c r="BO681" i="1"/>
  <c r="BN681" i="1"/>
  <c r="CE687" i="1"/>
  <c r="BR681" i="1" l="1"/>
  <c r="AQ682" i="1" s="1"/>
  <c r="BC682" i="1" s="1"/>
  <c r="BU682" i="1" s="1"/>
  <c r="BY681" i="1" l="1"/>
  <c r="BM682" i="1"/>
  <c r="BP682" i="1" s="1"/>
  <c r="CB682" i="1"/>
  <c r="CC682" i="1" s="1"/>
  <c r="BV682" i="1"/>
  <c r="CH688" i="1"/>
  <c r="CH689" i="1" s="1"/>
  <c r="CH690" i="1" s="1"/>
  <c r="BH688" i="1"/>
  <c r="BJ688" i="1"/>
  <c r="BN682" i="1" l="1"/>
  <c r="BO682" i="1"/>
  <c r="BI688" i="1"/>
  <c r="BH689" i="1"/>
  <c r="BK688" i="1"/>
  <c r="BJ689" i="1"/>
  <c r="BL688" i="1"/>
  <c r="BW688" i="1" s="1"/>
  <c r="BR682" i="1" l="1"/>
  <c r="AQ683" i="1" s="1"/>
  <c r="BC683" i="1" s="1"/>
  <c r="BU683" i="1" s="1"/>
  <c r="CD688" i="1"/>
  <c r="BX688" i="1"/>
  <c r="BI689" i="1"/>
  <c r="BH690" i="1"/>
  <c r="BK689" i="1"/>
  <c r="BJ690" i="1"/>
  <c r="BL689" i="1"/>
  <c r="BW689" i="1" s="1"/>
  <c r="BX689" i="1" s="1"/>
  <c r="BY682" i="1" l="1"/>
  <c r="BM683" i="1"/>
  <c r="BN683" i="1" s="1"/>
  <c r="CB683" i="1"/>
  <c r="CC683" i="1" s="1"/>
  <c r="BV683" i="1"/>
  <c r="CD689" i="1"/>
  <c r="BI690" i="1"/>
  <c r="BK690" i="1"/>
  <c r="BL690" i="1"/>
  <c r="BW690" i="1" s="1"/>
  <c r="BX690" i="1" s="1"/>
  <c r="CE688" i="1"/>
  <c r="BP683" i="1" l="1"/>
  <c r="BO683" i="1"/>
  <c r="CE689" i="1"/>
  <c r="CD690" i="1"/>
  <c r="CE690" i="1" s="1"/>
  <c r="BR683" i="1" l="1"/>
  <c r="BY683" i="1" s="1"/>
  <c r="AQ684" i="1" l="1"/>
  <c r="BC684" i="1" s="1"/>
  <c r="BU684" i="1" s="1"/>
  <c r="CB684" i="1" s="1"/>
  <c r="CC684" i="1" s="1"/>
  <c r="BV684" i="1" l="1"/>
  <c r="BM684" i="1"/>
  <c r="BP684" i="1" s="1"/>
  <c r="BO684" i="1" l="1"/>
  <c r="BN684" i="1"/>
  <c r="BR684" i="1" l="1"/>
  <c r="AQ685" i="1" s="1"/>
  <c r="BC685" i="1" s="1"/>
  <c r="BU685" i="1" s="1"/>
  <c r="BY684" i="1" l="1"/>
  <c r="BM685" i="1"/>
  <c r="BP685" i="1" s="1"/>
  <c r="CB685" i="1"/>
  <c r="CC685" i="1" s="1"/>
  <c r="BV685" i="1"/>
  <c r="BN685" i="1" l="1"/>
  <c r="BO685" i="1"/>
  <c r="BR685" i="1" l="1"/>
  <c r="BY685" i="1" l="1"/>
  <c r="AQ686" i="1"/>
  <c r="BC686" i="1" s="1"/>
  <c r="BU686" i="1" s="1"/>
  <c r="CB686" i="1" s="1"/>
  <c r="CC686" i="1" s="1"/>
  <c r="BV686" i="1" l="1"/>
  <c r="BM686" i="1"/>
  <c r="BN686" i="1" s="1"/>
  <c r="BP686" i="1" l="1"/>
  <c r="BO686" i="1"/>
  <c r="BR686" i="1" l="1"/>
  <c r="AQ687" i="1" s="1"/>
  <c r="BC687" i="1" s="1"/>
  <c r="BU687" i="1" s="1"/>
  <c r="BY686" i="1" l="1"/>
  <c r="BM687" i="1"/>
  <c r="BO687" i="1" s="1"/>
  <c r="BV687" i="1"/>
  <c r="CB687" i="1"/>
  <c r="CC687" i="1" s="1"/>
  <c r="BN687" i="1" l="1"/>
  <c r="BP687" i="1"/>
  <c r="BR687" i="1" l="1"/>
  <c r="BY687" i="1" s="1"/>
  <c r="AQ688" i="1" l="1"/>
  <c r="BC688" i="1" s="1"/>
  <c r="BU688" i="1" s="1"/>
  <c r="CB688" i="1" s="1"/>
  <c r="CC688" i="1" s="1"/>
  <c r="BV688" i="1" l="1"/>
  <c r="BM688" i="1"/>
  <c r="BN688" i="1" s="1"/>
  <c r="BP688" i="1" l="1"/>
  <c r="BO688" i="1"/>
  <c r="BR688" i="1" l="1"/>
  <c r="AQ689" i="1" s="1"/>
  <c r="BC689" i="1" s="1"/>
  <c r="BU689" i="1" s="1"/>
  <c r="BY688" i="1" l="1"/>
  <c r="BM689" i="1"/>
  <c r="BP689" i="1" s="1"/>
  <c r="BV689" i="1"/>
  <c r="CB689" i="1"/>
  <c r="CC689" i="1" s="1"/>
  <c r="BN689" i="1" l="1"/>
  <c r="BO689" i="1"/>
  <c r="BR689" i="1" l="1"/>
  <c r="AQ690" i="1" s="1"/>
  <c r="BC690" i="1" s="1"/>
  <c r="BU690" i="1" s="1"/>
  <c r="BY689" i="1" l="1"/>
  <c r="BM690" i="1"/>
  <c r="BP690" i="1" s="1"/>
  <c r="CB690" i="1"/>
  <c r="CC690" i="1" s="1"/>
  <c r="BV690" i="1"/>
  <c r="BN690" i="1" l="1"/>
  <c r="BO690" i="1"/>
  <c r="BR690" i="1" l="1"/>
  <c r="BY690" i="1" s="1"/>
  <c r="AQ691" i="1" l="1"/>
  <c r="BC691" i="1" s="1"/>
  <c r="CH691" i="1" l="1"/>
  <c r="CH692" i="1" s="1"/>
  <c r="CH693" i="1" s="1"/>
  <c r="CH694" i="1" s="1"/>
  <c r="CH695" i="1" s="1"/>
  <c r="CH696" i="1" s="1"/>
  <c r="BJ691" i="1"/>
  <c r="BL691" i="1" s="1"/>
  <c r="BW691" i="1" s="1"/>
  <c r="BH691" i="1"/>
  <c r="BI691" i="1" s="1"/>
  <c r="BU691" i="1"/>
  <c r="BH692" i="1" l="1"/>
  <c r="BI692" i="1" s="1"/>
  <c r="BJ692" i="1"/>
  <c r="BK692" i="1" s="1"/>
  <c r="BK691" i="1"/>
  <c r="BM691" i="1"/>
  <c r="BN691" i="1" s="1"/>
  <c r="CB691" i="1"/>
  <c r="CC691" i="1" s="1"/>
  <c r="M111" i="1" s="1"/>
  <c r="BV691" i="1"/>
  <c r="L111" i="1" s="1"/>
  <c r="BX691" i="1"/>
  <c r="N111" i="1" s="1"/>
  <c r="CD691" i="1"/>
  <c r="BH693" i="1" l="1"/>
  <c r="BI693" i="1" s="1"/>
  <c r="BL692" i="1"/>
  <c r="BW692" i="1" s="1"/>
  <c r="BX692" i="1" s="1"/>
  <c r="BJ693" i="1"/>
  <c r="BK693" i="1" s="1"/>
  <c r="BP691" i="1"/>
  <c r="BO691" i="1"/>
  <c r="Z308" i="3"/>
  <c r="AH308" i="3"/>
  <c r="BH694" i="1"/>
  <c r="AP308" i="3"/>
  <c r="AF110" i="1"/>
  <c r="AI110" i="1" s="1"/>
  <c r="CE691" i="1"/>
  <c r="O111" i="1" s="1"/>
  <c r="CD692" i="1" l="1"/>
  <c r="CE692" i="1" s="1"/>
  <c r="BJ694" i="1"/>
  <c r="BK694" i="1" s="1"/>
  <c r="BL693" i="1"/>
  <c r="BW693" i="1" s="1"/>
  <c r="BX693" i="1" s="1"/>
  <c r="BR691" i="1"/>
  <c r="BY691" i="1" s="1"/>
  <c r="Q111" i="1" s="1"/>
  <c r="AX308" i="3"/>
  <c r="BH695" i="1"/>
  <c r="BI694" i="1"/>
  <c r="BL694" i="1"/>
  <c r="BW694" i="1" s="1"/>
  <c r="CD694" i="1" s="1"/>
  <c r="BJ695" i="1" l="1"/>
  <c r="BJ696" i="1" s="1"/>
  <c r="P111" i="1"/>
  <c r="BF308" i="3" s="1"/>
  <c r="CD693" i="1"/>
  <c r="CE693" i="1" s="1"/>
  <c r="AQ692" i="1"/>
  <c r="BC692" i="1" s="1"/>
  <c r="BU692" i="1" s="1"/>
  <c r="CB692" i="1" s="1"/>
  <c r="CC692" i="1" s="1"/>
  <c r="BN308" i="3"/>
  <c r="BX694" i="1"/>
  <c r="BL695" i="1"/>
  <c r="BW695" i="1" s="1"/>
  <c r="BK695" i="1"/>
  <c r="BH696" i="1"/>
  <c r="BI696" i="1" s="1"/>
  <c r="BI695" i="1"/>
  <c r="CE694" i="1" l="1"/>
  <c r="BV692" i="1"/>
  <c r="BM692" i="1"/>
  <c r="BN692" i="1" s="1"/>
  <c r="BP692" i="1"/>
  <c r="BK696" i="1"/>
  <c r="BL696" i="1"/>
  <c r="BW696" i="1" s="1"/>
  <c r="CD696" i="1" s="1"/>
  <c r="CD695" i="1"/>
  <c r="BX695" i="1"/>
  <c r="BO692" i="1" l="1"/>
  <c r="BR692" i="1" s="1"/>
  <c r="BY692" i="1" s="1"/>
  <c r="BX696" i="1"/>
  <c r="AQ693" i="1"/>
  <c r="BC693" i="1" s="1"/>
  <c r="BU693" i="1" s="1"/>
  <c r="CE695" i="1"/>
  <c r="CE696" i="1"/>
  <c r="BJ697" i="1"/>
  <c r="CH697" i="1"/>
  <c r="CH698" i="1" s="1"/>
  <c r="CH699" i="1" s="1"/>
  <c r="CB693" i="1" l="1"/>
  <c r="CC693" i="1" s="1"/>
  <c r="BV693" i="1"/>
  <c r="BM693" i="1"/>
  <c r="BK697" i="1"/>
  <c r="BJ698" i="1"/>
  <c r="BL697" i="1"/>
  <c r="BN693" i="1" l="1"/>
  <c r="BO693" i="1"/>
  <c r="BP693" i="1"/>
  <c r="BW697" i="1"/>
  <c r="BK698" i="1"/>
  <c r="BJ699" i="1"/>
  <c r="BL698" i="1"/>
  <c r="BW698" i="1" s="1"/>
  <c r="CD698" i="1" s="1"/>
  <c r="BR693" i="1" l="1"/>
  <c r="AQ694" i="1" s="1"/>
  <c r="BC694" i="1" s="1"/>
  <c r="BU694" i="1" s="1"/>
  <c r="BV694" i="1" s="1"/>
  <c r="BL699" i="1"/>
  <c r="BW699" i="1" s="1"/>
  <c r="CD699" i="1" s="1"/>
  <c r="BK699" i="1"/>
  <c r="BX698" i="1"/>
  <c r="CD697" i="1"/>
  <c r="BX697" i="1"/>
  <c r="BY693" i="1" l="1"/>
  <c r="CB694" i="1"/>
  <c r="CC694" i="1" s="1"/>
  <c r="BM694" i="1"/>
  <c r="BP694" i="1" s="1"/>
  <c r="BX699" i="1"/>
  <c r="CE697" i="1"/>
  <c r="CE699" i="1"/>
  <c r="CE698" i="1"/>
  <c r="BN694" i="1" l="1"/>
  <c r="BO694" i="1"/>
  <c r="BR694" i="1" l="1"/>
  <c r="AQ695" i="1" s="1"/>
  <c r="BC695" i="1" s="1"/>
  <c r="BU695" i="1" s="1"/>
  <c r="BY694" i="1" l="1"/>
  <c r="BM695" i="1"/>
  <c r="BP695" i="1" s="1"/>
  <c r="CB695" i="1"/>
  <c r="CC695" i="1" s="1"/>
  <c r="BV695" i="1"/>
  <c r="CH700" i="1"/>
  <c r="CH701" i="1" s="1"/>
  <c r="CH702" i="1" s="1"/>
  <c r="BJ700" i="1"/>
  <c r="BO695" i="1" l="1"/>
  <c r="BN695" i="1"/>
  <c r="BK700" i="1"/>
  <c r="BJ701" i="1"/>
  <c r="BL700" i="1"/>
  <c r="BR695" i="1" l="1"/>
  <c r="BY695" i="1" s="1"/>
  <c r="BW700" i="1"/>
  <c r="BJ702" i="1"/>
  <c r="BK701" i="1"/>
  <c r="BL701" i="1"/>
  <c r="BW701" i="1" s="1"/>
  <c r="CD701" i="1" s="1"/>
  <c r="AQ696" i="1" l="1"/>
  <c r="BC696" i="1" s="1"/>
  <c r="BU696" i="1" s="1"/>
  <c r="BV696" i="1" s="1"/>
  <c r="BL702" i="1"/>
  <c r="BW702" i="1" s="1"/>
  <c r="CD702" i="1" s="1"/>
  <c r="BK702" i="1"/>
  <c r="CD700" i="1"/>
  <c r="BX700" i="1"/>
  <c r="BX701" i="1"/>
  <c r="CB696" i="1" l="1"/>
  <c r="CC696" i="1" s="1"/>
  <c r="BM696" i="1"/>
  <c r="BO696" i="1" s="1"/>
  <c r="BX702" i="1"/>
  <c r="CE701" i="1"/>
  <c r="CE700" i="1"/>
  <c r="CE702" i="1"/>
  <c r="BP696" i="1" l="1"/>
  <c r="BN696" i="1"/>
  <c r="BR696" i="1" l="1"/>
  <c r="BH697" i="1"/>
  <c r="BY696" i="1" l="1"/>
  <c r="AQ697" i="1"/>
  <c r="BC697" i="1" s="1"/>
  <c r="BH698" i="1"/>
  <c r="BI697" i="1"/>
  <c r="BM697" i="1" l="1"/>
  <c r="BU697" i="1"/>
  <c r="BH699" i="1"/>
  <c r="BI698" i="1"/>
  <c r="BV697" i="1" l="1"/>
  <c r="CB697" i="1"/>
  <c r="CC697" i="1" s="1"/>
  <c r="BP697" i="1"/>
  <c r="BN697" i="1"/>
  <c r="BO697" i="1"/>
  <c r="BI699" i="1"/>
  <c r="BH700" i="1"/>
  <c r="BR697" i="1" l="1"/>
  <c r="AQ698" i="1" s="1"/>
  <c r="BH701" i="1"/>
  <c r="BI700" i="1"/>
  <c r="BY697" i="1" l="1"/>
  <c r="BC698" i="1"/>
  <c r="BU698" i="1" s="1"/>
  <c r="BI701" i="1"/>
  <c r="BH702" i="1"/>
  <c r="BI702" i="1" s="1"/>
  <c r="CB698" i="1" l="1"/>
  <c r="CC698" i="1" s="1"/>
  <c r="BV698" i="1"/>
  <c r="BM698" i="1"/>
  <c r="BP698" i="1" l="1"/>
  <c r="BN698" i="1"/>
  <c r="BO698" i="1"/>
  <c r="BR698" i="1" l="1"/>
  <c r="AQ699" i="1" s="1"/>
  <c r="BY698" i="1" l="1"/>
  <c r="BC699" i="1"/>
  <c r="BU699" i="1" s="1"/>
  <c r="BM699" i="1" l="1"/>
  <c r="BV699" i="1"/>
  <c r="CB699" i="1"/>
  <c r="CC699" i="1" s="1"/>
  <c r="BN699" i="1" l="1"/>
  <c r="BP699" i="1"/>
  <c r="BO699" i="1"/>
  <c r="BR699" i="1" l="1"/>
  <c r="BY699" i="1" s="1"/>
  <c r="AQ700" i="1" l="1"/>
  <c r="BC700" i="1" s="1"/>
  <c r="BU700" i="1" s="1"/>
  <c r="BM700" i="1" l="1"/>
  <c r="BO700" i="1" s="1"/>
  <c r="BV700" i="1"/>
  <c r="CB700" i="1"/>
  <c r="CC700" i="1" s="1"/>
  <c r="BN700" i="1" l="1"/>
  <c r="BP700" i="1"/>
  <c r="BR700" i="1" l="1"/>
  <c r="AQ701" i="1" s="1"/>
  <c r="BC701" i="1" s="1"/>
  <c r="BU701" i="1" s="1"/>
  <c r="BY700" i="1" l="1"/>
  <c r="BM701" i="1"/>
  <c r="BN701" i="1" s="1"/>
  <c r="CB701" i="1"/>
  <c r="CC701" i="1" s="1"/>
  <c r="BV701" i="1"/>
  <c r="BO701" i="1" l="1"/>
  <c r="BP701" i="1"/>
  <c r="BR701" i="1" l="1"/>
  <c r="BY701" i="1" s="1"/>
  <c r="AQ702" i="1" l="1"/>
  <c r="BC702" i="1" l="1"/>
  <c r="BU702" i="1" s="1"/>
  <c r="BM702" i="1" l="1"/>
  <c r="BN702" i="1" s="1"/>
  <c r="CB702" i="1"/>
  <c r="CC702" i="1" s="1"/>
  <c r="BV702" i="1"/>
  <c r="BP702" i="1" l="1"/>
  <c r="BO702" i="1"/>
  <c r="BR702" i="1" s="1"/>
  <c r="AQ703" i="1" l="1"/>
  <c r="BY702" i="1"/>
  <c r="BC703" i="1" l="1"/>
  <c r="BU703" i="1" s="1"/>
  <c r="BH703" i="1"/>
  <c r="CH703" i="1"/>
  <c r="CH704" i="1" s="1"/>
  <c r="CH705" i="1" s="1"/>
  <c r="CH706" i="1" s="1"/>
  <c r="CH707" i="1" s="1"/>
  <c r="CH708" i="1" s="1"/>
  <c r="BJ703" i="1"/>
  <c r="BL703" i="1" l="1"/>
  <c r="BK703" i="1"/>
  <c r="BJ704" i="1"/>
  <c r="BH704" i="1"/>
  <c r="BI703" i="1"/>
  <c r="CB703" i="1"/>
  <c r="CC703" i="1" s="1"/>
  <c r="M112" i="1" s="1"/>
  <c r="BV703" i="1"/>
  <c r="L112" i="1" s="1"/>
  <c r="Z309" i="3" l="1"/>
  <c r="AH309" i="3"/>
  <c r="BK704" i="1"/>
  <c r="BJ705" i="1"/>
  <c r="BL704" i="1"/>
  <c r="BW704" i="1" s="1"/>
  <c r="CD704" i="1" s="1"/>
  <c r="BI704" i="1"/>
  <c r="BH705" i="1"/>
  <c r="BW703" i="1"/>
  <c r="BM703" i="1"/>
  <c r="BX703" i="1" l="1"/>
  <c r="N112" i="1" s="1"/>
  <c r="CD703" i="1"/>
  <c r="BX704" i="1"/>
  <c r="BH706" i="1"/>
  <c r="BI705" i="1"/>
  <c r="BK705" i="1"/>
  <c r="BJ706" i="1"/>
  <c r="BL705" i="1"/>
  <c r="BW705" i="1" s="1"/>
  <c r="CD705" i="1" s="1"/>
  <c r="BN703" i="1"/>
  <c r="BO703" i="1"/>
  <c r="BP703" i="1"/>
  <c r="CE705" i="1" l="1"/>
  <c r="BX705" i="1"/>
  <c r="BR703" i="1"/>
  <c r="BY703" i="1" s="1"/>
  <c r="Q112" i="1" s="1"/>
  <c r="BI706" i="1"/>
  <c r="BH707" i="1"/>
  <c r="BL706" i="1"/>
  <c r="BW706" i="1" s="1"/>
  <c r="BJ707" i="1"/>
  <c r="BK706" i="1"/>
  <c r="CE703" i="1"/>
  <c r="O112" i="1" s="1"/>
  <c r="CE704" i="1"/>
  <c r="AP309" i="3"/>
  <c r="AF111" i="1"/>
  <c r="AI111" i="1" s="1"/>
  <c r="P112" i="1" l="1"/>
  <c r="BF309" i="3" s="1"/>
  <c r="AQ704" i="1"/>
  <c r="BC704" i="1" s="1"/>
  <c r="BU704" i="1" s="1"/>
  <c r="BN309" i="3"/>
  <c r="AX309" i="3"/>
  <c r="BH708" i="1"/>
  <c r="BI708" i="1" s="1"/>
  <c r="BI707" i="1"/>
  <c r="BK707" i="1"/>
  <c r="BL707" i="1"/>
  <c r="BW707" i="1" s="1"/>
  <c r="CD707" i="1" s="1"/>
  <c r="BJ708" i="1"/>
  <c r="CD706" i="1"/>
  <c r="BX706" i="1"/>
  <c r="CH709" i="1"/>
  <c r="CH710" i="1" s="1"/>
  <c r="CH711" i="1" s="1"/>
  <c r="BH709" i="1" l="1"/>
  <c r="BI709" i="1" s="1"/>
  <c r="BM704" i="1"/>
  <c r="BP704" i="1" s="1"/>
  <c r="BX707" i="1"/>
  <c r="CE706" i="1"/>
  <c r="CE707" i="1"/>
  <c r="BL708" i="1"/>
  <c r="BW708" i="1" s="1"/>
  <c r="BK708" i="1"/>
  <c r="BJ709" i="1"/>
  <c r="BL709" i="1" s="1"/>
  <c r="CB704" i="1"/>
  <c r="CC704" i="1" s="1"/>
  <c r="BV704" i="1"/>
  <c r="BO704" i="1" l="1"/>
  <c r="BH710" i="1"/>
  <c r="BI710" i="1" s="1"/>
  <c r="BN704" i="1"/>
  <c r="BJ710" i="1"/>
  <c r="BK710" i="1" s="1"/>
  <c r="BK709" i="1"/>
  <c r="CD708" i="1"/>
  <c r="CE708" i="1" s="1"/>
  <c r="BX708" i="1"/>
  <c r="BW709" i="1"/>
  <c r="BR704" i="1" l="1"/>
  <c r="BY704" i="1" s="1"/>
  <c r="BH711" i="1"/>
  <c r="BI711" i="1" s="1"/>
  <c r="BJ711" i="1"/>
  <c r="BL711" i="1" s="1"/>
  <c r="BW711" i="1" s="1"/>
  <c r="CD711" i="1" s="1"/>
  <c r="AQ705" i="1"/>
  <c r="BC705" i="1" s="1"/>
  <c r="BU705" i="1" s="1"/>
  <c r="BL710" i="1"/>
  <c r="BW710" i="1" s="1"/>
  <c r="CD710" i="1" s="1"/>
  <c r="BX709" i="1"/>
  <c r="CD709" i="1"/>
  <c r="BX710" i="1" l="1"/>
  <c r="BK711" i="1"/>
  <c r="BM705" i="1"/>
  <c r="CB705" i="1"/>
  <c r="CC705" i="1" s="1"/>
  <c r="BV705" i="1"/>
  <c r="BX711" i="1"/>
  <c r="CE709" i="1"/>
  <c r="CE711" i="1"/>
  <c r="CE710" i="1"/>
  <c r="BP705" i="1" l="1"/>
  <c r="BO705" i="1"/>
  <c r="BN705" i="1"/>
  <c r="BH712" i="1"/>
  <c r="BJ712" i="1"/>
  <c r="BR705" i="1" l="1"/>
  <c r="BY705" i="1" s="1"/>
  <c r="BL712" i="1"/>
  <c r="BJ713" i="1"/>
  <c r="BK712" i="1"/>
  <c r="BH713" i="1"/>
  <c r="BI712" i="1"/>
  <c r="AQ706" i="1" l="1"/>
  <c r="BC706" i="1" s="1"/>
  <c r="BU706" i="1" s="1"/>
  <c r="BI713" i="1"/>
  <c r="BH714" i="1"/>
  <c r="BK713" i="1"/>
  <c r="BL713" i="1"/>
  <c r="BW713" i="1" s="1"/>
  <c r="BJ714" i="1"/>
  <c r="BW712" i="1"/>
  <c r="BM706" i="1" l="1"/>
  <c r="BP706" i="1" s="1"/>
  <c r="CB706" i="1"/>
  <c r="CC706" i="1" s="1"/>
  <c r="BV706" i="1"/>
  <c r="CD713" i="1"/>
  <c r="BX713" i="1"/>
  <c r="BI714" i="1"/>
  <c r="CD712" i="1"/>
  <c r="BX712" i="1"/>
  <c r="BL714" i="1"/>
  <c r="BW714" i="1" s="1"/>
  <c r="BK714" i="1"/>
  <c r="BN706" i="1" l="1"/>
  <c r="BO706" i="1"/>
  <c r="CE712" i="1"/>
  <c r="CD714" i="1"/>
  <c r="BX714" i="1"/>
  <c r="CE713" i="1"/>
  <c r="BR706" i="1" l="1"/>
  <c r="AQ707" i="1" s="1"/>
  <c r="BC707" i="1" s="1"/>
  <c r="BU707" i="1" s="1"/>
  <c r="BY706" i="1"/>
  <c r="CH712" i="1"/>
  <c r="CH713" i="1" s="1"/>
  <c r="CH714" i="1" s="1"/>
  <c r="CE714" i="1"/>
  <c r="BM707" i="1" l="1"/>
  <c r="BN707" i="1" s="1"/>
  <c r="CB707" i="1"/>
  <c r="CC707" i="1" s="1"/>
  <c r="BV707" i="1"/>
  <c r="BO707" i="1" l="1"/>
  <c r="BP707" i="1"/>
  <c r="BR707" i="1" l="1"/>
  <c r="AQ708" i="1"/>
  <c r="BY707" i="1"/>
  <c r="BC708" i="1"/>
  <c r="BU708" i="1" s="1"/>
  <c r="BM708" i="1" l="1"/>
  <c r="BP708" i="1" s="1"/>
  <c r="BV708" i="1"/>
  <c r="CB708" i="1"/>
  <c r="CC708" i="1" s="1"/>
  <c r="BO708" i="1" l="1"/>
  <c r="BN708" i="1"/>
  <c r="BR708" i="1" l="1"/>
  <c r="BY708" i="1" s="1"/>
  <c r="AQ709" i="1" l="1"/>
  <c r="BC709" i="1" s="1"/>
  <c r="BU709" i="1" s="1"/>
  <c r="CB709" i="1" s="1"/>
  <c r="CC709" i="1" s="1"/>
  <c r="BV709" i="1" l="1"/>
  <c r="BM709" i="1"/>
  <c r="BO709" i="1" s="1"/>
  <c r="BN709" i="1" l="1"/>
  <c r="BP709" i="1"/>
  <c r="BR709" i="1"/>
  <c r="BY709" i="1" s="1"/>
  <c r="AQ710" i="1" l="1"/>
  <c r="BC710" i="1" s="1"/>
  <c r="BU710" i="1" s="1"/>
  <c r="BV710" i="1" l="1"/>
  <c r="CB710" i="1"/>
  <c r="CC710" i="1" s="1"/>
  <c r="BM710" i="1"/>
  <c r="BN710" i="1" l="1"/>
  <c r="BO710" i="1"/>
  <c r="BP710" i="1"/>
  <c r="BR710" i="1" l="1"/>
  <c r="AQ711" i="1" s="1"/>
  <c r="BY710" i="1" l="1"/>
  <c r="BC711" i="1"/>
  <c r="BU711" i="1" s="1"/>
  <c r="BM711" i="1" l="1"/>
  <c r="BP711" i="1" s="1"/>
  <c r="CB711" i="1"/>
  <c r="CC711" i="1" s="1"/>
  <c r="BV711" i="1"/>
  <c r="BN711" i="1" l="1"/>
  <c r="BO711" i="1"/>
  <c r="BR711" i="1" l="1"/>
  <c r="AQ712" i="1" s="1"/>
  <c r="BC712" i="1" s="1"/>
  <c r="BU712" i="1" s="1"/>
  <c r="BY711" i="1" l="1"/>
  <c r="BM712" i="1"/>
  <c r="BO712" i="1" s="1"/>
  <c r="BV712" i="1"/>
  <c r="CB712" i="1"/>
  <c r="CC712" i="1" s="1"/>
  <c r="BN712" i="1" l="1"/>
  <c r="BP712" i="1"/>
  <c r="BR712" i="1" l="1"/>
  <c r="AQ713" i="1" l="1"/>
  <c r="BY712" i="1"/>
  <c r="BC713" i="1" l="1"/>
  <c r="BU713" i="1" s="1"/>
  <c r="BM713" i="1" l="1"/>
  <c r="BO713" i="1" s="1"/>
  <c r="CB713" i="1"/>
  <c r="CC713" i="1" s="1"/>
  <c r="BV713" i="1"/>
  <c r="BP713" i="1" l="1"/>
  <c r="BN713" i="1"/>
  <c r="BR713" i="1" l="1"/>
  <c r="AQ714" i="1"/>
  <c r="BY713" i="1"/>
  <c r="BC714" i="1" l="1"/>
  <c r="BU714" i="1" s="1"/>
  <c r="BV714" i="1" s="1"/>
  <c r="CB714" i="1" l="1"/>
  <c r="CC714" i="1" s="1"/>
  <c r="BM714" i="1"/>
  <c r="BP714" i="1" l="1"/>
  <c r="BN714" i="1"/>
  <c r="BO714" i="1"/>
  <c r="BR714" i="1" l="1"/>
  <c r="BY714" i="1" s="1"/>
  <c r="AQ715" i="1" l="1"/>
  <c r="BC715" i="1" s="1"/>
  <c r="BU715" i="1" l="1"/>
  <c r="BH715" i="1"/>
  <c r="BI715" i="1" s="1"/>
  <c r="BV715" i="1"/>
  <c r="L113" i="1" s="1"/>
  <c r="CB715" i="1"/>
  <c r="CC715" i="1" s="1"/>
  <c r="M113" i="1" s="1"/>
  <c r="CH715" i="1"/>
  <c r="CH716" i="1" s="1"/>
  <c r="CH717" i="1" s="1"/>
  <c r="CH718" i="1" s="1"/>
  <c r="CH719" i="1" s="1"/>
  <c r="CH720" i="1" s="1"/>
  <c r="BJ715" i="1"/>
  <c r="BH716" i="1" l="1"/>
  <c r="BI716" i="1" s="1"/>
  <c r="AH310" i="3"/>
  <c r="BK715" i="1"/>
  <c r="BJ716" i="1"/>
  <c r="BL715" i="1"/>
  <c r="Z310" i="3"/>
  <c r="BH717" i="1" l="1"/>
  <c r="BI717" i="1" s="1"/>
  <c r="BH718" i="1"/>
  <c r="BW715" i="1"/>
  <c r="BM715" i="1"/>
  <c r="BK716" i="1"/>
  <c r="BL716" i="1"/>
  <c r="BW716" i="1" s="1"/>
  <c r="CD716" i="1" s="1"/>
  <c r="BJ717" i="1"/>
  <c r="BP715" i="1" l="1"/>
  <c r="BN715" i="1"/>
  <c r="BO715" i="1"/>
  <c r="BR715" i="1" s="1"/>
  <c r="BJ718" i="1"/>
  <c r="BL717" i="1"/>
  <c r="BW717" i="1" s="1"/>
  <c r="BK717" i="1"/>
  <c r="CD715" i="1"/>
  <c r="BX715" i="1"/>
  <c r="N113" i="1" s="1"/>
  <c r="BX716" i="1"/>
  <c r="BI718" i="1"/>
  <c r="BH719" i="1"/>
  <c r="BI719" i="1" l="1"/>
  <c r="BH720" i="1"/>
  <c r="BI720" i="1" s="1"/>
  <c r="BY715" i="1"/>
  <c r="Q113" i="1" s="1"/>
  <c r="AQ716" i="1"/>
  <c r="P113" i="1"/>
  <c r="CE715" i="1"/>
  <c r="O113" i="1" s="1"/>
  <c r="CD717" i="1"/>
  <c r="CE717" i="1" s="1"/>
  <c r="CE716" i="1"/>
  <c r="BX717" i="1"/>
  <c r="BK718" i="1"/>
  <c r="BJ719" i="1"/>
  <c r="BL718" i="1"/>
  <c r="BW718" i="1" s="1"/>
  <c r="CD718" i="1" s="1"/>
  <c r="AP310" i="3"/>
  <c r="AF112" i="1"/>
  <c r="AI112" i="1" s="1"/>
  <c r="CE718" i="1" l="1"/>
  <c r="AX310" i="3"/>
  <c r="BF310" i="3"/>
  <c r="BX718" i="1"/>
  <c r="BC716" i="1"/>
  <c r="BU716" i="1" s="1"/>
  <c r="BN310" i="3"/>
  <c r="BJ720" i="1"/>
  <c r="BK719" i="1"/>
  <c r="BL719" i="1"/>
  <c r="BW719" i="1" s="1"/>
  <c r="CD719" i="1" s="1"/>
  <c r="CE719" i="1" s="1"/>
  <c r="BM716" i="1" l="1"/>
  <c r="BO716" i="1" s="1"/>
  <c r="BX719" i="1"/>
  <c r="CB716" i="1"/>
  <c r="CC716" i="1" s="1"/>
  <c r="BV716" i="1"/>
  <c r="BK720" i="1"/>
  <c r="BL720" i="1"/>
  <c r="BW720" i="1" s="1"/>
  <c r="BP716" i="1" l="1"/>
  <c r="BN716" i="1"/>
  <c r="CD720" i="1"/>
  <c r="CE720" i="1" s="1"/>
  <c r="BX720" i="1"/>
  <c r="BR716" i="1" l="1"/>
  <c r="AQ717" i="1" s="1"/>
  <c r="BC717" i="1" s="1"/>
  <c r="BU717" i="1" s="1"/>
  <c r="BY716" i="1" l="1"/>
  <c r="BM717" i="1"/>
  <c r="BN717" i="1" s="1"/>
  <c r="BV717" i="1"/>
  <c r="CB717" i="1"/>
  <c r="CC717" i="1" s="1"/>
  <c r="CH721" i="1"/>
  <c r="CH722" i="1" s="1"/>
  <c r="CH723" i="1" s="1"/>
  <c r="CH724" i="1" s="1"/>
  <c r="CH725" i="1" s="1"/>
  <c r="CH726" i="1" s="1"/>
  <c r="BJ721" i="1"/>
  <c r="BL721" i="1" s="1"/>
  <c r="BH721" i="1"/>
  <c r="BH722" i="1" s="1"/>
  <c r="BP717" i="1" l="1"/>
  <c r="BO717" i="1"/>
  <c r="BR717" i="1" s="1"/>
  <c r="BJ722" i="1"/>
  <c r="BL722" i="1" s="1"/>
  <c r="BW722" i="1" s="1"/>
  <c r="CD722" i="1" s="1"/>
  <c r="BK721" i="1"/>
  <c r="BI721" i="1"/>
  <c r="BH723" i="1"/>
  <c r="BI722" i="1"/>
  <c r="BW721" i="1"/>
  <c r="AQ718" i="1" l="1"/>
  <c r="BC718" i="1" s="1"/>
  <c r="BU718" i="1" s="1"/>
  <c r="BY717" i="1"/>
  <c r="BJ723" i="1"/>
  <c r="BK723" i="1" s="1"/>
  <c r="BK722" i="1"/>
  <c r="CD721" i="1"/>
  <c r="BX721" i="1"/>
  <c r="BX722" i="1"/>
  <c r="BI723" i="1"/>
  <c r="BH724" i="1"/>
  <c r="BM718" i="1" l="1"/>
  <c r="CB718" i="1"/>
  <c r="CC718" i="1" s="1"/>
  <c r="BV718" i="1"/>
  <c r="BJ724" i="1"/>
  <c r="BK724" i="1" s="1"/>
  <c r="BL723" i="1"/>
  <c r="BW723" i="1" s="1"/>
  <c r="CD723" i="1" s="1"/>
  <c r="CE723" i="1" s="1"/>
  <c r="CE721" i="1"/>
  <c r="CE722" i="1"/>
  <c r="BI724" i="1"/>
  <c r="BH725" i="1"/>
  <c r="BN718" i="1" l="1"/>
  <c r="BO718" i="1"/>
  <c r="BP718" i="1"/>
  <c r="BJ725" i="1"/>
  <c r="BK725" i="1" s="1"/>
  <c r="BL724" i="1"/>
  <c r="BW724" i="1" s="1"/>
  <c r="CD724" i="1" s="1"/>
  <c r="CE724" i="1" s="1"/>
  <c r="BX723" i="1"/>
  <c r="BI725" i="1"/>
  <c r="BH726" i="1"/>
  <c r="BR718" i="1" l="1"/>
  <c r="AQ719" i="1" s="1"/>
  <c r="BX724" i="1"/>
  <c r="BJ726" i="1"/>
  <c r="BL726" i="1" s="1"/>
  <c r="BW726" i="1" s="1"/>
  <c r="BL725" i="1"/>
  <c r="BW725" i="1" s="1"/>
  <c r="CD725" i="1" s="1"/>
  <c r="CE725" i="1" s="1"/>
  <c r="BI726" i="1"/>
  <c r="BY718" i="1" l="1"/>
  <c r="BC719" i="1"/>
  <c r="BU719" i="1" s="1"/>
  <c r="BX725" i="1"/>
  <c r="BK726" i="1"/>
  <c r="CD726" i="1"/>
  <c r="CE726" i="1" s="1"/>
  <c r="BX726" i="1"/>
  <c r="BM719" i="1" l="1"/>
  <c r="BO719" i="1" s="1"/>
  <c r="CB719" i="1"/>
  <c r="CC719" i="1" s="1"/>
  <c r="BV719" i="1"/>
  <c r="BN719" i="1" l="1"/>
  <c r="BP719" i="1"/>
  <c r="BR719" i="1" l="1"/>
  <c r="AQ720" i="1" s="1"/>
  <c r="BC720" i="1" s="1"/>
  <c r="BU720" i="1" s="1"/>
  <c r="BY719" i="1" l="1"/>
  <c r="BM720" i="1"/>
  <c r="CB720" i="1"/>
  <c r="CC720" i="1" s="1"/>
  <c r="BV720" i="1"/>
  <c r="BP720" i="1" l="1"/>
  <c r="BO720" i="1"/>
  <c r="BN720" i="1"/>
  <c r="BR720" i="1" l="1"/>
  <c r="BY720" i="1" s="1"/>
  <c r="AQ721" i="1" l="1"/>
  <c r="BC721" i="1" s="1"/>
  <c r="BU721" i="1" s="1"/>
  <c r="BM721" i="1" l="1"/>
  <c r="CB721" i="1"/>
  <c r="CC721" i="1" s="1"/>
  <c r="BV721" i="1"/>
  <c r="BP721" i="1" l="1"/>
  <c r="BO721" i="1"/>
  <c r="BN721" i="1"/>
  <c r="BR721" i="1" l="1"/>
  <c r="BY721" i="1" s="1"/>
  <c r="AQ722" i="1" l="1"/>
  <c r="BC722" i="1" s="1"/>
  <c r="BU722" i="1" s="1"/>
  <c r="BM722" i="1" l="1"/>
  <c r="CB722" i="1"/>
  <c r="CC722" i="1" s="1"/>
  <c r="BV722" i="1"/>
  <c r="BN722" i="1" l="1"/>
  <c r="BO722" i="1"/>
  <c r="BP722" i="1"/>
  <c r="BR722" i="1" l="1"/>
  <c r="AQ723" i="1" s="1"/>
  <c r="BY722" i="1" l="1"/>
  <c r="BC723" i="1"/>
  <c r="BU723" i="1" s="1"/>
  <c r="BM723" i="1" l="1"/>
  <c r="BV723" i="1"/>
  <c r="CB723" i="1"/>
  <c r="CC723" i="1" s="1"/>
  <c r="BN723" i="1" l="1"/>
  <c r="BO723" i="1"/>
  <c r="BP723" i="1"/>
  <c r="BR723" i="1" l="1"/>
  <c r="BY723" i="1" s="1"/>
  <c r="AQ724" i="1" l="1"/>
  <c r="BC724" i="1"/>
  <c r="BU724" i="1" s="1"/>
  <c r="BM724" i="1" l="1"/>
  <c r="BV724" i="1"/>
  <c r="CB724" i="1"/>
  <c r="CC724" i="1" s="1"/>
  <c r="BO724" i="1" l="1"/>
  <c r="BN724" i="1"/>
  <c r="BP724" i="1"/>
  <c r="BR724" i="1" l="1"/>
  <c r="BY724" i="1" s="1"/>
  <c r="AQ725" i="1" l="1"/>
  <c r="BC725" i="1" s="1"/>
  <c r="BU725" i="1" s="1"/>
  <c r="BM725" i="1" l="1"/>
  <c r="BO725" i="1" s="1"/>
  <c r="CB725" i="1"/>
  <c r="CC725" i="1" s="1"/>
  <c r="BV725" i="1"/>
  <c r="BN725" i="1" l="1"/>
  <c r="BP725" i="1"/>
  <c r="BR725" i="1" l="1"/>
  <c r="AQ726" i="1" s="1"/>
  <c r="BC726" i="1" s="1"/>
  <c r="BU726" i="1" s="1"/>
  <c r="BY725" i="1" l="1"/>
  <c r="BM726" i="1"/>
  <c r="BV726" i="1"/>
  <c r="CB726" i="1"/>
  <c r="CC726" i="1" s="1"/>
  <c r="BP726" i="1" l="1"/>
  <c r="BN726" i="1"/>
  <c r="BO726" i="1"/>
  <c r="BR726" i="1" l="1"/>
  <c r="BY726" i="1" l="1"/>
  <c r="AQ727" i="1"/>
  <c r="BC727" i="1" l="1"/>
  <c r="BU727" i="1" s="1"/>
  <c r="CH727" i="1"/>
  <c r="CH728" i="1" s="1"/>
  <c r="CH729" i="1" s="1"/>
  <c r="CH730" i="1" s="1"/>
  <c r="CH731" i="1" s="1"/>
  <c r="CH732" i="1" s="1"/>
  <c r="BH727" i="1" l="1"/>
  <c r="BI727" i="1" s="1"/>
  <c r="BJ727" i="1"/>
  <c r="BL727" i="1" s="1"/>
  <c r="CB727" i="1"/>
  <c r="CC727" i="1" s="1"/>
  <c r="M114" i="1" s="1"/>
  <c r="BV727" i="1"/>
  <c r="L114" i="1" s="1"/>
  <c r="BH728" i="1" l="1"/>
  <c r="BI728" i="1" s="1"/>
  <c r="BK727" i="1"/>
  <c r="BJ728" i="1"/>
  <c r="BK728" i="1" s="1"/>
  <c r="AH311" i="3"/>
  <c r="BW727" i="1"/>
  <c r="BM727" i="1"/>
  <c r="Z311" i="3"/>
  <c r="BJ729" i="1" l="1"/>
  <c r="BH729" i="1"/>
  <c r="BI729" i="1" s="1"/>
  <c r="BL728" i="1"/>
  <c r="BW728" i="1" s="1"/>
  <c r="CD728" i="1" s="1"/>
  <c r="BJ730" i="1"/>
  <c r="BL729" i="1"/>
  <c r="BW729" i="1" s="1"/>
  <c r="CD729" i="1" s="1"/>
  <c r="BK729" i="1"/>
  <c r="BO727" i="1"/>
  <c r="BP727" i="1"/>
  <c r="BN727" i="1"/>
  <c r="BX727" i="1"/>
  <c r="N114" i="1" s="1"/>
  <c r="CD727" i="1"/>
  <c r="BX728" i="1"/>
  <c r="BH730" i="1"/>
  <c r="BR727" i="1" l="1"/>
  <c r="BX729" i="1"/>
  <c r="AF113" i="1"/>
  <c r="AI113" i="1" s="1"/>
  <c r="AP311" i="3"/>
  <c r="AQ728" i="1"/>
  <c r="BY727" i="1"/>
  <c r="Q114" i="1" s="1"/>
  <c r="P114" i="1"/>
  <c r="CE728" i="1"/>
  <c r="CE729" i="1"/>
  <c r="CE727" i="1"/>
  <c r="O114" i="1" s="1"/>
  <c r="BJ731" i="1"/>
  <c r="BK730" i="1"/>
  <c r="BL730" i="1"/>
  <c r="BW730" i="1" s="1"/>
  <c r="BI730" i="1"/>
  <c r="BH731" i="1"/>
  <c r="BI731" i="1" l="1"/>
  <c r="BH732" i="1"/>
  <c r="BI732" i="1" s="1"/>
  <c r="BN311" i="3"/>
  <c r="BF311" i="3"/>
  <c r="CD730" i="1"/>
  <c r="BX730" i="1"/>
  <c r="BC728" i="1"/>
  <c r="BU728" i="1" s="1"/>
  <c r="BK731" i="1"/>
  <c r="BL731" i="1"/>
  <c r="BW731" i="1" s="1"/>
  <c r="CD731" i="1" s="1"/>
  <c r="BJ732" i="1"/>
  <c r="AX311" i="3"/>
  <c r="BM728" i="1" l="1"/>
  <c r="BO728" i="1" s="1"/>
  <c r="BX731" i="1"/>
  <c r="CE730" i="1"/>
  <c r="CE731" i="1"/>
  <c r="BL732" i="1"/>
  <c r="BW732" i="1" s="1"/>
  <c r="BK732" i="1"/>
  <c r="CB728" i="1"/>
  <c r="CC728" i="1" s="1"/>
  <c r="BV728" i="1"/>
  <c r="BP728" i="1" l="1"/>
  <c r="BN728" i="1"/>
  <c r="CD732" i="1"/>
  <c r="CE732" i="1" s="1"/>
  <c r="BX732" i="1"/>
  <c r="BR728" i="1" l="1"/>
  <c r="AQ729" i="1"/>
  <c r="BY728" i="1"/>
  <c r="BC729" i="1"/>
  <c r="BU729" i="1" s="1"/>
  <c r="CB729" i="1" l="1"/>
  <c r="CC729" i="1" s="1"/>
  <c r="BV729" i="1"/>
  <c r="BM729" i="1"/>
  <c r="BP729" i="1" l="1"/>
  <c r="BO729" i="1"/>
  <c r="BN729" i="1"/>
  <c r="BJ733" i="1"/>
  <c r="BK733" i="1" s="1"/>
  <c r="BH733" i="1"/>
  <c r="BR729" i="1" l="1"/>
  <c r="BY729" i="1" s="1"/>
  <c r="BJ734" i="1"/>
  <c r="BL734" i="1" s="1"/>
  <c r="BW734" i="1" s="1"/>
  <c r="CD734" i="1" s="1"/>
  <c r="BL733" i="1"/>
  <c r="BI733" i="1"/>
  <c r="BH734" i="1"/>
  <c r="AQ730" i="1" l="1"/>
  <c r="BC730" i="1" s="1"/>
  <c r="BU730" i="1" s="1"/>
  <c r="BJ735" i="1"/>
  <c r="BK735" i="1" s="1"/>
  <c r="BW733" i="1"/>
  <c r="BX734" i="1" s="1"/>
  <c r="BK734" i="1"/>
  <c r="BI734" i="1"/>
  <c r="BH735" i="1"/>
  <c r="BM730" i="1" l="1"/>
  <c r="BN730" i="1" s="1"/>
  <c r="CB730" i="1"/>
  <c r="CC730" i="1" s="1"/>
  <c r="BV730" i="1"/>
  <c r="BJ736" i="1"/>
  <c r="BL736" i="1" s="1"/>
  <c r="BW736" i="1" s="1"/>
  <c r="CD736" i="1" s="1"/>
  <c r="CD733" i="1"/>
  <c r="CE734" i="1" s="1"/>
  <c r="BX733" i="1"/>
  <c r="BL735" i="1"/>
  <c r="BW735" i="1" s="1"/>
  <c r="CD735" i="1" s="1"/>
  <c r="BI735" i="1"/>
  <c r="BH736" i="1"/>
  <c r="BO730" i="1" l="1"/>
  <c r="BP730" i="1"/>
  <c r="BJ737" i="1"/>
  <c r="BL737" i="1" s="1"/>
  <c r="BW737" i="1" s="1"/>
  <c r="CD737" i="1" s="1"/>
  <c r="CE737" i="1" s="1"/>
  <c r="CE735" i="1"/>
  <c r="CE733" i="1"/>
  <c r="BK736" i="1"/>
  <c r="BX735" i="1"/>
  <c r="CE736" i="1"/>
  <c r="BX736" i="1"/>
  <c r="BH737" i="1"/>
  <c r="BI736" i="1"/>
  <c r="BR730" i="1" l="1"/>
  <c r="AQ731" i="1" s="1"/>
  <c r="BC731" i="1" s="1"/>
  <c r="BU731" i="1" s="1"/>
  <c r="BJ738" i="1"/>
  <c r="BL738" i="1" s="1"/>
  <c r="BW738" i="1" s="1"/>
  <c r="BK737" i="1"/>
  <c r="BX737" i="1"/>
  <c r="BI737" i="1"/>
  <c r="BH738" i="1"/>
  <c r="BY730" i="1" l="1"/>
  <c r="BM731" i="1"/>
  <c r="CB731" i="1"/>
  <c r="CC731" i="1" s="1"/>
  <c r="BV731" i="1"/>
  <c r="BK738" i="1"/>
  <c r="CD738" i="1"/>
  <c r="BX738" i="1"/>
  <c r="BI738" i="1"/>
  <c r="BP731" i="1" l="1"/>
  <c r="BO731" i="1"/>
  <c r="BN731" i="1"/>
  <c r="CH733" i="1"/>
  <c r="CH734" i="1" s="1"/>
  <c r="CH735" i="1" s="1"/>
  <c r="CH736" i="1" s="1"/>
  <c r="CH737" i="1" s="1"/>
  <c r="CH738" i="1" s="1"/>
  <c r="CE738" i="1"/>
  <c r="BR731" i="1" l="1"/>
  <c r="BY731" i="1" s="1"/>
  <c r="AQ732" i="1"/>
  <c r="BC732" i="1" l="1"/>
  <c r="BU732" i="1" s="1"/>
  <c r="BV732" i="1" l="1"/>
  <c r="CB732" i="1"/>
  <c r="CC732" i="1" s="1"/>
  <c r="BM732" i="1"/>
  <c r="BP732" i="1" l="1"/>
  <c r="BN732" i="1"/>
  <c r="BO732" i="1"/>
  <c r="BR732" i="1" l="1"/>
  <c r="BY732" i="1" l="1"/>
  <c r="AQ733" i="1"/>
  <c r="BC733" i="1" l="1"/>
  <c r="BU733" i="1" s="1"/>
  <c r="BM733" i="1" l="1"/>
  <c r="BP733" i="1" s="1"/>
  <c r="BV733" i="1"/>
  <c r="CB733" i="1"/>
  <c r="CC733" i="1" s="1"/>
  <c r="BN733" i="1" l="1"/>
  <c r="BO733" i="1"/>
  <c r="BR733" i="1" l="1"/>
  <c r="BY733" i="1" s="1"/>
  <c r="AQ734" i="1" l="1"/>
  <c r="BC734" i="1" s="1"/>
  <c r="BU734" i="1" s="1"/>
  <c r="CB734" i="1" s="1"/>
  <c r="CC734" i="1" s="1"/>
  <c r="BV734" i="1"/>
  <c r="BM734" i="1"/>
  <c r="BN734" i="1" l="1"/>
  <c r="BP734" i="1"/>
  <c r="BO734" i="1"/>
  <c r="BR734" i="1" l="1"/>
  <c r="AQ735" i="1" l="1"/>
  <c r="BY734" i="1"/>
  <c r="BC735" i="1" l="1"/>
  <c r="BU735" i="1" s="1"/>
  <c r="BM735" i="1" l="1"/>
  <c r="BP735" i="1" s="1"/>
  <c r="CB735" i="1"/>
  <c r="CC735" i="1" s="1"/>
  <c r="BV735" i="1"/>
  <c r="BN735" i="1" l="1"/>
  <c r="BO735" i="1"/>
  <c r="BR735" i="1"/>
  <c r="BY735" i="1" s="1"/>
  <c r="AQ736" i="1" l="1"/>
  <c r="BC736" i="1" s="1"/>
  <c r="BU736" i="1" s="1"/>
  <c r="BM736" i="1" l="1"/>
  <c r="BO736" i="1" s="1"/>
  <c r="BV736" i="1"/>
  <c r="CB736" i="1"/>
  <c r="CC736" i="1" s="1"/>
  <c r="BP736" i="1" l="1"/>
  <c r="BN736" i="1"/>
  <c r="BR736" i="1" l="1"/>
  <c r="AQ737" i="1" s="1"/>
  <c r="BC737" i="1" s="1"/>
  <c r="BU737" i="1" s="1"/>
  <c r="BY736" i="1" l="1"/>
  <c r="BM737" i="1"/>
  <c r="BN737" i="1" s="1"/>
  <c r="CB737" i="1"/>
  <c r="CC737" i="1" s="1"/>
  <c r="BV737" i="1"/>
  <c r="BP737" i="1" l="1"/>
  <c r="BO737" i="1"/>
  <c r="BR737" i="1" l="1"/>
  <c r="AQ738" i="1"/>
  <c r="BY737" i="1"/>
  <c r="BC738" i="1" l="1"/>
  <c r="BU738" i="1" s="1"/>
  <c r="BM738" i="1" l="1"/>
  <c r="BO738" i="1" s="1"/>
  <c r="CB738" i="1"/>
  <c r="CC738" i="1" s="1"/>
  <c r="BV738" i="1"/>
  <c r="BN738" i="1" l="1"/>
  <c r="BP738" i="1"/>
  <c r="BR738" i="1" l="1"/>
  <c r="BY738" i="1" s="1"/>
  <c r="AQ739" i="1" l="1"/>
  <c r="BC739" i="1" s="1"/>
  <c r="BU739" i="1" s="1"/>
  <c r="BV739" i="1" s="1"/>
  <c r="L115" i="1" s="1"/>
  <c r="BH739" i="1"/>
  <c r="BI739" i="1" s="1"/>
  <c r="CH739" i="1"/>
  <c r="CH740" i="1" s="1"/>
  <c r="CH741" i="1" s="1"/>
  <c r="CH742" i="1" s="1"/>
  <c r="CH743" i="1" s="1"/>
  <c r="CH744" i="1" s="1"/>
  <c r="CB739" i="1"/>
  <c r="CC739" i="1" s="1"/>
  <c r="M115" i="1" s="1"/>
  <c r="BJ739" i="1" l="1"/>
  <c r="BJ740" i="1" s="1"/>
  <c r="BH740" i="1"/>
  <c r="BI740" i="1" s="1"/>
  <c r="BK739" i="1"/>
  <c r="Z312" i="3"/>
  <c r="AH312" i="3"/>
  <c r="BL739" i="1" l="1"/>
  <c r="BH741" i="1"/>
  <c r="BI741" i="1" s="1"/>
  <c r="BK740" i="1"/>
  <c r="BJ741" i="1"/>
  <c r="BL740" i="1"/>
  <c r="BW740" i="1" s="1"/>
  <c r="CD740" i="1" s="1"/>
  <c r="BW739" i="1"/>
  <c r="BM739" i="1"/>
  <c r="BH742" i="1" l="1"/>
  <c r="BI742" i="1" s="1"/>
  <c r="BX739" i="1"/>
  <c r="N115" i="1" s="1"/>
  <c r="BX740" i="1"/>
  <c r="CD739" i="1"/>
  <c r="BO739" i="1"/>
  <c r="BP739" i="1"/>
  <c r="BN739" i="1"/>
  <c r="BL741" i="1"/>
  <c r="BW741" i="1" s="1"/>
  <c r="CD741" i="1" s="1"/>
  <c r="BK741" i="1"/>
  <c r="BJ742" i="1"/>
  <c r="BH743" i="1" l="1"/>
  <c r="BI743" i="1" s="1"/>
  <c r="BR739" i="1"/>
  <c r="AQ740" i="1" s="1"/>
  <c r="CE741" i="1"/>
  <c r="BK742" i="1"/>
  <c r="BJ743" i="1"/>
  <c r="BL742" i="1"/>
  <c r="BW742" i="1" s="1"/>
  <c r="BX742" i="1" s="1"/>
  <c r="CE740" i="1"/>
  <c r="CE739" i="1"/>
  <c r="O115" i="1" s="1"/>
  <c r="BX741" i="1"/>
  <c r="AP312" i="3"/>
  <c r="AF114" i="1"/>
  <c r="AI114" i="1" s="1"/>
  <c r="BH744" i="1" l="1"/>
  <c r="BI744" i="1" s="1"/>
  <c r="P115" i="1"/>
  <c r="BF312" i="3" s="1"/>
  <c r="BY739" i="1"/>
  <c r="Q115" i="1" s="1"/>
  <c r="BN312" i="3" s="1"/>
  <c r="AX312" i="3"/>
  <c r="CD742" i="1"/>
  <c r="BL743" i="1"/>
  <c r="BW743" i="1" s="1"/>
  <c r="CD743" i="1" s="1"/>
  <c r="BJ744" i="1"/>
  <c r="BK743" i="1"/>
  <c r="BC740" i="1"/>
  <c r="BU740" i="1" s="1"/>
  <c r="CH745" i="1"/>
  <c r="CH746" i="1" s="1"/>
  <c r="CH747" i="1" s="1"/>
  <c r="BH745" i="1"/>
  <c r="BM740" i="1" l="1"/>
  <c r="BP740" i="1" s="1"/>
  <c r="BL744" i="1"/>
  <c r="BW744" i="1" s="1"/>
  <c r="CD744" i="1" s="1"/>
  <c r="CE744" i="1" s="1"/>
  <c r="BK744" i="1"/>
  <c r="BX743" i="1"/>
  <c r="CE742" i="1"/>
  <c r="CE743" i="1"/>
  <c r="CB740" i="1"/>
  <c r="CC740" i="1" s="1"/>
  <c r="BV740" i="1"/>
  <c r="BJ745" i="1"/>
  <c r="BJ746" i="1" s="1"/>
  <c r="BI745" i="1"/>
  <c r="BH746" i="1"/>
  <c r="BN740" i="1" l="1"/>
  <c r="BO740" i="1"/>
  <c r="BR740" i="1" s="1"/>
  <c r="BY740" i="1" s="1"/>
  <c r="BX744" i="1"/>
  <c r="BL745" i="1"/>
  <c r="BW745" i="1" s="1"/>
  <c r="BK745" i="1"/>
  <c r="BK746" i="1"/>
  <c r="BJ747" i="1"/>
  <c r="BL746" i="1"/>
  <c r="BW746" i="1" s="1"/>
  <c r="CD746" i="1" s="1"/>
  <c r="BI746" i="1"/>
  <c r="BH747" i="1"/>
  <c r="BI747" i="1" s="1"/>
  <c r="AQ741" i="1" l="1"/>
  <c r="BC741" i="1"/>
  <c r="BU741" i="1" s="1"/>
  <c r="BK747" i="1"/>
  <c r="BL747" i="1"/>
  <c r="BW747" i="1" s="1"/>
  <c r="CD747" i="1" s="1"/>
  <c r="CD745" i="1"/>
  <c r="BX745" i="1"/>
  <c r="BX746" i="1"/>
  <c r="BM741" i="1" l="1"/>
  <c r="BP741" i="1" s="1"/>
  <c r="CB741" i="1"/>
  <c r="CC741" i="1" s="1"/>
  <c r="BV741" i="1"/>
  <c r="BX747" i="1"/>
  <c r="CE745" i="1"/>
  <c r="CE746" i="1"/>
  <c r="CE747" i="1"/>
  <c r="BN741" i="1" l="1"/>
  <c r="BO741" i="1"/>
  <c r="BR741" i="1" l="1"/>
  <c r="AQ742" i="1" s="1"/>
  <c r="BY741" i="1" l="1"/>
  <c r="BC742" i="1"/>
  <c r="BU742" i="1" s="1"/>
  <c r="BM742" i="1" l="1"/>
  <c r="BP742" i="1" s="1"/>
  <c r="CB742" i="1"/>
  <c r="CC742" i="1" s="1"/>
  <c r="BV742" i="1"/>
  <c r="CH748" i="1"/>
  <c r="CH749" i="1" s="1"/>
  <c r="CH750" i="1" s="1"/>
  <c r="BJ748" i="1"/>
  <c r="BK748" i="1" s="1"/>
  <c r="BH748" i="1"/>
  <c r="BI748" i="1" s="1"/>
  <c r="BN742" i="1" l="1"/>
  <c r="BO742" i="1"/>
  <c r="BH749" i="1"/>
  <c r="BI749" i="1" s="1"/>
  <c r="BJ749" i="1"/>
  <c r="BK749" i="1" s="1"/>
  <c r="BL748" i="1"/>
  <c r="BR742" i="1" l="1"/>
  <c r="BY742" i="1" s="1"/>
  <c r="BJ750" i="1"/>
  <c r="BK750" i="1" s="1"/>
  <c r="BH750" i="1"/>
  <c r="BI750" i="1" s="1"/>
  <c r="BL749" i="1"/>
  <c r="BW749" i="1" s="1"/>
  <c r="CD749" i="1" s="1"/>
  <c r="BW748" i="1"/>
  <c r="BX748" i="1" s="1"/>
  <c r="AQ743" i="1" l="1"/>
  <c r="BC743" i="1" s="1"/>
  <c r="BU743" i="1" s="1"/>
  <c r="CB743" i="1" s="1"/>
  <c r="CC743" i="1" s="1"/>
  <c r="CD748" i="1"/>
  <c r="CE748" i="1" s="1"/>
  <c r="BX749" i="1"/>
  <c r="BL750" i="1"/>
  <c r="BW750" i="1" s="1"/>
  <c r="CD750" i="1" s="1"/>
  <c r="BV743" i="1" l="1"/>
  <c r="BM743" i="1"/>
  <c r="BN743" i="1" s="1"/>
  <c r="CE749" i="1"/>
  <c r="BX750" i="1"/>
  <c r="CE750" i="1"/>
  <c r="BP743" i="1" l="1"/>
  <c r="BO743" i="1"/>
  <c r="BR743" i="1"/>
  <c r="AQ744" i="1" s="1"/>
  <c r="BY743" i="1"/>
  <c r="BC744" i="1" l="1"/>
  <c r="BU744" i="1" s="1"/>
  <c r="BM744" i="1" l="1"/>
  <c r="BN744" i="1" s="1"/>
  <c r="CB744" i="1"/>
  <c r="CC744" i="1" s="1"/>
  <c r="BV744" i="1"/>
  <c r="BP744" i="1" l="1"/>
  <c r="BO744" i="1"/>
  <c r="BR744" i="1" l="1"/>
  <c r="AQ745" i="1" s="1"/>
  <c r="BC745" i="1" s="1"/>
  <c r="BU745" i="1" s="1"/>
  <c r="BY744" i="1" l="1"/>
  <c r="BM745" i="1"/>
  <c r="BN745" i="1" s="1"/>
  <c r="CB745" i="1"/>
  <c r="CC745" i="1" s="1"/>
  <c r="BV745" i="1"/>
  <c r="BO745" i="1" l="1"/>
  <c r="BP745" i="1"/>
  <c r="BR745" i="1" l="1"/>
  <c r="BY745" i="1" s="1"/>
  <c r="AQ746" i="1" l="1"/>
  <c r="BC746" i="1" s="1"/>
  <c r="BU746" i="1" s="1"/>
  <c r="CB746" i="1" s="1"/>
  <c r="CC746" i="1" s="1"/>
  <c r="BV746" i="1"/>
  <c r="BM746" i="1" l="1"/>
  <c r="BP746" i="1" s="1"/>
  <c r="BO746" i="1"/>
  <c r="BN746" i="1"/>
  <c r="BR746" i="1" l="1"/>
  <c r="AQ747" i="1" s="1"/>
  <c r="BC747" i="1" s="1"/>
  <c r="BU747" i="1" s="1"/>
  <c r="BY746" i="1" l="1"/>
  <c r="BM747" i="1"/>
  <c r="BO747" i="1" s="1"/>
  <c r="CB747" i="1"/>
  <c r="CC747" i="1" s="1"/>
  <c r="BV747" i="1"/>
  <c r="BP747" i="1" l="1"/>
  <c r="BN747" i="1"/>
  <c r="BR747" i="1" l="1"/>
  <c r="AQ748" i="1" s="1"/>
  <c r="BC748" i="1" s="1"/>
  <c r="BU748" i="1" s="1"/>
  <c r="BY747" i="1" l="1"/>
  <c r="BM748" i="1"/>
  <c r="BN748" i="1" s="1"/>
  <c r="BV748" i="1"/>
  <c r="CB748" i="1"/>
  <c r="CC748" i="1" s="1"/>
  <c r="BO748" i="1" l="1"/>
  <c r="BP748" i="1"/>
  <c r="BR748" i="1" l="1"/>
  <c r="AQ749" i="1" s="1"/>
  <c r="BC749" i="1"/>
  <c r="BU749" i="1" s="1"/>
  <c r="BY748" i="1" l="1"/>
  <c r="BV749" i="1"/>
  <c r="CB749" i="1"/>
  <c r="CC749" i="1" s="1"/>
  <c r="BM749" i="1"/>
  <c r="BO749" i="1" l="1"/>
  <c r="BP749" i="1"/>
  <c r="BN749" i="1"/>
  <c r="BR749" i="1" l="1"/>
  <c r="AQ750" i="1" s="1"/>
  <c r="BY749" i="1" l="1"/>
  <c r="BC750" i="1"/>
  <c r="BU750" i="1" s="1"/>
  <c r="BM750" i="1" l="1"/>
  <c r="CB750" i="1"/>
  <c r="CC750" i="1" s="1"/>
  <c r="BV750" i="1"/>
  <c r="BP750" i="1" l="1"/>
  <c r="BO750" i="1"/>
  <c r="BN750" i="1"/>
  <c r="BR750" i="1" l="1"/>
  <c r="AQ751" i="1" s="1"/>
  <c r="BY750" i="1" l="1"/>
  <c r="BC751" i="1"/>
  <c r="BU751" i="1" s="1"/>
  <c r="CH751" i="1"/>
  <c r="CH752" i="1" s="1"/>
  <c r="CH753" i="1" s="1"/>
  <c r="CH754" i="1" s="1"/>
  <c r="CH755" i="1" s="1"/>
  <c r="CH756" i="1" s="1"/>
  <c r="BH751" i="1"/>
  <c r="CB751" i="1" l="1"/>
  <c r="CC751" i="1" s="1"/>
  <c r="M116" i="1" s="1"/>
  <c r="BV751" i="1"/>
  <c r="L116" i="1" s="1"/>
  <c r="BI751" i="1"/>
  <c r="BH752" i="1"/>
  <c r="BJ751" i="1"/>
  <c r="Z313" i="3" l="1"/>
  <c r="AH313" i="3"/>
  <c r="BH753" i="1"/>
  <c r="BI752" i="1"/>
  <c r="BJ752" i="1"/>
  <c r="BK751" i="1"/>
  <c r="BL751" i="1"/>
  <c r="BI753" i="1" l="1"/>
  <c r="BH754" i="1"/>
  <c r="BK752" i="1"/>
  <c r="BJ753" i="1"/>
  <c r="BL752" i="1"/>
  <c r="BW752" i="1" s="1"/>
  <c r="CD752" i="1" s="1"/>
  <c r="BW751" i="1"/>
  <c r="BM751" i="1"/>
  <c r="CD751" i="1" l="1"/>
  <c r="BX751" i="1"/>
  <c r="N116" i="1" s="1"/>
  <c r="BX752" i="1"/>
  <c r="BP751" i="1"/>
  <c r="BN751" i="1"/>
  <c r="BO751" i="1"/>
  <c r="BL753" i="1"/>
  <c r="BW753" i="1" s="1"/>
  <c r="CD753" i="1" s="1"/>
  <c r="BJ754" i="1"/>
  <c r="BK753" i="1"/>
  <c r="BI754" i="1"/>
  <c r="BH755" i="1"/>
  <c r="BR751" i="1" l="1"/>
  <c r="BY751" i="1" s="1"/>
  <c r="Q116" i="1" s="1"/>
  <c r="AP313" i="3"/>
  <c r="AF115" i="1"/>
  <c r="AI115" i="1" s="1"/>
  <c r="BI755" i="1"/>
  <c r="BH756" i="1"/>
  <c r="BI756" i="1" s="1"/>
  <c r="BK754" i="1"/>
  <c r="BL754" i="1"/>
  <c r="BW754" i="1" s="1"/>
  <c r="BJ755" i="1"/>
  <c r="BX753" i="1"/>
  <c r="AQ752" i="1"/>
  <c r="P116" i="1"/>
  <c r="CE751" i="1"/>
  <c r="O116" i="1" s="1"/>
  <c r="CE752" i="1"/>
  <c r="CE753" i="1"/>
  <c r="BF313" i="3" l="1"/>
  <c r="AX313" i="3"/>
  <c r="BN313" i="3"/>
  <c r="BC752" i="1"/>
  <c r="BU752" i="1" s="1"/>
  <c r="BK755" i="1"/>
  <c r="BL755" i="1"/>
  <c r="BW755" i="1" s="1"/>
  <c r="BJ756" i="1"/>
  <c r="CD754" i="1"/>
  <c r="BX754" i="1"/>
  <c r="BX755" i="1" l="1"/>
  <c r="CD755" i="1"/>
  <c r="CE755" i="1" s="1"/>
  <c r="CE754" i="1"/>
  <c r="BK756" i="1"/>
  <c r="BL756" i="1"/>
  <c r="BW756" i="1" s="1"/>
  <c r="CD756" i="1" s="1"/>
  <c r="BM752" i="1"/>
  <c r="CB752" i="1"/>
  <c r="CC752" i="1" s="1"/>
  <c r="BV752" i="1"/>
  <c r="CE756" i="1" l="1"/>
  <c r="BX756" i="1"/>
  <c r="BP752" i="1"/>
  <c r="BO752" i="1"/>
  <c r="BN752" i="1"/>
  <c r="BR752" i="1" l="1"/>
  <c r="AQ753" i="1" s="1"/>
  <c r="CH757" i="1"/>
  <c r="CH758" i="1" s="1"/>
  <c r="CH759" i="1" s="1"/>
  <c r="BY752" i="1" l="1"/>
  <c r="BC753" i="1"/>
  <c r="BU753" i="1" s="1"/>
  <c r="BH757" i="1"/>
  <c r="BI757" i="1" s="1"/>
  <c r="BM753" i="1" l="1"/>
  <c r="BN753" i="1" s="1"/>
  <c r="CB753" i="1"/>
  <c r="CC753" i="1" s="1"/>
  <c r="BV753" i="1"/>
  <c r="BH758" i="1"/>
  <c r="BH759" i="1" s="1"/>
  <c r="BI759" i="1" s="1"/>
  <c r="BO753" i="1" l="1"/>
  <c r="BP753" i="1"/>
  <c r="BI758" i="1"/>
  <c r="BJ757" i="1"/>
  <c r="BR753" i="1" l="1"/>
  <c r="BY753" i="1" s="1"/>
  <c r="AQ754" i="1"/>
  <c r="BC754" i="1" s="1"/>
  <c r="BU754" i="1" s="1"/>
  <c r="BL757" i="1"/>
  <c r="BJ758" i="1"/>
  <c r="BK757" i="1"/>
  <c r="BM754" i="1" l="1"/>
  <c r="BN754" i="1" s="1"/>
  <c r="CB754" i="1"/>
  <c r="CC754" i="1" s="1"/>
  <c r="BV754" i="1"/>
  <c r="BW757" i="1"/>
  <c r="BJ759" i="1"/>
  <c r="BK758" i="1"/>
  <c r="BL758" i="1"/>
  <c r="BW758" i="1" s="1"/>
  <c r="CD758" i="1" s="1"/>
  <c r="BO754" i="1" l="1"/>
  <c r="BP754" i="1"/>
  <c r="BK759" i="1"/>
  <c r="BL759" i="1"/>
  <c r="BW759" i="1" s="1"/>
  <c r="CD759" i="1" s="1"/>
  <c r="CD757" i="1"/>
  <c r="CE757" i="1" s="1"/>
  <c r="BX757" i="1"/>
  <c r="BX758" i="1"/>
  <c r="BJ760" i="1"/>
  <c r="BR754" i="1" l="1"/>
  <c r="AQ755" i="1" s="1"/>
  <c r="BC755" i="1" s="1"/>
  <c r="BU755" i="1" s="1"/>
  <c r="CE759" i="1"/>
  <c r="BX759" i="1"/>
  <c r="CE758" i="1"/>
  <c r="CH760" i="1"/>
  <c r="CH761" i="1" s="1"/>
  <c r="CH762" i="1" s="1"/>
  <c r="BH760" i="1"/>
  <c r="BK760" i="1"/>
  <c r="BJ761" i="1"/>
  <c r="BK761" i="1" s="1"/>
  <c r="BY754" i="1" l="1"/>
  <c r="BM755" i="1"/>
  <c r="CB755" i="1"/>
  <c r="CC755" i="1" s="1"/>
  <c r="BV755" i="1"/>
  <c r="BJ762" i="1"/>
  <c r="BK762" i="1" s="1"/>
  <c r="BI760" i="1"/>
  <c r="BH761" i="1"/>
  <c r="BL760" i="1"/>
  <c r="BO755" i="1" l="1"/>
  <c r="BP755" i="1"/>
  <c r="BN755" i="1"/>
  <c r="BW760" i="1"/>
  <c r="BI761" i="1"/>
  <c r="BH762" i="1"/>
  <c r="BL761" i="1"/>
  <c r="BW761" i="1" s="1"/>
  <c r="CD761" i="1" s="1"/>
  <c r="BR755" i="1" l="1"/>
  <c r="AQ756" i="1" s="1"/>
  <c r="BL762" i="1"/>
  <c r="BW762" i="1" s="1"/>
  <c r="CD762" i="1" s="1"/>
  <c r="BI762" i="1"/>
  <c r="CD760" i="1"/>
  <c r="BX760" i="1"/>
  <c r="BX761" i="1"/>
  <c r="BY755" i="1" l="1"/>
  <c r="BC756" i="1"/>
  <c r="BU756" i="1" s="1"/>
  <c r="CE762" i="1"/>
  <c r="BX762" i="1"/>
  <c r="CE760" i="1"/>
  <c r="CE761" i="1"/>
  <c r="BM756" i="1" l="1"/>
  <c r="BN756" i="1" s="1"/>
  <c r="CB756" i="1"/>
  <c r="CC756" i="1" s="1"/>
  <c r="BV756" i="1"/>
  <c r="BP756" i="1" l="1"/>
  <c r="BO756" i="1"/>
  <c r="BR756" i="1" l="1"/>
  <c r="AQ757" i="1" s="1"/>
  <c r="BC757" i="1" s="1"/>
  <c r="BU757" i="1" s="1"/>
  <c r="BY756" i="1" l="1"/>
  <c r="BM757" i="1"/>
  <c r="BN757" i="1" s="1"/>
  <c r="CB757" i="1"/>
  <c r="CC757" i="1" s="1"/>
  <c r="BV757" i="1"/>
  <c r="BP757" i="1" l="1"/>
  <c r="BO757" i="1"/>
  <c r="BR757" i="1" l="1"/>
  <c r="AQ758" i="1" s="1"/>
  <c r="BY757" i="1" l="1"/>
  <c r="BC758" i="1"/>
  <c r="BU758" i="1" s="1"/>
  <c r="BM758" i="1" l="1"/>
  <c r="BN758" i="1" s="1"/>
  <c r="CB758" i="1"/>
  <c r="CC758" i="1" s="1"/>
  <c r="BV758" i="1"/>
  <c r="BO758" i="1" l="1"/>
  <c r="BP758" i="1"/>
  <c r="BR758" i="1" l="1"/>
  <c r="BY758" i="1" s="1"/>
  <c r="AQ759" i="1"/>
  <c r="BC759" i="1" s="1"/>
  <c r="BU759" i="1" s="1"/>
  <c r="BM759" i="1" l="1"/>
  <c r="BO759" i="1" s="1"/>
  <c r="CB759" i="1"/>
  <c r="CC759" i="1" s="1"/>
  <c r="BV759" i="1"/>
  <c r="BP759" i="1" l="1"/>
  <c r="BN759" i="1"/>
  <c r="BR759" i="1" l="1"/>
  <c r="BY759" i="1" s="1"/>
  <c r="AQ760" i="1" l="1"/>
  <c r="BC760" i="1" s="1"/>
  <c r="BU760" i="1" s="1"/>
  <c r="BV760" i="1" s="1"/>
  <c r="CB760" i="1" l="1"/>
  <c r="CC760" i="1" s="1"/>
  <c r="BM760" i="1"/>
  <c r="BP760" i="1" s="1"/>
  <c r="BN760" i="1" l="1"/>
  <c r="BO760" i="1"/>
  <c r="BR760" i="1"/>
  <c r="BY760" i="1" s="1"/>
  <c r="AQ761" i="1" l="1"/>
  <c r="BC761" i="1" s="1"/>
  <c r="BU761" i="1" s="1"/>
  <c r="BM761" i="1" l="1"/>
  <c r="BP761" i="1" s="1"/>
  <c r="CB761" i="1"/>
  <c r="CC761" i="1" s="1"/>
  <c r="BV761" i="1"/>
  <c r="BO761" i="1" l="1"/>
  <c r="BN761" i="1"/>
  <c r="BR761" i="1" l="1"/>
  <c r="AQ762" i="1" s="1"/>
  <c r="BC762" i="1" s="1"/>
  <c r="BU762" i="1" s="1"/>
  <c r="BY761" i="1" l="1"/>
  <c r="BM762" i="1"/>
  <c r="CB762" i="1"/>
  <c r="CC762" i="1" s="1"/>
  <c r="BV762" i="1"/>
  <c r="BN762" i="1" l="1"/>
  <c r="BP762" i="1"/>
  <c r="BO762" i="1"/>
  <c r="BR762" i="1" l="1"/>
  <c r="BY762" i="1" s="1"/>
  <c r="AQ763" i="1" l="1"/>
  <c r="BC763" i="1" s="1"/>
  <c r="BH763" i="1" l="1"/>
  <c r="BI763" i="1" s="1"/>
  <c r="BJ763" i="1"/>
  <c r="BK763" i="1" s="1"/>
  <c r="BH764" i="1"/>
  <c r="CH763" i="1"/>
  <c r="CH764" i="1" s="1"/>
  <c r="CH765" i="1" s="1"/>
  <c r="CH766" i="1" s="1"/>
  <c r="CH767" i="1" s="1"/>
  <c r="CH768" i="1" s="1"/>
  <c r="BU763" i="1"/>
  <c r="BL763" i="1" l="1"/>
  <c r="BW763" i="1" s="1"/>
  <c r="BJ764" i="1"/>
  <c r="BK764" i="1" s="1"/>
  <c r="BI764" i="1"/>
  <c r="BH765" i="1"/>
  <c r="CB763" i="1"/>
  <c r="CC763" i="1" s="1"/>
  <c r="M117" i="1" s="1"/>
  <c r="BV763" i="1"/>
  <c r="L117" i="1" s="1"/>
  <c r="BM763" i="1" l="1"/>
  <c r="BP763" i="1" s="1"/>
  <c r="BL764" i="1"/>
  <c r="BW764" i="1" s="1"/>
  <c r="CD764" i="1" s="1"/>
  <c r="BJ765" i="1"/>
  <c r="BL765" i="1" s="1"/>
  <c r="BW765" i="1" s="1"/>
  <c r="CD765" i="1" s="1"/>
  <c r="Z314" i="3"/>
  <c r="AH314" i="3"/>
  <c r="CD763" i="1"/>
  <c r="BX764" i="1"/>
  <c r="BX763" i="1"/>
  <c r="N117" i="1" s="1"/>
  <c r="BI765" i="1"/>
  <c r="BH766" i="1"/>
  <c r="BN763" i="1" l="1"/>
  <c r="BO763" i="1"/>
  <c r="BK765" i="1"/>
  <c r="BJ766" i="1"/>
  <c r="BL766" i="1" s="1"/>
  <c r="BW766" i="1" s="1"/>
  <c r="AF116" i="1"/>
  <c r="AI116" i="1" s="1"/>
  <c r="AP314" i="3"/>
  <c r="CE765" i="1"/>
  <c r="CE763" i="1"/>
  <c r="O117" i="1" s="1"/>
  <c r="CE764" i="1"/>
  <c r="BI766" i="1"/>
  <c r="BH767" i="1"/>
  <c r="BX765" i="1"/>
  <c r="BR763" i="1" l="1"/>
  <c r="AQ764" i="1"/>
  <c r="P117" i="1"/>
  <c r="BF314" i="3" s="1"/>
  <c r="CD766" i="1"/>
  <c r="CE766" i="1" s="1"/>
  <c r="BX766" i="1"/>
  <c r="BJ767" i="1"/>
  <c r="BL767" i="1" s="1"/>
  <c r="BW767" i="1" s="1"/>
  <c r="BK766" i="1"/>
  <c r="BY763" i="1"/>
  <c r="Q117" i="1" s="1"/>
  <c r="BN314" i="3" s="1"/>
  <c r="AX314" i="3"/>
  <c r="BI767" i="1"/>
  <c r="BH768" i="1"/>
  <c r="BI768" i="1" s="1"/>
  <c r="BC764" i="1"/>
  <c r="BU764" i="1" s="1"/>
  <c r="BK767" i="1" l="1"/>
  <c r="BJ768" i="1"/>
  <c r="BL768" i="1" s="1"/>
  <c r="BW768" i="1" s="1"/>
  <c r="CD768" i="1" s="1"/>
  <c r="BM764" i="1"/>
  <c r="BP764" i="1" s="1"/>
  <c r="CD767" i="1"/>
  <c r="CE767" i="1" s="1"/>
  <c r="BX767" i="1"/>
  <c r="CB764" i="1"/>
  <c r="CC764" i="1" s="1"/>
  <c r="BV764" i="1"/>
  <c r="CE768" i="1" l="1"/>
  <c r="BK768" i="1"/>
  <c r="BN764" i="1"/>
  <c r="BO764" i="1"/>
  <c r="BX768" i="1"/>
  <c r="BR764" i="1" l="1"/>
  <c r="AQ765" i="1" s="1"/>
  <c r="BY764" i="1" l="1"/>
  <c r="BC765" i="1"/>
  <c r="BU765" i="1" s="1"/>
  <c r="CB765" i="1" s="1"/>
  <c r="CC765" i="1" s="1"/>
  <c r="BV765" i="1" l="1"/>
  <c r="BM765" i="1"/>
  <c r="BP765" i="1" l="1"/>
  <c r="BO765" i="1"/>
  <c r="BN765" i="1"/>
  <c r="CH769" i="1"/>
  <c r="CH770" i="1" s="1"/>
  <c r="CH771" i="1" s="1"/>
  <c r="BR765" i="1" l="1"/>
  <c r="BY765" i="1" s="1"/>
  <c r="BJ769" i="1"/>
  <c r="BH769" i="1"/>
  <c r="AQ766" i="1" l="1"/>
  <c r="BC766" i="1" s="1"/>
  <c r="BU766" i="1" s="1"/>
  <c r="BI769" i="1"/>
  <c r="BH770" i="1"/>
  <c r="BL769" i="1"/>
  <c r="BJ770" i="1"/>
  <c r="BK769" i="1"/>
  <c r="CB766" i="1" l="1"/>
  <c r="CC766" i="1" s="1"/>
  <c r="BV766" i="1"/>
  <c r="BM766" i="1"/>
  <c r="BI770" i="1"/>
  <c r="BH771" i="1"/>
  <c r="BI771" i="1" s="1"/>
  <c r="BK770" i="1"/>
  <c r="BL770" i="1"/>
  <c r="BW770" i="1" s="1"/>
  <c r="CD770" i="1" s="1"/>
  <c r="BJ771" i="1"/>
  <c r="BW769" i="1"/>
  <c r="BN766" i="1" l="1"/>
  <c r="BO766" i="1"/>
  <c r="BP766" i="1"/>
  <c r="BL771" i="1"/>
  <c r="BW771" i="1" s="1"/>
  <c r="CD771" i="1" s="1"/>
  <c r="BK771" i="1"/>
  <c r="CD769" i="1"/>
  <c r="BX769" i="1"/>
  <c r="BX770" i="1"/>
  <c r="BR766" i="1" l="1"/>
  <c r="BY766" i="1" s="1"/>
  <c r="BX771" i="1"/>
  <c r="CE769" i="1"/>
  <c r="CE770" i="1"/>
  <c r="CE771" i="1"/>
  <c r="AQ767" i="1" l="1"/>
  <c r="BC767" i="1" s="1"/>
  <c r="BU767" i="1" s="1"/>
  <c r="BM767" i="1" l="1"/>
  <c r="BP767" i="1" s="1"/>
  <c r="CB767" i="1"/>
  <c r="CC767" i="1" s="1"/>
  <c r="BV767" i="1"/>
  <c r="BO767" i="1" l="1"/>
  <c r="BN767" i="1"/>
  <c r="CH772" i="1"/>
  <c r="CH773" i="1" s="1"/>
  <c r="CH774" i="1" s="1"/>
  <c r="BR767" i="1" l="1"/>
  <c r="AQ768" i="1" s="1"/>
  <c r="BC768" i="1" s="1"/>
  <c r="BU768" i="1" s="1"/>
  <c r="BJ772" i="1"/>
  <c r="BK772" i="1" s="1"/>
  <c r="BH772" i="1"/>
  <c r="BI772" i="1" s="1"/>
  <c r="BY767" i="1" l="1"/>
  <c r="BM768" i="1"/>
  <c r="BN768" i="1" s="1"/>
  <c r="CB768" i="1"/>
  <c r="CC768" i="1" s="1"/>
  <c r="BV768" i="1"/>
  <c r="BJ773" i="1"/>
  <c r="BK773" i="1" s="1"/>
  <c r="BH773" i="1"/>
  <c r="BI773" i="1" s="1"/>
  <c r="BL772" i="1"/>
  <c r="BW772" i="1" s="1"/>
  <c r="BP768" i="1" l="1"/>
  <c r="BO768" i="1"/>
  <c r="BJ774" i="1"/>
  <c r="BK774" i="1" s="1"/>
  <c r="BH774" i="1"/>
  <c r="BI774" i="1" s="1"/>
  <c r="BL773" i="1"/>
  <c r="BW773" i="1" s="1"/>
  <c r="CD773" i="1" s="1"/>
  <c r="CD772" i="1"/>
  <c r="BX772" i="1"/>
  <c r="BR768" i="1" l="1"/>
  <c r="BY768" i="1" s="1"/>
  <c r="AQ769" i="1"/>
  <c r="BC769" i="1" s="1"/>
  <c r="BU769" i="1" s="1"/>
  <c r="BL774" i="1"/>
  <c r="BW774" i="1" s="1"/>
  <c r="CD774" i="1" s="1"/>
  <c r="BX773" i="1"/>
  <c r="CE772" i="1"/>
  <c r="CE773" i="1"/>
  <c r="BM769" i="1" l="1"/>
  <c r="BP769" i="1" s="1"/>
  <c r="BV769" i="1"/>
  <c r="CB769" i="1"/>
  <c r="CC769" i="1" s="1"/>
  <c r="BX774" i="1"/>
  <c r="CE774" i="1"/>
  <c r="BO769" i="1" l="1"/>
  <c r="BN769" i="1"/>
  <c r="BR769" i="1" s="1"/>
  <c r="BY769" i="1" l="1"/>
  <c r="AQ770" i="1"/>
  <c r="BC770" i="1" s="1"/>
  <c r="BU770" i="1" s="1"/>
  <c r="CB770" i="1" s="1"/>
  <c r="CC770" i="1" s="1"/>
  <c r="BV770" i="1" l="1"/>
  <c r="BM770" i="1"/>
  <c r="BP770" i="1" l="1"/>
  <c r="BO770" i="1"/>
  <c r="BN770" i="1"/>
  <c r="BR770" i="1" l="1"/>
  <c r="AQ771" i="1" s="1"/>
  <c r="BY770" i="1" l="1"/>
  <c r="BC771" i="1"/>
  <c r="BU771" i="1" s="1"/>
  <c r="BM771" i="1" l="1"/>
  <c r="BV771" i="1"/>
  <c r="CB771" i="1"/>
  <c r="CC771" i="1" s="1"/>
  <c r="BP771" i="1" l="1"/>
  <c r="BO771" i="1"/>
  <c r="BN771" i="1"/>
  <c r="BR771" i="1" l="1"/>
  <c r="AQ772" i="1" s="1"/>
  <c r="BC772" i="1" s="1"/>
  <c r="BU772" i="1" s="1"/>
  <c r="CB772" i="1" s="1"/>
  <c r="CC772" i="1" s="1"/>
  <c r="BV772" i="1" l="1"/>
  <c r="BM772" i="1"/>
  <c r="BP772" i="1" s="1"/>
  <c r="BY771" i="1"/>
  <c r="BN772" i="1" l="1"/>
  <c r="BO772" i="1"/>
  <c r="BR772" i="1"/>
  <c r="AQ773" i="1" s="1"/>
  <c r="BC773" i="1" s="1"/>
  <c r="BU773" i="1" s="1"/>
  <c r="BY772" i="1" l="1"/>
  <c r="BM773" i="1"/>
  <c r="BP773" i="1" s="1"/>
  <c r="CB773" i="1"/>
  <c r="BV773" i="1"/>
  <c r="BO773" i="1" l="1"/>
  <c r="BN773" i="1"/>
  <c r="CC773" i="1"/>
  <c r="BR773" i="1" l="1"/>
  <c r="AQ774" i="1" s="1"/>
  <c r="BC774" i="1" s="1"/>
  <c r="BU774" i="1" s="1"/>
  <c r="BY773" i="1" l="1"/>
  <c r="BM774" i="1"/>
  <c r="BV774" i="1"/>
  <c r="CB774" i="1"/>
  <c r="CC774" i="1" l="1"/>
  <c r="BN774" i="1"/>
  <c r="BO774" i="1"/>
  <c r="BP774" i="1"/>
  <c r="BR774" i="1" l="1"/>
  <c r="AQ775" i="1" s="1"/>
  <c r="BY774" i="1" l="1"/>
  <c r="BC775" i="1"/>
  <c r="BU775" i="1" s="1"/>
  <c r="BH775" i="1"/>
  <c r="CH775" i="1"/>
  <c r="CH776" i="1" s="1"/>
  <c r="CH777" i="1" s="1"/>
  <c r="CH778" i="1" s="1"/>
  <c r="CH779" i="1" s="1"/>
  <c r="CH780" i="1" s="1"/>
  <c r="BJ775" i="1" l="1"/>
  <c r="BK775" i="1" s="1"/>
  <c r="BI775" i="1"/>
  <c r="BH776" i="1"/>
  <c r="CB775" i="1"/>
  <c r="CC775" i="1" s="1"/>
  <c r="M118" i="1" s="1"/>
  <c r="BV775" i="1"/>
  <c r="L118" i="1" s="1"/>
  <c r="BJ776" i="1" l="1"/>
  <c r="BK776" i="1" s="1"/>
  <c r="BL775" i="1"/>
  <c r="BW775" i="1" s="1"/>
  <c r="Z315" i="3"/>
  <c r="BI776" i="1"/>
  <c r="BH777" i="1"/>
  <c r="BM775" i="1"/>
  <c r="AH315" i="3"/>
  <c r="BL776" i="1" l="1"/>
  <c r="BW776" i="1" s="1"/>
  <c r="CD776" i="1" s="1"/>
  <c r="BJ777" i="1"/>
  <c r="BJ778" i="1" s="1"/>
  <c r="BX775" i="1"/>
  <c r="N118" i="1" s="1"/>
  <c r="CD775" i="1"/>
  <c r="BX776" i="1"/>
  <c r="BN775" i="1"/>
  <c r="BO775" i="1"/>
  <c r="BP775" i="1"/>
  <c r="BI777" i="1"/>
  <c r="BH778" i="1"/>
  <c r="BL777" i="1" l="1"/>
  <c r="BW777" i="1" s="1"/>
  <c r="CD777" i="1" s="1"/>
  <c r="BK777" i="1"/>
  <c r="BR775" i="1"/>
  <c r="AQ776" i="1" s="1"/>
  <c r="BI778" i="1"/>
  <c r="BH779" i="1"/>
  <c r="BJ779" i="1"/>
  <c r="BL778" i="1"/>
  <c r="BW778" i="1" s="1"/>
  <c r="BK778" i="1"/>
  <c r="BX777" i="1"/>
  <c r="CE775" i="1"/>
  <c r="O118" i="1" s="1"/>
  <c r="CE776" i="1"/>
  <c r="CE777" i="1"/>
  <c r="AP315" i="3"/>
  <c r="AF117" i="1"/>
  <c r="AI117" i="1" s="1"/>
  <c r="P118" i="1" l="1"/>
  <c r="BY775" i="1"/>
  <c r="Q118" i="1" s="1"/>
  <c r="CD778" i="1"/>
  <c r="BX778" i="1"/>
  <c r="AX315" i="3"/>
  <c r="BC776" i="1"/>
  <c r="BU776" i="1" s="1"/>
  <c r="BK779" i="1"/>
  <c r="BJ780" i="1"/>
  <c r="BL779" i="1"/>
  <c r="BW779" i="1" s="1"/>
  <c r="CD779" i="1" s="1"/>
  <c r="BH780" i="1"/>
  <c r="BI780" i="1" s="1"/>
  <c r="BI779" i="1"/>
  <c r="CE779" i="1" l="1"/>
  <c r="BN315" i="3"/>
  <c r="BF315" i="3"/>
  <c r="BM776" i="1"/>
  <c r="BP776" i="1" s="1"/>
  <c r="CB776" i="1"/>
  <c r="CC776" i="1" s="1"/>
  <c r="BV776" i="1"/>
  <c r="BX779" i="1"/>
  <c r="BL780" i="1"/>
  <c r="BW780" i="1" s="1"/>
  <c r="CD780" i="1" s="1"/>
  <c r="CE780" i="1" s="1"/>
  <c r="BK780" i="1"/>
  <c r="CE778" i="1"/>
  <c r="BO776" i="1" l="1"/>
  <c r="BN776" i="1"/>
  <c r="BX780" i="1"/>
  <c r="BR776" i="1" l="1"/>
  <c r="BY776" i="1" s="1"/>
  <c r="AQ777" i="1" l="1"/>
  <c r="BC777" i="1" s="1"/>
  <c r="BU777" i="1" s="1"/>
  <c r="BM777" i="1" l="1"/>
  <c r="BP777" i="1" s="1"/>
  <c r="CB777" i="1"/>
  <c r="CC777" i="1" s="1"/>
  <c r="BV777" i="1"/>
  <c r="BO777" i="1" l="1"/>
  <c r="BN777" i="1"/>
  <c r="BR777" i="1" l="1"/>
  <c r="BY777" i="1" s="1"/>
  <c r="AQ778" i="1" l="1"/>
  <c r="BC778" i="1" s="1"/>
  <c r="BU778" i="1" s="1"/>
  <c r="CB778" i="1" s="1"/>
  <c r="CC778" i="1" s="1"/>
  <c r="BM778" i="1" l="1"/>
  <c r="BN778" i="1" s="1"/>
  <c r="BV778" i="1"/>
  <c r="BP778" i="1" l="1"/>
  <c r="BO778" i="1"/>
  <c r="BR778" i="1" s="1"/>
  <c r="AQ779" i="1" s="1"/>
  <c r="BC779" i="1" s="1"/>
  <c r="BU779" i="1" s="1"/>
  <c r="CB779" i="1" s="1"/>
  <c r="CC779" i="1" s="1"/>
  <c r="BV779" i="1" l="1"/>
  <c r="BM779" i="1"/>
  <c r="BN779" i="1" s="1"/>
  <c r="BY778" i="1"/>
  <c r="BP779" i="1" l="1"/>
  <c r="BO779" i="1"/>
  <c r="BR779" i="1" s="1"/>
  <c r="BY779" i="1" s="1"/>
  <c r="CH781" i="1"/>
  <c r="CH782" i="1" s="1"/>
  <c r="CH783" i="1" s="1"/>
  <c r="BJ781" i="1"/>
  <c r="BH781" i="1"/>
  <c r="AQ780" i="1" l="1"/>
  <c r="BC780" i="1" s="1"/>
  <c r="BU780" i="1" s="1"/>
  <c r="CB780" i="1" s="1"/>
  <c r="CC780" i="1" s="1"/>
  <c r="BH782" i="1"/>
  <c r="BI781" i="1"/>
  <c r="BK781" i="1"/>
  <c r="BL781" i="1"/>
  <c r="BJ782" i="1"/>
  <c r="BV780" i="1" l="1"/>
  <c r="BM780" i="1"/>
  <c r="BP780" i="1" s="1"/>
  <c r="BJ783" i="1"/>
  <c r="BL782" i="1"/>
  <c r="BW782" i="1" s="1"/>
  <c r="CD782" i="1" s="1"/>
  <c r="BK782" i="1"/>
  <c r="BW781" i="1"/>
  <c r="BI782" i="1"/>
  <c r="BH783" i="1"/>
  <c r="BI783" i="1" s="1"/>
  <c r="BO780" i="1" l="1"/>
  <c r="BN780" i="1"/>
  <c r="CD781" i="1"/>
  <c r="CE781" i="1" s="1"/>
  <c r="BX781" i="1"/>
  <c r="BX782" i="1"/>
  <c r="BK783" i="1"/>
  <c r="BL783" i="1"/>
  <c r="BW783" i="1" s="1"/>
  <c r="CD783" i="1" s="1"/>
  <c r="BR780" i="1" l="1"/>
  <c r="BY780" i="1" s="1"/>
  <c r="BX783" i="1"/>
  <c r="CE783" i="1"/>
  <c r="CE782" i="1"/>
  <c r="AQ781" i="1" l="1"/>
  <c r="BC781" i="1" s="1"/>
  <c r="BU781" i="1" s="1"/>
  <c r="BV781" i="1" s="1"/>
  <c r="CB781" i="1" l="1"/>
  <c r="CC781" i="1" s="1"/>
  <c r="BM781" i="1"/>
  <c r="BN781" i="1" s="1"/>
  <c r="BP781" i="1" l="1"/>
  <c r="BO781" i="1"/>
  <c r="BR781" i="1" s="1"/>
  <c r="AQ782" i="1" s="1"/>
  <c r="BC782" i="1" s="1"/>
  <c r="BU782" i="1" s="1"/>
  <c r="BV782" i="1" s="1"/>
  <c r="BM782" i="1" l="1"/>
  <c r="BN782" i="1" s="1"/>
  <c r="CB782" i="1"/>
  <c r="CC782" i="1" s="1"/>
  <c r="BY781" i="1"/>
  <c r="BP782" i="1" l="1"/>
  <c r="BO782" i="1"/>
  <c r="CH784" i="1"/>
  <c r="CH785" i="1" s="1"/>
  <c r="CH786" i="1" s="1"/>
  <c r="BJ784" i="1"/>
  <c r="BR782" i="1" l="1"/>
  <c r="BY782" i="1" s="1"/>
  <c r="BH784" i="1"/>
  <c r="BL784" i="1" s="1"/>
  <c r="BJ785" i="1"/>
  <c r="BK784" i="1"/>
  <c r="AQ783" i="1" l="1"/>
  <c r="BC783" i="1" s="1"/>
  <c r="BU783" i="1" s="1"/>
  <c r="CB783" i="1" s="1"/>
  <c r="CC783" i="1" s="1"/>
  <c r="BH785" i="1"/>
  <c r="BI785" i="1" s="1"/>
  <c r="BI784" i="1"/>
  <c r="BK785" i="1"/>
  <c r="BJ786" i="1"/>
  <c r="BW784" i="1"/>
  <c r="BV783" i="1" l="1"/>
  <c r="BM783" i="1"/>
  <c r="BP783" i="1" s="1"/>
  <c r="BL785" i="1"/>
  <c r="BW785" i="1" s="1"/>
  <c r="CD785" i="1" s="1"/>
  <c r="BH786" i="1"/>
  <c r="CD784" i="1"/>
  <c r="BX784" i="1"/>
  <c r="BK786" i="1"/>
  <c r="BO783" i="1" l="1"/>
  <c r="BN783" i="1"/>
  <c r="BR783" i="1" s="1"/>
  <c r="BI786" i="1"/>
  <c r="BL786" i="1"/>
  <c r="BW786" i="1" s="1"/>
  <c r="BX786" i="1" s="1"/>
  <c r="BX785" i="1"/>
  <c r="CE784" i="1"/>
  <c r="CE785" i="1"/>
  <c r="AQ784" i="1" l="1"/>
  <c r="BC784" i="1" s="1"/>
  <c r="BU784" i="1" s="1"/>
  <c r="CB784" i="1" s="1"/>
  <c r="CC784" i="1" s="1"/>
  <c r="BY783" i="1"/>
  <c r="CD786" i="1"/>
  <c r="CE786" i="1" s="1"/>
  <c r="BV784" i="1" l="1"/>
  <c r="BM784" i="1"/>
  <c r="BN784" i="1" s="1"/>
  <c r="BO784" i="1" l="1"/>
  <c r="BP784" i="1"/>
  <c r="BR784" i="1" l="1"/>
  <c r="BY784" i="1" s="1"/>
  <c r="AQ785" i="1" l="1"/>
  <c r="BC785" i="1" s="1"/>
  <c r="BU785" i="1" s="1"/>
  <c r="CB785" i="1" s="1"/>
  <c r="CC785" i="1" s="1"/>
  <c r="BM785" i="1"/>
  <c r="BN785" i="1" s="1"/>
  <c r="BV785" i="1"/>
  <c r="BP785" i="1" l="1"/>
  <c r="BO785" i="1"/>
  <c r="BR785" i="1" l="1"/>
  <c r="AQ786" i="1" s="1"/>
  <c r="BC786" i="1" s="1"/>
  <c r="BU786" i="1" s="1"/>
  <c r="CB786" i="1" s="1"/>
  <c r="CC786" i="1" s="1"/>
  <c r="BY785" i="1" l="1"/>
  <c r="BM786" i="1"/>
  <c r="BO786" i="1" s="1"/>
  <c r="BV786" i="1"/>
  <c r="BN786" i="1" l="1"/>
  <c r="BP786" i="1"/>
  <c r="BR786" i="1" l="1"/>
  <c r="BY786" i="1" s="1"/>
  <c r="AQ787" i="1" l="1"/>
  <c r="BC787" i="1" l="1"/>
  <c r="BH787" i="1" s="1"/>
  <c r="BI787" i="1" s="1"/>
  <c r="BJ787" i="1"/>
  <c r="BJ788" i="1" s="1"/>
  <c r="BK788" i="1" s="1"/>
  <c r="CH787" i="1"/>
  <c r="CH788" i="1" s="1"/>
  <c r="CH789" i="1" s="1"/>
  <c r="CH790" i="1" s="1"/>
  <c r="CH791" i="1" s="1"/>
  <c r="CH792" i="1" s="1"/>
  <c r="BL787" i="1" l="1"/>
  <c r="BW787" i="1" s="1"/>
  <c r="BK787" i="1"/>
  <c r="BH788" i="1"/>
  <c r="BI788" i="1" s="1"/>
  <c r="BU787" i="1"/>
  <c r="BJ789" i="1"/>
  <c r="BK789" i="1" s="1"/>
  <c r="BL788" i="1"/>
  <c r="BH789" i="1" l="1"/>
  <c r="BI789" i="1" s="1"/>
  <c r="BM787" i="1"/>
  <c r="BO787" i="1" s="1"/>
  <c r="CB787" i="1"/>
  <c r="CC787" i="1" s="1"/>
  <c r="M119" i="1" s="1"/>
  <c r="BV787" i="1"/>
  <c r="L119" i="1" s="1"/>
  <c r="CD787" i="1"/>
  <c r="CE787" i="1" s="1"/>
  <c r="O119" i="1" s="1"/>
  <c r="BX787" i="1"/>
  <c r="N119" i="1" s="1"/>
  <c r="BJ790" i="1"/>
  <c r="BJ791" i="1" s="1"/>
  <c r="BL789" i="1"/>
  <c r="BW789" i="1" s="1"/>
  <c r="CD789" i="1" s="1"/>
  <c r="BW788" i="1"/>
  <c r="BH790" i="1" l="1"/>
  <c r="BH791" i="1" s="1"/>
  <c r="BL791" i="1" s="1"/>
  <c r="BW791" i="1" s="1"/>
  <c r="CD791" i="1" s="1"/>
  <c r="AX316" i="3"/>
  <c r="Z316" i="3"/>
  <c r="AH316" i="3"/>
  <c r="BN787" i="1"/>
  <c r="BP787" i="1"/>
  <c r="AP316" i="3"/>
  <c r="AF118" i="1"/>
  <c r="AI118" i="1" s="1"/>
  <c r="BK790" i="1"/>
  <c r="CD788" i="1"/>
  <c r="BX788" i="1"/>
  <c r="BX789" i="1"/>
  <c r="BK791" i="1"/>
  <c r="BJ792" i="1"/>
  <c r="BL790" i="1"/>
  <c r="BW790" i="1" s="1"/>
  <c r="CD790" i="1" s="1"/>
  <c r="BI790" i="1" l="1"/>
  <c r="BR787" i="1"/>
  <c r="BY787" i="1" s="1"/>
  <c r="Q119" i="1" s="1"/>
  <c r="P119" i="1"/>
  <c r="BX791" i="1"/>
  <c r="BX790" i="1"/>
  <c r="BK792" i="1"/>
  <c r="CE788" i="1"/>
  <c r="CE789" i="1"/>
  <c r="CE790" i="1"/>
  <c r="CE791" i="1"/>
  <c r="BI791" i="1"/>
  <c r="BH792" i="1"/>
  <c r="AQ788" i="1" l="1"/>
  <c r="BC788" i="1" s="1"/>
  <c r="BU788" i="1" s="1"/>
  <c r="CB788" i="1" s="1"/>
  <c r="CC788" i="1" s="1"/>
  <c r="BF316" i="3"/>
  <c r="BN316" i="3"/>
  <c r="BI792" i="1"/>
  <c r="BL792" i="1"/>
  <c r="BW792" i="1" s="1"/>
  <c r="BV788" i="1" l="1"/>
  <c r="BM788" i="1"/>
  <c r="BP788" i="1" s="1"/>
  <c r="CD792" i="1"/>
  <c r="BX792" i="1"/>
  <c r="BN788" i="1" l="1"/>
  <c r="BO788" i="1"/>
  <c r="CE792" i="1"/>
  <c r="BR788" i="1" l="1"/>
  <c r="AQ789" i="1" s="1"/>
  <c r="BC789" i="1" s="1"/>
  <c r="BU789" i="1" s="1"/>
  <c r="BY788" i="1" l="1"/>
  <c r="BM789" i="1"/>
  <c r="CB789" i="1"/>
  <c r="CC789" i="1" s="1"/>
  <c r="BV789" i="1"/>
  <c r="BO789" i="1" l="1"/>
  <c r="BN789" i="1"/>
  <c r="BP789" i="1"/>
  <c r="BR789" i="1" l="1"/>
  <c r="AQ790" i="1" l="1"/>
  <c r="BY789" i="1"/>
  <c r="BC790" i="1" l="1"/>
  <c r="BU790" i="1" s="1"/>
  <c r="BM790" i="1" l="1"/>
  <c r="BO790" i="1" s="1"/>
  <c r="CB790" i="1"/>
  <c r="CC790" i="1" s="1"/>
  <c r="BV790" i="1"/>
  <c r="BP790" i="1" l="1"/>
  <c r="BN790" i="1"/>
  <c r="BR790" i="1" l="1"/>
  <c r="AQ791" i="1" s="1"/>
  <c r="BC791" i="1" s="1"/>
  <c r="BU791" i="1" s="1"/>
  <c r="BY790" i="1" l="1"/>
  <c r="BM791" i="1"/>
  <c r="BN791" i="1" s="1"/>
  <c r="CB791" i="1"/>
  <c r="CC791" i="1" s="1"/>
  <c r="BV791" i="1"/>
  <c r="BP791" i="1" l="1"/>
  <c r="BO791" i="1"/>
  <c r="BR791" i="1" s="1"/>
  <c r="AQ792" i="1" l="1"/>
  <c r="BC792" i="1" s="1"/>
  <c r="BU792" i="1" s="1"/>
  <c r="CB792" i="1" s="1"/>
  <c r="CC792" i="1" s="1"/>
  <c r="BY791" i="1"/>
  <c r="BV792" i="1" l="1"/>
  <c r="BM792" i="1"/>
  <c r="BN792" i="1" s="1"/>
  <c r="BP792" i="1" l="1"/>
  <c r="BO792" i="1"/>
  <c r="CH793" i="1"/>
  <c r="CH794" i="1" s="1"/>
  <c r="CH795" i="1" s="1"/>
  <c r="BH793" i="1"/>
  <c r="BI793" i="1" s="1"/>
  <c r="BJ793" i="1"/>
  <c r="BK793" i="1" s="1"/>
  <c r="BR792" i="1" l="1"/>
  <c r="AQ793" i="1" s="1"/>
  <c r="BC793" i="1" s="1"/>
  <c r="BU793" i="1" s="1"/>
  <c r="BV793" i="1"/>
  <c r="CB793" i="1"/>
  <c r="CC793" i="1" s="1"/>
  <c r="BY792" i="1"/>
  <c r="BH794" i="1"/>
  <c r="BI794" i="1" s="1"/>
  <c r="BJ794" i="1"/>
  <c r="BK794" i="1" s="1"/>
  <c r="BL793" i="1"/>
  <c r="BH795" i="1" l="1"/>
  <c r="BI795" i="1" s="1"/>
  <c r="BJ795" i="1"/>
  <c r="BK795" i="1" s="1"/>
  <c r="BL794" i="1"/>
  <c r="BW794" i="1" s="1"/>
  <c r="CD794" i="1" s="1"/>
  <c r="BW793" i="1"/>
  <c r="BM793" i="1"/>
  <c r="BX794" i="1" l="1"/>
  <c r="BL795" i="1"/>
  <c r="BW795" i="1" s="1"/>
  <c r="CD795" i="1" s="1"/>
  <c r="BP793" i="1"/>
  <c r="BO793" i="1"/>
  <c r="BN793" i="1"/>
  <c r="BX793" i="1"/>
  <c r="CD793" i="1"/>
  <c r="BX795" i="1" l="1"/>
  <c r="BR793" i="1"/>
  <c r="CE794" i="1"/>
  <c r="CE793" i="1"/>
  <c r="CE795" i="1"/>
  <c r="AQ794" i="1" l="1"/>
  <c r="BY793" i="1"/>
  <c r="BC794" i="1" l="1"/>
  <c r="BU794" i="1" s="1"/>
  <c r="BM794" i="1" l="1"/>
  <c r="BN794" i="1" s="1"/>
  <c r="CB794" i="1"/>
  <c r="CC794" i="1" s="1"/>
  <c r="BV794" i="1"/>
  <c r="BP794" i="1" l="1"/>
  <c r="BO794" i="1"/>
  <c r="BR794" i="1" l="1"/>
  <c r="BY794" i="1" s="1"/>
  <c r="AQ795" i="1" l="1"/>
  <c r="BC795" i="1" s="1"/>
  <c r="BU795" i="1" s="1"/>
  <c r="CB795" i="1" s="1"/>
  <c r="CC795" i="1" s="1"/>
  <c r="BM795" i="1" l="1"/>
  <c r="BO795" i="1" s="1"/>
  <c r="BV795" i="1"/>
  <c r="CH796" i="1"/>
  <c r="CH797" i="1" s="1"/>
  <c r="CH798" i="1" s="1"/>
  <c r="BJ796" i="1"/>
  <c r="BK796" i="1" s="1"/>
  <c r="BH796" i="1"/>
  <c r="BH797" i="1" s="1"/>
  <c r="BN795" i="1" l="1"/>
  <c r="BP795" i="1"/>
  <c r="BJ797" i="1"/>
  <c r="BK797" i="1" s="1"/>
  <c r="BL796" i="1"/>
  <c r="BW796" i="1" s="1"/>
  <c r="BI796" i="1"/>
  <c r="BI797" i="1"/>
  <c r="BH798" i="1"/>
  <c r="BR795" i="1" l="1"/>
  <c r="BY795" i="1" s="1"/>
  <c r="BJ798" i="1"/>
  <c r="BL798" i="1" s="1"/>
  <c r="BW798" i="1" s="1"/>
  <c r="BL797" i="1"/>
  <c r="BW797" i="1" s="1"/>
  <c r="BX797" i="1" s="1"/>
  <c r="CD796" i="1"/>
  <c r="BX796" i="1"/>
  <c r="BI798" i="1"/>
  <c r="AQ796" i="1" l="1"/>
  <c r="BK798" i="1"/>
  <c r="CD797" i="1"/>
  <c r="CE797" i="1" s="1"/>
  <c r="CD798" i="1"/>
  <c r="BX798" i="1"/>
  <c r="CE796" i="1"/>
  <c r="BC796" i="1" l="1"/>
  <c r="BU796" i="1" s="1"/>
  <c r="CE798" i="1"/>
  <c r="BM796" i="1" l="1"/>
  <c r="BN796" i="1" s="1"/>
  <c r="CB796" i="1"/>
  <c r="CC796" i="1" s="1"/>
  <c r="BV796" i="1"/>
  <c r="BP796" i="1" l="1"/>
  <c r="BO796" i="1"/>
  <c r="BR796" i="1" l="1"/>
  <c r="AQ797" i="1" s="1"/>
  <c r="BC797" i="1" s="1"/>
  <c r="BU797" i="1" s="1"/>
  <c r="CB797" i="1" s="1"/>
  <c r="CC797" i="1" s="1"/>
  <c r="BM797" i="1" l="1"/>
  <c r="BO797" i="1" s="1"/>
  <c r="BV797" i="1"/>
  <c r="BY796" i="1"/>
  <c r="BP797" i="1" l="1"/>
  <c r="BN797" i="1"/>
  <c r="BR797" i="1" l="1"/>
  <c r="AQ798" i="1" s="1"/>
  <c r="BC798" i="1" s="1"/>
  <c r="BU798" i="1" s="1"/>
  <c r="CB798" i="1" s="1"/>
  <c r="CC798" i="1" s="1"/>
  <c r="BY797" i="1" l="1"/>
  <c r="BM798" i="1"/>
  <c r="BN798" i="1" s="1"/>
  <c r="BV798" i="1"/>
  <c r="BO798" i="1" l="1"/>
  <c r="BP798" i="1"/>
  <c r="BR798" i="1" l="1"/>
  <c r="BY798" i="1" s="1"/>
  <c r="AQ799" i="1" l="1"/>
  <c r="BC799" i="1" s="1"/>
  <c r="BU799" i="1" l="1"/>
  <c r="CH799" i="1"/>
  <c r="CH800" i="1" s="1"/>
  <c r="CH801" i="1" s="1"/>
  <c r="CH802" i="1" s="1"/>
  <c r="CH803" i="1" s="1"/>
  <c r="CH804" i="1" s="1"/>
  <c r="BH799" i="1"/>
  <c r="BI799" i="1" s="1"/>
  <c r="BJ799" i="1"/>
  <c r="BK799" i="1" s="1"/>
  <c r="BJ800" i="1" l="1"/>
  <c r="BL800" i="1" s="1"/>
  <c r="BH800" i="1"/>
  <c r="BI800" i="1" s="1"/>
  <c r="BL799" i="1"/>
  <c r="BW799" i="1" s="1"/>
  <c r="BV799" i="1"/>
  <c r="L120" i="1" s="1"/>
  <c r="CB799" i="1"/>
  <c r="CC799" i="1" s="1"/>
  <c r="M120" i="1" s="1"/>
  <c r="BM799" i="1" l="1"/>
  <c r="BN799" i="1" s="1"/>
  <c r="BK800" i="1"/>
  <c r="AH317" i="3"/>
  <c r="Z317" i="3"/>
  <c r="BJ801" i="1"/>
  <c r="BK801" i="1" s="1"/>
  <c r="BH801" i="1"/>
  <c r="BI801" i="1" s="1"/>
  <c r="BP799" i="1"/>
  <c r="BX799" i="1"/>
  <c r="N120" i="1" s="1"/>
  <c r="CD799" i="1"/>
  <c r="CE799" i="1" s="1"/>
  <c r="O120" i="1" s="1"/>
  <c r="BW800" i="1"/>
  <c r="BO799" i="1" l="1"/>
  <c r="BH802" i="1"/>
  <c r="BH803" i="1" s="1"/>
  <c r="BI803" i="1" s="1"/>
  <c r="AX317" i="3"/>
  <c r="BL801" i="1"/>
  <c r="BW801" i="1" s="1"/>
  <c r="CD801" i="1" s="1"/>
  <c r="BJ802" i="1"/>
  <c r="BL802" i="1" s="1"/>
  <c r="BW802" i="1" s="1"/>
  <c r="CD802" i="1" s="1"/>
  <c r="BR799" i="1"/>
  <c r="BY799" i="1" s="1"/>
  <c r="Q120" i="1" s="1"/>
  <c r="P120" i="1"/>
  <c r="AF119" i="1"/>
  <c r="AI119" i="1" s="1"/>
  <c r="AP317" i="3"/>
  <c r="CD800" i="1"/>
  <c r="BX800" i="1"/>
  <c r="AQ800" i="1" l="1"/>
  <c r="BC800" i="1" s="1"/>
  <c r="BU800" i="1" s="1"/>
  <c r="BH804" i="1"/>
  <c r="BI804" i="1" s="1"/>
  <c r="BJ803" i="1"/>
  <c r="BK803" i="1" s="1"/>
  <c r="BI802" i="1"/>
  <c r="BN317" i="3"/>
  <c r="BF317" i="3"/>
  <c r="BK802" i="1"/>
  <c r="BX802" i="1"/>
  <c r="BX801" i="1"/>
  <c r="CE800" i="1"/>
  <c r="CE801" i="1"/>
  <c r="CE802" i="1"/>
  <c r="BJ804" i="1" l="1"/>
  <c r="BL804" i="1" s="1"/>
  <c r="BW804" i="1" s="1"/>
  <c r="BL803" i="1"/>
  <c r="BW803" i="1" s="1"/>
  <c r="CD803" i="1" s="1"/>
  <c r="BM800" i="1"/>
  <c r="BP800" i="1" s="1"/>
  <c r="CB800" i="1"/>
  <c r="CC800" i="1" s="1"/>
  <c r="BV800" i="1"/>
  <c r="BK804" i="1" l="1"/>
  <c r="BX803" i="1"/>
  <c r="BO800" i="1"/>
  <c r="BN800" i="1"/>
  <c r="CE803" i="1"/>
  <c r="CD804" i="1"/>
  <c r="CE804" i="1" s="1"/>
  <c r="BX804" i="1"/>
  <c r="BR800" i="1" l="1"/>
  <c r="AQ801" i="1" s="1"/>
  <c r="BY800" i="1" l="1"/>
  <c r="BC801" i="1"/>
  <c r="BU801" i="1" s="1"/>
  <c r="BM801" i="1" l="1"/>
  <c r="BP801" i="1" s="1"/>
  <c r="CB801" i="1"/>
  <c r="CC801" i="1" s="1"/>
  <c r="BV801" i="1"/>
  <c r="BN801" i="1" l="1"/>
  <c r="BO801" i="1"/>
  <c r="BR801" i="1" l="1"/>
  <c r="BY801" i="1" s="1"/>
  <c r="AQ802" i="1" l="1"/>
  <c r="BC802" i="1" s="1"/>
  <c r="BU802" i="1" s="1"/>
  <c r="CB802" i="1" s="1"/>
  <c r="CC802" i="1" s="1"/>
  <c r="BV802" i="1" l="1"/>
  <c r="BM802" i="1"/>
  <c r="BP802" i="1" s="1"/>
  <c r="BO802" i="1" l="1"/>
  <c r="BN802" i="1"/>
  <c r="BR802" i="1" l="1"/>
  <c r="AQ803" i="1" s="1"/>
  <c r="BC803" i="1" s="1"/>
  <c r="BU803" i="1" s="1"/>
  <c r="BV803" i="1" s="1"/>
  <c r="CB803" i="1" l="1"/>
  <c r="CC803" i="1" s="1"/>
  <c r="BM803" i="1"/>
  <c r="BN803" i="1" s="1"/>
  <c r="BY802" i="1"/>
  <c r="BP803" i="1" l="1"/>
  <c r="BO803" i="1"/>
  <c r="BR803" i="1" l="1"/>
  <c r="AQ804" i="1" s="1"/>
  <c r="BY803" i="1"/>
  <c r="BC804" i="1"/>
  <c r="BU804" i="1" s="1"/>
  <c r="BM804" i="1" l="1"/>
  <c r="CB804" i="1"/>
  <c r="CC804" i="1" s="1"/>
  <c r="BV804" i="1"/>
  <c r="BP804" i="1" l="1"/>
  <c r="BN804" i="1"/>
  <c r="BO804" i="1"/>
  <c r="BJ805" i="1"/>
  <c r="BL805" i="1" s="1"/>
  <c r="BH805" i="1"/>
  <c r="BI805" i="1" s="1"/>
  <c r="CH805" i="1"/>
  <c r="CH806" i="1" s="1"/>
  <c r="CH807" i="1" s="1"/>
  <c r="BR804" i="1" l="1"/>
  <c r="AQ805" i="1" s="1"/>
  <c r="BJ806" i="1"/>
  <c r="BL806" i="1" s="1"/>
  <c r="BW806" i="1" s="1"/>
  <c r="CD806" i="1" s="1"/>
  <c r="BH806" i="1"/>
  <c r="BI806" i="1" s="1"/>
  <c r="BW805" i="1"/>
  <c r="CD805" i="1" s="1"/>
  <c r="BK805" i="1"/>
  <c r="BC805" i="1" l="1"/>
  <c r="BU805" i="1" s="1"/>
  <c r="BV805" i="1" s="1"/>
  <c r="BY804" i="1"/>
  <c r="BX805" i="1"/>
  <c r="BJ807" i="1"/>
  <c r="BK807" i="1" s="1"/>
  <c r="BH807" i="1"/>
  <c r="BI807" i="1" s="1"/>
  <c r="BK806" i="1"/>
  <c r="CE806" i="1"/>
  <c r="CE805" i="1"/>
  <c r="BX806" i="1"/>
  <c r="CB805" i="1" l="1"/>
  <c r="CC805" i="1" s="1"/>
  <c r="BM805" i="1"/>
  <c r="BL807" i="1"/>
  <c r="BW807" i="1" s="1"/>
  <c r="CD807" i="1" s="1"/>
  <c r="CE807" i="1" s="1"/>
  <c r="BX807" i="1" l="1"/>
  <c r="BP805" i="1"/>
  <c r="BO805" i="1"/>
  <c r="BN805" i="1"/>
  <c r="BR805" i="1" l="1"/>
  <c r="AQ806" i="1" s="1"/>
  <c r="BY805" i="1" l="1"/>
  <c r="BC806" i="1"/>
  <c r="BU806" i="1" s="1"/>
  <c r="BM806" i="1" l="1"/>
  <c r="BN806" i="1" s="1"/>
  <c r="BV806" i="1"/>
  <c r="CB806" i="1"/>
  <c r="CC806" i="1" s="1"/>
  <c r="BP806" i="1" l="1"/>
  <c r="BO806" i="1"/>
  <c r="BR806" i="1" l="1"/>
  <c r="BY806" i="1" s="1"/>
  <c r="AQ807" i="1" l="1"/>
  <c r="BC807" i="1" s="1"/>
  <c r="BU807" i="1" s="1"/>
  <c r="CB807" i="1" s="1"/>
  <c r="CC807" i="1" s="1"/>
  <c r="BV807" i="1" l="1"/>
  <c r="BM807" i="1"/>
  <c r="BO807" i="1" s="1"/>
  <c r="CH808" i="1"/>
  <c r="CH809" i="1" s="1"/>
  <c r="CH810" i="1" s="1"/>
  <c r="BH808" i="1"/>
  <c r="BJ808" i="1"/>
  <c r="BN807" i="1" l="1"/>
  <c r="BP807" i="1"/>
  <c r="BK808" i="1"/>
  <c r="BJ809" i="1"/>
  <c r="BL808" i="1"/>
  <c r="BI808" i="1"/>
  <c r="BH809" i="1"/>
  <c r="BR807" i="1" l="1"/>
  <c r="BY807" i="1" s="1"/>
  <c r="BI809" i="1"/>
  <c r="BH810" i="1"/>
  <c r="BW808" i="1"/>
  <c r="BJ810" i="1"/>
  <c r="BK809" i="1"/>
  <c r="BL809" i="1"/>
  <c r="BW809" i="1" s="1"/>
  <c r="AQ808" i="1" l="1"/>
  <c r="BC808" i="1" s="1"/>
  <c r="BU808" i="1" s="1"/>
  <c r="BV808" i="1" s="1"/>
  <c r="BL810" i="1"/>
  <c r="BW810" i="1" s="1"/>
  <c r="BK810" i="1"/>
  <c r="BI810" i="1"/>
  <c r="CD809" i="1"/>
  <c r="BX809" i="1"/>
  <c r="CD808" i="1"/>
  <c r="BX808" i="1"/>
  <c r="CB808" i="1" l="1"/>
  <c r="CC808" i="1" s="1"/>
  <c r="BM808" i="1"/>
  <c r="CE809" i="1"/>
  <c r="CE808" i="1"/>
  <c r="CD810" i="1"/>
  <c r="BX810" i="1"/>
  <c r="BN808" i="1" l="1"/>
  <c r="BP808" i="1"/>
  <c r="BO808" i="1"/>
  <c r="CE810" i="1"/>
  <c r="BR808" i="1" l="1"/>
  <c r="BY808" i="1" s="1"/>
  <c r="AQ809" i="1" l="1"/>
  <c r="BC809" i="1" s="1"/>
  <c r="BU809" i="1" s="1"/>
  <c r="CB809" i="1" s="1"/>
  <c r="BV809" i="1"/>
  <c r="BM809" i="1"/>
  <c r="BO809" i="1" s="1"/>
  <c r="CC809" i="1"/>
  <c r="BN809" i="1" l="1"/>
  <c r="BP809" i="1"/>
  <c r="BR809" i="1" l="1"/>
  <c r="BY809" i="1" s="1"/>
  <c r="AQ810" i="1" l="1"/>
  <c r="BC810" i="1" s="1"/>
  <c r="BU810" i="1" s="1"/>
  <c r="CB810" i="1" s="1"/>
  <c r="BM810" i="1" l="1"/>
  <c r="BN810" i="1" s="1"/>
  <c r="BV810" i="1"/>
  <c r="CC810" i="1"/>
  <c r="BO810" i="1" l="1"/>
  <c r="BP810" i="1"/>
  <c r="BR810" i="1"/>
  <c r="AQ811" i="1" s="1"/>
  <c r="BY810" i="1" l="1"/>
  <c r="BC811" i="1"/>
  <c r="BU811" i="1" s="1"/>
  <c r="CH811" i="1"/>
  <c r="BH811" i="1" l="1"/>
  <c r="BI811" i="1" s="1"/>
  <c r="BJ811" i="1"/>
  <c r="CB811" i="1"/>
  <c r="BV811" i="1"/>
  <c r="L121" i="1" s="1"/>
  <c r="BK811" i="1" l="1"/>
  <c r="BL811" i="1"/>
  <c r="Z318" i="3"/>
  <c r="CC811" i="1"/>
  <c r="M121" i="1" s="1"/>
  <c r="BW811" i="1" l="1"/>
  <c r="BM811" i="1"/>
  <c r="AH318" i="3"/>
  <c r="BO811" i="1" l="1"/>
  <c r="BN811" i="1"/>
  <c r="BP811" i="1"/>
  <c r="BX811" i="1"/>
  <c r="N121" i="1" s="1"/>
  <c r="CD811" i="1"/>
  <c r="CE811" i="1" s="1"/>
  <c r="O121" i="1" s="1"/>
  <c r="CH812" i="1"/>
  <c r="CH813" i="1" s="1"/>
  <c r="CH814" i="1" s="1"/>
  <c r="CH815" i="1" s="1"/>
  <c r="CH816" i="1" s="1"/>
  <c r="AX318" i="3" l="1"/>
  <c r="BR811" i="1"/>
  <c r="BY811" i="1" s="1"/>
  <c r="Q121" i="1" s="1"/>
  <c r="AF120" i="1"/>
  <c r="AI120" i="1" s="1"/>
  <c r="AP318" i="3"/>
  <c r="BH812" i="1"/>
  <c r="BI812" i="1" s="1"/>
  <c r="BJ812" i="1"/>
  <c r="BN318" i="3" l="1"/>
  <c r="AQ812" i="1"/>
  <c r="BC812" i="1" s="1"/>
  <c r="BU812" i="1" s="1"/>
  <c r="CB812" i="1" s="1"/>
  <c r="CC812" i="1" s="1"/>
  <c r="P121" i="1"/>
  <c r="BH813" i="1"/>
  <c r="BI813" i="1" s="1"/>
  <c r="BJ813" i="1"/>
  <c r="BK812" i="1"/>
  <c r="BL812" i="1"/>
  <c r="BF318" i="3" l="1"/>
  <c r="BV812" i="1"/>
  <c r="BH814" i="1"/>
  <c r="BH815" i="1" s="1"/>
  <c r="BW812" i="1"/>
  <c r="BM812" i="1"/>
  <c r="BL813" i="1"/>
  <c r="BW813" i="1" s="1"/>
  <c r="CD813" i="1" s="1"/>
  <c r="BK813" i="1"/>
  <c r="BJ814" i="1"/>
  <c r="BI814" i="1" l="1"/>
  <c r="BX812" i="1"/>
  <c r="CD812" i="1"/>
  <c r="BX813" i="1"/>
  <c r="BK814" i="1"/>
  <c r="BL814" i="1"/>
  <c r="BW814" i="1" s="1"/>
  <c r="CD814" i="1" s="1"/>
  <c r="BJ815" i="1"/>
  <c r="BO812" i="1"/>
  <c r="BP812" i="1"/>
  <c r="BN812" i="1"/>
  <c r="BI815" i="1"/>
  <c r="BH816" i="1"/>
  <c r="BR812" i="1" l="1"/>
  <c r="BY812" i="1" s="1"/>
  <c r="BL815" i="1"/>
  <c r="BW815" i="1" s="1"/>
  <c r="BJ816" i="1"/>
  <c r="BK815" i="1"/>
  <c r="BX814" i="1"/>
  <c r="BI816" i="1"/>
  <c r="CE812" i="1"/>
  <c r="CE813" i="1"/>
  <c r="CE814" i="1"/>
  <c r="AQ813" i="1" l="1"/>
  <c r="BC813" i="1" s="1"/>
  <c r="BU813" i="1" s="1"/>
  <c r="CB813" i="1" s="1"/>
  <c r="CC813" i="1" s="1"/>
  <c r="BK816" i="1"/>
  <c r="BL816" i="1"/>
  <c r="BW816" i="1" s="1"/>
  <c r="CD816" i="1" s="1"/>
  <c r="CD815" i="1"/>
  <c r="BX815" i="1"/>
  <c r="BV813" i="1" l="1"/>
  <c r="BM813" i="1"/>
  <c r="BP813" i="1" s="1"/>
  <c r="CE815" i="1"/>
  <c r="CE816" i="1"/>
  <c r="BX816" i="1"/>
  <c r="BO813" i="1" l="1"/>
  <c r="BN813" i="1"/>
  <c r="BR813" i="1" l="1"/>
  <c r="BY813" i="1" l="1"/>
  <c r="AQ814" i="1"/>
  <c r="BC814" i="1" s="1"/>
  <c r="BU814" i="1" s="1"/>
  <c r="CB814" i="1" s="1"/>
  <c r="BM814" i="1" l="1"/>
  <c r="BP814" i="1" s="1"/>
  <c r="BV814" i="1"/>
  <c r="CC814" i="1"/>
  <c r="BN814" i="1" l="1"/>
  <c r="BO814" i="1"/>
  <c r="BR814" i="1" l="1"/>
  <c r="AQ815" i="1" s="1"/>
  <c r="BC815" i="1" s="1"/>
  <c r="BU815" i="1" s="1"/>
  <c r="BY814" i="1" l="1"/>
  <c r="BM815" i="1"/>
  <c r="CB815" i="1"/>
  <c r="BV815" i="1"/>
  <c r="CC815" i="1" l="1"/>
  <c r="BN815" i="1"/>
  <c r="BP815" i="1"/>
  <c r="BO815" i="1"/>
  <c r="BR815" i="1" l="1"/>
  <c r="AQ816" i="1" l="1"/>
  <c r="BY815" i="1"/>
  <c r="BC816" i="1" l="1"/>
  <c r="BU816" i="1" s="1"/>
  <c r="BM816" i="1" l="1"/>
  <c r="CB816" i="1"/>
  <c r="BV816" i="1"/>
  <c r="CC816" i="1" l="1"/>
  <c r="BO816" i="1"/>
  <c r="BP816" i="1"/>
  <c r="BN816" i="1"/>
  <c r="BR816" i="1" l="1"/>
  <c r="AQ817" i="1" l="1"/>
  <c r="BY816" i="1"/>
  <c r="BC817" i="1" l="1"/>
  <c r="BU817" i="1" s="1"/>
  <c r="BJ817" i="1" l="1"/>
  <c r="BJ818" i="1" s="1"/>
  <c r="BH817" i="1"/>
  <c r="CH817" i="1"/>
  <c r="CH818" i="1" s="1"/>
  <c r="CH819" i="1" s="1"/>
  <c r="CB817" i="1"/>
  <c r="BV817" i="1"/>
  <c r="BK817" i="1" l="1"/>
  <c r="BL817" i="1"/>
  <c r="BI817" i="1"/>
  <c r="BH818" i="1"/>
  <c r="BL818" i="1"/>
  <c r="BW818" i="1" s="1"/>
  <c r="CD818" i="1" s="1"/>
  <c r="BK818" i="1"/>
  <c r="BJ819" i="1"/>
  <c r="CC817" i="1"/>
  <c r="BW817" i="1" l="1"/>
  <c r="BX818" i="1" s="1"/>
  <c r="BM817" i="1"/>
  <c r="BI818" i="1"/>
  <c r="BH819" i="1"/>
  <c r="BI819" i="1" s="1"/>
  <c r="BK819" i="1"/>
  <c r="BL819" i="1"/>
  <c r="BW819" i="1" s="1"/>
  <c r="CD819" i="1" s="1"/>
  <c r="BN817" i="1" l="1"/>
  <c r="BP817" i="1"/>
  <c r="BO817" i="1"/>
  <c r="BX817" i="1"/>
  <c r="CD817" i="1"/>
  <c r="BX819" i="1"/>
  <c r="CE817" i="1" l="1"/>
  <c r="CE818" i="1"/>
  <c r="CE819" i="1"/>
  <c r="BR817" i="1"/>
  <c r="BY817" i="1" l="1"/>
  <c r="AQ818" i="1"/>
  <c r="BC818" i="1" l="1"/>
  <c r="BU818" i="1" s="1"/>
  <c r="BM818" i="1" l="1"/>
  <c r="BN818" i="1" s="1"/>
  <c r="CB818" i="1"/>
  <c r="CC818" i="1" s="1"/>
  <c r="BV818" i="1"/>
  <c r="BP818" i="1" l="1"/>
  <c r="BO818" i="1"/>
  <c r="BR818" i="1" l="1"/>
  <c r="BY818" i="1" s="1"/>
  <c r="AQ819" i="1" l="1"/>
  <c r="BC819" i="1" s="1"/>
  <c r="BU819" i="1" s="1"/>
  <c r="CH820" i="1"/>
  <c r="CH821" i="1" s="1"/>
  <c r="CH822" i="1" s="1"/>
  <c r="BJ820" i="1"/>
  <c r="BM819" i="1" l="1"/>
  <c r="BO819" i="1" s="1"/>
  <c r="CB819" i="1"/>
  <c r="CC819" i="1" s="1"/>
  <c r="BV819" i="1"/>
  <c r="BH820" i="1"/>
  <c r="BL820" i="1" s="1"/>
  <c r="BJ821" i="1"/>
  <c r="BK820" i="1"/>
  <c r="BN819" i="1" l="1"/>
  <c r="BP819" i="1"/>
  <c r="BH821" i="1"/>
  <c r="BL821" i="1" s="1"/>
  <c r="BW821" i="1" s="1"/>
  <c r="BI820" i="1"/>
  <c r="BW820" i="1"/>
  <c r="BK821" i="1"/>
  <c r="BJ822" i="1"/>
  <c r="BR819" i="1" l="1"/>
  <c r="BY819" i="1" s="1"/>
  <c r="BH822" i="1"/>
  <c r="BI822" i="1" s="1"/>
  <c r="BI821" i="1"/>
  <c r="CD821" i="1"/>
  <c r="BX821" i="1"/>
  <c r="CD820" i="1"/>
  <c r="BX820" i="1"/>
  <c r="BK822" i="1"/>
  <c r="BL822" i="1"/>
  <c r="BW822" i="1" s="1"/>
  <c r="AQ820" i="1" l="1"/>
  <c r="BC820" i="1" s="1"/>
  <c r="BU820" i="1" s="1"/>
  <c r="CD822" i="1"/>
  <c r="BX822" i="1"/>
  <c r="CE820" i="1"/>
  <c r="CE821" i="1"/>
  <c r="CB820" i="1" l="1"/>
  <c r="CC820" i="1" s="1"/>
  <c r="BV820" i="1"/>
  <c r="BM820" i="1"/>
  <c r="CE822" i="1"/>
  <c r="BO820" i="1" l="1"/>
  <c r="BP820" i="1"/>
  <c r="BN820" i="1"/>
  <c r="BR820" i="1" l="1"/>
  <c r="BY820" i="1" s="1"/>
  <c r="AQ821" i="1" l="1"/>
  <c r="BC821" i="1" s="1"/>
  <c r="BU821" i="1" s="1"/>
  <c r="BM821" i="1" l="1"/>
  <c r="BN821" i="1" s="1"/>
  <c r="BV821" i="1"/>
  <c r="CB821" i="1"/>
  <c r="CC821" i="1" s="1"/>
  <c r="BO821" i="1" l="1"/>
  <c r="BP821" i="1"/>
  <c r="BR821" i="1" l="1"/>
  <c r="AQ822" i="1" s="1"/>
  <c r="BC822" i="1" l="1"/>
  <c r="BU822" i="1" s="1"/>
  <c r="BY821" i="1"/>
  <c r="BM822" i="1" l="1"/>
  <c r="CB822" i="1"/>
  <c r="CC822" i="1" s="1"/>
  <c r="BV822" i="1"/>
  <c r="BO822" i="1" l="1"/>
  <c r="BN822" i="1"/>
  <c r="BP822" i="1"/>
  <c r="BR822" i="1" l="1"/>
  <c r="BY822" i="1" s="1"/>
  <c r="AQ823" i="1" l="1"/>
  <c r="BC823" i="1" l="1"/>
  <c r="BU823" i="1" s="1"/>
  <c r="CB823" i="1" s="1"/>
  <c r="CC823" i="1" s="1"/>
  <c r="M122" i="1" s="1"/>
  <c r="BH823" i="1"/>
  <c r="BI823" i="1" s="1"/>
  <c r="BV823" i="1" l="1"/>
  <c r="L122" i="1" s="1"/>
  <c r="Z319" i="3" s="1"/>
  <c r="CH823" i="1"/>
  <c r="CH824" i="1" s="1"/>
  <c r="CH825" i="1" s="1"/>
  <c r="CH826" i="1" s="1"/>
  <c r="CH827" i="1" s="1"/>
  <c r="CH828" i="1" s="1"/>
  <c r="BJ823" i="1"/>
  <c r="BL823" i="1" s="1"/>
  <c r="AH319" i="3"/>
  <c r="BK823" i="1" l="1"/>
  <c r="BW823" i="1"/>
  <c r="BM823" i="1"/>
  <c r="BH824" i="1"/>
  <c r="BI824" i="1" s="1"/>
  <c r="BJ824" i="1"/>
  <c r="BP823" i="1" l="1"/>
  <c r="BO823" i="1"/>
  <c r="BN823" i="1"/>
  <c r="BX823" i="1"/>
  <c r="N122" i="1" s="1"/>
  <c r="CD823" i="1"/>
  <c r="CE823" i="1" s="1"/>
  <c r="O122" i="1" s="1"/>
  <c r="BH825" i="1"/>
  <c r="BH826" i="1" s="1"/>
  <c r="BL824" i="1"/>
  <c r="BK824" i="1"/>
  <c r="BJ825" i="1"/>
  <c r="AX319" i="3" l="1"/>
  <c r="BR823" i="1"/>
  <c r="BY823" i="1" s="1"/>
  <c r="Q122" i="1" s="1"/>
  <c r="AF121" i="1"/>
  <c r="AI121" i="1" s="1"/>
  <c r="AP319" i="3"/>
  <c r="BI825" i="1"/>
  <c r="BW824" i="1"/>
  <c r="BL825" i="1"/>
  <c r="BW825" i="1" s="1"/>
  <c r="CD825" i="1" s="1"/>
  <c r="BJ826" i="1"/>
  <c r="BK825" i="1"/>
  <c r="BH827" i="1"/>
  <c r="BI826" i="1"/>
  <c r="P122" i="1" l="1"/>
  <c r="BF319" i="3" s="1"/>
  <c r="AQ824" i="1"/>
  <c r="BC824" i="1" s="1"/>
  <c r="BU824" i="1" s="1"/>
  <c r="CB824" i="1" s="1"/>
  <c r="CC824" i="1" s="1"/>
  <c r="BN319" i="3"/>
  <c r="BI827" i="1"/>
  <c r="BH828" i="1"/>
  <c r="BJ827" i="1"/>
  <c r="BK826" i="1"/>
  <c r="BL826" i="1"/>
  <c r="BW826" i="1" s="1"/>
  <c r="CD826" i="1" s="1"/>
  <c r="CD824" i="1"/>
  <c r="BX824" i="1"/>
  <c r="BX825" i="1"/>
  <c r="BM824" i="1" l="1"/>
  <c r="BO824" i="1" s="1"/>
  <c r="BV824" i="1"/>
  <c r="BX826" i="1"/>
  <c r="BK827" i="1"/>
  <c r="BL827" i="1"/>
  <c r="BW827" i="1" s="1"/>
  <c r="BJ828" i="1"/>
  <c r="BI828" i="1"/>
  <c r="CE824" i="1"/>
  <c r="CE825" i="1"/>
  <c r="CE826" i="1"/>
  <c r="BN824" i="1" l="1"/>
  <c r="BP824" i="1"/>
  <c r="CD827" i="1"/>
  <c r="BX827" i="1"/>
  <c r="BL828" i="1"/>
  <c r="BW828" i="1" s="1"/>
  <c r="CD828" i="1" s="1"/>
  <c r="BK828" i="1"/>
  <c r="BR824" i="1" l="1"/>
  <c r="BY824" i="1" s="1"/>
  <c r="AQ825" i="1"/>
  <c r="BC825" i="1" s="1"/>
  <c r="BU825" i="1" s="1"/>
  <c r="CB825" i="1" s="1"/>
  <c r="CC825" i="1" s="1"/>
  <c r="BX828" i="1"/>
  <c r="CE828" i="1"/>
  <c r="CE827" i="1"/>
  <c r="BV825" i="1" l="1"/>
  <c r="BM825" i="1"/>
  <c r="BP825" i="1" s="1"/>
  <c r="BN825" i="1" l="1"/>
  <c r="BO825" i="1"/>
  <c r="BR825" i="1" l="1"/>
  <c r="BY825" i="1" s="1"/>
  <c r="AQ826" i="1" l="1"/>
  <c r="BC826" i="1" s="1"/>
  <c r="BU826" i="1" s="1"/>
  <c r="CB826" i="1" s="1"/>
  <c r="CC826" i="1" s="1"/>
  <c r="BV826" i="1" l="1"/>
  <c r="BM826" i="1"/>
  <c r="BP826" i="1" s="1"/>
  <c r="BN826" i="1" l="1"/>
  <c r="BO826" i="1"/>
  <c r="BR826" i="1" l="1"/>
  <c r="BY826" i="1" s="1"/>
  <c r="AQ827" i="1" l="1"/>
  <c r="BC827" i="1" s="1"/>
  <c r="BU827" i="1" s="1"/>
  <c r="CB827" i="1" s="1"/>
  <c r="CC827" i="1" s="1"/>
  <c r="BV827" i="1" l="1"/>
  <c r="BM827" i="1"/>
  <c r="BP827" i="1" s="1"/>
  <c r="BO827" i="1" l="1"/>
  <c r="BN827" i="1"/>
  <c r="BR827" i="1" l="1"/>
  <c r="BY827" i="1" s="1"/>
  <c r="AQ828" i="1" l="1"/>
  <c r="BC828" i="1" s="1"/>
  <c r="BU828" i="1" s="1"/>
  <c r="CB828" i="1" s="1"/>
  <c r="CC828" i="1" s="1"/>
  <c r="BM828" i="1" l="1"/>
  <c r="BP828" i="1" s="1"/>
  <c r="BV828" i="1"/>
  <c r="BN828" i="1" l="1"/>
  <c r="BO828" i="1"/>
  <c r="BJ829" i="1"/>
  <c r="BH829" i="1"/>
  <c r="CH829" i="1"/>
  <c r="CH830" i="1" s="1"/>
  <c r="CH831" i="1" s="1"/>
  <c r="BR828" i="1" l="1"/>
  <c r="BI829" i="1"/>
  <c r="BH830" i="1"/>
  <c r="BK829" i="1"/>
  <c r="BJ830" i="1"/>
  <c r="BL829" i="1"/>
  <c r="AQ829" i="1" l="1"/>
  <c r="BC829" i="1" s="1"/>
  <c r="BU829" i="1" s="1"/>
  <c r="BY828" i="1"/>
  <c r="BL830" i="1"/>
  <c r="BW830" i="1" s="1"/>
  <c r="CD830" i="1" s="1"/>
  <c r="BK830" i="1"/>
  <c r="BJ831" i="1"/>
  <c r="BW829" i="1"/>
  <c r="BH831" i="1"/>
  <c r="BI831" i="1" s="1"/>
  <c r="BI830" i="1"/>
  <c r="BM829" i="1" l="1"/>
  <c r="BP829" i="1" s="1"/>
  <c r="CB829" i="1"/>
  <c r="CC829" i="1" s="1"/>
  <c r="BV829" i="1"/>
  <c r="BK831" i="1"/>
  <c r="BL831" i="1"/>
  <c r="BW831" i="1" s="1"/>
  <c r="CD831" i="1" s="1"/>
  <c r="CD829" i="1"/>
  <c r="BX829" i="1"/>
  <c r="BX830" i="1"/>
  <c r="BO829" i="1" l="1"/>
  <c r="BN829" i="1"/>
  <c r="CE831" i="1"/>
  <c r="CE830" i="1"/>
  <c r="CE829" i="1"/>
  <c r="BX831" i="1"/>
  <c r="BR829" i="1" l="1"/>
  <c r="AQ830" i="1" s="1"/>
  <c r="BY829" i="1" l="1"/>
  <c r="BC830" i="1"/>
  <c r="BU830" i="1" s="1"/>
  <c r="BM830" i="1" l="1"/>
  <c r="BO830" i="1" s="1"/>
  <c r="CB830" i="1"/>
  <c r="CC830" i="1" s="1"/>
  <c r="BV830" i="1"/>
  <c r="BP830" i="1" l="1"/>
  <c r="BN830" i="1"/>
  <c r="BR830" i="1" l="1"/>
  <c r="AQ831" i="1" s="1"/>
  <c r="BC831" i="1" s="1"/>
  <c r="BU831" i="1" s="1"/>
  <c r="BY830" i="1" l="1"/>
  <c r="BM831" i="1"/>
  <c r="CB831" i="1"/>
  <c r="CC831" i="1" s="1"/>
  <c r="BV831" i="1"/>
  <c r="BN831" i="1" l="1"/>
  <c r="BP831" i="1"/>
  <c r="BO831" i="1"/>
  <c r="BR831" i="1" l="1"/>
  <c r="AQ832" i="1" s="1"/>
  <c r="BC832" i="1" s="1"/>
  <c r="BU832" i="1" s="1"/>
  <c r="CH832" i="1"/>
  <c r="CH833" i="1" s="1"/>
  <c r="CH834" i="1" s="1"/>
  <c r="BJ832" i="1"/>
  <c r="BH832" i="1"/>
  <c r="BY831" i="1" l="1"/>
  <c r="BH833" i="1"/>
  <c r="BI832" i="1"/>
  <c r="BK832" i="1"/>
  <c r="BJ833" i="1"/>
  <c r="BL832" i="1"/>
  <c r="CB832" i="1"/>
  <c r="BV832" i="1"/>
  <c r="BW832" i="1" l="1"/>
  <c r="BM832" i="1"/>
  <c r="BJ834" i="1"/>
  <c r="BK833" i="1"/>
  <c r="BL833" i="1"/>
  <c r="BW833" i="1" s="1"/>
  <c r="CC832" i="1"/>
  <c r="BI833" i="1"/>
  <c r="BH834" i="1"/>
  <c r="CD833" i="1" l="1"/>
  <c r="BX833" i="1"/>
  <c r="BK834" i="1"/>
  <c r="BL834" i="1"/>
  <c r="BW834" i="1" s="1"/>
  <c r="BI834" i="1"/>
  <c r="BO832" i="1"/>
  <c r="BP832" i="1"/>
  <c r="BN832" i="1"/>
  <c r="CD832" i="1"/>
  <c r="BX832" i="1"/>
  <c r="BR832" i="1" l="1"/>
  <c r="AQ833" i="1" s="1"/>
  <c r="CD834" i="1"/>
  <c r="BX834" i="1"/>
  <c r="CE832" i="1"/>
  <c r="CE833" i="1"/>
  <c r="BY832" i="1" l="1"/>
  <c r="CE834" i="1"/>
  <c r="BC833" i="1"/>
  <c r="BU833" i="1" s="1"/>
  <c r="CB833" i="1" l="1"/>
  <c r="BV833" i="1"/>
  <c r="BM833" i="1"/>
  <c r="BO833" i="1" l="1"/>
  <c r="BN833" i="1"/>
  <c r="BP833" i="1"/>
  <c r="CC833" i="1"/>
  <c r="BR833" i="1" l="1"/>
  <c r="BY833" i="1" s="1"/>
  <c r="AQ834" i="1" l="1"/>
  <c r="BC834" i="1" s="1"/>
  <c r="BU834" i="1" s="1"/>
  <c r="BM834" i="1" l="1"/>
  <c r="BN834" i="1" s="1"/>
  <c r="CB834" i="1"/>
  <c r="BV834" i="1"/>
  <c r="BP834" i="1" l="1"/>
  <c r="BO834" i="1"/>
  <c r="CC834" i="1"/>
  <c r="BR834" i="1" l="1"/>
  <c r="BY834" i="1" s="1"/>
  <c r="AQ835" i="1" l="1"/>
  <c r="BC835" i="1" l="1"/>
  <c r="BU835" i="1" s="1"/>
  <c r="CB835" i="1" s="1"/>
  <c r="CC835" i="1" s="1"/>
  <c r="M123" i="1" s="1"/>
  <c r="CH835" i="1"/>
  <c r="BJ835" i="1" l="1"/>
  <c r="BK835" i="1" s="1"/>
  <c r="BH835" i="1"/>
  <c r="BI835" i="1" s="1"/>
  <c r="BV835" i="1"/>
  <c r="L123" i="1" s="1"/>
  <c r="AH320" i="3"/>
  <c r="BL835" i="1" l="1"/>
  <c r="BW835" i="1" s="1"/>
  <c r="Z320" i="3"/>
  <c r="BM835" i="1" l="1"/>
  <c r="BO835" i="1" s="1"/>
  <c r="CD835" i="1"/>
  <c r="CE835" i="1" s="1"/>
  <c r="O123" i="1" s="1"/>
  <c r="BX835" i="1"/>
  <c r="N123" i="1" s="1"/>
  <c r="BP835" i="1" l="1"/>
  <c r="BN835" i="1"/>
  <c r="AX320" i="3"/>
  <c r="AF122" i="1"/>
  <c r="AI122" i="1" s="1"/>
  <c r="AP320" i="3"/>
  <c r="CH836" i="1"/>
  <c r="CH837" i="1" s="1"/>
  <c r="CH838" i="1" s="1"/>
  <c r="CH839" i="1" s="1"/>
  <c r="CH840" i="1" s="1"/>
  <c r="BH836" i="1"/>
  <c r="BI836" i="1" s="1"/>
  <c r="BJ836" i="1"/>
  <c r="BK836" i="1" s="1"/>
  <c r="BR835" i="1" l="1"/>
  <c r="AQ836" i="1" s="1"/>
  <c r="BC836" i="1" s="1"/>
  <c r="BU836" i="1" s="1"/>
  <c r="CB836" i="1" s="1"/>
  <c r="CC836" i="1" s="1"/>
  <c r="BH837" i="1"/>
  <c r="BI837" i="1" s="1"/>
  <c r="BL836" i="1"/>
  <c r="BW836" i="1" s="1"/>
  <c r="BJ837" i="1"/>
  <c r="BK837" i="1" s="1"/>
  <c r="P123" i="1" l="1"/>
  <c r="BF320" i="3" s="1"/>
  <c r="BY835" i="1"/>
  <c r="Q123" i="1" s="1"/>
  <c r="BN320" i="3" s="1"/>
  <c r="BV836" i="1"/>
  <c r="BM836" i="1"/>
  <c r="BN836" i="1" s="1"/>
  <c r="BH838" i="1"/>
  <c r="BI838" i="1" s="1"/>
  <c r="BJ838" i="1"/>
  <c r="BK838" i="1" s="1"/>
  <c r="BL837" i="1"/>
  <c r="BW837" i="1" s="1"/>
  <c r="CD837" i="1" s="1"/>
  <c r="CD836" i="1"/>
  <c r="BX836" i="1"/>
  <c r="BX837" i="1" l="1"/>
  <c r="BO836" i="1"/>
  <c r="BP836" i="1"/>
  <c r="BH839" i="1"/>
  <c r="BI839" i="1" s="1"/>
  <c r="BJ839" i="1"/>
  <c r="BL839" i="1" s="1"/>
  <c r="BW839" i="1" s="1"/>
  <c r="CD839" i="1" s="1"/>
  <c r="BL838" i="1"/>
  <c r="BW838" i="1" s="1"/>
  <c r="CD838" i="1" s="1"/>
  <c r="CE838" i="1" s="1"/>
  <c r="CE836" i="1"/>
  <c r="CE837" i="1"/>
  <c r="BR836" i="1" l="1"/>
  <c r="AQ837" i="1" s="1"/>
  <c r="BC837" i="1" s="1"/>
  <c r="BU837" i="1" s="1"/>
  <c r="BH840" i="1"/>
  <c r="BI840" i="1" s="1"/>
  <c r="BJ840" i="1"/>
  <c r="BL840" i="1" s="1"/>
  <c r="BW840" i="1" s="1"/>
  <c r="BK839" i="1"/>
  <c r="BX838" i="1"/>
  <c r="BX839" i="1"/>
  <c r="CE839" i="1"/>
  <c r="BY836" i="1" l="1"/>
  <c r="BK840" i="1"/>
  <c r="BM837" i="1"/>
  <c r="BN837" i="1" s="1"/>
  <c r="CB837" i="1"/>
  <c r="CC837" i="1" s="1"/>
  <c r="BV837" i="1"/>
  <c r="CD840" i="1"/>
  <c r="BX840" i="1"/>
  <c r="BP837" i="1" l="1"/>
  <c r="BO837" i="1"/>
  <c r="CE840" i="1"/>
  <c r="BR837" i="1" l="1"/>
  <c r="BY837" i="1" s="1"/>
  <c r="AQ838" i="1" l="1"/>
  <c r="BC838" i="1" s="1"/>
  <c r="BU838" i="1" s="1"/>
  <c r="CB838" i="1" s="1"/>
  <c r="CC838" i="1" s="1"/>
  <c r="BV838" i="1" l="1"/>
  <c r="BM838" i="1"/>
  <c r="BN838" i="1" s="1"/>
  <c r="BP838" i="1" l="1"/>
  <c r="BO838" i="1"/>
  <c r="BR838" i="1" l="1"/>
  <c r="AQ839" i="1" s="1"/>
  <c r="BC839" i="1" s="1"/>
  <c r="BU839" i="1" s="1"/>
  <c r="CB839" i="1" s="1"/>
  <c r="CC839" i="1" s="1"/>
  <c r="BY838" i="1" l="1"/>
  <c r="BV839" i="1"/>
  <c r="BM839" i="1"/>
  <c r="BP839" i="1" s="1"/>
  <c r="BN839" i="1" l="1"/>
  <c r="BO839" i="1"/>
  <c r="BR839" i="1" l="1"/>
  <c r="AQ840" i="1" l="1"/>
  <c r="BY839" i="1"/>
  <c r="BC840" i="1" l="1"/>
  <c r="BU840" i="1" s="1"/>
  <c r="BM840" i="1" l="1"/>
  <c r="BN840" i="1" s="1"/>
  <c r="CB840" i="1"/>
  <c r="CC840" i="1" s="1"/>
  <c r="BV840" i="1"/>
  <c r="BO840" i="1" l="1"/>
  <c r="BP840" i="1"/>
  <c r="BR840" i="1" l="1"/>
  <c r="AQ841" i="1" s="1"/>
  <c r="BC841" i="1" s="1"/>
  <c r="CH841" i="1" s="1"/>
  <c r="CH842" i="1" s="1"/>
  <c r="CH843" i="1" s="1"/>
  <c r="BY840" i="1" l="1"/>
  <c r="BH841" i="1"/>
  <c r="BI841" i="1" s="1"/>
  <c r="BJ841" i="1"/>
  <c r="BL841" i="1" s="1"/>
  <c r="BU841" i="1"/>
  <c r="BJ842" i="1" l="1"/>
  <c r="BL842" i="1" s="1"/>
  <c r="BW842" i="1" s="1"/>
  <c r="BH842" i="1"/>
  <c r="BI842" i="1" s="1"/>
  <c r="BW841" i="1"/>
  <c r="CD841" i="1" s="1"/>
  <c r="BM841" i="1"/>
  <c r="BO841" i="1" s="1"/>
  <c r="BK841" i="1"/>
  <c r="CB841" i="1"/>
  <c r="CC841" i="1" s="1"/>
  <c r="BV841" i="1"/>
  <c r="BX841" i="1" l="1"/>
  <c r="BJ843" i="1"/>
  <c r="BK843" i="1" s="1"/>
  <c r="BK842" i="1"/>
  <c r="BH843" i="1"/>
  <c r="BI843" i="1" s="1"/>
  <c r="BP841" i="1"/>
  <c r="BN841" i="1"/>
  <c r="CD842" i="1"/>
  <c r="CE842" i="1" s="1"/>
  <c r="BX842" i="1"/>
  <c r="CE841" i="1"/>
  <c r="BL843" i="1" l="1"/>
  <c r="BW843" i="1" s="1"/>
  <c r="CD843" i="1" s="1"/>
  <c r="CE843" i="1" s="1"/>
  <c r="BR841" i="1"/>
  <c r="BY841" i="1" s="1"/>
  <c r="BX843" i="1" l="1"/>
  <c r="AQ842" i="1"/>
  <c r="BC842" i="1" s="1"/>
  <c r="BU842" i="1" s="1"/>
  <c r="BV842" i="1" s="1"/>
  <c r="BM842" i="1" l="1"/>
  <c r="BP842" i="1" s="1"/>
  <c r="CB842" i="1"/>
  <c r="CC842" i="1" s="1"/>
  <c r="BN842" i="1" l="1"/>
  <c r="BO842" i="1"/>
  <c r="BR842" i="1" l="1"/>
  <c r="BY842" i="1" s="1"/>
  <c r="BJ844" i="1"/>
  <c r="BH844" i="1"/>
  <c r="AQ843" i="1" l="1"/>
  <c r="BC843" i="1" s="1"/>
  <c r="BU843" i="1" s="1"/>
  <c r="CB843" i="1" s="1"/>
  <c r="CC843" i="1" s="1"/>
  <c r="CH844" i="1"/>
  <c r="CH845" i="1" s="1"/>
  <c r="CH846" i="1" s="1"/>
  <c r="BH845" i="1"/>
  <c r="BI844" i="1"/>
  <c r="BJ845" i="1"/>
  <c r="BK844" i="1"/>
  <c r="BL844" i="1"/>
  <c r="BV843" i="1" l="1"/>
  <c r="BM843" i="1"/>
  <c r="BN843" i="1" s="1"/>
  <c r="BW844" i="1"/>
  <c r="BK845" i="1"/>
  <c r="BJ846" i="1"/>
  <c r="BL845" i="1"/>
  <c r="BW845" i="1" s="1"/>
  <c r="BI845" i="1"/>
  <c r="BH846" i="1"/>
  <c r="BO843" i="1" l="1"/>
  <c r="BP843" i="1"/>
  <c r="CD844" i="1"/>
  <c r="BX844" i="1"/>
  <c r="BI846" i="1"/>
  <c r="BL846" i="1"/>
  <c r="BW846" i="1" s="1"/>
  <c r="BK846" i="1"/>
  <c r="CD845" i="1"/>
  <c r="BX845" i="1"/>
  <c r="BR843" i="1" l="1"/>
  <c r="AQ844" i="1" s="1"/>
  <c r="BC844" i="1" s="1"/>
  <c r="BU844" i="1" s="1"/>
  <c r="CB844" i="1" s="1"/>
  <c r="CC844" i="1" s="1"/>
  <c r="CD846" i="1"/>
  <c r="BX846" i="1"/>
  <c r="CE845" i="1"/>
  <c r="CE844" i="1"/>
  <c r="BM844" i="1" l="1"/>
  <c r="BP844" i="1" s="1"/>
  <c r="BV844" i="1"/>
  <c r="BY843" i="1"/>
  <c r="CE846" i="1"/>
  <c r="BO844" i="1" l="1"/>
  <c r="BN844" i="1"/>
  <c r="BR844" i="1" l="1"/>
  <c r="BY844" i="1" s="1"/>
  <c r="AQ845" i="1" l="1"/>
  <c r="BC845" i="1" s="1"/>
  <c r="BU845" i="1" s="1"/>
  <c r="CB845" i="1" s="1"/>
  <c r="CC845" i="1" s="1"/>
  <c r="BV845" i="1" l="1"/>
  <c r="BM845" i="1"/>
  <c r="BN845" i="1" s="1"/>
  <c r="BP845" i="1" l="1"/>
  <c r="BO845" i="1"/>
  <c r="BR845" i="1" l="1"/>
  <c r="BY845" i="1" s="1"/>
  <c r="AQ846" i="1" l="1"/>
  <c r="BC846" i="1" s="1"/>
  <c r="BU846" i="1" s="1"/>
  <c r="CB846" i="1" s="1"/>
  <c r="CC846" i="1" s="1"/>
  <c r="BV846" i="1" l="1"/>
  <c r="BM846" i="1"/>
  <c r="BN846" i="1" s="1"/>
  <c r="BP846" i="1" l="1"/>
  <c r="BO846" i="1"/>
  <c r="BR846" i="1" s="1"/>
  <c r="BY846" i="1" s="1"/>
  <c r="AQ847" i="1" l="1"/>
  <c r="BC847" i="1" l="1"/>
  <c r="BU847" i="1" s="1"/>
  <c r="CH847" i="1"/>
  <c r="CH848" i="1" s="1"/>
  <c r="CH849" i="1" s="1"/>
  <c r="CH850" i="1" s="1"/>
  <c r="CH851" i="1" s="1"/>
  <c r="CH852" i="1" s="1"/>
  <c r="BJ847" i="1" l="1"/>
  <c r="BK847" i="1" s="1"/>
  <c r="BH847" i="1"/>
  <c r="BI847" i="1" s="1"/>
  <c r="CB847" i="1"/>
  <c r="CC847" i="1" s="1"/>
  <c r="M124" i="1" s="1"/>
  <c r="BV847" i="1"/>
  <c r="L124" i="1" s="1"/>
  <c r="BH848" i="1" l="1"/>
  <c r="BI848" i="1" s="1"/>
  <c r="Z321" i="3"/>
  <c r="AH321" i="3"/>
  <c r="BJ848" i="1"/>
  <c r="BK848" i="1" s="1"/>
  <c r="BL847" i="1"/>
  <c r="BM847" i="1" s="1"/>
  <c r="BH849" i="1" l="1"/>
  <c r="BI849" i="1" s="1"/>
  <c r="BJ849" i="1"/>
  <c r="BK849" i="1" s="1"/>
  <c r="BW847" i="1"/>
  <c r="CD847" i="1" s="1"/>
  <c r="CE847" i="1" s="1"/>
  <c r="O124" i="1" s="1"/>
  <c r="BL848" i="1"/>
  <c r="BW848" i="1" s="1"/>
  <c r="BO847" i="1"/>
  <c r="BP847" i="1"/>
  <c r="BN847" i="1"/>
  <c r="BH850" i="1" l="1"/>
  <c r="BH851" i="1" s="1"/>
  <c r="BX847" i="1"/>
  <c r="N124" i="1" s="1"/>
  <c r="BJ850" i="1"/>
  <c r="BK850" i="1" s="1"/>
  <c r="BL849" i="1"/>
  <c r="BW849" i="1" s="1"/>
  <c r="CD849" i="1" s="1"/>
  <c r="AX321" i="3"/>
  <c r="BR847" i="1"/>
  <c r="BY847" i="1" s="1"/>
  <c r="Q124" i="1" s="1"/>
  <c r="P124" i="1"/>
  <c r="CD848" i="1"/>
  <c r="BX848" i="1"/>
  <c r="BI850" i="1" l="1"/>
  <c r="AP321" i="3"/>
  <c r="AF123" i="1"/>
  <c r="AI123" i="1" s="1"/>
  <c r="BJ851" i="1"/>
  <c r="BK851" i="1" s="1"/>
  <c r="BL850" i="1"/>
  <c r="BW850" i="1" s="1"/>
  <c r="CD850" i="1" s="1"/>
  <c r="CE850" i="1" s="1"/>
  <c r="BX849" i="1"/>
  <c r="BF321" i="3"/>
  <c r="BN321" i="3"/>
  <c r="AQ848" i="1"/>
  <c r="BC848" i="1" s="1"/>
  <c r="BU848" i="1" s="1"/>
  <c r="CE848" i="1"/>
  <c r="CE849" i="1"/>
  <c r="BI851" i="1"/>
  <c r="BH852" i="1"/>
  <c r="BX850" i="1" l="1"/>
  <c r="BJ852" i="1"/>
  <c r="BK852" i="1" s="1"/>
  <c r="BL851" i="1"/>
  <c r="BW851" i="1" s="1"/>
  <c r="CD851" i="1" s="1"/>
  <c r="CE851" i="1" s="1"/>
  <c r="BM848" i="1"/>
  <c r="BP848" i="1" s="1"/>
  <c r="CB848" i="1"/>
  <c r="CC848" i="1" s="1"/>
  <c r="BV848" i="1"/>
  <c r="BI852" i="1"/>
  <c r="BX851" i="1" l="1"/>
  <c r="BL852" i="1"/>
  <c r="BW852" i="1" s="1"/>
  <c r="CD852" i="1" s="1"/>
  <c r="CE852" i="1" s="1"/>
  <c r="BO848" i="1"/>
  <c r="BN848" i="1"/>
  <c r="BX852" i="1" l="1"/>
  <c r="BR848" i="1"/>
  <c r="BY848" i="1" s="1"/>
  <c r="AQ849" i="1" l="1"/>
  <c r="BC849" i="1" s="1"/>
  <c r="BU849" i="1" s="1"/>
  <c r="BM849" i="1" l="1"/>
  <c r="CB849" i="1"/>
  <c r="CC849" i="1" s="1"/>
  <c r="BV849" i="1"/>
  <c r="BO849" i="1" l="1"/>
  <c r="BN849" i="1"/>
  <c r="BP849" i="1"/>
  <c r="BR849" i="1" l="1"/>
  <c r="BY849" i="1" s="1"/>
  <c r="AQ850" i="1" l="1"/>
  <c r="BC850" i="1" s="1"/>
  <c r="BU850" i="1" s="1"/>
  <c r="BM850" i="1" l="1"/>
  <c r="BO850" i="1" s="1"/>
  <c r="CB850" i="1"/>
  <c r="CC850" i="1" s="1"/>
  <c r="BV850" i="1"/>
  <c r="BN850" i="1" l="1"/>
  <c r="BP850" i="1"/>
  <c r="BR850" i="1" l="1"/>
  <c r="BY850" i="1" s="1"/>
  <c r="AQ851" i="1" l="1"/>
  <c r="BC851" i="1" s="1"/>
  <c r="BU851" i="1" s="1"/>
  <c r="CB851" i="1" s="1"/>
  <c r="CC851" i="1" s="1"/>
  <c r="BV851" i="1" l="1"/>
  <c r="BM851" i="1"/>
  <c r="BO851" i="1" s="1"/>
  <c r="BP851" i="1" l="1"/>
  <c r="BN851" i="1"/>
  <c r="BR851" i="1" l="1"/>
  <c r="BY851" i="1" s="1"/>
  <c r="AQ852" i="1" l="1"/>
  <c r="BC852" i="1" s="1"/>
  <c r="BU852" i="1" s="1"/>
  <c r="CB852" i="1" s="1"/>
  <c r="CC852" i="1" s="1"/>
  <c r="BV852" i="1" l="1"/>
  <c r="BM852" i="1"/>
  <c r="BO852" i="1" s="1"/>
  <c r="BN852" i="1" l="1"/>
  <c r="BP852" i="1"/>
  <c r="BH853" i="1"/>
  <c r="BI853" i="1" s="1"/>
  <c r="BJ853" i="1"/>
  <c r="BL853" i="1" s="1"/>
  <c r="CH853" i="1"/>
  <c r="CH854" i="1" s="1"/>
  <c r="CH855" i="1" s="1"/>
  <c r="BR852" i="1" l="1"/>
  <c r="BY852" i="1" s="1"/>
  <c r="BH854" i="1"/>
  <c r="BH855" i="1" s="1"/>
  <c r="BI855" i="1" s="1"/>
  <c r="BJ854" i="1"/>
  <c r="BK854" i="1" s="1"/>
  <c r="BK853" i="1"/>
  <c r="BW853" i="1"/>
  <c r="CD853" i="1" s="1"/>
  <c r="CE853" i="1" s="1"/>
  <c r="AQ853" i="1" l="1"/>
  <c r="BI854" i="1"/>
  <c r="BJ855" i="1"/>
  <c r="BK855" i="1" s="1"/>
  <c r="BL854" i="1"/>
  <c r="BW854" i="1" s="1"/>
  <c r="CD854" i="1" s="1"/>
  <c r="CE854" i="1" s="1"/>
  <c r="BX853" i="1"/>
  <c r="BC853" i="1" l="1"/>
  <c r="BU853" i="1" s="1"/>
  <c r="BL855" i="1"/>
  <c r="BW855" i="1" s="1"/>
  <c r="BX855" i="1" s="1"/>
  <c r="BX854" i="1"/>
  <c r="BM853" i="1" l="1"/>
  <c r="BP853" i="1" s="1"/>
  <c r="BV853" i="1"/>
  <c r="CB853" i="1"/>
  <c r="CC853" i="1" s="1"/>
  <c r="CD855" i="1"/>
  <c r="CE855" i="1" s="1"/>
  <c r="BN853" i="1" l="1"/>
  <c r="BO853" i="1"/>
  <c r="BR853" i="1" l="1"/>
  <c r="BY853" i="1" s="1"/>
  <c r="AQ854" i="1" l="1"/>
  <c r="BC854" i="1" s="1"/>
  <c r="BU854" i="1" s="1"/>
  <c r="CB854" i="1" l="1"/>
  <c r="CC854" i="1" s="1"/>
  <c r="BV854" i="1"/>
  <c r="BM854" i="1"/>
  <c r="BO854" i="1" l="1"/>
  <c r="BN854" i="1"/>
  <c r="BP854" i="1"/>
  <c r="BR854" i="1" l="1"/>
  <c r="BY854" i="1" s="1"/>
  <c r="BH856" i="1"/>
  <c r="AQ855" i="1" l="1"/>
  <c r="BC855" i="1" s="1"/>
  <c r="BU855" i="1" s="1"/>
  <c r="BJ856" i="1"/>
  <c r="BK856" i="1" s="1"/>
  <c r="BH857" i="1"/>
  <c r="BI856" i="1"/>
  <c r="BM855" i="1" l="1"/>
  <c r="BN855" i="1" s="1"/>
  <c r="CB855" i="1"/>
  <c r="CC855" i="1" s="1"/>
  <c r="BV855" i="1"/>
  <c r="BJ857" i="1"/>
  <c r="BK857" i="1" s="1"/>
  <c r="BL856" i="1"/>
  <c r="BW856" i="1" s="1"/>
  <c r="BI857" i="1"/>
  <c r="BH858" i="1"/>
  <c r="BP855" i="1" l="1"/>
  <c r="BO855" i="1"/>
  <c r="BJ858" i="1"/>
  <c r="BL858" i="1" s="1"/>
  <c r="BW858" i="1" s="1"/>
  <c r="BL857" i="1"/>
  <c r="BW857" i="1" s="1"/>
  <c r="CD857" i="1" s="1"/>
  <c r="CD856" i="1"/>
  <c r="BX856" i="1"/>
  <c r="BI858" i="1"/>
  <c r="BR855" i="1" l="1"/>
  <c r="AQ856" i="1" s="1"/>
  <c r="BC856" i="1" s="1"/>
  <c r="CH856" i="1"/>
  <c r="CH857" i="1" s="1"/>
  <c r="CH858" i="1" s="1"/>
  <c r="BK858" i="1"/>
  <c r="BX857" i="1"/>
  <c r="BX858" i="1"/>
  <c r="CE856" i="1"/>
  <c r="CE857" i="1"/>
  <c r="CD858" i="1"/>
  <c r="CE858" i="1" s="1"/>
  <c r="BY855" i="1" l="1"/>
  <c r="BU856" i="1"/>
  <c r="BM856" i="1"/>
  <c r="BP856" i="1" l="1"/>
  <c r="BO856" i="1"/>
  <c r="BN856" i="1"/>
  <c r="CB856" i="1"/>
  <c r="CC856" i="1" s="1"/>
  <c r="BV856" i="1"/>
  <c r="BR856" i="1" l="1"/>
  <c r="AQ857" i="1" s="1"/>
  <c r="BY856" i="1" l="1"/>
  <c r="BC857" i="1"/>
  <c r="BU857" i="1" s="1"/>
  <c r="BM857" i="1" l="1"/>
  <c r="BP857" i="1" s="1"/>
  <c r="CB857" i="1"/>
  <c r="CC857" i="1" s="1"/>
  <c r="BV857" i="1"/>
  <c r="BN857" i="1" l="1"/>
  <c r="BO857" i="1"/>
  <c r="BR857" i="1" l="1"/>
  <c r="AQ858" i="1" s="1"/>
  <c r="BC858" i="1" l="1"/>
  <c r="BU858" i="1" s="1"/>
  <c r="CB858" i="1" s="1"/>
  <c r="CC858" i="1" s="1"/>
  <c r="BY857" i="1"/>
  <c r="BV858" i="1" l="1"/>
  <c r="BM858" i="1"/>
  <c r="BP858" i="1" l="1"/>
  <c r="BO858" i="1"/>
  <c r="BN858" i="1"/>
  <c r="BR858" i="1" l="1"/>
  <c r="AQ859" i="1" l="1"/>
  <c r="BY858" i="1"/>
  <c r="BC859" i="1" l="1"/>
  <c r="BU859" i="1" s="1"/>
  <c r="CH859" i="1"/>
  <c r="BH859" i="1" l="1"/>
  <c r="BI859" i="1" s="1"/>
  <c r="CB859" i="1"/>
  <c r="CC859" i="1" s="1"/>
  <c r="M125" i="1" s="1"/>
  <c r="AH322" i="3" s="1"/>
  <c r="BV859" i="1"/>
  <c r="L125" i="1" s="1"/>
  <c r="Z322" i="3" s="1"/>
  <c r="BJ859" i="1"/>
  <c r="BJ860" i="1"/>
  <c r="BK860" i="1" s="1"/>
  <c r="CH860" i="1"/>
  <c r="CH861" i="1" s="1"/>
  <c r="CH862" i="1" s="1"/>
  <c r="CH863" i="1" s="1"/>
  <c r="CH864" i="1" s="1"/>
  <c r="BK859" i="1" l="1"/>
  <c r="BL859" i="1"/>
  <c r="BH860" i="1"/>
  <c r="BI860" i="1" s="1"/>
  <c r="BJ861" i="1"/>
  <c r="BK861" i="1" s="1"/>
  <c r="BH861" i="1"/>
  <c r="BL860" i="1"/>
  <c r="BW859" i="1" l="1"/>
  <c r="BM859" i="1"/>
  <c r="BJ862" i="1"/>
  <c r="BK862" i="1" s="1"/>
  <c r="BL861" i="1"/>
  <c r="BW861" i="1" s="1"/>
  <c r="CD861" i="1" s="1"/>
  <c r="BW860" i="1"/>
  <c r="BH862" i="1"/>
  <c r="BI861" i="1"/>
  <c r="BN859" i="1" l="1"/>
  <c r="BO859" i="1"/>
  <c r="BP859" i="1"/>
  <c r="CD859" i="1"/>
  <c r="CE859" i="1" s="1"/>
  <c r="O125" i="1" s="1"/>
  <c r="AX322" i="3" s="1"/>
  <c r="BX859" i="1"/>
  <c r="N125" i="1" s="1"/>
  <c r="BJ863" i="1"/>
  <c r="BK863" i="1" s="1"/>
  <c r="BI862" i="1"/>
  <c r="BH863" i="1"/>
  <c r="BX860" i="1"/>
  <c r="CD860" i="1"/>
  <c r="BX861" i="1"/>
  <c r="BL862" i="1"/>
  <c r="BW862" i="1" s="1"/>
  <c r="CD862" i="1" s="1"/>
  <c r="BR859" i="1" l="1"/>
  <c r="BY859" i="1"/>
  <c r="Q125" i="1" s="1"/>
  <c r="BN322" i="3" s="1"/>
  <c r="AQ860" i="1"/>
  <c r="P125" i="1"/>
  <c r="BF322" i="3" s="1"/>
  <c r="AF124" i="1"/>
  <c r="AI124" i="1" s="1"/>
  <c r="AP322" i="3"/>
  <c r="BL863" i="1"/>
  <c r="BW863" i="1" s="1"/>
  <c r="CD863" i="1" s="1"/>
  <c r="CE863" i="1" s="1"/>
  <c r="BJ864" i="1"/>
  <c r="BK864" i="1" s="1"/>
  <c r="BI863" i="1"/>
  <c r="BH864" i="1"/>
  <c r="BX862" i="1"/>
  <c r="CE860" i="1"/>
  <c r="CE861" i="1"/>
  <c r="CE862" i="1"/>
  <c r="BC860" i="1" l="1"/>
  <c r="BU860" i="1" s="1"/>
  <c r="BM860" i="1"/>
  <c r="BX863" i="1"/>
  <c r="BI864" i="1"/>
  <c r="BL864" i="1"/>
  <c r="BW864" i="1" s="1"/>
  <c r="BO860" i="1" l="1"/>
  <c r="BP860" i="1"/>
  <c r="BN860" i="1"/>
  <c r="BV860" i="1"/>
  <c r="CB860" i="1"/>
  <c r="CC860" i="1" s="1"/>
  <c r="BX864" i="1"/>
  <c r="CD864" i="1"/>
  <c r="BR860" i="1" l="1"/>
  <c r="AQ861" i="1"/>
  <c r="BY860" i="1"/>
  <c r="CE864" i="1"/>
  <c r="BC861" i="1" l="1"/>
  <c r="BU861" i="1" s="1"/>
  <c r="BM861" i="1"/>
  <c r="BN861" i="1" l="1"/>
  <c r="BP861" i="1"/>
  <c r="BO861" i="1"/>
  <c r="CB861" i="1"/>
  <c r="CC861" i="1" s="1"/>
  <c r="BV861" i="1"/>
  <c r="BR861" i="1" l="1"/>
  <c r="AQ862" i="1"/>
  <c r="BC862" i="1" s="1"/>
  <c r="BU862" i="1" s="1"/>
  <c r="CB862" i="1" s="1"/>
  <c r="CC862" i="1" s="1"/>
  <c r="BY861" i="1"/>
  <c r="BV862" i="1" l="1"/>
  <c r="BM862" i="1"/>
  <c r="BN862" i="1" s="1"/>
  <c r="BO862" i="1" l="1"/>
  <c r="BP862" i="1"/>
  <c r="BR862" i="1" l="1"/>
  <c r="BY862" i="1" s="1"/>
  <c r="AQ863" i="1"/>
  <c r="BC863" i="1" s="1"/>
  <c r="BU863" i="1" s="1"/>
  <c r="CB863" i="1" s="1"/>
  <c r="CC863" i="1" s="1"/>
  <c r="BV863" i="1" l="1"/>
  <c r="BM863" i="1"/>
  <c r="BP863" i="1" s="1"/>
  <c r="BO863" i="1" l="1"/>
  <c r="BN863" i="1"/>
  <c r="BR863" i="1" l="1"/>
  <c r="AQ864" i="1" s="1"/>
  <c r="BY863" i="1" l="1"/>
  <c r="BC864" i="1"/>
  <c r="BU864" i="1" s="1"/>
  <c r="BM864" i="1" l="1"/>
  <c r="BO864" i="1" s="1"/>
  <c r="BV864" i="1"/>
  <c r="CB864" i="1"/>
  <c r="CC864" i="1" s="1"/>
  <c r="BP864" i="1" l="1"/>
  <c r="BN864" i="1"/>
  <c r="BR864" i="1" l="1"/>
  <c r="AQ865" i="1" s="1"/>
  <c r="BC865" i="1" l="1"/>
  <c r="BU865" i="1" s="1"/>
  <c r="BY864" i="1"/>
  <c r="BH865" i="1" l="1"/>
  <c r="BI865" i="1" s="1"/>
  <c r="CH865" i="1"/>
  <c r="CH866" i="1" s="1"/>
  <c r="CH867" i="1" s="1"/>
  <c r="BJ865" i="1"/>
  <c r="BL865" i="1" s="1"/>
  <c r="BV865" i="1"/>
  <c r="CB865" i="1"/>
  <c r="CC865" i="1" s="1"/>
  <c r="BH866" i="1" l="1"/>
  <c r="BI866" i="1" s="1"/>
  <c r="BJ866" i="1"/>
  <c r="BK866" i="1" s="1"/>
  <c r="BW865" i="1"/>
  <c r="CD865" i="1" s="1"/>
  <c r="CE865" i="1" s="1"/>
  <c r="BM865" i="1"/>
  <c r="BP865" i="1" s="1"/>
  <c r="BK865" i="1"/>
  <c r="BX865" i="1" l="1"/>
  <c r="BH867" i="1"/>
  <c r="BI867" i="1" s="1"/>
  <c r="BJ867" i="1"/>
  <c r="BL867" i="1" s="1"/>
  <c r="BW867" i="1" s="1"/>
  <c r="CD867" i="1" s="1"/>
  <c r="BL866" i="1"/>
  <c r="BW866" i="1" s="1"/>
  <c r="CD866" i="1" s="1"/>
  <c r="CE866" i="1" s="1"/>
  <c r="BO865" i="1"/>
  <c r="BN865" i="1"/>
  <c r="CE867" i="1" l="1"/>
  <c r="BR865" i="1"/>
  <c r="BY865" i="1" s="1"/>
  <c r="BK867" i="1"/>
  <c r="BX866" i="1"/>
  <c r="BX867" i="1"/>
  <c r="CH868" i="1"/>
  <c r="CH869" i="1" s="1"/>
  <c r="CH870" i="1" s="1"/>
  <c r="AQ866" i="1" l="1"/>
  <c r="BC866" i="1" s="1"/>
  <c r="BU866" i="1" s="1"/>
  <c r="BV866" i="1" s="1"/>
  <c r="BH868" i="1"/>
  <c r="BI868" i="1" s="1"/>
  <c r="BJ868" i="1"/>
  <c r="CB866" i="1" l="1"/>
  <c r="CC866" i="1" s="1"/>
  <c r="BM866" i="1"/>
  <c r="BN866" i="1" s="1"/>
  <c r="BH869" i="1"/>
  <c r="BI869" i="1" s="1"/>
  <c r="BK868" i="1"/>
  <c r="BL868" i="1"/>
  <c r="BJ869" i="1"/>
  <c r="BP866" i="1" l="1"/>
  <c r="BO866" i="1"/>
  <c r="BH870" i="1"/>
  <c r="BI870" i="1" s="1"/>
  <c r="BL869" i="1"/>
  <c r="BW869" i="1" s="1"/>
  <c r="CD869" i="1" s="1"/>
  <c r="BJ870" i="1"/>
  <c r="BK869" i="1"/>
  <c r="BW868" i="1"/>
  <c r="BR866" i="1" l="1"/>
  <c r="AQ867" i="1" s="1"/>
  <c r="BC867" i="1" s="1"/>
  <c r="BU867" i="1" s="1"/>
  <c r="CB867" i="1" s="1"/>
  <c r="CC867" i="1" s="1"/>
  <c r="BL870" i="1"/>
  <c r="BW870" i="1" s="1"/>
  <c r="CD870" i="1" s="1"/>
  <c r="BK870" i="1"/>
  <c r="CD868" i="1"/>
  <c r="BX869" i="1"/>
  <c r="BX868" i="1"/>
  <c r="BY866" i="1" l="1"/>
  <c r="BV867" i="1"/>
  <c r="BM867" i="1"/>
  <c r="BO867" i="1" s="1"/>
  <c r="BX870" i="1"/>
  <c r="CE869" i="1"/>
  <c r="CE868" i="1"/>
  <c r="CE870" i="1"/>
  <c r="BP867" i="1" l="1"/>
  <c r="BN867" i="1"/>
  <c r="BR867" i="1" l="1"/>
  <c r="AQ868" i="1" s="1"/>
  <c r="BC868" i="1" s="1"/>
  <c r="BU868" i="1" s="1"/>
  <c r="BY867" i="1" l="1"/>
  <c r="BM868" i="1"/>
  <c r="BN868" i="1" s="1"/>
  <c r="CB868" i="1"/>
  <c r="CC868" i="1" s="1"/>
  <c r="BV868" i="1"/>
  <c r="BO868" i="1" l="1"/>
  <c r="BP868" i="1"/>
  <c r="BR868" i="1" l="1"/>
  <c r="AQ869" i="1" s="1"/>
  <c r="BC869" i="1" s="1"/>
  <c r="BU869" i="1" s="1"/>
  <c r="BY868" i="1" l="1"/>
  <c r="BM869" i="1"/>
  <c r="BO869" i="1" s="1"/>
  <c r="CB869" i="1"/>
  <c r="CC869" i="1" s="1"/>
  <c r="BV869" i="1"/>
  <c r="BN869" i="1" l="1"/>
  <c r="BP869" i="1"/>
  <c r="BR869" i="1" l="1"/>
  <c r="BY869" i="1" s="1"/>
  <c r="AQ870" i="1" l="1"/>
  <c r="BC870" i="1" s="1"/>
  <c r="BU870" i="1" s="1"/>
  <c r="CB870" i="1" s="1"/>
  <c r="CC870" i="1" s="1"/>
  <c r="BV870" i="1" l="1"/>
  <c r="BM870" i="1"/>
  <c r="BP870" i="1" s="1"/>
  <c r="BO870" i="1" l="1"/>
  <c r="BN870" i="1"/>
  <c r="BR870" i="1" l="1"/>
  <c r="BY870" i="1" s="1"/>
  <c r="AQ871" i="1" l="1"/>
  <c r="BC871" i="1" l="1"/>
  <c r="BU871" i="1" s="1"/>
  <c r="CB871" i="1" s="1"/>
  <c r="CC871" i="1" s="1"/>
  <c r="M126" i="1" s="1"/>
  <c r="CH871" i="1"/>
  <c r="AH323" i="3" l="1"/>
  <c r="BV871" i="1"/>
  <c r="L126" i="1" s="1"/>
  <c r="BJ871" i="1"/>
  <c r="BK871" i="1" s="1"/>
  <c r="BH871" i="1"/>
  <c r="BI871" i="1" s="1"/>
  <c r="CH872" i="1"/>
  <c r="CH873" i="1" s="1"/>
  <c r="CH874" i="1" s="1"/>
  <c r="CH875" i="1" s="1"/>
  <c r="CH876" i="1" s="1"/>
  <c r="Z323" i="3" l="1"/>
  <c r="BJ872" i="1"/>
  <c r="BL872" i="1" s="1"/>
  <c r="BW872" i="1" s="1"/>
  <c r="BH872" i="1"/>
  <c r="BI872" i="1" s="1"/>
  <c r="BL871" i="1"/>
  <c r="BW871" i="1" s="1"/>
  <c r="BJ873" i="1" l="1"/>
  <c r="BL873" i="1" s="1"/>
  <c r="BW873" i="1" s="1"/>
  <c r="CD873" i="1" s="1"/>
  <c r="BK872" i="1"/>
  <c r="BH873" i="1"/>
  <c r="BI873" i="1" s="1"/>
  <c r="BM871" i="1"/>
  <c r="BP871" i="1" s="1"/>
  <c r="BX871" i="1"/>
  <c r="N126" i="1" s="1"/>
  <c r="CD871" i="1"/>
  <c r="CE871" i="1" s="1"/>
  <c r="O126" i="1" s="1"/>
  <c r="BX872" i="1"/>
  <c r="CD872" i="1"/>
  <c r="BJ874" i="1" l="1"/>
  <c r="BL874" i="1" s="1"/>
  <c r="BW874" i="1" s="1"/>
  <c r="CD874" i="1" s="1"/>
  <c r="CE874" i="1" s="1"/>
  <c r="BH874" i="1"/>
  <c r="BI874" i="1" s="1"/>
  <c r="BK873" i="1"/>
  <c r="AX323" i="3"/>
  <c r="BN871" i="1"/>
  <c r="BO871" i="1"/>
  <c r="AF125" i="1"/>
  <c r="AI125" i="1" s="1"/>
  <c r="AP323" i="3"/>
  <c r="BX873" i="1"/>
  <c r="CE872" i="1"/>
  <c r="CE873" i="1"/>
  <c r="BJ875" i="1" l="1"/>
  <c r="BL875" i="1" s="1"/>
  <c r="BW875" i="1" s="1"/>
  <c r="CD875" i="1" s="1"/>
  <c r="CE875" i="1" s="1"/>
  <c r="BK874" i="1"/>
  <c r="BH875" i="1"/>
  <c r="BI875" i="1" s="1"/>
  <c r="BX874" i="1"/>
  <c r="BR871" i="1"/>
  <c r="AQ872" i="1" s="1"/>
  <c r="BJ876" i="1" l="1"/>
  <c r="BK876" i="1" s="1"/>
  <c r="P126" i="1"/>
  <c r="BF323" i="3" s="1"/>
  <c r="BK875" i="1"/>
  <c r="BX875" i="1"/>
  <c r="BH876" i="1"/>
  <c r="BI876" i="1" s="1"/>
  <c r="BY871" i="1"/>
  <c r="Q126" i="1" s="1"/>
  <c r="BC872" i="1"/>
  <c r="BU872" i="1" s="1"/>
  <c r="BL876" i="1" l="1"/>
  <c r="BW876" i="1" s="1"/>
  <c r="CD876" i="1" s="1"/>
  <c r="CE876" i="1" s="1"/>
  <c r="BN323" i="3"/>
  <c r="BM872" i="1"/>
  <c r="BN872" i="1" s="1"/>
  <c r="CB872" i="1"/>
  <c r="CC872" i="1" s="1"/>
  <c r="BV872" i="1"/>
  <c r="BX876" i="1" l="1"/>
  <c r="BP872" i="1"/>
  <c r="BO872" i="1"/>
  <c r="BR872" i="1" l="1"/>
  <c r="BY872" i="1" s="1"/>
  <c r="AQ873" i="1" l="1"/>
  <c r="BC873" i="1" s="1"/>
  <c r="BU873" i="1" s="1"/>
  <c r="BM873" i="1" l="1"/>
  <c r="BN873" i="1" s="1"/>
  <c r="CB873" i="1"/>
  <c r="CC873" i="1" s="1"/>
  <c r="BV873" i="1"/>
  <c r="BO873" i="1" l="1"/>
  <c r="BP873" i="1"/>
  <c r="BR873" i="1" l="1"/>
  <c r="AQ874" i="1" s="1"/>
  <c r="BC874" i="1" s="1"/>
  <c r="BU874" i="1" s="1"/>
  <c r="CB874" i="1" s="1"/>
  <c r="CC874" i="1" s="1"/>
  <c r="BY873" i="1" l="1"/>
  <c r="BV874" i="1"/>
  <c r="BM874" i="1"/>
  <c r="BO874" i="1" l="1"/>
  <c r="BN874" i="1"/>
  <c r="BP874" i="1"/>
  <c r="BR874" i="1" l="1"/>
  <c r="BY874" i="1" s="1"/>
  <c r="AQ875" i="1" l="1"/>
  <c r="BC875" i="1" s="1"/>
  <c r="BU875" i="1" s="1"/>
  <c r="CB875" i="1" s="1"/>
  <c r="CC875" i="1" s="1"/>
  <c r="BM875" i="1" l="1"/>
  <c r="BO875" i="1" s="1"/>
  <c r="BV875" i="1"/>
  <c r="BP875" i="1" l="1"/>
  <c r="BN875" i="1"/>
  <c r="BR875" i="1" l="1"/>
  <c r="BY875" i="1" s="1"/>
  <c r="AQ876" i="1" l="1"/>
  <c r="BC876" i="1" s="1"/>
  <c r="BU876" i="1" s="1"/>
  <c r="CB876" i="1" s="1"/>
  <c r="CC876" i="1" s="1"/>
  <c r="BV876" i="1" l="1"/>
  <c r="BM876" i="1"/>
  <c r="BP876" i="1" s="1"/>
  <c r="BN876" i="1" l="1"/>
  <c r="BO876" i="1"/>
  <c r="BR876" i="1" s="1"/>
  <c r="BY876" i="1" l="1"/>
  <c r="AQ877" i="1"/>
  <c r="BC877" i="1" s="1"/>
  <c r="BU877" i="1" s="1"/>
  <c r="BJ877" i="1"/>
  <c r="BL877" i="1" s="1"/>
  <c r="BH877" i="1"/>
  <c r="BI877" i="1" s="1"/>
  <c r="CH877" i="1"/>
  <c r="CH878" i="1" s="1"/>
  <c r="CH879" i="1" s="1"/>
  <c r="CB877" i="1"/>
  <c r="CC877" i="1" s="1"/>
  <c r="BV877" i="1"/>
  <c r="BH878" i="1" l="1"/>
  <c r="BI878" i="1" s="1"/>
  <c r="BJ878" i="1"/>
  <c r="BK878" i="1" s="1"/>
  <c r="BW877" i="1"/>
  <c r="CD877" i="1" s="1"/>
  <c r="BM877" i="1"/>
  <c r="BO877" i="1" s="1"/>
  <c r="BK877" i="1"/>
  <c r="BX877" i="1" l="1"/>
  <c r="BH879" i="1"/>
  <c r="BI879" i="1" s="1"/>
  <c r="BJ879" i="1"/>
  <c r="BK879" i="1" s="1"/>
  <c r="BL878" i="1"/>
  <c r="BW878" i="1" s="1"/>
  <c r="BX878" i="1" s="1"/>
  <c r="BN877" i="1"/>
  <c r="BP877" i="1"/>
  <c r="CE877" i="1"/>
  <c r="BH880" i="1" l="1"/>
  <c r="BH881" i="1" s="1"/>
  <c r="CD878" i="1"/>
  <c r="CE878" i="1" s="1"/>
  <c r="BJ880" i="1"/>
  <c r="BK880" i="1" s="1"/>
  <c r="BL879" i="1"/>
  <c r="BW879" i="1" s="1"/>
  <c r="BX879" i="1" s="1"/>
  <c r="BR877" i="1"/>
  <c r="AQ878" i="1" s="1"/>
  <c r="BC878" i="1" s="1"/>
  <c r="BU878" i="1" s="1"/>
  <c r="BV878" i="1" s="1"/>
  <c r="CH880" i="1"/>
  <c r="CH881" i="1" s="1"/>
  <c r="CH882" i="1" s="1"/>
  <c r="BI880" i="1" l="1"/>
  <c r="BJ881" i="1"/>
  <c r="BL881" i="1" s="1"/>
  <c r="BW881" i="1" s="1"/>
  <c r="CD881" i="1" s="1"/>
  <c r="CB878" i="1"/>
  <c r="CC878" i="1" s="1"/>
  <c r="CD879" i="1"/>
  <c r="CE879" i="1" s="1"/>
  <c r="BL880" i="1"/>
  <c r="BW880" i="1" s="1"/>
  <c r="BM878" i="1"/>
  <c r="BP878" i="1" s="1"/>
  <c r="BY877" i="1"/>
  <c r="BI881" i="1"/>
  <c r="BH882" i="1"/>
  <c r="BJ882" i="1" l="1"/>
  <c r="BK882" i="1" s="1"/>
  <c r="BK881" i="1"/>
  <c r="BN878" i="1"/>
  <c r="BO878" i="1"/>
  <c r="BI882" i="1"/>
  <c r="CD880" i="1"/>
  <c r="BX880" i="1"/>
  <c r="BX881" i="1"/>
  <c r="BR878" i="1" l="1"/>
  <c r="AQ879" i="1" s="1"/>
  <c r="BC879" i="1" s="1"/>
  <c r="BU879" i="1" s="1"/>
  <c r="CB879" i="1" s="1"/>
  <c r="CC879" i="1" s="1"/>
  <c r="BL882" i="1"/>
  <c r="BW882" i="1" s="1"/>
  <c r="CD882" i="1" s="1"/>
  <c r="CE882" i="1" s="1"/>
  <c r="CE881" i="1"/>
  <c r="CE880" i="1"/>
  <c r="BY878" i="1" l="1"/>
  <c r="BX882" i="1"/>
  <c r="BV879" i="1"/>
  <c r="BM879" i="1"/>
  <c r="BO879" i="1" s="1"/>
  <c r="BN879" i="1" l="1"/>
  <c r="BP879" i="1"/>
  <c r="BR879" i="1" l="1"/>
  <c r="BY879" i="1" s="1"/>
  <c r="AQ880" i="1" l="1"/>
  <c r="BC880" i="1" s="1"/>
  <c r="BU880" i="1" s="1"/>
  <c r="BV880" i="1" s="1"/>
  <c r="BM880" i="1" l="1"/>
  <c r="BN880" i="1" s="1"/>
  <c r="CB880" i="1"/>
  <c r="CC880" i="1" s="1"/>
  <c r="BP880" i="1" l="1"/>
  <c r="BO880" i="1"/>
  <c r="BR880" i="1" l="1"/>
  <c r="BY880" i="1" s="1"/>
  <c r="AQ881" i="1" l="1"/>
  <c r="BC881" i="1" s="1"/>
  <c r="BU881" i="1" s="1"/>
  <c r="BM881" i="1" l="1"/>
  <c r="BO881" i="1" s="1"/>
  <c r="CB881" i="1"/>
  <c r="CC881" i="1" s="1"/>
  <c r="BV881" i="1"/>
  <c r="BP881" i="1" l="1"/>
  <c r="BN881" i="1"/>
  <c r="BR881" i="1" l="1"/>
  <c r="AQ882" i="1" s="1"/>
  <c r="BC882" i="1" s="1"/>
  <c r="BU882" i="1" s="1"/>
  <c r="BY881" i="1" l="1"/>
  <c r="BV882" i="1"/>
  <c r="CB882" i="1"/>
  <c r="CC882" i="1" s="1"/>
  <c r="BM882" i="1"/>
  <c r="BN882" i="1" l="1"/>
  <c r="BO882" i="1"/>
  <c r="BP882" i="1"/>
  <c r="BR882" i="1" l="1"/>
  <c r="AQ883" i="1" s="1"/>
  <c r="BY882" i="1" l="1"/>
  <c r="BC883" i="1"/>
  <c r="BU883" i="1" s="1"/>
  <c r="CH883" i="1" l="1"/>
  <c r="BJ883" i="1"/>
  <c r="BH883" i="1"/>
  <c r="BI883" i="1" s="1"/>
  <c r="CB883" i="1"/>
  <c r="CC883" i="1" s="1"/>
  <c r="M127" i="1" s="1"/>
  <c r="BV883" i="1"/>
  <c r="L127" i="1" s="1"/>
  <c r="Z324" i="3" l="1"/>
  <c r="AH324" i="3"/>
  <c r="BK883" i="1"/>
  <c r="BL883" i="1"/>
  <c r="BW883" i="1" l="1"/>
  <c r="BM883" i="1"/>
  <c r="CH884" i="1"/>
  <c r="CH885" i="1" s="1"/>
  <c r="CH886" i="1" s="1"/>
  <c r="CH887" i="1" s="1"/>
  <c r="CH888" i="1" s="1"/>
  <c r="BP883" i="1" l="1"/>
  <c r="BO883" i="1"/>
  <c r="BN883" i="1"/>
  <c r="CD883" i="1"/>
  <c r="CE883" i="1" s="1"/>
  <c r="O127" i="1" s="1"/>
  <c r="BX883" i="1"/>
  <c r="N127" i="1" s="1"/>
  <c r="BJ884" i="1"/>
  <c r="BH884" i="1"/>
  <c r="AX324" i="3" l="1"/>
  <c r="BR883" i="1"/>
  <c r="AQ884" i="1" s="1"/>
  <c r="BC884" i="1" s="1"/>
  <c r="BU884" i="1" s="1"/>
  <c r="AF126" i="1"/>
  <c r="AI126" i="1" s="1"/>
  <c r="AP324" i="3"/>
  <c r="BH885" i="1"/>
  <c r="BI884" i="1"/>
  <c r="BK884" i="1"/>
  <c r="BJ885" i="1"/>
  <c r="BL884" i="1"/>
  <c r="P127" i="1" l="1"/>
  <c r="BY883" i="1"/>
  <c r="Q127" i="1" s="1"/>
  <c r="CB884" i="1"/>
  <c r="CC884" i="1" s="1"/>
  <c r="BV884" i="1"/>
  <c r="BM884" i="1"/>
  <c r="BW884" i="1"/>
  <c r="BK885" i="1"/>
  <c r="BJ886" i="1"/>
  <c r="BL885" i="1"/>
  <c r="BW885" i="1" s="1"/>
  <c r="CD885" i="1" s="1"/>
  <c r="BH886" i="1"/>
  <c r="BI885" i="1"/>
  <c r="BN324" i="3" l="1"/>
  <c r="BF324" i="3"/>
  <c r="BL886" i="1"/>
  <c r="BW886" i="1" s="1"/>
  <c r="CD886" i="1" s="1"/>
  <c r="BJ887" i="1"/>
  <c r="BK886" i="1"/>
  <c r="BI886" i="1"/>
  <c r="BH887" i="1"/>
  <c r="CD884" i="1"/>
  <c r="BX884" i="1"/>
  <c r="BX885" i="1"/>
  <c r="BN884" i="1"/>
  <c r="BP884" i="1"/>
  <c r="BO884" i="1"/>
  <c r="BX886" i="1" l="1"/>
  <c r="BR884" i="1"/>
  <c r="AQ885" i="1" s="1"/>
  <c r="CE884" i="1"/>
  <c r="CE885" i="1"/>
  <c r="CE886" i="1"/>
  <c r="BK887" i="1"/>
  <c r="BJ888" i="1"/>
  <c r="BL887" i="1"/>
  <c r="BW887" i="1" s="1"/>
  <c r="BH888" i="1"/>
  <c r="BI887" i="1"/>
  <c r="BY884" i="1" l="1"/>
  <c r="CD887" i="1"/>
  <c r="CE887" i="1" s="1"/>
  <c r="BX887" i="1"/>
  <c r="BK888" i="1"/>
  <c r="BL888" i="1"/>
  <c r="BW888" i="1" s="1"/>
  <c r="CD888" i="1" s="1"/>
  <c r="BI888" i="1"/>
  <c r="BC885" i="1"/>
  <c r="BU885" i="1" s="1"/>
  <c r="CE888" i="1" l="1"/>
  <c r="BM885" i="1"/>
  <c r="BO885" i="1" s="1"/>
  <c r="BV885" i="1"/>
  <c r="CB885" i="1"/>
  <c r="BX888" i="1"/>
  <c r="BP885" i="1" l="1"/>
  <c r="BN885" i="1"/>
  <c r="CC885" i="1"/>
  <c r="BR885" i="1" l="1"/>
  <c r="AQ886" i="1" s="1"/>
  <c r="BC886" i="1" s="1"/>
  <c r="BY885" i="1" l="1"/>
  <c r="BU886" i="1"/>
  <c r="CB886" i="1" s="1"/>
  <c r="BM886" i="1"/>
  <c r="BP886" i="1" s="1"/>
  <c r="BV886" i="1" l="1"/>
  <c r="BN886" i="1"/>
  <c r="BO886" i="1"/>
  <c r="CC886" i="1"/>
  <c r="BR886" i="1" l="1"/>
  <c r="AQ887" i="1" s="1"/>
  <c r="BC887" i="1" s="1"/>
  <c r="BU887" i="1" s="1"/>
  <c r="BY886" i="1" l="1"/>
  <c r="BM887" i="1"/>
  <c r="BN887" i="1" s="1"/>
  <c r="CB887" i="1"/>
  <c r="CC887" i="1" s="1"/>
  <c r="BV887" i="1"/>
  <c r="BP887" i="1" l="1"/>
  <c r="BO887" i="1"/>
  <c r="BR887" i="1" l="1"/>
  <c r="BY887" i="1" s="1"/>
  <c r="AQ888" i="1" l="1"/>
  <c r="BC888" i="1" s="1"/>
  <c r="BU888" i="1" s="1"/>
  <c r="BV888" i="1" s="1"/>
  <c r="BM888" i="1" l="1"/>
  <c r="BN888" i="1" s="1"/>
  <c r="CB888" i="1"/>
  <c r="CC888" i="1" s="1"/>
  <c r="BO888" i="1" l="1"/>
  <c r="BP888" i="1"/>
  <c r="BR888" i="1" l="1"/>
  <c r="AQ889" i="1" s="1"/>
  <c r="BY888" i="1" l="1"/>
  <c r="BC889" i="1"/>
  <c r="BU889" i="1" s="1"/>
  <c r="BJ889" i="1" l="1"/>
  <c r="BH889" i="1"/>
  <c r="CH889" i="1"/>
  <c r="CH890" i="1" s="1"/>
  <c r="CH891" i="1" s="1"/>
  <c r="CH892" i="1" s="1"/>
  <c r="CH893" i="1" s="1"/>
  <c r="CH894" i="1" s="1"/>
  <c r="BV889" i="1"/>
  <c r="CB889" i="1"/>
  <c r="CC889" i="1" s="1"/>
  <c r="BI889" i="1" l="1"/>
  <c r="BH890" i="1"/>
  <c r="BK889" i="1"/>
  <c r="BL889" i="1"/>
  <c r="BJ890" i="1"/>
  <c r="BK890" i="1" l="1"/>
  <c r="BL890" i="1"/>
  <c r="BW890" i="1" s="1"/>
  <c r="CD890" i="1" s="1"/>
  <c r="BJ891" i="1"/>
  <c r="BW889" i="1"/>
  <c r="BM889" i="1"/>
  <c r="BI890" i="1"/>
  <c r="BH891" i="1"/>
  <c r="BP889" i="1" l="1"/>
  <c r="BO889" i="1"/>
  <c r="BN889" i="1"/>
  <c r="CD889" i="1"/>
  <c r="CE890" i="1" s="1"/>
  <c r="BX889" i="1"/>
  <c r="BX890" i="1"/>
  <c r="BK891" i="1"/>
  <c r="BL891" i="1"/>
  <c r="BW891" i="1" s="1"/>
  <c r="BX891" i="1" s="1"/>
  <c r="BJ892" i="1"/>
  <c r="BI891" i="1"/>
  <c r="BH892" i="1"/>
  <c r="BR889" i="1" l="1"/>
  <c r="BY889" i="1" s="1"/>
  <c r="CE889" i="1"/>
  <c r="BL892" i="1"/>
  <c r="BW892" i="1" s="1"/>
  <c r="BH893" i="1"/>
  <c r="BI892" i="1"/>
  <c r="CD891" i="1"/>
  <c r="CE891" i="1" s="1"/>
  <c r="BJ893" i="1"/>
  <c r="BK892" i="1"/>
  <c r="AQ890" i="1" l="1"/>
  <c r="BC890" i="1" s="1"/>
  <c r="BU890" i="1" s="1"/>
  <c r="BV890" i="1" s="1"/>
  <c r="BI893" i="1"/>
  <c r="BH894" i="1"/>
  <c r="CD892" i="1"/>
  <c r="CE892" i="1" s="1"/>
  <c r="BX892" i="1"/>
  <c r="BK893" i="1"/>
  <c r="BJ894" i="1"/>
  <c r="BL893" i="1"/>
  <c r="BW893" i="1" s="1"/>
  <c r="BX893" i="1" s="1"/>
  <c r="BM890" i="1" l="1"/>
  <c r="CB890" i="1"/>
  <c r="CC890" i="1" s="1"/>
  <c r="BK894" i="1"/>
  <c r="BL894" i="1"/>
  <c r="BW894" i="1" s="1"/>
  <c r="BI894" i="1"/>
  <c r="CD893" i="1"/>
  <c r="CE893" i="1" s="1"/>
  <c r="BP890" i="1" l="1"/>
  <c r="BN890" i="1"/>
  <c r="BO890" i="1"/>
  <c r="CD894" i="1"/>
  <c r="CE894" i="1" s="1"/>
  <c r="BX894" i="1"/>
  <c r="BR890" i="1" l="1"/>
  <c r="AQ891" i="1" s="1"/>
  <c r="BC891" i="1" s="1"/>
  <c r="BU891" i="1" s="1"/>
  <c r="BV891" i="1" s="1"/>
  <c r="CB891" i="1" l="1"/>
  <c r="CC891" i="1" s="1"/>
  <c r="BM891" i="1"/>
  <c r="BP891" i="1" s="1"/>
  <c r="BY890" i="1"/>
  <c r="BO891" i="1" l="1"/>
  <c r="BN891" i="1"/>
  <c r="BR891" i="1" l="1"/>
  <c r="AQ892" i="1" s="1"/>
  <c r="BY891" i="1" l="1"/>
  <c r="BC892" i="1"/>
  <c r="BU892" i="1" s="1"/>
  <c r="BM892" i="1" l="1"/>
  <c r="BO892" i="1" s="1"/>
  <c r="BV892" i="1"/>
  <c r="CB892" i="1"/>
  <c r="BN892" i="1" l="1"/>
  <c r="BP892" i="1"/>
  <c r="CC892" i="1"/>
  <c r="BR892" i="1" l="1"/>
  <c r="BY892" i="1" s="1"/>
  <c r="AQ893" i="1" l="1"/>
  <c r="BC893" i="1" s="1"/>
  <c r="BU893" i="1" s="1"/>
  <c r="CB893" i="1" s="1"/>
  <c r="CC893" i="1" s="1"/>
  <c r="BV893" i="1" l="1"/>
  <c r="BM893" i="1"/>
  <c r="BN893" i="1" s="1"/>
  <c r="BP893" i="1" l="1"/>
  <c r="BO893" i="1"/>
  <c r="BR893" i="1" l="1"/>
  <c r="AQ894" i="1" s="1"/>
  <c r="BC894" i="1" s="1"/>
  <c r="BU894" i="1" s="1"/>
  <c r="BY893" i="1" l="1"/>
  <c r="BM894" i="1"/>
  <c r="BN894" i="1" s="1"/>
  <c r="BV894" i="1"/>
  <c r="CB894" i="1"/>
  <c r="BO894" i="1" l="1"/>
  <c r="BP894" i="1"/>
  <c r="CC894" i="1"/>
  <c r="BR894" i="1" l="1"/>
  <c r="AQ895" i="1" s="1"/>
  <c r="BC895" i="1" l="1"/>
  <c r="BU895" i="1" s="1"/>
  <c r="BV895" i="1" s="1"/>
  <c r="L128" i="1" s="1"/>
  <c r="BH895" i="1"/>
  <c r="BI895" i="1" s="1"/>
  <c r="BY894" i="1"/>
  <c r="CH895" i="1" l="1"/>
  <c r="CB895" i="1"/>
  <c r="CC895" i="1" s="1"/>
  <c r="M128" i="1" s="1"/>
  <c r="BJ895" i="1"/>
  <c r="BL895" i="1" s="1"/>
  <c r="Z325" i="3"/>
  <c r="AH325" i="3" l="1"/>
  <c r="BK895" i="1"/>
  <c r="BW895" i="1"/>
  <c r="BM895" i="1"/>
  <c r="BN895" i="1" l="1"/>
  <c r="BP895" i="1"/>
  <c r="BO895" i="1"/>
  <c r="CD895" i="1"/>
  <c r="CE895" i="1" s="1"/>
  <c r="O128" i="1" s="1"/>
  <c r="BX895" i="1"/>
  <c r="N128" i="1" s="1"/>
  <c r="BJ896" i="1"/>
  <c r="CH896" i="1"/>
  <c r="CH897" i="1" s="1"/>
  <c r="CH898" i="1" s="1"/>
  <c r="CH899" i="1" s="1"/>
  <c r="CH900" i="1" s="1"/>
  <c r="BH896" i="1"/>
  <c r="AX325" i="3" l="1"/>
  <c r="AF127" i="1"/>
  <c r="AI127" i="1" s="1"/>
  <c r="AP325" i="3"/>
  <c r="BR895" i="1"/>
  <c r="BI896" i="1"/>
  <c r="BH897" i="1"/>
  <c r="BK896" i="1"/>
  <c r="BL896" i="1"/>
  <c r="BJ897" i="1"/>
  <c r="AQ896" i="1" l="1"/>
  <c r="BC896" i="1" s="1"/>
  <c r="BU896" i="1" s="1"/>
  <c r="P128" i="1"/>
  <c r="BY895" i="1"/>
  <c r="Q128" i="1" s="1"/>
  <c r="BL897" i="1"/>
  <c r="BW897" i="1" s="1"/>
  <c r="CD897" i="1" s="1"/>
  <c r="BK897" i="1"/>
  <c r="BJ898" i="1"/>
  <c r="BW896" i="1"/>
  <c r="BI897" i="1"/>
  <c r="BH898" i="1"/>
  <c r="BN325" i="3" l="1"/>
  <c r="BF325" i="3"/>
  <c r="BM896" i="1"/>
  <c r="BP896" i="1" s="1"/>
  <c r="CB896" i="1"/>
  <c r="CC896" i="1" s="1"/>
  <c r="BV896" i="1"/>
  <c r="BJ899" i="1"/>
  <c r="BL898" i="1"/>
  <c r="BW898" i="1" s="1"/>
  <c r="CD898" i="1" s="1"/>
  <c r="BK898" i="1"/>
  <c r="BI898" i="1"/>
  <c r="BH899" i="1"/>
  <c r="CD896" i="1"/>
  <c r="BX896" i="1"/>
  <c r="BX897" i="1"/>
  <c r="BO896" i="1" l="1"/>
  <c r="BN896" i="1"/>
  <c r="BX898" i="1"/>
  <c r="BI899" i="1"/>
  <c r="BH900" i="1"/>
  <c r="CE897" i="1"/>
  <c r="CE896" i="1"/>
  <c r="CE898" i="1"/>
  <c r="BK899" i="1"/>
  <c r="BL899" i="1"/>
  <c r="BW899" i="1" s="1"/>
  <c r="BJ900" i="1"/>
  <c r="BR896" i="1" l="1"/>
  <c r="BY896" i="1" s="1"/>
  <c r="BI900" i="1"/>
  <c r="BK900" i="1"/>
  <c r="BL900" i="1"/>
  <c r="BW900" i="1" s="1"/>
  <c r="CD899" i="1"/>
  <c r="BX899" i="1"/>
  <c r="AQ897" i="1" l="1"/>
  <c r="BC897" i="1" s="1"/>
  <c r="BU897" i="1" s="1"/>
  <c r="CB897" i="1" s="1"/>
  <c r="CC897" i="1" s="1"/>
  <c r="CE899" i="1"/>
  <c r="CD900" i="1"/>
  <c r="BX900" i="1"/>
  <c r="BV897" i="1" l="1"/>
  <c r="BM897" i="1"/>
  <c r="BO897" i="1" s="1"/>
  <c r="CE900" i="1"/>
  <c r="BP897" i="1" l="1"/>
  <c r="BN897" i="1"/>
  <c r="BR897" i="1" l="1"/>
  <c r="BY897" i="1" s="1"/>
  <c r="AQ898" i="1" l="1"/>
  <c r="BC898" i="1" s="1"/>
  <c r="BU898" i="1" s="1"/>
  <c r="CB898" i="1" s="1"/>
  <c r="CC898" i="1" s="1"/>
  <c r="BV898" i="1" l="1"/>
  <c r="BM898" i="1"/>
  <c r="BO898" i="1" s="1"/>
  <c r="BP898" i="1" l="1"/>
  <c r="BN898" i="1"/>
  <c r="BR898" i="1" l="1"/>
  <c r="BY898" i="1" s="1"/>
  <c r="AQ899" i="1" l="1"/>
  <c r="BC899" i="1" s="1"/>
  <c r="BU899" i="1" s="1"/>
  <c r="CB899" i="1" s="1"/>
  <c r="CC899" i="1" s="1"/>
  <c r="BV899" i="1"/>
  <c r="BM899" i="1" l="1"/>
  <c r="BP899" i="1" s="1"/>
  <c r="BN899" i="1" l="1"/>
  <c r="BO899" i="1"/>
  <c r="BR899" i="1"/>
  <c r="AQ900" i="1" l="1"/>
  <c r="BC900" i="1" s="1"/>
  <c r="BU900" i="1" s="1"/>
  <c r="CB900" i="1" s="1"/>
  <c r="CC900" i="1" s="1"/>
  <c r="BY899" i="1"/>
  <c r="BV900" i="1" l="1"/>
  <c r="BM900" i="1"/>
  <c r="BO900" i="1" s="1"/>
  <c r="BN900" i="1" l="1"/>
  <c r="BP900" i="1"/>
  <c r="BR900" i="1" l="1"/>
  <c r="BY900" i="1" s="1"/>
  <c r="AQ901" i="1" l="1"/>
  <c r="BC901" i="1" s="1"/>
  <c r="BU901" i="1" s="1"/>
  <c r="CB901" i="1" s="1"/>
  <c r="CC901" i="1" s="1"/>
  <c r="CH901" i="1"/>
  <c r="CH902" i="1" s="1"/>
  <c r="CH903" i="1" s="1"/>
  <c r="CH904" i="1" s="1"/>
  <c r="CH905" i="1" s="1"/>
  <c r="CH906" i="1" s="1"/>
  <c r="BH901" i="1" l="1"/>
  <c r="BI901" i="1" s="1"/>
  <c r="BV901" i="1"/>
  <c r="BJ901" i="1"/>
  <c r="BK901" i="1" s="1"/>
  <c r="BH902" i="1" l="1"/>
  <c r="BI902" i="1" s="1"/>
  <c r="BL901" i="1"/>
  <c r="BJ902" i="1"/>
  <c r="BH903" i="1" l="1"/>
  <c r="BI903" i="1" s="1"/>
  <c r="BK902" i="1"/>
  <c r="BJ903" i="1"/>
  <c r="BL902" i="1"/>
  <c r="BW902" i="1" s="1"/>
  <c r="CD902" i="1" s="1"/>
  <c r="BW901" i="1"/>
  <c r="BM901" i="1"/>
  <c r="BH904" i="1" l="1"/>
  <c r="BI904" i="1" s="1"/>
  <c r="BP901" i="1"/>
  <c r="BN901" i="1"/>
  <c r="BO901" i="1"/>
  <c r="BX901" i="1"/>
  <c r="CD901" i="1"/>
  <c r="BX902" i="1"/>
  <c r="BL903" i="1"/>
  <c r="BW903" i="1" s="1"/>
  <c r="BK903" i="1"/>
  <c r="BJ904" i="1"/>
  <c r="BH905" i="1" l="1"/>
  <c r="BI905" i="1" s="1"/>
  <c r="BR901" i="1"/>
  <c r="AQ902" i="1" s="1"/>
  <c r="BC902" i="1" s="1"/>
  <c r="BU902" i="1" s="1"/>
  <c r="CD903" i="1"/>
  <c r="CE903" i="1" s="1"/>
  <c r="BX903" i="1"/>
  <c r="CE902" i="1"/>
  <c r="CE901" i="1"/>
  <c r="BJ905" i="1"/>
  <c r="BL904" i="1"/>
  <c r="BW904" i="1" s="1"/>
  <c r="CD904" i="1" s="1"/>
  <c r="CE904" i="1" s="1"/>
  <c r="BK904" i="1"/>
  <c r="BH906" i="1" l="1"/>
  <c r="BI906" i="1" s="1"/>
  <c r="BY901" i="1"/>
  <c r="BL905" i="1"/>
  <c r="BW905" i="1" s="1"/>
  <c r="CD905" i="1" s="1"/>
  <c r="CE905" i="1" s="1"/>
  <c r="BK905" i="1"/>
  <c r="BJ906" i="1"/>
  <c r="BX904" i="1"/>
  <c r="BM902" i="1"/>
  <c r="BP902" i="1" s="1"/>
  <c r="BV902" i="1"/>
  <c r="CB902" i="1"/>
  <c r="CC902" i="1" s="1"/>
  <c r="BX905" i="1" l="1"/>
  <c r="BK906" i="1"/>
  <c r="BL906" i="1"/>
  <c r="BW906" i="1" s="1"/>
  <c r="BN902" i="1"/>
  <c r="BO902" i="1"/>
  <c r="BX906" i="1" l="1"/>
  <c r="CD906" i="1"/>
  <c r="CE906" i="1" s="1"/>
  <c r="BR902" i="1"/>
  <c r="BY902" i="1" s="1"/>
  <c r="AQ903" i="1" l="1"/>
  <c r="BC903" i="1" s="1"/>
  <c r="BU903" i="1" s="1"/>
  <c r="BM903" i="1" l="1"/>
  <c r="BO903" i="1" s="1"/>
  <c r="BV903" i="1"/>
  <c r="CB903" i="1"/>
  <c r="CC903" i="1" s="1"/>
  <c r="BN903" i="1" l="1"/>
  <c r="BP903" i="1"/>
  <c r="BR903" i="1" l="1"/>
  <c r="AQ904" i="1" s="1"/>
  <c r="BC904" i="1" s="1"/>
  <c r="BU904" i="1" s="1"/>
  <c r="BY903" i="1" l="1"/>
  <c r="BM904" i="1"/>
  <c r="BP904" i="1" s="1"/>
  <c r="BV904" i="1"/>
  <c r="CB904" i="1"/>
  <c r="CC904" i="1" s="1"/>
  <c r="BN904" i="1" l="1"/>
  <c r="BO904" i="1"/>
  <c r="BR904" i="1" l="1"/>
  <c r="BY904" i="1" s="1"/>
  <c r="AQ905" i="1" l="1"/>
  <c r="BC905" i="1" l="1"/>
  <c r="BU905" i="1" s="1"/>
  <c r="BM905" i="1" l="1"/>
  <c r="BO905" i="1" s="1"/>
  <c r="CB905" i="1"/>
  <c r="CC905" i="1" s="1"/>
  <c r="BV905" i="1"/>
  <c r="BP905" i="1" l="1"/>
  <c r="BN905" i="1"/>
  <c r="BR905" i="1" l="1"/>
  <c r="BY905" i="1" s="1"/>
  <c r="AQ906" i="1" l="1"/>
  <c r="BC906" i="1" s="1"/>
  <c r="BU906" i="1" s="1"/>
  <c r="CB906" i="1" s="1"/>
  <c r="CC906" i="1" s="1"/>
  <c r="BM906" i="1" l="1"/>
  <c r="BN906" i="1" s="1"/>
  <c r="BV906" i="1"/>
  <c r="BP906" i="1" l="1"/>
  <c r="BO906" i="1"/>
  <c r="BR906" i="1" l="1"/>
  <c r="AQ907" i="1" s="1"/>
  <c r="BC907" i="1" l="1"/>
  <c r="BU907" i="1" s="1"/>
  <c r="CB907" i="1" s="1"/>
  <c r="CC907" i="1" s="1"/>
  <c r="M129" i="1" s="1"/>
  <c r="BJ907" i="1"/>
  <c r="BY906" i="1"/>
  <c r="BV907" i="1" l="1"/>
  <c r="L129" i="1" s="1"/>
  <c r="CH907" i="1"/>
  <c r="CH908" i="1" s="1"/>
  <c r="CH909" i="1" s="1"/>
  <c r="CH910" i="1" s="1"/>
  <c r="CH911" i="1" s="1"/>
  <c r="CH912" i="1" s="1"/>
  <c r="AH326" i="3"/>
  <c r="BH907" i="1"/>
  <c r="BI907" i="1" s="1"/>
  <c r="BK907" i="1"/>
  <c r="BL907" i="1"/>
  <c r="BJ908" i="1"/>
  <c r="Z326" i="3" l="1"/>
  <c r="BH908" i="1"/>
  <c r="BI908" i="1" s="1"/>
  <c r="BW907" i="1"/>
  <c r="BM907" i="1"/>
  <c r="BL908" i="1"/>
  <c r="BK908" i="1"/>
  <c r="BJ909" i="1"/>
  <c r="BH909" i="1" l="1"/>
  <c r="BI909" i="1" s="1"/>
  <c r="BO907" i="1"/>
  <c r="BN907" i="1"/>
  <c r="BP907" i="1"/>
  <c r="CD907" i="1"/>
  <c r="CE907" i="1" s="1"/>
  <c r="O129" i="1" s="1"/>
  <c r="BX907" i="1"/>
  <c r="N129" i="1" s="1"/>
  <c r="BK909" i="1"/>
  <c r="BL909" i="1"/>
  <c r="BW909" i="1" s="1"/>
  <c r="CD909" i="1" s="1"/>
  <c r="BJ910" i="1"/>
  <c r="BW908" i="1"/>
  <c r="BH910" i="1" l="1"/>
  <c r="BI910" i="1" s="1"/>
  <c r="AX326" i="3"/>
  <c r="AF128" i="1"/>
  <c r="AI128" i="1" s="1"/>
  <c r="AP326" i="3"/>
  <c r="BR907" i="1"/>
  <c r="BK910" i="1"/>
  <c r="BL910" i="1"/>
  <c r="BW910" i="1" s="1"/>
  <c r="CD910" i="1" s="1"/>
  <c r="BJ911" i="1"/>
  <c r="BX908" i="1"/>
  <c r="CD908" i="1"/>
  <c r="BX909" i="1"/>
  <c r="BH911" i="1" l="1"/>
  <c r="BI911" i="1" s="1"/>
  <c r="BY907" i="1"/>
  <c r="Q129" i="1" s="1"/>
  <c r="P129" i="1"/>
  <c r="AQ908" i="1"/>
  <c r="BX910" i="1"/>
  <c r="BK911" i="1"/>
  <c r="BJ912" i="1"/>
  <c r="BL911" i="1"/>
  <c r="BW911" i="1" s="1"/>
  <c r="BH912" i="1"/>
  <c r="CE909" i="1"/>
  <c r="CE908" i="1"/>
  <c r="CE910" i="1"/>
  <c r="BF326" i="3" l="1"/>
  <c r="BN326" i="3"/>
  <c r="BC908" i="1"/>
  <c r="BU908" i="1" s="1"/>
  <c r="BL912" i="1"/>
  <c r="BW912" i="1" s="1"/>
  <c r="CD912" i="1" s="1"/>
  <c r="BK912" i="1"/>
  <c r="CD911" i="1"/>
  <c r="CE911" i="1" s="1"/>
  <c r="BX911" i="1"/>
  <c r="BI912" i="1"/>
  <c r="BM908" i="1" l="1"/>
  <c r="CB908" i="1"/>
  <c r="CC908" i="1" s="1"/>
  <c r="BV908" i="1"/>
  <c r="BX912" i="1"/>
  <c r="CE912" i="1"/>
  <c r="BO908" i="1" l="1"/>
  <c r="BP908" i="1"/>
  <c r="BN908" i="1"/>
  <c r="BR908" i="1" l="1"/>
  <c r="BY908" i="1" s="1"/>
  <c r="AQ909" i="1" l="1"/>
  <c r="BC909" i="1" s="1"/>
  <c r="BU909" i="1" s="1"/>
  <c r="BM909" i="1" l="1"/>
  <c r="BV909" i="1"/>
  <c r="CB909" i="1"/>
  <c r="CC909" i="1" s="1"/>
  <c r="BP909" i="1" l="1"/>
  <c r="BO909" i="1"/>
  <c r="BN909" i="1"/>
  <c r="BR909" i="1" l="1"/>
  <c r="BY909" i="1" s="1"/>
  <c r="AQ910" i="1" l="1"/>
  <c r="BC910" i="1" s="1"/>
  <c r="BU910" i="1" s="1"/>
  <c r="BM910" i="1" l="1"/>
  <c r="CB910" i="1"/>
  <c r="CC910" i="1" s="1"/>
  <c r="BV910" i="1"/>
  <c r="BN910" i="1" l="1"/>
  <c r="BP910" i="1"/>
  <c r="BO910" i="1"/>
  <c r="BR910" i="1" l="1"/>
  <c r="AQ911" i="1" s="1"/>
  <c r="BY910" i="1" l="1"/>
  <c r="BC911" i="1"/>
  <c r="BU911" i="1" s="1"/>
  <c r="BM911" i="1" l="1"/>
  <c r="BO911" i="1" s="1"/>
  <c r="CB911" i="1"/>
  <c r="CC911" i="1" s="1"/>
  <c r="BV911" i="1"/>
  <c r="BN911" i="1" l="1"/>
  <c r="BP911" i="1"/>
  <c r="BR911" i="1" l="1"/>
  <c r="BY911" i="1" s="1"/>
  <c r="AQ912" i="1" l="1"/>
  <c r="BC912" i="1" s="1"/>
  <c r="BU912" i="1" s="1"/>
  <c r="BV912" i="1" s="1"/>
  <c r="CB912" i="1" l="1"/>
  <c r="CC912" i="1" s="1"/>
  <c r="BM912" i="1"/>
  <c r="BN912" i="1" s="1"/>
  <c r="BP912" i="1" l="1"/>
  <c r="BO912" i="1"/>
  <c r="BJ913" i="1"/>
  <c r="BH913" i="1"/>
  <c r="CH913" i="1"/>
  <c r="CH914" i="1" s="1"/>
  <c r="CH915" i="1" s="1"/>
  <c r="CH916" i="1" s="1"/>
  <c r="CH917" i="1" s="1"/>
  <c r="CH918" i="1" s="1"/>
  <c r="BR912" i="1" l="1"/>
  <c r="BY912" i="1" s="1"/>
  <c r="BI913" i="1"/>
  <c r="BH914" i="1"/>
  <c r="BK913" i="1"/>
  <c r="BJ914" i="1"/>
  <c r="BL913" i="1"/>
  <c r="AQ913" i="1" l="1"/>
  <c r="BC913" i="1" s="1"/>
  <c r="BU913" i="1" s="1"/>
  <c r="CB913" i="1" s="1"/>
  <c r="CC913" i="1" s="1"/>
  <c r="BV913" i="1"/>
  <c r="BW913" i="1"/>
  <c r="BK914" i="1"/>
  <c r="BJ915" i="1"/>
  <c r="BL914" i="1"/>
  <c r="BW914" i="1" s="1"/>
  <c r="CD914" i="1" s="1"/>
  <c r="BI914" i="1"/>
  <c r="BH915" i="1"/>
  <c r="BM913" i="1" l="1"/>
  <c r="BO913" i="1" s="1"/>
  <c r="BI915" i="1"/>
  <c r="BH916" i="1"/>
  <c r="BN913" i="1"/>
  <c r="BK915" i="1"/>
  <c r="BL915" i="1"/>
  <c r="BW915" i="1" s="1"/>
  <c r="BX915" i="1" s="1"/>
  <c r="BJ916" i="1"/>
  <c r="CD913" i="1"/>
  <c r="BX913" i="1"/>
  <c r="BX914" i="1"/>
  <c r="BP913" i="1" l="1"/>
  <c r="BR913" i="1"/>
  <c r="AQ914" i="1" s="1"/>
  <c r="CE913" i="1"/>
  <c r="CE914" i="1"/>
  <c r="BH917" i="1"/>
  <c r="BI916" i="1"/>
  <c r="BL916" i="1"/>
  <c r="BW916" i="1" s="1"/>
  <c r="BK916" i="1"/>
  <c r="BJ917" i="1"/>
  <c r="CD915" i="1"/>
  <c r="CE915" i="1" s="1"/>
  <c r="BY913" i="1" l="1"/>
  <c r="BI917" i="1"/>
  <c r="BH918" i="1"/>
  <c r="CD916" i="1"/>
  <c r="CE916" i="1" s="1"/>
  <c r="BX916" i="1"/>
  <c r="BL917" i="1"/>
  <c r="BW917" i="1" s="1"/>
  <c r="CD917" i="1" s="1"/>
  <c r="BJ918" i="1"/>
  <c r="BK917" i="1"/>
  <c r="BC914" i="1"/>
  <c r="BU914" i="1" s="1"/>
  <c r="CE917" i="1" l="1"/>
  <c r="BM914" i="1"/>
  <c r="BO914" i="1" s="1"/>
  <c r="BX917" i="1"/>
  <c r="BI918" i="1"/>
  <c r="BV914" i="1"/>
  <c r="CB914" i="1"/>
  <c r="CC914" i="1" s="1"/>
  <c r="BK918" i="1"/>
  <c r="BL918" i="1"/>
  <c r="BW918" i="1" s="1"/>
  <c r="CD918" i="1" s="1"/>
  <c r="CE918" i="1" s="1"/>
  <c r="BP914" i="1" l="1"/>
  <c r="BN914" i="1"/>
  <c r="BX918" i="1"/>
  <c r="BR914" i="1" l="1"/>
  <c r="BY914" i="1" s="1"/>
  <c r="AQ915" i="1" l="1"/>
  <c r="BC915" i="1" s="1"/>
  <c r="BU915" i="1" s="1"/>
  <c r="BV915" i="1" s="1"/>
  <c r="CB915" i="1" l="1"/>
  <c r="CC915" i="1" s="1"/>
  <c r="BM915" i="1"/>
  <c r="BO915" i="1" s="1"/>
  <c r="BP915" i="1" l="1"/>
  <c r="BN915" i="1"/>
  <c r="BR915" i="1" l="1"/>
  <c r="BY915" i="1" s="1"/>
  <c r="AQ916" i="1" l="1"/>
  <c r="BC916" i="1" s="1"/>
  <c r="BU916" i="1" s="1"/>
  <c r="CB916" i="1" s="1"/>
  <c r="CC916" i="1" s="1"/>
  <c r="BV916" i="1" l="1"/>
  <c r="BM916" i="1"/>
  <c r="BO916" i="1" s="1"/>
  <c r="BN916" i="1" l="1"/>
  <c r="BP916" i="1"/>
  <c r="BR916" i="1" l="1"/>
  <c r="AQ917" i="1" s="1"/>
  <c r="BC917" i="1" l="1"/>
  <c r="BU917" i="1" s="1"/>
  <c r="BY916" i="1"/>
  <c r="BM917" i="1" l="1"/>
  <c r="BO917" i="1" s="1"/>
  <c r="CB917" i="1"/>
  <c r="CC917" i="1" s="1"/>
  <c r="BV917" i="1"/>
  <c r="BP917" i="1" l="1"/>
  <c r="BN917" i="1"/>
  <c r="BR917" i="1" l="1"/>
  <c r="AQ918" i="1" l="1"/>
  <c r="BY917" i="1"/>
  <c r="BC918" i="1" l="1"/>
  <c r="BU918" i="1" s="1"/>
  <c r="CB918" i="1" l="1"/>
  <c r="CC918" i="1" s="1"/>
  <c r="BV918" i="1"/>
  <c r="BM918" i="1"/>
  <c r="BP918" i="1" l="1"/>
  <c r="BN918" i="1"/>
  <c r="BO918" i="1"/>
  <c r="BR918" i="1" l="1"/>
  <c r="BY918" i="1" s="1"/>
  <c r="AQ919" i="1" l="1"/>
  <c r="BC919" i="1" s="1"/>
  <c r="BU919" i="1" s="1"/>
  <c r="BJ919" i="1" l="1"/>
  <c r="BL919" i="1" s="1"/>
  <c r="CH919" i="1"/>
  <c r="CH920" i="1" s="1"/>
  <c r="CH921" i="1" s="1"/>
  <c r="CH922" i="1" s="1"/>
  <c r="CH923" i="1" s="1"/>
  <c r="CH924" i="1" s="1"/>
  <c r="BH919" i="1"/>
  <c r="BI919" i="1" s="1"/>
  <c r="BJ920" i="1"/>
  <c r="BH920" i="1"/>
  <c r="CB919" i="1"/>
  <c r="CC919" i="1" s="1"/>
  <c r="M130" i="1" s="1"/>
  <c r="AH327" i="3" s="1"/>
  <c r="BV919" i="1"/>
  <c r="L130" i="1" s="1"/>
  <c r="Z327" i="3" s="1"/>
  <c r="BK919" i="1" l="1"/>
  <c r="BI920" i="1"/>
  <c r="BH921" i="1"/>
  <c r="BK920" i="1"/>
  <c r="BL920" i="1"/>
  <c r="BW920" i="1" s="1"/>
  <c r="CD920" i="1" s="1"/>
  <c r="BJ921" i="1"/>
  <c r="BW919" i="1"/>
  <c r="BM919" i="1"/>
  <c r="CD919" i="1" l="1"/>
  <c r="BX919" i="1"/>
  <c r="N130" i="1" s="1"/>
  <c r="BX920" i="1"/>
  <c r="BN919" i="1"/>
  <c r="BP919" i="1"/>
  <c r="BO919" i="1"/>
  <c r="BH922" i="1"/>
  <c r="BI921" i="1"/>
  <c r="BK921" i="1"/>
  <c r="BJ922" i="1"/>
  <c r="BL921" i="1"/>
  <c r="BW921" i="1" s="1"/>
  <c r="CD921" i="1" s="1"/>
  <c r="CE921" i="1" s="1"/>
  <c r="BR919" i="1" l="1"/>
  <c r="BY919" i="1" s="1"/>
  <c r="Q130" i="1" s="1"/>
  <c r="BN327" i="3" s="1"/>
  <c r="BL922" i="1"/>
  <c r="BW922" i="1" s="1"/>
  <c r="CD922" i="1" s="1"/>
  <c r="CE922" i="1" s="1"/>
  <c r="BJ923" i="1"/>
  <c r="BK922" i="1"/>
  <c r="BX921" i="1"/>
  <c r="AF129" i="1"/>
  <c r="AI129" i="1" s="1"/>
  <c r="AP327" i="3"/>
  <c r="BH923" i="1"/>
  <c r="BI922" i="1"/>
  <c r="CE919" i="1"/>
  <c r="O130" i="1" s="1"/>
  <c r="AX327" i="3" s="1"/>
  <c r="CE920" i="1"/>
  <c r="AQ920" i="1" l="1"/>
  <c r="P130" i="1"/>
  <c r="BF327" i="3" s="1"/>
  <c r="BI923" i="1"/>
  <c r="BH924" i="1"/>
  <c r="BI924" i="1" s="1"/>
  <c r="BK923" i="1"/>
  <c r="BJ924" i="1"/>
  <c r="BL923" i="1"/>
  <c r="BW923" i="1" s="1"/>
  <c r="BX923" i="1" s="1"/>
  <c r="BX922" i="1"/>
  <c r="BC920" i="1"/>
  <c r="BU920" i="1" s="1"/>
  <c r="CB920" i="1" l="1"/>
  <c r="CC920" i="1" s="1"/>
  <c r="BV920" i="1"/>
  <c r="CD923" i="1"/>
  <c r="BK924" i="1"/>
  <c r="BL924" i="1"/>
  <c r="BW924" i="1" s="1"/>
  <c r="CD924" i="1" s="1"/>
  <c r="BM920" i="1"/>
  <c r="BP920" i="1" l="1"/>
  <c r="BN920" i="1"/>
  <c r="BO920" i="1"/>
  <c r="BX924" i="1"/>
  <c r="CE923" i="1"/>
  <c r="CE924" i="1"/>
  <c r="BR920" i="1" l="1"/>
  <c r="BY920" i="1" s="1"/>
  <c r="AQ921" i="1" l="1"/>
  <c r="BC921" i="1" s="1"/>
  <c r="BU921" i="1" s="1"/>
  <c r="BM921" i="1" l="1"/>
  <c r="BO921" i="1" s="1"/>
  <c r="CB921" i="1"/>
  <c r="CC921" i="1" s="1"/>
  <c r="BV921" i="1"/>
  <c r="BP921" i="1" l="1"/>
  <c r="BR921" i="1" s="1"/>
  <c r="AQ922" i="1" s="1"/>
  <c r="BN921" i="1"/>
  <c r="BY921" i="1" l="1"/>
  <c r="BC922" i="1"/>
  <c r="BU922" i="1" s="1"/>
  <c r="BM922" i="1" l="1"/>
  <c r="BP922" i="1" s="1"/>
  <c r="CB922" i="1"/>
  <c r="CC922" i="1" s="1"/>
  <c r="BV922" i="1"/>
  <c r="BO922" i="1" l="1"/>
  <c r="BN922" i="1"/>
  <c r="BR922" i="1" s="1"/>
  <c r="BH925" i="1"/>
  <c r="BI925" i="1" s="1"/>
  <c r="CH925" i="1"/>
  <c r="CH926" i="1" s="1"/>
  <c r="CH927" i="1" s="1"/>
  <c r="BY922" i="1" l="1"/>
  <c r="AQ923" i="1"/>
  <c r="BC923" i="1" s="1"/>
  <c r="BU923" i="1" s="1"/>
  <c r="BJ925" i="1"/>
  <c r="BK925" i="1" s="1"/>
  <c r="BH926" i="1"/>
  <c r="BI926" i="1" s="1"/>
  <c r="CH928" i="1"/>
  <c r="CH929" i="1" s="1"/>
  <c r="CH930" i="1" s="1"/>
  <c r="BM923" i="1" l="1"/>
  <c r="BN923" i="1" s="1"/>
  <c r="BV923" i="1"/>
  <c r="CB923" i="1"/>
  <c r="CC923" i="1" s="1"/>
  <c r="BL925" i="1"/>
  <c r="BW925" i="1" s="1"/>
  <c r="BJ926" i="1"/>
  <c r="BL926" i="1" s="1"/>
  <c r="BW926" i="1" s="1"/>
  <c r="CD926" i="1" s="1"/>
  <c r="BH927" i="1"/>
  <c r="BI927" i="1" s="1"/>
  <c r="BP923" i="1" l="1"/>
  <c r="BO923" i="1"/>
  <c r="BX926" i="1"/>
  <c r="BK926" i="1"/>
  <c r="BJ927" i="1"/>
  <c r="BH928" i="1"/>
  <c r="BI928" i="1" s="1"/>
  <c r="CD925" i="1"/>
  <c r="BX925" i="1"/>
  <c r="BR923" i="1" l="1"/>
  <c r="BY923" i="1"/>
  <c r="AQ924" i="1"/>
  <c r="BJ928" i="1"/>
  <c r="BL927" i="1"/>
  <c r="BW927" i="1" s="1"/>
  <c r="BK927" i="1"/>
  <c r="BH929" i="1"/>
  <c r="BH930" i="1" s="1"/>
  <c r="BI930" i="1" s="1"/>
  <c r="CE925" i="1"/>
  <c r="CE926" i="1"/>
  <c r="BC924" i="1" l="1"/>
  <c r="BU924" i="1" s="1"/>
  <c r="CD927" i="1"/>
  <c r="CE927" i="1" s="1"/>
  <c r="BX927" i="1"/>
  <c r="BK928" i="1"/>
  <c r="BJ929" i="1"/>
  <c r="BL928" i="1"/>
  <c r="BW928" i="1" s="1"/>
  <c r="BX928" i="1" s="1"/>
  <c r="BI929" i="1"/>
  <c r="BM924" i="1" l="1"/>
  <c r="BP924" i="1" s="1"/>
  <c r="CB924" i="1"/>
  <c r="CC924" i="1" s="1"/>
  <c r="BV924" i="1"/>
  <c r="BK929" i="1"/>
  <c r="BJ930" i="1"/>
  <c r="BL929" i="1"/>
  <c r="BW929" i="1" s="1"/>
  <c r="BX929" i="1" s="1"/>
  <c r="CD928" i="1"/>
  <c r="CE928" i="1" s="1"/>
  <c r="BO924" i="1" l="1"/>
  <c r="BN924" i="1"/>
  <c r="CD929" i="1"/>
  <c r="CE929" i="1" s="1"/>
  <c r="BL930" i="1"/>
  <c r="BW930" i="1" s="1"/>
  <c r="CD930" i="1" s="1"/>
  <c r="BK930" i="1"/>
  <c r="BR924" i="1" l="1"/>
  <c r="AQ925" i="1" s="1"/>
  <c r="BC925" i="1" s="1"/>
  <c r="BU925" i="1" s="1"/>
  <c r="BX930" i="1"/>
  <c r="CE930" i="1"/>
  <c r="BY924" i="1" l="1"/>
  <c r="BM925" i="1"/>
  <c r="BO925" i="1" s="1"/>
  <c r="BV925" i="1"/>
  <c r="CB925" i="1"/>
  <c r="CC925" i="1" s="1"/>
  <c r="BP925" i="1" l="1"/>
  <c r="BN925" i="1"/>
  <c r="BR925" i="1" s="1"/>
  <c r="AQ926" i="1" l="1"/>
  <c r="BY925" i="1"/>
  <c r="BC926" i="1"/>
  <c r="BU926" i="1" s="1"/>
  <c r="BM926" i="1" l="1"/>
  <c r="CB926" i="1"/>
  <c r="CC926" i="1" s="1"/>
  <c r="BV926" i="1"/>
  <c r="BP926" i="1" l="1"/>
  <c r="BN926" i="1"/>
  <c r="BO926" i="1"/>
  <c r="BR926" i="1" l="1"/>
  <c r="BY926" i="1" s="1"/>
  <c r="AQ927" i="1"/>
  <c r="BC927" i="1" l="1"/>
  <c r="BU927" i="1" s="1"/>
  <c r="BM927" i="1" l="1"/>
  <c r="BO927" i="1" s="1"/>
  <c r="CB927" i="1"/>
  <c r="CC927" i="1" s="1"/>
  <c r="BV927" i="1"/>
  <c r="BN927" i="1" l="1"/>
  <c r="BP927" i="1"/>
  <c r="BR927" i="1"/>
  <c r="BY927" i="1" s="1"/>
  <c r="AQ928" i="1"/>
  <c r="BC928" i="1" l="1"/>
  <c r="BU928" i="1" s="1"/>
  <c r="CB928" i="1" l="1"/>
  <c r="CC928" i="1" s="1"/>
  <c r="BV928" i="1"/>
  <c r="BM928" i="1"/>
  <c r="BN928" i="1" l="1"/>
  <c r="BP928" i="1"/>
  <c r="BO928" i="1"/>
  <c r="BR928" i="1" l="1"/>
  <c r="BY928" i="1" s="1"/>
  <c r="AQ929" i="1" l="1"/>
  <c r="BC929" i="1"/>
  <c r="BU929" i="1" s="1"/>
  <c r="BM929" i="1" l="1"/>
  <c r="BV929" i="1"/>
  <c r="CB929" i="1"/>
  <c r="CC929" i="1" s="1"/>
  <c r="BP929" i="1" l="1"/>
  <c r="BO929" i="1"/>
  <c r="BN929" i="1"/>
  <c r="BR929" i="1" s="1"/>
  <c r="BY929" i="1" l="1"/>
  <c r="AQ930" i="1"/>
  <c r="BC930" i="1" l="1"/>
  <c r="BU930" i="1" s="1"/>
  <c r="BM930" i="1" l="1"/>
  <c r="BN930" i="1" s="1"/>
  <c r="CB930" i="1"/>
  <c r="CC930" i="1" s="1"/>
  <c r="BV930" i="1"/>
  <c r="BP930" i="1" l="1"/>
  <c r="BO930" i="1"/>
  <c r="BR930" i="1" s="1"/>
  <c r="AQ931" i="1" s="1"/>
  <c r="BY930" i="1" l="1"/>
  <c r="BC931" i="1"/>
  <c r="BU931" i="1" s="1"/>
  <c r="BH931" i="1"/>
  <c r="BJ931" i="1"/>
  <c r="CH931" i="1"/>
  <c r="CH932" i="1" s="1"/>
  <c r="CH933" i="1" s="1"/>
  <c r="CH934" i="1" s="1"/>
  <c r="CH935" i="1" s="1"/>
  <c r="CH936" i="1" s="1"/>
  <c r="BL931" i="1" l="1"/>
  <c r="BK931" i="1"/>
  <c r="BJ932" i="1"/>
  <c r="BI931" i="1"/>
  <c r="BH932" i="1"/>
  <c r="CB931" i="1"/>
  <c r="CC931" i="1" s="1"/>
  <c r="M131" i="1" s="1"/>
  <c r="AH328" i="3" s="1"/>
  <c r="BV931" i="1"/>
  <c r="L131" i="1" s="1"/>
  <c r="Z328" i="3" s="1"/>
  <c r="BL932" i="1" l="1"/>
  <c r="BW932" i="1" s="1"/>
  <c r="CD932" i="1" s="1"/>
  <c r="BK932" i="1"/>
  <c r="BJ933" i="1"/>
  <c r="BI932" i="1"/>
  <c r="BH933" i="1"/>
  <c r="BW931" i="1"/>
  <c r="BM931" i="1"/>
  <c r="BN931" i="1" l="1"/>
  <c r="BO931" i="1"/>
  <c r="BP931" i="1"/>
  <c r="BX931" i="1"/>
  <c r="N131" i="1" s="1"/>
  <c r="CD931" i="1"/>
  <c r="BX932" i="1"/>
  <c r="BH934" i="1"/>
  <c r="BI933" i="1"/>
  <c r="BK933" i="1"/>
  <c r="BL933" i="1"/>
  <c r="BW933" i="1" s="1"/>
  <c r="CD933" i="1" s="1"/>
  <c r="BJ934" i="1"/>
  <c r="BX933" i="1" l="1"/>
  <c r="BR931" i="1"/>
  <c r="AQ932" i="1" s="1"/>
  <c r="BI934" i="1"/>
  <c r="BH935" i="1"/>
  <c r="BK934" i="1"/>
  <c r="BL934" i="1"/>
  <c r="BW934" i="1" s="1"/>
  <c r="BJ935" i="1"/>
  <c r="CE931" i="1"/>
  <c r="O131" i="1" s="1"/>
  <c r="AX328" i="3" s="1"/>
  <c r="CE932" i="1"/>
  <c r="CE933" i="1"/>
  <c r="AP328" i="3"/>
  <c r="AF130" i="1"/>
  <c r="AI130" i="1" s="1"/>
  <c r="P131" i="1"/>
  <c r="BF328" i="3" s="1"/>
  <c r="BY931" i="1" l="1"/>
  <c r="Q131" i="1" s="1"/>
  <c r="BN328" i="3" s="1"/>
  <c r="BJ936" i="1"/>
  <c r="BK935" i="1"/>
  <c r="BL935" i="1"/>
  <c r="BW935" i="1" s="1"/>
  <c r="CD935" i="1" s="1"/>
  <c r="BH936" i="1"/>
  <c r="BI936" i="1" s="1"/>
  <c r="BI935" i="1"/>
  <c r="BC932" i="1"/>
  <c r="BU932" i="1" s="1"/>
  <c r="CD934" i="1"/>
  <c r="BX934" i="1"/>
  <c r="BM932" i="1" l="1"/>
  <c r="BN932" i="1" s="1"/>
  <c r="BP932" i="1"/>
  <c r="BO932" i="1"/>
  <c r="CE934" i="1"/>
  <c r="CB932" i="1"/>
  <c r="CC932" i="1" s="1"/>
  <c r="BV932" i="1"/>
  <c r="CE935" i="1"/>
  <c r="BX935" i="1"/>
  <c r="BK936" i="1"/>
  <c r="BL936" i="1"/>
  <c r="BW936" i="1" s="1"/>
  <c r="BR932" i="1" l="1"/>
  <c r="BY932" i="1" s="1"/>
  <c r="CD936" i="1"/>
  <c r="CE936" i="1" s="1"/>
  <c r="BX936" i="1"/>
  <c r="AQ933" i="1" l="1"/>
  <c r="BC933" i="1" s="1"/>
  <c r="BU933" i="1" s="1"/>
  <c r="BM933" i="1" l="1"/>
  <c r="BN933" i="1" s="1"/>
  <c r="BR933" i="1" s="1"/>
  <c r="BP933" i="1"/>
  <c r="BO933" i="1"/>
  <c r="CB933" i="1"/>
  <c r="CC933" i="1" s="1"/>
  <c r="BV933" i="1"/>
  <c r="AQ934" i="1" l="1"/>
  <c r="BY933" i="1"/>
  <c r="BC934" i="1" l="1"/>
  <c r="BU934" i="1" s="1"/>
  <c r="BM934" i="1" l="1"/>
  <c r="BP934" i="1" s="1"/>
  <c r="CB934" i="1"/>
  <c r="CC934" i="1" s="1"/>
  <c r="BV934" i="1"/>
  <c r="BO934" i="1" l="1"/>
  <c r="BN934" i="1"/>
  <c r="BR934" i="1"/>
  <c r="BY934" i="1"/>
  <c r="AQ935" i="1"/>
  <c r="BC935" i="1" l="1"/>
  <c r="BU935" i="1" s="1"/>
  <c r="BM935" i="1"/>
  <c r="BN935" i="1" l="1"/>
  <c r="BO935" i="1"/>
  <c r="BP935" i="1"/>
  <c r="BV935" i="1"/>
  <c r="CB935" i="1"/>
  <c r="CC935" i="1" s="1"/>
  <c r="BR935" i="1" l="1"/>
  <c r="BJ937" i="1"/>
  <c r="BK937" i="1" s="1"/>
  <c r="BH937" i="1"/>
  <c r="BI937" i="1" s="1"/>
  <c r="CH937" i="1"/>
  <c r="CH938" i="1" s="1"/>
  <c r="CH939" i="1" s="1"/>
  <c r="AQ936" i="1" l="1"/>
  <c r="BY935" i="1"/>
  <c r="BJ938" i="1"/>
  <c r="BK938" i="1" s="1"/>
  <c r="BH938" i="1"/>
  <c r="BI938" i="1" s="1"/>
  <c r="BL937" i="1"/>
  <c r="BW937" i="1" s="1"/>
  <c r="CD937" i="1" s="1"/>
  <c r="CE937" i="1" s="1"/>
  <c r="BC936" i="1" l="1"/>
  <c r="BU936" i="1" s="1"/>
  <c r="BM936" i="1"/>
  <c r="BJ939" i="1"/>
  <c r="BL939" i="1" s="1"/>
  <c r="BW939" i="1" s="1"/>
  <c r="CD939" i="1" s="1"/>
  <c r="BL938" i="1"/>
  <c r="BW938" i="1" s="1"/>
  <c r="CD938" i="1" s="1"/>
  <c r="CE938" i="1" s="1"/>
  <c r="BX937" i="1"/>
  <c r="BH939" i="1"/>
  <c r="BI939" i="1" s="1"/>
  <c r="BN936" i="1" l="1"/>
  <c r="BO936" i="1"/>
  <c r="BP936" i="1"/>
  <c r="CB936" i="1"/>
  <c r="CC936" i="1" s="1"/>
  <c r="BV936" i="1"/>
  <c r="BX938" i="1"/>
  <c r="CE939" i="1"/>
  <c r="BK939" i="1"/>
  <c r="BX939" i="1"/>
  <c r="BR936" i="1" l="1"/>
  <c r="BY936" i="1"/>
  <c r="AQ937" i="1"/>
  <c r="BC937" i="1" l="1"/>
  <c r="BU937" i="1" s="1"/>
  <c r="BM937" i="1" l="1"/>
  <c r="CB937" i="1"/>
  <c r="CC937" i="1" s="1"/>
  <c r="BV937" i="1"/>
  <c r="CH940" i="1"/>
  <c r="CH941" i="1" s="1"/>
  <c r="CH942" i="1" s="1"/>
  <c r="BJ940" i="1"/>
  <c r="BO937" i="1" l="1"/>
  <c r="BN937" i="1"/>
  <c r="BP937" i="1"/>
  <c r="BR937" i="1"/>
  <c r="BH940" i="1"/>
  <c r="BL940" i="1" s="1"/>
  <c r="BW940" i="1" s="1"/>
  <c r="BJ941" i="1"/>
  <c r="BK940" i="1"/>
  <c r="AQ938" i="1" l="1"/>
  <c r="BY937" i="1"/>
  <c r="BH941" i="1"/>
  <c r="BI941" i="1" s="1"/>
  <c r="BI940" i="1"/>
  <c r="BJ942" i="1"/>
  <c r="BK941" i="1"/>
  <c r="BL941" i="1"/>
  <c r="BW941" i="1" s="1"/>
  <c r="CD941" i="1" s="1"/>
  <c r="BX940" i="1"/>
  <c r="CD940" i="1"/>
  <c r="BC938" i="1" l="1"/>
  <c r="BU938" i="1" s="1"/>
  <c r="BM938" i="1"/>
  <c r="BH942" i="1"/>
  <c r="BI942" i="1" s="1"/>
  <c r="BK942" i="1"/>
  <c r="BL942" i="1"/>
  <c r="BW942" i="1" s="1"/>
  <c r="BX942" i="1" s="1"/>
  <c r="CE941" i="1"/>
  <c r="CE940" i="1"/>
  <c r="BX941" i="1"/>
  <c r="BN938" i="1" l="1"/>
  <c r="BP938" i="1"/>
  <c r="BO938" i="1"/>
  <c r="CB938" i="1"/>
  <c r="CC938" i="1" s="1"/>
  <c r="BV938" i="1"/>
  <c r="CD942" i="1"/>
  <c r="BR938" i="1" l="1"/>
  <c r="AQ939" i="1"/>
  <c r="BY938" i="1"/>
  <c r="CE942" i="1"/>
  <c r="BC939" i="1" l="1"/>
  <c r="BU939" i="1" s="1"/>
  <c r="BM939" i="1" l="1"/>
  <c r="BN939" i="1"/>
  <c r="BP939" i="1"/>
  <c r="BO939" i="1"/>
  <c r="CB939" i="1"/>
  <c r="CC939" i="1" s="1"/>
  <c r="BV939" i="1"/>
  <c r="BR939" i="1" l="1"/>
  <c r="BY939" i="1"/>
  <c r="AQ940" i="1"/>
  <c r="BC940" i="1" s="1"/>
  <c r="BU940" i="1" s="1"/>
  <c r="CB940" i="1" s="1"/>
  <c r="BM940" i="1" l="1"/>
  <c r="BP940" i="1" s="1"/>
  <c r="BV940" i="1"/>
  <c r="CC940" i="1"/>
  <c r="BO940" i="1" l="1"/>
  <c r="BN940" i="1"/>
  <c r="BR940" i="1" s="1"/>
  <c r="AQ941" i="1" s="1"/>
  <c r="BC941" i="1" s="1"/>
  <c r="BU941" i="1" s="1"/>
  <c r="BY940" i="1" l="1"/>
  <c r="BM941" i="1"/>
  <c r="CB941" i="1"/>
  <c r="BV941" i="1"/>
  <c r="CC941" i="1" l="1"/>
  <c r="BP941" i="1"/>
  <c r="BN941" i="1"/>
  <c r="BO941" i="1"/>
  <c r="BR941" i="1" l="1"/>
  <c r="AQ942" i="1" l="1"/>
  <c r="BY941" i="1"/>
  <c r="BC942" i="1" l="1"/>
  <c r="BU942" i="1" s="1"/>
  <c r="BM942" i="1" l="1"/>
  <c r="CB942" i="1"/>
  <c r="BV942" i="1"/>
  <c r="CC942" i="1" l="1"/>
  <c r="BN942" i="1"/>
  <c r="BP942" i="1"/>
  <c r="BO942" i="1"/>
  <c r="BR942" i="1" l="1"/>
  <c r="AQ943" i="1" s="1"/>
  <c r="BY942" i="1" l="1"/>
  <c r="BC943" i="1"/>
  <c r="BU943" i="1" s="1"/>
  <c r="CH943" i="1" l="1"/>
  <c r="CH944" i="1" s="1"/>
  <c r="CH945" i="1" s="1"/>
  <c r="CH946" i="1" s="1"/>
  <c r="CH947" i="1" s="1"/>
  <c r="CH948" i="1" s="1"/>
  <c r="BJ943" i="1"/>
  <c r="BH943" i="1"/>
  <c r="CB943" i="1"/>
  <c r="BV943" i="1"/>
  <c r="L132" i="1" s="1"/>
  <c r="Z329" i="3" l="1"/>
  <c r="BI943" i="1"/>
  <c r="BH944" i="1"/>
  <c r="BL943" i="1"/>
  <c r="BK943" i="1"/>
  <c r="BJ944" i="1"/>
  <c r="CC943" i="1"/>
  <c r="M132" i="1" s="1"/>
  <c r="AH329" i="3" l="1"/>
  <c r="BW943" i="1"/>
  <c r="BM943" i="1"/>
  <c r="BI944" i="1"/>
  <c r="BH945" i="1"/>
  <c r="BJ945" i="1"/>
  <c r="BK944" i="1"/>
  <c r="BL944" i="1"/>
  <c r="BW944" i="1" s="1"/>
  <c r="CD944" i="1" s="1"/>
  <c r="BL945" i="1" l="1"/>
  <c r="BW945" i="1" s="1"/>
  <c r="CD945" i="1" s="1"/>
  <c r="BK945" i="1"/>
  <c r="BJ946" i="1"/>
  <c r="BI945" i="1"/>
  <c r="BH946" i="1"/>
  <c r="BN943" i="1"/>
  <c r="BP943" i="1"/>
  <c r="BO943" i="1"/>
  <c r="BX943" i="1"/>
  <c r="N132" i="1" s="1"/>
  <c r="CD943" i="1"/>
  <c r="BX944" i="1"/>
  <c r="BX945" i="1" l="1"/>
  <c r="BH947" i="1"/>
  <c r="BI946" i="1"/>
  <c r="BR943" i="1"/>
  <c r="CE943" i="1"/>
  <c r="O132" i="1" s="1"/>
  <c r="CE944" i="1"/>
  <c r="CE945" i="1"/>
  <c r="AF131" i="1"/>
  <c r="AI131" i="1" s="1"/>
  <c r="AP329" i="3"/>
  <c r="BK946" i="1"/>
  <c r="BJ947" i="1"/>
  <c r="BL946" i="1"/>
  <c r="BW946" i="1" s="1"/>
  <c r="AX329" i="3" l="1"/>
  <c r="BK947" i="1"/>
  <c r="BL947" i="1"/>
  <c r="BW947" i="1" s="1"/>
  <c r="CD947" i="1" s="1"/>
  <c r="BJ948" i="1"/>
  <c r="BY943" i="1"/>
  <c r="Q132" i="1" s="1"/>
  <c r="AQ944" i="1"/>
  <c r="P132" i="1"/>
  <c r="CD946" i="1"/>
  <c r="BX946" i="1"/>
  <c r="BI947" i="1"/>
  <c r="BH948" i="1"/>
  <c r="BI948" i="1" s="1"/>
  <c r="BF329" i="3" l="1"/>
  <c r="BN329" i="3"/>
  <c r="CE947" i="1"/>
  <c r="CE946" i="1"/>
  <c r="BK948" i="1"/>
  <c r="BL948" i="1"/>
  <c r="BW948" i="1" s="1"/>
  <c r="BC944" i="1"/>
  <c r="BU944" i="1" s="1"/>
  <c r="BX947" i="1"/>
  <c r="BM944" i="1" l="1"/>
  <c r="BP944" i="1" s="1"/>
  <c r="CB944" i="1"/>
  <c r="CC944" i="1" s="1"/>
  <c r="BV944" i="1"/>
  <c r="CD948" i="1"/>
  <c r="CE948" i="1" s="1"/>
  <c r="BX948" i="1"/>
  <c r="BO944" i="1" l="1"/>
  <c r="BN944" i="1"/>
  <c r="BR944" i="1" l="1"/>
  <c r="BY944" i="1" s="1"/>
  <c r="AQ945" i="1" l="1"/>
  <c r="BC945" i="1" s="1"/>
  <c r="BU945" i="1" s="1"/>
  <c r="BM945" i="1" l="1"/>
  <c r="BP945" i="1" s="1"/>
  <c r="BV945" i="1"/>
  <c r="CB945" i="1"/>
  <c r="CC945" i="1" s="1"/>
  <c r="BN945" i="1" l="1"/>
  <c r="BO945" i="1"/>
  <c r="BR945" i="1" l="1"/>
  <c r="AQ946" i="1" s="1"/>
  <c r="BC946" i="1" s="1"/>
  <c r="BU946" i="1" s="1"/>
  <c r="CB946" i="1" s="1"/>
  <c r="CC946" i="1" s="1"/>
  <c r="BM946" i="1" l="1"/>
  <c r="BN946" i="1" s="1"/>
  <c r="BV946" i="1"/>
  <c r="BY945" i="1"/>
  <c r="BO946" i="1" l="1"/>
  <c r="BP946" i="1"/>
  <c r="BR946" i="1" l="1"/>
  <c r="BY946" i="1" s="1"/>
  <c r="AQ947" i="1" l="1"/>
  <c r="BC947" i="1" s="1"/>
  <c r="BU947" i="1" s="1"/>
  <c r="CB947" i="1" s="1"/>
  <c r="CC947" i="1" s="1"/>
  <c r="BV947" i="1" l="1"/>
  <c r="BM947" i="1"/>
  <c r="BP947" i="1" s="1"/>
  <c r="BO947" i="1" l="1"/>
  <c r="BN947" i="1"/>
  <c r="BR947" i="1" l="1"/>
  <c r="AQ948" i="1" s="1"/>
  <c r="BC948" i="1" s="1"/>
  <c r="BU948" i="1" s="1"/>
  <c r="CB948" i="1" s="1"/>
  <c r="CC948" i="1" s="1"/>
  <c r="BV948" i="1" l="1"/>
  <c r="BM948" i="1"/>
  <c r="BO948" i="1" s="1"/>
  <c r="BY947" i="1"/>
  <c r="BN948" i="1" l="1"/>
  <c r="BP948" i="1"/>
  <c r="BR948" i="1"/>
  <c r="BY948" i="1" s="1"/>
  <c r="AQ949" i="1" l="1"/>
  <c r="BC949" i="1" s="1"/>
  <c r="BU949" i="1" s="1"/>
  <c r="CH949" i="1" l="1"/>
  <c r="CH950" i="1" s="1"/>
  <c r="CH951" i="1" s="1"/>
  <c r="CB949" i="1"/>
  <c r="CC949" i="1" s="1"/>
  <c r="BV949" i="1"/>
  <c r="BJ949" i="1"/>
  <c r="BJ950" i="1" s="1"/>
  <c r="BK950" i="1" s="1"/>
  <c r="BH949" i="1"/>
  <c r="BI949" i="1" s="1"/>
  <c r="BH950" i="1" l="1"/>
  <c r="BI950" i="1" s="1"/>
  <c r="BL950" i="1"/>
  <c r="BW950" i="1" s="1"/>
  <c r="CD950" i="1" s="1"/>
  <c r="BK949" i="1"/>
  <c r="BL949" i="1"/>
  <c r="BM949" i="1" s="1"/>
  <c r="BP949" i="1" s="1"/>
  <c r="BJ951" i="1"/>
  <c r="BK951" i="1" s="1"/>
  <c r="BH951" i="1" l="1"/>
  <c r="BI951" i="1" s="1"/>
  <c r="BW949" i="1"/>
  <c r="BJ952" i="1"/>
  <c r="BJ953" i="1" s="1"/>
  <c r="BO949" i="1"/>
  <c r="BN949" i="1"/>
  <c r="BL951" i="1"/>
  <c r="BW951" i="1" s="1"/>
  <c r="CD951" i="1" s="1"/>
  <c r="CH952" i="1"/>
  <c r="CH953" i="1" s="1"/>
  <c r="CH954" i="1" s="1"/>
  <c r="BH952" i="1" l="1"/>
  <c r="BL952" i="1" s="1"/>
  <c r="BW952" i="1" s="1"/>
  <c r="BX951" i="1"/>
  <c r="BR949" i="1"/>
  <c r="AQ950" i="1" s="1"/>
  <c r="BC950" i="1" s="1"/>
  <c r="BU950" i="1" s="1"/>
  <c r="BK952" i="1"/>
  <c r="BX950" i="1"/>
  <c r="CD949" i="1"/>
  <c r="BX949" i="1"/>
  <c r="BJ954" i="1"/>
  <c r="BL953" i="1"/>
  <c r="BW953" i="1" s="1"/>
  <c r="CD953" i="1" s="1"/>
  <c r="BK953" i="1"/>
  <c r="BY949" i="1" l="1"/>
  <c r="BI952" i="1"/>
  <c r="BH953" i="1"/>
  <c r="BI953" i="1" s="1"/>
  <c r="CE950" i="1"/>
  <c r="CE949" i="1"/>
  <c r="CE951" i="1"/>
  <c r="BM950" i="1"/>
  <c r="BO950" i="1" s="1"/>
  <c r="CB950" i="1"/>
  <c r="CC950" i="1" s="1"/>
  <c r="BV950" i="1"/>
  <c r="CD952" i="1"/>
  <c r="BX952" i="1"/>
  <c r="BX953" i="1"/>
  <c r="BK954" i="1"/>
  <c r="BL954" i="1"/>
  <c r="BW954" i="1" s="1"/>
  <c r="CD954" i="1" s="1"/>
  <c r="BH954" i="1" l="1"/>
  <c r="BI954" i="1" s="1"/>
  <c r="BN950" i="1"/>
  <c r="BP950" i="1"/>
  <c r="BX954" i="1"/>
  <c r="CE954" i="1"/>
  <c r="CE952" i="1"/>
  <c r="CE953" i="1"/>
  <c r="BR950" i="1" l="1"/>
  <c r="AQ951" i="1" s="1"/>
  <c r="BC951" i="1" s="1"/>
  <c r="BU951" i="1" s="1"/>
  <c r="BY950" i="1" l="1"/>
  <c r="BM951" i="1"/>
  <c r="BP951" i="1" s="1"/>
  <c r="CB951" i="1"/>
  <c r="CC951" i="1" s="1"/>
  <c r="BV951" i="1"/>
  <c r="BO951" i="1" l="1"/>
  <c r="BN951" i="1"/>
  <c r="BR951" i="1" l="1"/>
  <c r="AQ952" i="1" s="1"/>
  <c r="BY951" i="1" l="1"/>
  <c r="BC952" i="1"/>
  <c r="BU952" i="1" s="1"/>
  <c r="BM952" i="1" l="1"/>
  <c r="CB952" i="1"/>
  <c r="BV952" i="1"/>
  <c r="CC952" i="1" l="1"/>
  <c r="BO952" i="1"/>
  <c r="BN952" i="1"/>
  <c r="BP952" i="1"/>
  <c r="BR952" i="1" l="1"/>
  <c r="BY952" i="1" s="1"/>
  <c r="AQ953" i="1" l="1"/>
  <c r="BC953" i="1" s="1"/>
  <c r="BU953" i="1" s="1"/>
  <c r="BM953" i="1" l="1"/>
  <c r="BP953" i="1" s="1"/>
  <c r="CB953" i="1"/>
  <c r="BV953" i="1"/>
  <c r="BO953" i="1" l="1"/>
  <c r="BN953" i="1"/>
  <c r="CC953" i="1"/>
  <c r="BR953" i="1" l="1"/>
  <c r="BY953" i="1" s="1"/>
  <c r="AQ954" i="1" l="1"/>
  <c r="BC954" i="1" s="1"/>
  <c r="BU954" i="1" s="1"/>
  <c r="BV954" i="1" s="1"/>
  <c r="BM954" i="1" l="1"/>
  <c r="BN954" i="1" s="1"/>
  <c r="CB954" i="1"/>
  <c r="CC954" i="1" s="1"/>
  <c r="BP954" i="1" l="1"/>
  <c r="BO954" i="1"/>
  <c r="BR954" i="1" l="1"/>
  <c r="AQ955" i="1" s="1"/>
  <c r="BC955" i="1" s="1"/>
  <c r="BU955" i="1" l="1"/>
  <c r="CH955" i="1"/>
  <c r="CH956" i="1" s="1"/>
  <c r="CH957" i="1" s="1"/>
  <c r="CH958" i="1" s="1"/>
  <c r="CH959" i="1" s="1"/>
  <c r="CH960" i="1" s="1"/>
  <c r="BH955" i="1"/>
  <c r="BI955" i="1" s="1"/>
  <c r="BJ955" i="1"/>
  <c r="BL955" i="1" s="1"/>
  <c r="BY954" i="1"/>
  <c r="BH956" i="1" l="1"/>
  <c r="BI956" i="1" s="1"/>
  <c r="BK955" i="1"/>
  <c r="BJ956" i="1"/>
  <c r="BK956" i="1" s="1"/>
  <c r="CB955" i="1"/>
  <c r="CC955" i="1" s="1"/>
  <c r="M133" i="1" s="1"/>
  <c r="BV955" i="1"/>
  <c r="L133" i="1" s="1"/>
  <c r="BW955" i="1"/>
  <c r="BM955" i="1"/>
  <c r="BH957" i="1" l="1"/>
  <c r="BI957" i="1" s="1"/>
  <c r="Z330" i="3"/>
  <c r="AH330" i="3"/>
  <c r="BL956" i="1"/>
  <c r="BW956" i="1" s="1"/>
  <c r="CD956" i="1" s="1"/>
  <c r="BJ957" i="1"/>
  <c r="BL957" i="1" s="1"/>
  <c r="BW957" i="1" s="1"/>
  <c r="BH958" i="1"/>
  <c r="BN955" i="1"/>
  <c r="BO955" i="1"/>
  <c r="BP955" i="1"/>
  <c r="CD955" i="1"/>
  <c r="BX955" i="1"/>
  <c r="N133" i="1" s="1"/>
  <c r="BJ958" i="1" l="1"/>
  <c r="BL958" i="1" s="1"/>
  <c r="BW958" i="1" s="1"/>
  <c r="CD957" i="1"/>
  <c r="CE957" i="1" s="1"/>
  <c r="BX957" i="1"/>
  <c r="BK957" i="1"/>
  <c r="BX956" i="1"/>
  <c r="BR955" i="1"/>
  <c r="AP330" i="3"/>
  <c r="AF132" i="1"/>
  <c r="AI132" i="1" s="1"/>
  <c r="CE955" i="1"/>
  <c r="O133" i="1" s="1"/>
  <c r="CE956" i="1"/>
  <c r="BI958" i="1"/>
  <c r="BH959" i="1"/>
  <c r="BJ959" i="1" l="1"/>
  <c r="BL959" i="1" s="1"/>
  <c r="BW959" i="1" s="1"/>
  <c r="CD959" i="1" s="1"/>
  <c r="AX330" i="3"/>
  <c r="BK958" i="1"/>
  <c r="BH960" i="1"/>
  <c r="BI960" i="1" s="1"/>
  <c r="BI959" i="1"/>
  <c r="CD958" i="1"/>
  <c r="BX958" i="1"/>
  <c r="AQ956" i="1"/>
  <c r="P133" i="1"/>
  <c r="BY955" i="1"/>
  <c r="Q133" i="1" s="1"/>
  <c r="BK959" i="1" l="1"/>
  <c r="BJ960" i="1"/>
  <c r="BL960" i="1" s="1"/>
  <c r="BW960" i="1" s="1"/>
  <c r="BN330" i="3"/>
  <c r="BF330" i="3"/>
  <c r="BX959" i="1"/>
  <c r="CE959" i="1"/>
  <c r="CE958" i="1"/>
  <c r="BC956" i="1"/>
  <c r="BU956" i="1" s="1"/>
  <c r="BK960" i="1" l="1"/>
  <c r="BM956" i="1"/>
  <c r="BO956" i="1" s="1"/>
  <c r="CD960" i="1"/>
  <c r="CE960" i="1" s="1"/>
  <c r="BX960" i="1"/>
  <c r="CB956" i="1"/>
  <c r="CC956" i="1" s="1"/>
  <c r="BV956" i="1"/>
  <c r="BP956" i="1" l="1"/>
  <c r="BN956" i="1"/>
  <c r="BR956" i="1" l="1"/>
  <c r="BY956" i="1" l="1"/>
  <c r="AQ957" i="1"/>
  <c r="BC957" i="1" l="1"/>
  <c r="BU957" i="1" s="1"/>
  <c r="BV957" i="1" l="1"/>
  <c r="CB957" i="1"/>
  <c r="CC957" i="1" s="1"/>
  <c r="BM957" i="1"/>
  <c r="BN957" i="1" l="1"/>
  <c r="BP957" i="1"/>
  <c r="BO957" i="1"/>
  <c r="BR957" i="1" l="1"/>
  <c r="AQ958" i="1" s="1"/>
  <c r="BY957" i="1" l="1"/>
  <c r="BC958" i="1"/>
  <c r="BU958" i="1" s="1"/>
  <c r="BM958" i="1" l="1"/>
  <c r="BN958" i="1" s="1"/>
  <c r="CB958" i="1"/>
  <c r="CC958" i="1" s="1"/>
  <c r="BV958" i="1"/>
  <c r="BO958" i="1" l="1"/>
  <c r="BP958" i="1"/>
  <c r="BR958" i="1" l="1"/>
  <c r="BY958" i="1" s="1"/>
  <c r="AQ959" i="1" l="1"/>
  <c r="BC959" i="1" s="1"/>
  <c r="BU959" i="1" s="1"/>
  <c r="BV959" i="1" s="1"/>
  <c r="CB959" i="1" l="1"/>
  <c r="CC959" i="1" s="1"/>
  <c r="BM959" i="1"/>
  <c r="BO959" i="1" s="1"/>
  <c r="BN959" i="1" l="1"/>
  <c r="BP959" i="1"/>
  <c r="BR959" i="1" l="1"/>
  <c r="BY959" i="1" s="1"/>
  <c r="AQ960" i="1" l="1"/>
  <c r="BC960" i="1" s="1"/>
  <c r="BU960" i="1" s="1"/>
  <c r="BV960" i="1" s="1"/>
  <c r="CB960" i="1" l="1"/>
  <c r="CC960" i="1" s="1"/>
  <c r="BM960" i="1"/>
  <c r="BP960" i="1" s="1"/>
  <c r="BH961" i="1"/>
  <c r="CH961" i="1"/>
  <c r="CH962" i="1" s="1"/>
  <c r="CH963" i="1" s="1"/>
  <c r="BN960" i="1" l="1"/>
  <c r="BO960" i="1"/>
  <c r="BJ961" i="1"/>
  <c r="BK961" i="1" s="1"/>
  <c r="BI961" i="1"/>
  <c r="BH962" i="1"/>
  <c r="BR960" i="1" l="1"/>
  <c r="AQ961" i="1" s="1"/>
  <c r="BC961" i="1" s="1"/>
  <c r="BU961" i="1" s="1"/>
  <c r="BV961" i="1" s="1"/>
  <c r="BJ962" i="1"/>
  <c r="BL962" i="1" s="1"/>
  <c r="BW962" i="1" s="1"/>
  <c r="CD962" i="1" s="1"/>
  <c r="BL961" i="1"/>
  <c r="BI962" i="1"/>
  <c r="BH963" i="1"/>
  <c r="BI963" i="1" s="1"/>
  <c r="CH964" i="1"/>
  <c r="CH965" i="1" s="1"/>
  <c r="CH966" i="1" s="1"/>
  <c r="BM961" i="1" l="1"/>
  <c r="BP961" i="1" s="1"/>
  <c r="BY960" i="1"/>
  <c r="CB961" i="1"/>
  <c r="CC961" i="1" s="1"/>
  <c r="BW961" i="1"/>
  <c r="CD961" i="1" s="1"/>
  <c r="BJ963" i="1"/>
  <c r="BJ964" i="1" s="1"/>
  <c r="BK964" i="1" s="1"/>
  <c r="BK962" i="1"/>
  <c r="BH964" i="1"/>
  <c r="BI964" i="1" s="1"/>
  <c r="BO961" i="1" l="1"/>
  <c r="BN961" i="1"/>
  <c r="BX961" i="1"/>
  <c r="BX962" i="1"/>
  <c r="BH965" i="1"/>
  <c r="BH966" i="1" s="1"/>
  <c r="BI966" i="1" s="1"/>
  <c r="BL963" i="1"/>
  <c r="BW963" i="1" s="1"/>
  <c r="CD963" i="1" s="1"/>
  <c r="CE963" i="1" s="1"/>
  <c r="BJ965" i="1"/>
  <c r="BJ966" i="1" s="1"/>
  <c r="BL966" i="1" s="1"/>
  <c r="BW966" i="1" s="1"/>
  <c r="BL964" i="1"/>
  <c r="BW964" i="1" s="1"/>
  <c r="BK963" i="1"/>
  <c r="CE962" i="1"/>
  <c r="CE961" i="1"/>
  <c r="BR961" i="1" l="1"/>
  <c r="AQ962" i="1" s="1"/>
  <c r="BC962" i="1" s="1"/>
  <c r="BU962" i="1" s="1"/>
  <c r="BV962" i="1" s="1"/>
  <c r="BX963" i="1"/>
  <c r="BI965" i="1"/>
  <c r="BX964" i="1"/>
  <c r="CD964" i="1"/>
  <c r="CE964" i="1" s="1"/>
  <c r="BK965" i="1"/>
  <c r="BK966" i="1"/>
  <c r="BL965" i="1"/>
  <c r="BW965" i="1" s="1"/>
  <c r="CD965" i="1" s="1"/>
  <c r="BM962" i="1"/>
  <c r="BO962" i="1" s="1"/>
  <c r="CD966" i="1"/>
  <c r="BY961" i="1" l="1"/>
  <c r="CB962" i="1"/>
  <c r="CC962" i="1" s="1"/>
  <c r="CE965" i="1"/>
  <c r="BX966" i="1"/>
  <c r="BX965" i="1"/>
  <c r="BN962" i="1"/>
  <c r="BP962" i="1"/>
  <c r="CE966" i="1"/>
  <c r="BR962" i="1" l="1"/>
  <c r="AQ963" i="1" s="1"/>
  <c r="BC963" i="1" s="1"/>
  <c r="BU963" i="1" s="1"/>
  <c r="CB963" i="1" s="1"/>
  <c r="CC963" i="1" s="1"/>
  <c r="BV963" i="1" l="1"/>
  <c r="BM963" i="1"/>
  <c r="BN963" i="1" s="1"/>
  <c r="BY962" i="1"/>
  <c r="BO963" i="1" l="1"/>
  <c r="BP963" i="1"/>
  <c r="BR963" i="1" l="1"/>
  <c r="BY963" i="1" s="1"/>
  <c r="AQ964" i="1" l="1"/>
  <c r="BC964" i="1" s="1"/>
  <c r="BU964" i="1" s="1"/>
  <c r="CB964" i="1" s="1"/>
  <c r="CC964" i="1" s="1"/>
  <c r="BV964" i="1" l="1"/>
  <c r="BM964" i="1"/>
  <c r="BP964" i="1" s="1"/>
  <c r="BO964" i="1" l="1"/>
  <c r="BN964" i="1"/>
  <c r="BR964" i="1" l="1"/>
  <c r="BY964" i="1" s="1"/>
  <c r="AQ965" i="1" l="1"/>
  <c r="BC965" i="1" s="1"/>
  <c r="BU965" i="1" s="1"/>
  <c r="CB965" i="1" s="1"/>
  <c r="CC965" i="1" s="1"/>
  <c r="BV965" i="1" l="1"/>
  <c r="BM965" i="1"/>
  <c r="BO965" i="1" s="1"/>
  <c r="BP965" i="1" l="1"/>
  <c r="BN965" i="1"/>
  <c r="BR965" i="1" l="1"/>
  <c r="BY965" i="1" s="1"/>
  <c r="AQ966" i="1" l="1"/>
  <c r="BC966" i="1" s="1"/>
  <c r="BU966" i="1" s="1"/>
  <c r="CB966" i="1" s="1"/>
  <c r="CC966" i="1" s="1"/>
  <c r="BV966" i="1" l="1"/>
  <c r="BM966" i="1"/>
  <c r="BP966" i="1" s="1"/>
  <c r="BN966" i="1" l="1"/>
  <c r="BO966" i="1"/>
  <c r="BR966" i="1" l="1"/>
  <c r="AQ967" i="1" s="1"/>
  <c r="BC967" i="1" s="1"/>
  <c r="BU967" i="1" s="1"/>
  <c r="CB967" i="1" s="1"/>
  <c r="CC967" i="1" s="1"/>
  <c r="M134" i="1" s="1"/>
  <c r="BY966" i="1" l="1"/>
  <c r="BV967" i="1"/>
  <c r="L134" i="1" s="1"/>
  <c r="AH331" i="3"/>
  <c r="CH967" i="1"/>
  <c r="CH968" i="1" s="1"/>
  <c r="CH969" i="1" s="1"/>
  <c r="CH970" i="1" s="1"/>
  <c r="CH971" i="1" s="1"/>
  <c r="CH972" i="1" s="1"/>
  <c r="BH967" i="1"/>
  <c r="BI967" i="1" s="1"/>
  <c r="BJ967" i="1"/>
  <c r="BL967" i="1" s="1"/>
  <c r="Z331" i="3" l="1"/>
  <c r="BH968" i="1"/>
  <c r="BI968" i="1" s="1"/>
  <c r="BJ968" i="1"/>
  <c r="BK968" i="1" s="1"/>
  <c r="BK967" i="1"/>
  <c r="BW967" i="1"/>
  <c r="BM967" i="1"/>
  <c r="BH969" i="1" l="1"/>
  <c r="BH970" i="1" s="1"/>
  <c r="BJ969" i="1"/>
  <c r="BK969" i="1" s="1"/>
  <c r="BL968" i="1"/>
  <c r="BW968" i="1" s="1"/>
  <c r="CD968" i="1" s="1"/>
  <c r="BO967" i="1"/>
  <c r="BP967" i="1"/>
  <c r="BN967" i="1"/>
  <c r="CD967" i="1"/>
  <c r="BX967" i="1"/>
  <c r="N134" i="1" s="1"/>
  <c r="BX968" i="1" l="1"/>
  <c r="BI969" i="1"/>
  <c r="BR967" i="1"/>
  <c r="BY967" i="1" s="1"/>
  <c r="Q134" i="1" s="1"/>
  <c r="BJ970" i="1"/>
  <c r="BL970" i="1" s="1"/>
  <c r="BW970" i="1" s="1"/>
  <c r="CD970" i="1" s="1"/>
  <c r="BL969" i="1"/>
  <c r="BW969" i="1" s="1"/>
  <c r="AF133" i="1"/>
  <c r="AI133" i="1" s="1"/>
  <c r="AP331" i="3"/>
  <c r="CE967" i="1"/>
  <c r="O134" i="1" s="1"/>
  <c r="CE968" i="1"/>
  <c r="BI970" i="1"/>
  <c r="BH971" i="1"/>
  <c r="P134" i="1" l="1"/>
  <c r="AX331" i="3"/>
  <c r="BN331" i="3"/>
  <c r="AQ968" i="1"/>
  <c r="BC968" i="1" s="1"/>
  <c r="BU968" i="1" s="1"/>
  <c r="BJ971" i="1"/>
  <c r="BK971" i="1" s="1"/>
  <c r="BK970" i="1"/>
  <c r="CD969" i="1"/>
  <c r="CE969" i="1" s="1"/>
  <c r="BX969" i="1"/>
  <c r="BX970" i="1"/>
  <c r="BH972" i="1"/>
  <c r="BI971" i="1"/>
  <c r="BF331" i="3" l="1"/>
  <c r="BJ972" i="1"/>
  <c r="BK972" i="1" s="1"/>
  <c r="BL971" i="1"/>
  <c r="BW971" i="1" s="1"/>
  <c r="CD971" i="1" s="1"/>
  <c r="CE970" i="1"/>
  <c r="BM968" i="1"/>
  <c r="BO968" i="1" s="1"/>
  <c r="BI972" i="1"/>
  <c r="CB968" i="1"/>
  <c r="CC968" i="1" s="1"/>
  <c r="BV968" i="1"/>
  <c r="BL972" i="1" l="1"/>
  <c r="BW972" i="1" s="1"/>
  <c r="CD972" i="1" s="1"/>
  <c r="CE972" i="1" s="1"/>
  <c r="BX971" i="1"/>
  <c r="BN968" i="1"/>
  <c r="BP968" i="1"/>
  <c r="CE971" i="1"/>
  <c r="BX972" i="1" l="1"/>
  <c r="BR968" i="1"/>
  <c r="AQ969" i="1" s="1"/>
  <c r="BC969" i="1" s="1"/>
  <c r="BU969" i="1" s="1"/>
  <c r="BY968" i="1" l="1"/>
  <c r="CB969" i="1"/>
  <c r="CC969" i="1" s="1"/>
  <c r="BV969" i="1"/>
  <c r="BM969" i="1"/>
  <c r="BO969" i="1" l="1"/>
  <c r="BP969" i="1"/>
  <c r="BN969" i="1"/>
  <c r="BR969" i="1" l="1"/>
  <c r="BY969" i="1" s="1"/>
  <c r="AQ970" i="1" l="1"/>
  <c r="BC970" i="1" s="1"/>
  <c r="BU970" i="1" s="1"/>
  <c r="CB970" i="1" s="1"/>
  <c r="CC970" i="1" s="1"/>
  <c r="BV970" i="1" l="1"/>
  <c r="BM970" i="1"/>
  <c r="BN970" i="1" s="1"/>
  <c r="BO970" i="1" l="1"/>
  <c r="BP970" i="1"/>
  <c r="BR970" i="1" l="1"/>
  <c r="AQ971" i="1" s="1"/>
  <c r="BC971" i="1" s="1"/>
  <c r="BU971" i="1" s="1"/>
  <c r="CB971" i="1" s="1"/>
  <c r="CC971" i="1" s="1"/>
  <c r="BM971" i="1" l="1"/>
  <c r="BO971" i="1" s="1"/>
  <c r="BV971" i="1"/>
  <c r="BY970" i="1"/>
  <c r="BP971" i="1" l="1"/>
  <c r="BN971" i="1"/>
  <c r="BR971" i="1" l="1"/>
  <c r="BY971" i="1" s="1"/>
  <c r="AQ972" i="1" l="1"/>
  <c r="BC972" i="1" s="1"/>
  <c r="BU972" i="1" s="1"/>
  <c r="CB972" i="1" s="1"/>
  <c r="CC972" i="1" s="1"/>
  <c r="BV972" i="1"/>
  <c r="BM972" i="1"/>
  <c r="BP972" i="1" s="1"/>
  <c r="BN972" i="1" l="1"/>
  <c r="BO972" i="1"/>
  <c r="BR972" i="1" l="1"/>
  <c r="AQ973" i="1" s="1"/>
  <c r="BC973" i="1" s="1"/>
  <c r="CH973" i="1" s="1"/>
  <c r="CH974" i="1" s="1"/>
  <c r="CH975" i="1" s="1"/>
  <c r="BY972" i="1" l="1"/>
  <c r="BH973" i="1"/>
  <c r="BH974" i="1" s="1"/>
  <c r="BJ973" i="1"/>
  <c r="BU973" i="1"/>
  <c r="BI973" i="1" l="1"/>
  <c r="BV973" i="1"/>
  <c r="CB973" i="1"/>
  <c r="CC973" i="1" s="1"/>
  <c r="BK973" i="1"/>
  <c r="BL973" i="1"/>
  <c r="BJ974" i="1"/>
  <c r="BI974" i="1"/>
  <c r="BH975" i="1"/>
  <c r="BI975" i="1" s="1"/>
  <c r="BJ975" i="1" l="1"/>
  <c r="BK974" i="1"/>
  <c r="BL974" i="1"/>
  <c r="BW974" i="1" s="1"/>
  <c r="CD974" i="1" s="1"/>
  <c r="BW973" i="1"/>
  <c r="BM973" i="1"/>
  <c r="BO973" i="1" l="1"/>
  <c r="BP973" i="1"/>
  <c r="BN973" i="1"/>
  <c r="CD973" i="1"/>
  <c r="BX973" i="1"/>
  <c r="BX974" i="1"/>
  <c r="BK975" i="1"/>
  <c r="BL975" i="1"/>
  <c r="BW975" i="1" s="1"/>
  <c r="CD975" i="1" s="1"/>
  <c r="BX975" i="1" l="1"/>
  <c r="CE974" i="1"/>
  <c r="CE973" i="1"/>
  <c r="CE975" i="1"/>
  <c r="BR973" i="1"/>
  <c r="BY973" i="1" l="1"/>
  <c r="AQ974" i="1"/>
  <c r="CH976" i="1"/>
  <c r="CH977" i="1" s="1"/>
  <c r="CH978" i="1" s="1"/>
  <c r="BH976" i="1"/>
  <c r="BC974" i="1" l="1"/>
  <c r="BU974" i="1" s="1"/>
  <c r="BJ976" i="1"/>
  <c r="BL976" i="1" s="1"/>
  <c r="BI976" i="1"/>
  <c r="BH977" i="1"/>
  <c r="CB974" i="1" l="1"/>
  <c r="CC974" i="1" s="1"/>
  <c r="BV974" i="1"/>
  <c r="BM974" i="1"/>
  <c r="BJ977" i="1"/>
  <c r="BK977" i="1" s="1"/>
  <c r="BK976" i="1"/>
  <c r="BH978" i="1"/>
  <c r="BI977" i="1"/>
  <c r="BW976" i="1"/>
  <c r="BN974" i="1" l="1"/>
  <c r="BO974" i="1"/>
  <c r="BP974" i="1"/>
  <c r="BJ978" i="1"/>
  <c r="BL978" i="1" s="1"/>
  <c r="BW978" i="1" s="1"/>
  <c r="CD978" i="1" s="1"/>
  <c r="BL977" i="1"/>
  <c r="BW977" i="1" s="1"/>
  <c r="CD977" i="1" s="1"/>
  <c r="BI978" i="1"/>
  <c r="BX976" i="1"/>
  <c r="CD976" i="1"/>
  <c r="BR974" i="1" l="1"/>
  <c r="BY974" i="1" s="1"/>
  <c r="BK978" i="1"/>
  <c r="BX977" i="1"/>
  <c r="BX978" i="1"/>
  <c r="CE977" i="1"/>
  <c r="CE976" i="1"/>
  <c r="CE978" i="1"/>
  <c r="AQ975" i="1" l="1"/>
  <c r="BC975" i="1" s="1"/>
  <c r="BU975" i="1" s="1"/>
  <c r="BM975" i="1" l="1"/>
  <c r="BO975" i="1" s="1"/>
  <c r="CB975" i="1"/>
  <c r="CC975" i="1" s="1"/>
  <c r="BV975" i="1"/>
  <c r="BN975" i="1" l="1"/>
  <c r="BP975" i="1"/>
  <c r="BR975" i="1" l="1"/>
  <c r="AQ976" i="1" s="1"/>
  <c r="BC976" i="1" s="1"/>
  <c r="BU976" i="1" s="1"/>
  <c r="BY975" i="1" l="1"/>
  <c r="BM976" i="1"/>
  <c r="BP976" i="1" s="1"/>
  <c r="CB976" i="1"/>
  <c r="BV976" i="1"/>
  <c r="BO976" i="1" l="1"/>
  <c r="BN976" i="1"/>
  <c r="CC976" i="1"/>
  <c r="BR976" i="1" l="1"/>
  <c r="BY976" i="1" s="1"/>
  <c r="AQ977" i="1" l="1"/>
  <c r="BC977" i="1" s="1"/>
  <c r="BU977" i="1" s="1"/>
  <c r="CB977" i="1" s="1"/>
  <c r="BV977" i="1" l="1"/>
  <c r="BM977" i="1"/>
  <c r="BO977" i="1" s="1"/>
  <c r="CC977" i="1"/>
  <c r="BP977" i="1" l="1"/>
  <c r="BN977" i="1"/>
  <c r="BR977" i="1" l="1"/>
  <c r="AQ978" i="1" s="1"/>
  <c r="BC978" i="1" s="1"/>
  <c r="BU978" i="1" s="1"/>
  <c r="CB978" i="1" s="1"/>
  <c r="BV978" i="1" l="1"/>
  <c r="BY977" i="1"/>
  <c r="BM978" i="1"/>
  <c r="BO978" i="1" s="1"/>
  <c r="CC978" i="1"/>
  <c r="BN978" i="1" l="1"/>
  <c r="BP978" i="1"/>
  <c r="BR978" i="1" l="1"/>
  <c r="AQ979" i="1" s="1"/>
  <c r="BY978" i="1" l="1"/>
  <c r="BC979" i="1"/>
  <c r="BU979" i="1" s="1"/>
  <c r="CH979" i="1" l="1"/>
  <c r="CH980" i="1" s="1"/>
  <c r="CH981" i="1" s="1"/>
  <c r="CH982" i="1" s="1"/>
  <c r="CH983" i="1" s="1"/>
  <c r="CH984" i="1" s="1"/>
  <c r="BJ979" i="1"/>
  <c r="BH979" i="1"/>
  <c r="CB979" i="1"/>
  <c r="CC979" i="1" s="1"/>
  <c r="M135" i="1" s="1"/>
  <c r="BV979" i="1"/>
  <c r="L135" i="1" s="1"/>
  <c r="Z332" i="3" l="1"/>
  <c r="AH332" i="3"/>
  <c r="BI979" i="1"/>
  <c r="BH980" i="1"/>
  <c r="BK979" i="1"/>
  <c r="BL979" i="1"/>
  <c r="BJ980" i="1"/>
  <c r="BW979" i="1" l="1"/>
  <c r="BM979" i="1"/>
  <c r="BI980" i="1"/>
  <c r="BH981" i="1"/>
  <c r="BK980" i="1"/>
  <c r="BJ981" i="1"/>
  <c r="BL980" i="1"/>
  <c r="BW980" i="1" s="1"/>
  <c r="CD980" i="1" s="1"/>
  <c r="BI981" i="1" l="1"/>
  <c r="BH982" i="1"/>
  <c r="BN979" i="1"/>
  <c r="BO979" i="1"/>
  <c r="BP979" i="1"/>
  <c r="BK981" i="1"/>
  <c r="BL981" i="1"/>
  <c r="BW981" i="1" s="1"/>
  <c r="BJ982" i="1"/>
  <c r="BX979" i="1"/>
  <c r="N135" i="1" s="1"/>
  <c r="CD979" i="1"/>
  <c r="BX980" i="1"/>
  <c r="BR979" i="1" l="1"/>
  <c r="AQ980" i="1" s="1"/>
  <c r="BC980" i="1" s="1"/>
  <c r="BU980" i="1" s="1"/>
  <c r="CD981" i="1"/>
  <c r="CE981" i="1" s="1"/>
  <c r="BX981" i="1"/>
  <c r="BK982" i="1"/>
  <c r="BL982" i="1"/>
  <c r="BW982" i="1" s="1"/>
  <c r="BJ983" i="1"/>
  <c r="CE979" i="1"/>
  <c r="O135" i="1" s="1"/>
  <c r="CE980" i="1"/>
  <c r="BI982" i="1"/>
  <c r="BH983" i="1"/>
  <c r="AP332" i="3"/>
  <c r="AF134" i="1"/>
  <c r="AI134" i="1" s="1"/>
  <c r="P135" i="1" l="1"/>
  <c r="AX332" i="3"/>
  <c r="BV980" i="1"/>
  <c r="CB980" i="1"/>
  <c r="CC980" i="1" s="1"/>
  <c r="BY979" i="1"/>
  <c r="Q135" i="1" s="1"/>
  <c r="BH984" i="1"/>
  <c r="BI984" i="1" s="1"/>
  <c r="BI983" i="1"/>
  <c r="BX982" i="1"/>
  <c r="CD982" i="1"/>
  <c r="BM980" i="1"/>
  <c r="BN980" i="1" s="1"/>
  <c r="BL983" i="1"/>
  <c r="BW983" i="1" s="1"/>
  <c r="CD983" i="1" s="1"/>
  <c r="BK983" i="1"/>
  <c r="BJ984" i="1"/>
  <c r="BF332" i="3" l="1"/>
  <c r="BN332" i="3"/>
  <c r="BX983" i="1"/>
  <c r="BO980" i="1"/>
  <c r="CE982" i="1"/>
  <c r="CE983" i="1"/>
  <c r="BP980" i="1"/>
  <c r="BK984" i="1"/>
  <c r="BL984" i="1"/>
  <c r="BW984" i="1" s="1"/>
  <c r="CD984" i="1" s="1"/>
  <c r="CE984" i="1" s="1"/>
  <c r="BR980" i="1" l="1"/>
  <c r="AQ981" i="1" s="1"/>
  <c r="BC981" i="1" s="1"/>
  <c r="BU981" i="1" s="1"/>
  <c r="CB981" i="1" s="1"/>
  <c r="CC981" i="1" s="1"/>
  <c r="BX984" i="1"/>
  <c r="BY980" i="1" l="1"/>
  <c r="BV981" i="1"/>
  <c r="BM981" i="1"/>
  <c r="BO981" i="1" s="1"/>
  <c r="BN981" i="1" l="1"/>
  <c r="BP981" i="1"/>
  <c r="BR981" i="1" l="1"/>
  <c r="BY981" i="1" s="1"/>
  <c r="AQ982" i="1" l="1"/>
  <c r="BC982" i="1" s="1"/>
  <c r="BU982" i="1" s="1"/>
  <c r="BV982" i="1" s="1"/>
  <c r="BM982" i="1" l="1"/>
  <c r="BN982" i="1" s="1"/>
  <c r="CB982" i="1"/>
  <c r="CC982" i="1" s="1"/>
  <c r="BO982" i="1" l="1"/>
  <c r="BP982" i="1"/>
  <c r="BR982" i="1" l="1"/>
  <c r="BY982" i="1" s="1"/>
  <c r="AQ983" i="1" l="1"/>
  <c r="BC983" i="1" s="1"/>
  <c r="BU983" i="1" s="1"/>
  <c r="BV983" i="1" s="1"/>
  <c r="CB983" i="1" l="1"/>
  <c r="CC983" i="1" s="1"/>
  <c r="BM983" i="1"/>
  <c r="BO983" i="1" s="1"/>
  <c r="BN983" i="1" l="1"/>
  <c r="BP983" i="1"/>
  <c r="BR983" i="1" l="1"/>
  <c r="BY983" i="1" s="1"/>
  <c r="AQ984" i="1" l="1"/>
  <c r="BC984" i="1" s="1"/>
  <c r="BU984" i="1" s="1"/>
  <c r="BM984" i="1" l="1"/>
  <c r="BP984" i="1" s="1"/>
  <c r="BV984" i="1"/>
  <c r="CB984" i="1"/>
  <c r="CC984" i="1" s="1"/>
  <c r="BN984" i="1" l="1"/>
  <c r="BO984" i="1"/>
  <c r="BR984" i="1" l="1"/>
  <c r="BY984" i="1" s="1"/>
  <c r="AQ985" i="1" l="1"/>
  <c r="BC985" i="1" s="1"/>
  <c r="BU985" i="1" s="1"/>
  <c r="BH985" i="1"/>
  <c r="CH985" i="1"/>
  <c r="CH986" i="1" s="1"/>
  <c r="CH987" i="1" s="1"/>
  <c r="BJ985" i="1"/>
  <c r="BI985" i="1" l="1"/>
  <c r="BH986" i="1"/>
  <c r="BJ986" i="1"/>
  <c r="BL985" i="1"/>
  <c r="BK985" i="1"/>
  <c r="CB985" i="1"/>
  <c r="CC985" i="1" s="1"/>
  <c r="BV985" i="1"/>
  <c r="CH988" i="1"/>
  <c r="CH989" i="1" s="1"/>
  <c r="CH990" i="1" s="1"/>
  <c r="BW985" i="1" l="1"/>
  <c r="BM985" i="1"/>
  <c r="BJ987" i="1"/>
  <c r="BK986" i="1"/>
  <c r="BL986" i="1"/>
  <c r="BW986" i="1" s="1"/>
  <c r="CD986" i="1" s="1"/>
  <c r="BI986" i="1"/>
  <c r="BH987" i="1"/>
  <c r="BI987" i="1" s="1"/>
  <c r="BH988" i="1" l="1"/>
  <c r="BI988" i="1" s="1"/>
  <c r="BX986" i="1"/>
  <c r="CD985" i="1"/>
  <c r="BX985" i="1"/>
  <c r="BL987" i="1"/>
  <c r="BW987" i="1" s="1"/>
  <c r="CD987" i="1" s="1"/>
  <c r="BK987" i="1"/>
  <c r="BJ988" i="1"/>
  <c r="BP985" i="1"/>
  <c r="BN985" i="1"/>
  <c r="BO985" i="1"/>
  <c r="BH989" i="1" l="1"/>
  <c r="BH990" i="1" s="1"/>
  <c r="BR985" i="1"/>
  <c r="BY985" i="1" s="1"/>
  <c r="BJ989" i="1"/>
  <c r="BL989" i="1" s="1"/>
  <c r="BW989" i="1" s="1"/>
  <c r="CD989" i="1" s="1"/>
  <c r="BK988" i="1"/>
  <c r="BX987" i="1"/>
  <c r="BL988" i="1"/>
  <c r="BW988" i="1" s="1"/>
  <c r="CE986" i="1"/>
  <c r="CE987" i="1"/>
  <c r="CE985" i="1"/>
  <c r="AQ986" i="1" l="1"/>
  <c r="BC986" i="1" s="1"/>
  <c r="BU986" i="1" s="1"/>
  <c r="BI989" i="1"/>
  <c r="BK989" i="1"/>
  <c r="BJ990" i="1"/>
  <c r="BX989" i="1"/>
  <c r="CD988" i="1"/>
  <c r="BX988" i="1"/>
  <c r="BI990" i="1"/>
  <c r="BK990" i="1" l="1"/>
  <c r="BL990" i="1"/>
  <c r="BW990" i="1" s="1"/>
  <c r="CD990" i="1" s="1"/>
  <c r="CE990" i="1" s="1"/>
  <c r="BM986" i="1"/>
  <c r="CB986" i="1"/>
  <c r="CC986" i="1" s="1"/>
  <c r="BV986" i="1"/>
  <c r="CE989" i="1"/>
  <c r="CE988" i="1"/>
  <c r="BO986" i="1" l="1"/>
  <c r="BP986" i="1"/>
  <c r="BN986" i="1"/>
  <c r="BX990" i="1"/>
  <c r="BR986" i="1" l="1"/>
  <c r="AQ987" i="1" s="1"/>
  <c r="BY986" i="1" l="1"/>
  <c r="BC987" i="1"/>
  <c r="BU987" i="1" s="1"/>
  <c r="BM987" i="1" l="1"/>
  <c r="BO987" i="1" s="1"/>
  <c r="BV987" i="1"/>
  <c r="CB987" i="1"/>
  <c r="CC987" i="1" s="1"/>
  <c r="BN987" i="1" l="1"/>
  <c r="BP987" i="1"/>
  <c r="BR987" i="1" l="1"/>
  <c r="AQ988" i="1" s="1"/>
  <c r="BY987" i="1" l="1"/>
  <c r="BC988" i="1"/>
  <c r="BU988" i="1" s="1"/>
  <c r="BM988" i="1" l="1"/>
  <c r="BO988" i="1" s="1"/>
  <c r="CB988" i="1"/>
  <c r="CC988" i="1" s="1"/>
  <c r="BV988" i="1"/>
  <c r="BP988" i="1" l="1"/>
  <c r="BN988" i="1"/>
  <c r="BR988" i="1" l="1"/>
  <c r="BY988" i="1" s="1"/>
  <c r="AQ989" i="1" l="1"/>
  <c r="BC989" i="1" s="1"/>
  <c r="BU989" i="1" s="1"/>
  <c r="BM989" i="1" l="1"/>
  <c r="CB989" i="1"/>
  <c r="CC989" i="1" s="1"/>
  <c r="BV989" i="1"/>
  <c r="BO989" i="1" l="1"/>
  <c r="BN989" i="1"/>
  <c r="BP989" i="1"/>
  <c r="BR989" i="1" l="1"/>
  <c r="BY989" i="1" l="1"/>
  <c r="AQ990" i="1"/>
  <c r="BC990" i="1" l="1"/>
  <c r="BU990" i="1" s="1"/>
  <c r="BM990" i="1" l="1"/>
  <c r="CB990" i="1"/>
  <c r="CC990" i="1" s="1"/>
  <c r="BV990" i="1"/>
  <c r="BO990" i="1" l="1"/>
  <c r="BN990" i="1"/>
  <c r="BP990" i="1"/>
  <c r="BR990" i="1" l="1"/>
  <c r="AQ991" i="1" s="1"/>
  <c r="BY990" i="1" l="1"/>
  <c r="BC991" i="1"/>
  <c r="BH991" i="1"/>
  <c r="BJ991" i="1"/>
  <c r="CH991" i="1"/>
  <c r="CH992" i="1" s="1"/>
  <c r="CH993" i="1" s="1"/>
  <c r="CH994" i="1" s="1"/>
  <c r="CH995" i="1" s="1"/>
  <c r="CH996" i="1" s="1"/>
  <c r="BK991" i="1" l="1"/>
  <c r="BL991" i="1"/>
  <c r="BW991" i="1" s="1"/>
  <c r="BJ992" i="1"/>
  <c r="BI991" i="1"/>
  <c r="BH992" i="1"/>
  <c r="BU991" i="1"/>
  <c r="BM991" i="1" l="1"/>
  <c r="BN991" i="1" s="1"/>
  <c r="BP991" i="1"/>
  <c r="BO991" i="1"/>
  <c r="BV991" i="1"/>
  <c r="L136" i="1" s="1"/>
  <c r="CB991" i="1"/>
  <c r="CC991" i="1" s="1"/>
  <c r="M136" i="1" s="1"/>
  <c r="BI992" i="1"/>
  <c r="BH993" i="1"/>
  <c r="BL992" i="1"/>
  <c r="BW992" i="1" s="1"/>
  <c r="BJ993" i="1"/>
  <c r="BK992" i="1"/>
  <c r="CD991" i="1"/>
  <c r="BX991" i="1"/>
  <c r="N136" i="1" s="1"/>
  <c r="BR991" i="1" l="1"/>
  <c r="CD992" i="1"/>
  <c r="BH994" i="1"/>
  <c r="BI993" i="1"/>
  <c r="AH333" i="3"/>
  <c r="Z333" i="3"/>
  <c r="AF135" i="1"/>
  <c r="AI135" i="1" s="1"/>
  <c r="AP333" i="3"/>
  <c r="CE991" i="1"/>
  <c r="O136" i="1" s="1"/>
  <c r="CE992" i="1"/>
  <c r="BY991" i="1"/>
  <c r="Q136" i="1" s="1"/>
  <c r="BX992" i="1"/>
  <c r="BJ994" i="1"/>
  <c r="BL993" i="1"/>
  <c r="BW993" i="1" s="1"/>
  <c r="CD993" i="1" s="1"/>
  <c r="BK993" i="1"/>
  <c r="AQ992" i="1" l="1"/>
  <c r="BC992" i="1" s="1"/>
  <c r="BU992" i="1" s="1"/>
  <c r="P136" i="1"/>
  <c r="BF333" i="3" s="1"/>
  <c r="BN333" i="3"/>
  <c r="AX333" i="3"/>
  <c r="CE993" i="1"/>
  <c r="BL994" i="1"/>
  <c r="BW994" i="1" s="1"/>
  <c r="CD994" i="1" s="1"/>
  <c r="CE994" i="1" s="1"/>
  <c r="BJ995" i="1"/>
  <c r="BK994" i="1"/>
  <c r="BH995" i="1"/>
  <c r="BI994" i="1"/>
  <c r="BX993" i="1"/>
  <c r="BM992" i="1"/>
  <c r="CB992" i="1"/>
  <c r="CC992" i="1" s="1"/>
  <c r="BV992" i="1"/>
  <c r="BX994" i="1" l="1"/>
  <c r="BK995" i="1"/>
  <c r="BJ996" i="1"/>
  <c r="BL995" i="1"/>
  <c r="BW995" i="1" s="1"/>
  <c r="BX995" i="1" s="1"/>
  <c r="BN992" i="1"/>
  <c r="BO992" i="1"/>
  <c r="BP992" i="1"/>
  <c r="BI995" i="1"/>
  <c r="BH996" i="1"/>
  <c r="BI996" i="1" s="1"/>
  <c r="BR992" i="1" l="1"/>
  <c r="AQ993" i="1" s="1"/>
  <c r="CD995" i="1"/>
  <c r="CE995" i="1" s="1"/>
  <c r="BL996" i="1"/>
  <c r="BW996" i="1" s="1"/>
  <c r="CD996" i="1" s="1"/>
  <c r="BK996" i="1"/>
  <c r="BY992" i="1" l="1"/>
  <c r="CE996" i="1"/>
  <c r="BC993" i="1"/>
  <c r="BU993" i="1" s="1"/>
  <c r="BX996" i="1"/>
  <c r="BM993" i="1" l="1"/>
  <c r="BP993" i="1" s="1"/>
  <c r="CB993" i="1"/>
  <c r="CC993" i="1" s="1"/>
  <c r="BV993" i="1"/>
  <c r="BN993" i="1" l="1"/>
  <c r="BO993" i="1"/>
  <c r="BR993" i="1" l="1"/>
  <c r="AQ994" i="1" l="1"/>
  <c r="BC994" i="1" s="1"/>
  <c r="BU994" i="1" s="1"/>
  <c r="CB994" i="1" s="1"/>
  <c r="CC994" i="1" s="1"/>
  <c r="BY993" i="1"/>
  <c r="BV994" i="1" l="1"/>
  <c r="BM994" i="1"/>
  <c r="BN994" i="1" s="1"/>
  <c r="BP994" i="1" l="1"/>
  <c r="BO994" i="1"/>
  <c r="BR994" i="1" l="1"/>
  <c r="BY994" i="1" s="1"/>
  <c r="AQ995" i="1" l="1"/>
  <c r="BC995" i="1" s="1"/>
  <c r="BU995" i="1" s="1"/>
  <c r="BV995" i="1" s="1"/>
  <c r="BM995" i="1" l="1"/>
  <c r="BO995" i="1" s="1"/>
  <c r="CB995" i="1"/>
  <c r="CC995" i="1" s="1"/>
  <c r="BN995" i="1"/>
  <c r="BP995" i="1"/>
  <c r="CH997" i="1"/>
  <c r="CH998" i="1" s="1"/>
  <c r="CH999" i="1" s="1"/>
  <c r="BJ997" i="1"/>
  <c r="BH997" i="1"/>
  <c r="BR995" i="1" l="1"/>
  <c r="AQ996" i="1" s="1"/>
  <c r="BC996" i="1" s="1"/>
  <c r="BU996" i="1" s="1"/>
  <c r="BH998" i="1"/>
  <c r="BI997" i="1"/>
  <c r="BK997" i="1"/>
  <c r="BL997" i="1"/>
  <c r="BW997" i="1" s="1"/>
  <c r="BJ998" i="1"/>
  <c r="BY995" i="1" l="1"/>
  <c r="BM996" i="1"/>
  <c r="CB996" i="1"/>
  <c r="CC996" i="1" s="1"/>
  <c r="BV996" i="1"/>
  <c r="BK998" i="1"/>
  <c r="BL998" i="1"/>
  <c r="BW998" i="1" s="1"/>
  <c r="CD998" i="1" s="1"/>
  <c r="BJ999" i="1"/>
  <c r="CD997" i="1"/>
  <c r="BX997" i="1"/>
  <c r="BH999" i="1"/>
  <c r="BI999" i="1" s="1"/>
  <c r="BI998" i="1"/>
  <c r="BP996" i="1" l="1"/>
  <c r="BN996" i="1"/>
  <c r="BO996" i="1"/>
  <c r="BL999" i="1"/>
  <c r="BW999" i="1" s="1"/>
  <c r="CD999" i="1" s="1"/>
  <c r="CE999" i="1" s="1"/>
  <c r="BK999" i="1"/>
  <c r="BX998" i="1"/>
  <c r="BJ1000" i="1"/>
  <c r="BJ1001" i="1" s="1"/>
  <c r="CE998" i="1"/>
  <c r="CE997" i="1"/>
  <c r="CH1000" i="1"/>
  <c r="CH1001" i="1" s="1"/>
  <c r="CH1002" i="1" s="1"/>
  <c r="BH1000" i="1"/>
  <c r="BR996" i="1" l="1"/>
  <c r="BY996" i="1" s="1"/>
  <c r="BX999" i="1"/>
  <c r="BK1000" i="1"/>
  <c r="BI1000" i="1"/>
  <c r="BH1001" i="1"/>
  <c r="BL1001" i="1" s="1"/>
  <c r="BW1001" i="1" s="1"/>
  <c r="CD1001" i="1" s="1"/>
  <c r="BL1000" i="1"/>
  <c r="BK1001" i="1"/>
  <c r="BJ1002" i="1"/>
  <c r="AQ997" i="1" l="1"/>
  <c r="BC997" i="1" s="1"/>
  <c r="BU997" i="1" s="1"/>
  <c r="BK1002" i="1"/>
  <c r="BW1000" i="1"/>
  <c r="BI1001" i="1"/>
  <c r="BH1002" i="1"/>
  <c r="BM997" i="1" l="1"/>
  <c r="BN997" i="1" s="1"/>
  <c r="BV997" i="1"/>
  <c r="CB997" i="1"/>
  <c r="CC997" i="1" s="1"/>
  <c r="BI1002" i="1"/>
  <c r="BX1001" i="1"/>
  <c r="CD1000" i="1"/>
  <c r="BX1000" i="1"/>
  <c r="BL1002" i="1"/>
  <c r="BW1002" i="1" s="1"/>
  <c r="BO997" i="1" l="1"/>
  <c r="BP997" i="1"/>
  <c r="CD1002" i="1"/>
  <c r="CE1002" i="1" s="1"/>
  <c r="CE1001" i="1"/>
  <c r="CE1000" i="1"/>
  <c r="BX1002" i="1"/>
  <c r="BR997" i="1" l="1"/>
  <c r="AQ998" i="1" s="1"/>
  <c r="BC998" i="1" s="1"/>
  <c r="BU998" i="1" s="1"/>
  <c r="BY997" i="1" l="1"/>
  <c r="BM998" i="1"/>
  <c r="BP998" i="1" s="1"/>
  <c r="BV998" i="1"/>
  <c r="CB998" i="1"/>
  <c r="CC998" i="1" s="1"/>
  <c r="BN998" i="1" l="1"/>
  <c r="BO998" i="1"/>
  <c r="BR998" i="1" l="1"/>
  <c r="BY998" i="1" s="1"/>
  <c r="AQ999" i="1" l="1"/>
  <c r="BC999" i="1" s="1"/>
  <c r="BU999" i="1" s="1"/>
  <c r="CB999" i="1" s="1"/>
  <c r="CC999" i="1" s="1"/>
  <c r="BM999" i="1" l="1"/>
  <c r="BP999" i="1" s="1"/>
  <c r="BV999" i="1"/>
  <c r="BN999" i="1" l="1"/>
  <c r="BO999" i="1"/>
  <c r="BR999" i="1" l="1"/>
  <c r="AQ1000" i="1" s="1"/>
  <c r="BC1000" i="1" s="1"/>
  <c r="BU1000" i="1" s="1"/>
  <c r="BV1000" i="1" s="1"/>
  <c r="BY999" i="1" l="1"/>
  <c r="CB1000" i="1"/>
  <c r="CC1000" i="1" s="1"/>
  <c r="BM1000" i="1"/>
  <c r="BO1000" i="1" s="1"/>
  <c r="BN1000" i="1" l="1"/>
  <c r="BP1000" i="1"/>
  <c r="BR1000" i="1"/>
  <c r="BY1000" i="1" s="1"/>
  <c r="AQ1001" i="1" l="1"/>
  <c r="BC1001" i="1" s="1"/>
  <c r="BU1001" i="1" s="1"/>
  <c r="BV1001" i="1" l="1"/>
  <c r="CB1001" i="1"/>
  <c r="CC1001" i="1" s="1"/>
  <c r="BM1001" i="1"/>
  <c r="BP1001" i="1" l="1"/>
  <c r="BN1001" i="1"/>
  <c r="BO1001" i="1"/>
  <c r="BR1001" i="1" l="1"/>
  <c r="BY1001" i="1" s="1"/>
  <c r="AQ1002" i="1" l="1"/>
  <c r="BC1002" i="1" s="1"/>
  <c r="BU1002" i="1" s="1"/>
  <c r="CB1002" i="1" l="1"/>
  <c r="CC1002" i="1" s="1"/>
  <c r="BV1002" i="1"/>
  <c r="BM1002" i="1"/>
  <c r="BO1002" i="1" l="1"/>
  <c r="BN1002" i="1"/>
  <c r="BP1002" i="1"/>
  <c r="BR1002" i="1" l="1"/>
  <c r="AQ1003" i="1" s="1"/>
  <c r="BY1002" i="1" l="1"/>
  <c r="BC1003" i="1"/>
  <c r="BU1003" i="1" s="1"/>
  <c r="BH1003" i="1"/>
  <c r="BI1003" i="1" s="1"/>
  <c r="BV1003" i="1" l="1"/>
  <c r="L137" i="1" s="1"/>
  <c r="CB1003" i="1"/>
  <c r="CC1003" i="1" s="1"/>
  <c r="M137" i="1" s="1"/>
  <c r="BH1004" i="1"/>
  <c r="BI1004" i="1" s="1"/>
  <c r="BJ1003" i="1"/>
  <c r="CH1003" i="1"/>
  <c r="CH1004" i="1" s="1"/>
  <c r="CH1005" i="1" s="1"/>
  <c r="CH1006" i="1" s="1"/>
  <c r="CH1007" i="1" s="1"/>
  <c r="CH1008" i="1" s="1"/>
  <c r="AH334" i="3" l="1"/>
  <c r="Z334" i="3"/>
  <c r="BH1005" i="1"/>
  <c r="BI1005" i="1" s="1"/>
  <c r="BL1003" i="1"/>
  <c r="BK1003" i="1"/>
  <c r="BJ1004" i="1"/>
  <c r="BH1006" i="1" l="1"/>
  <c r="BI1006" i="1" s="1"/>
  <c r="BM1003" i="1"/>
  <c r="BW1003" i="1"/>
  <c r="BK1004" i="1"/>
  <c r="BL1004" i="1"/>
  <c r="BW1004" i="1" s="1"/>
  <c r="CD1004" i="1" s="1"/>
  <c r="BJ1005" i="1"/>
  <c r="BH1007" i="1" l="1"/>
  <c r="BH1008" i="1" s="1"/>
  <c r="BI1008" i="1" s="1"/>
  <c r="BK1005" i="1"/>
  <c r="BL1005" i="1"/>
  <c r="BW1005" i="1" s="1"/>
  <c r="BJ1006" i="1"/>
  <c r="BX1004" i="1"/>
  <c r="CD1003" i="1"/>
  <c r="BX1003" i="1"/>
  <c r="N137" i="1" s="1"/>
  <c r="BN1003" i="1"/>
  <c r="BP1003" i="1"/>
  <c r="BO1003" i="1"/>
  <c r="BR1003" i="1" l="1"/>
  <c r="BY1003" i="1" s="1"/>
  <c r="Q137" i="1" s="1"/>
  <c r="BI1007" i="1"/>
  <c r="CE1003" i="1"/>
  <c r="O137" i="1" s="1"/>
  <c r="CE1004" i="1"/>
  <c r="BJ1007" i="1"/>
  <c r="BL1006" i="1"/>
  <c r="BW1006" i="1" s="1"/>
  <c r="BK1006" i="1"/>
  <c r="P137" i="1"/>
  <c r="BX1005" i="1"/>
  <c r="CD1005" i="1"/>
  <c r="AF136" i="1"/>
  <c r="AI136" i="1" s="1"/>
  <c r="AP334" i="3"/>
  <c r="AQ1004" i="1" l="1"/>
  <c r="BN334" i="3"/>
  <c r="AX334" i="3"/>
  <c r="BF334" i="3"/>
  <c r="BC1004" i="1"/>
  <c r="BU1004" i="1" s="1"/>
  <c r="CD1006" i="1"/>
  <c r="BX1006" i="1"/>
  <c r="BL1007" i="1"/>
  <c r="BW1007" i="1" s="1"/>
  <c r="BJ1008" i="1"/>
  <c r="BK1007" i="1"/>
  <c r="CE1005" i="1"/>
  <c r="BL1008" i="1" l="1"/>
  <c r="BW1008" i="1" s="1"/>
  <c r="CD1008" i="1" s="1"/>
  <c r="BK1008" i="1"/>
  <c r="CE1006" i="1"/>
  <c r="CD1007" i="1"/>
  <c r="CE1007" i="1" s="1"/>
  <c r="BX1007" i="1"/>
  <c r="BM1004" i="1"/>
  <c r="BV1004" i="1"/>
  <c r="CB1004" i="1"/>
  <c r="CC1004" i="1" s="1"/>
  <c r="BX1008" i="1" l="1"/>
  <c r="BP1004" i="1"/>
  <c r="BN1004" i="1"/>
  <c r="BO1004" i="1"/>
  <c r="CE1008" i="1"/>
  <c r="BR1004" i="1" l="1"/>
  <c r="BY1004" i="1" s="1"/>
  <c r="AQ1005" i="1" l="1"/>
  <c r="BC1005" i="1" s="1"/>
  <c r="BU1005" i="1" s="1"/>
  <c r="BM1005" i="1" l="1"/>
  <c r="CB1005" i="1"/>
  <c r="CC1005" i="1" s="1"/>
  <c r="BV1005" i="1"/>
  <c r="BO1005" i="1" l="1"/>
  <c r="BN1005" i="1"/>
  <c r="BP1005" i="1"/>
  <c r="BR1005" i="1" l="1"/>
  <c r="AQ1006" i="1" s="1"/>
  <c r="BY1005" i="1" l="1"/>
  <c r="BC1006" i="1"/>
  <c r="BU1006" i="1" s="1"/>
  <c r="BV1006" i="1" l="1"/>
  <c r="CB1006" i="1"/>
  <c r="CC1006" i="1" s="1"/>
  <c r="BM1006" i="1"/>
  <c r="BP1006" i="1" l="1"/>
  <c r="BN1006" i="1"/>
  <c r="BO1006" i="1"/>
  <c r="BR1006" i="1" l="1"/>
  <c r="BY1006" i="1" s="1"/>
  <c r="AQ1007" i="1" l="1"/>
  <c r="BC1007" i="1" s="1"/>
  <c r="BU1007" i="1" s="1"/>
  <c r="BM1007" i="1" l="1"/>
  <c r="BO1007" i="1" s="1"/>
  <c r="CB1007" i="1"/>
  <c r="CC1007" i="1" s="1"/>
  <c r="BV1007" i="1"/>
  <c r="BN1007" i="1" l="1"/>
  <c r="BP1007" i="1"/>
  <c r="CH1009" i="1"/>
  <c r="CH1010" i="1" s="1"/>
  <c r="CH1011" i="1" s="1"/>
  <c r="BH1009" i="1"/>
  <c r="BH1010" i="1" s="1"/>
  <c r="BJ1009" i="1"/>
  <c r="BK1009" i="1" s="1"/>
  <c r="BR1007" i="1" l="1"/>
  <c r="AQ1008" i="1" s="1"/>
  <c r="BC1008" i="1" s="1"/>
  <c r="BU1008" i="1" s="1"/>
  <c r="BJ1010" i="1"/>
  <c r="BK1010" i="1" s="1"/>
  <c r="BL1009" i="1"/>
  <c r="BW1009" i="1" s="1"/>
  <c r="CD1009" i="1" s="1"/>
  <c r="CE1009" i="1" s="1"/>
  <c r="BI1009" i="1"/>
  <c r="BH1011" i="1"/>
  <c r="BI1011" i="1" s="1"/>
  <c r="BI1010" i="1"/>
  <c r="BY1007" i="1" l="1"/>
  <c r="BM1008" i="1"/>
  <c r="CB1008" i="1"/>
  <c r="CC1008" i="1" s="1"/>
  <c r="BV1008" i="1"/>
  <c r="BJ1011" i="1"/>
  <c r="BK1011" i="1" s="1"/>
  <c r="BX1009" i="1"/>
  <c r="BL1010" i="1"/>
  <c r="BW1010" i="1" s="1"/>
  <c r="BX1010" i="1" s="1"/>
  <c r="BP1008" i="1" l="1"/>
  <c r="BN1008" i="1"/>
  <c r="BO1008" i="1"/>
  <c r="CD1010" i="1"/>
  <c r="CE1010" i="1" s="1"/>
  <c r="BL1011" i="1"/>
  <c r="BW1011" i="1" s="1"/>
  <c r="CD1011" i="1" s="1"/>
  <c r="BR1008" i="1" l="1"/>
  <c r="AQ1009" i="1" s="1"/>
  <c r="CE1011" i="1"/>
  <c r="BX1011" i="1"/>
  <c r="CH1012" i="1"/>
  <c r="CH1013" i="1" s="1"/>
  <c r="CH1014" i="1" s="1"/>
  <c r="BJ1012" i="1"/>
  <c r="BY1008" i="1" l="1"/>
  <c r="BC1009" i="1"/>
  <c r="BU1009" i="1" s="1"/>
  <c r="BH1012" i="1"/>
  <c r="BL1012" i="1" s="1"/>
  <c r="BK1012" i="1"/>
  <c r="BJ1013" i="1"/>
  <c r="BM1009" i="1" l="1"/>
  <c r="CB1009" i="1"/>
  <c r="CC1009" i="1" s="1"/>
  <c r="BV1009" i="1"/>
  <c r="BH1013" i="1"/>
  <c r="BI1013" i="1" s="1"/>
  <c r="BI1012" i="1"/>
  <c r="BL1013" i="1"/>
  <c r="BW1013" i="1" s="1"/>
  <c r="CD1013" i="1" s="1"/>
  <c r="BJ1014" i="1"/>
  <c r="BK1013" i="1"/>
  <c r="BW1012" i="1"/>
  <c r="BP1009" i="1" l="1"/>
  <c r="BO1009" i="1"/>
  <c r="BN1009" i="1"/>
  <c r="BH1014" i="1"/>
  <c r="BI1014" i="1" s="1"/>
  <c r="BL1014" i="1"/>
  <c r="BW1014" i="1" s="1"/>
  <c r="BK1014" i="1"/>
  <c r="CD1012" i="1"/>
  <c r="BX1012" i="1"/>
  <c r="BX1013" i="1"/>
  <c r="BR1009" i="1" l="1"/>
  <c r="AQ1010" i="1" s="1"/>
  <c r="CE1012" i="1"/>
  <c r="CE1013" i="1"/>
  <c r="BX1014" i="1"/>
  <c r="CD1014" i="1"/>
  <c r="CE1014" i="1" s="1"/>
  <c r="BY1009" i="1" l="1"/>
  <c r="BC1010" i="1"/>
  <c r="BU1010" i="1" s="1"/>
  <c r="BM1010" i="1" l="1"/>
  <c r="BV1010" i="1"/>
  <c r="CB1010" i="1"/>
  <c r="CC1010" i="1" s="1"/>
  <c r="BP1010" i="1" l="1"/>
  <c r="BN1010" i="1"/>
  <c r="BO1010" i="1"/>
  <c r="BR1010" i="1" l="1"/>
  <c r="BY1010" i="1" s="1"/>
  <c r="AQ1011" i="1" l="1"/>
  <c r="BC1011" i="1" s="1"/>
  <c r="BU1011" i="1" s="1"/>
  <c r="BM1011" i="1" l="1"/>
  <c r="CB1011" i="1"/>
  <c r="CC1011" i="1" s="1"/>
  <c r="BV1011" i="1"/>
  <c r="BO1011" i="1" l="1"/>
  <c r="BP1011" i="1"/>
  <c r="BN1011" i="1"/>
  <c r="BR1011" i="1" l="1"/>
  <c r="BY1011" i="1" s="1"/>
  <c r="AQ1012" i="1" l="1"/>
  <c r="BC1012" i="1" s="1"/>
  <c r="BU1012" i="1" s="1"/>
  <c r="BM1012" i="1" l="1"/>
  <c r="BP1012" i="1" s="1"/>
  <c r="CB1012" i="1"/>
  <c r="CC1012" i="1" s="1"/>
  <c r="BV1012" i="1"/>
  <c r="BN1012" i="1" l="1"/>
  <c r="BO1012" i="1"/>
  <c r="BR1012" i="1" l="1"/>
  <c r="AQ1013" i="1" s="1"/>
  <c r="BC1013" i="1" s="1"/>
  <c r="BU1013" i="1" s="1"/>
  <c r="BY1012" i="1" l="1"/>
  <c r="BM1013" i="1"/>
  <c r="BP1013" i="1" s="1"/>
  <c r="CB1013" i="1"/>
  <c r="CC1013" i="1" s="1"/>
  <c r="BV1013" i="1"/>
  <c r="BO1013" i="1" l="1"/>
  <c r="BN1013" i="1"/>
  <c r="BR1013" i="1" l="1"/>
  <c r="AQ1014" i="1" s="1"/>
  <c r="BC1014" i="1" s="1"/>
  <c r="BU1014" i="1" s="1"/>
  <c r="BY1013" i="1"/>
  <c r="BM1014" i="1" l="1"/>
  <c r="BO1014" i="1" s="1"/>
  <c r="CB1014" i="1"/>
  <c r="CC1014" i="1" s="1"/>
  <c r="BV1014" i="1"/>
  <c r="BN1014" i="1" l="1"/>
  <c r="BP1014" i="1"/>
  <c r="BR1014" i="1" l="1"/>
  <c r="AQ1015" i="1" s="1"/>
  <c r="BC1015" i="1" s="1"/>
  <c r="BU1015" i="1" l="1"/>
  <c r="CB1015" i="1" s="1"/>
  <c r="CC1015" i="1" s="1"/>
  <c r="M138" i="1" s="1"/>
  <c r="CH1015" i="1"/>
  <c r="CH1016" i="1" s="1"/>
  <c r="CH1017" i="1" s="1"/>
  <c r="CH1018" i="1" s="1"/>
  <c r="CH1019" i="1" s="1"/>
  <c r="CH1020" i="1" s="1"/>
  <c r="BJ1015" i="1"/>
  <c r="BL1015" i="1" s="1"/>
  <c r="BW1015" i="1" s="1"/>
  <c r="BY1014" i="1"/>
  <c r="BH1015" i="1"/>
  <c r="BJ1016" i="1" l="1"/>
  <c r="BV1015" i="1"/>
  <c r="L138" i="1" s="1"/>
  <c r="Z335" i="3" s="1"/>
  <c r="BK1015" i="1"/>
  <c r="AH335" i="3"/>
  <c r="BI1015" i="1"/>
  <c r="BH1016" i="1"/>
  <c r="BK1016" i="1"/>
  <c r="BL1016" i="1"/>
  <c r="BW1016" i="1" s="1"/>
  <c r="BX1016" i="1" s="1"/>
  <c r="BJ1017" i="1"/>
  <c r="BX1015" i="1"/>
  <c r="N138" i="1" s="1"/>
  <c r="CD1015" i="1"/>
  <c r="BM1015" i="1"/>
  <c r="CE1015" i="1" l="1"/>
  <c r="O138" i="1" s="1"/>
  <c r="AP335" i="3"/>
  <c r="AF137" i="1"/>
  <c r="AI137" i="1" s="1"/>
  <c r="BK1017" i="1"/>
  <c r="BL1017" i="1"/>
  <c r="BW1017" i="1" s="1"/>
  <c r="CD1017" i="1" s="1"/>
  <c r="BJ1018" i="1"/>
  <c r="CD1016" i="1"/>
  <c r="BO1015" i="1"/>
  <c r="BN1015" i="1"/>
  <c r="BP1015" i="1"/>
  <c r="BH1017" i="1"/>
  <c r="BI1016" i="1"/>
  <c r="AX335" i="3" l="1"/>
  <c r="BR1015" i="1"/>
  <c r="BK1018" i="1"/>
  <c r="BJ1019" i="1"/>
  <c r="BL1018" i="1"/>
  <c r="BW1018" i="1" s="1"/>
  <c r="CD1018" i="1" s="1"/>
  <c r="CE1018" i="1" s="1"/>
  <c r="BX1017" i="1"/>
  <c r="CE1017" i="1"/>
  <c r="CE1016" i="1"/>
  <c r="BH1018" i="1"/>
  <c r="BI1017" i="1"/>
  <c r="P138" i="1"/>
  <c r="BY1015" i="1"/>
  <c r="Q138" i="1" s="1"/>
  <c r="AQ1016" i="1"/>
  <c r="BN335" i="3" l="1"/>
  <c r="BF335" i="3"/>
  <c r="BX1018" i="1"/>
  <c r="BK1019" i="1"/>
  <c r="BL1019" i="1"/>
  <c r="BW1019" i="1" s="1"/>
  <c r="BJ1020" i="1"/>
  <c r="BC1016" i="1"/>
  <c r="BU1016" i="1" s="1"/>
  <c r="BI1018" i="1"/>
  <c r="BH1019" i="1"/>
  <c r="BM1016" i="1" l="1"/>
  <c r="BP1016" i="1" s="1"/>
  <c r="BI1019" i="1"/>
  <c r="BH1020" i="1"/>
  <c r="BI1020" i="1" s="1"/>
  <c r="BV1016" i="1"/>
  <c r="CB1016" i="1"/>
  <c r="CC1016" i="1" s="1"/>
  <c r="CD1019" i="1"/>
  <c r="CE1019" i="1" s="1"/>
  <c r="BX1019" i="1"/>
  <c r="BK1020" i="1"/>
  <c r="BL1020" i="1"/>
  <c r="BW1020" i="1" s="1"/>
  <c r="CD1020" i="1" s="1"/>
  <c r="BN1016" i="1" l="1"/>
  <c r="CE1020" i="1"/>
  <c r="BO1016" i="1"/>
  <c r="BX1020" i="1"/>
  <c r="BR1016" i="1" l="1"/>
  <c r="AQ1017" i="1" s="1"/>
  <c r="BC1017" i="1" s="1"/>
  <c r="BU1017" i="1" s="1"/>
  <c r="BY1016" i="1" l="1"/>
  <c r="BM1017" i="1"/>
  <c r="BV1017" i="1"/>
  <c r="CB1017" i="1"/>
  <c r="CC1017" i="1" s="1"/>
  <c r="BO1017" i="1" l="1"/>
  <c r="BP1017" i="1"/>
  <c r="BN1017" i="1"/>
  <c r="BR1017" i="1" l="1"/>
  <c r="AQ1018" i="1" s="1"/>
  <c r="BY1017" i="1" l="1"/>
  <c r="BC1018" i="1"/>
  <c r="BU1018" i="1" s="1"/>
  <c r="BM1018" i="1" l="1"/>
  <c r="CB1018" i="1"/>
  <c r="CC1018" i="1" s="1"/>
  <c r="BV1018" i="1"/>
  <c r="BN1018" i="1" l="1"/>
  <c r="BO1018" i="1"/>
  <c r="BP1018" i="1"/>
  <c r="BR1018" i="1" l="1"/>
  <c r="AQ1019" i="1" s="1"/>
  <c r="BY1018" i="1" l="1"/>
  <c r="BC1019" i="1"/>
  <c r="BU1019" i="1" s="1"/>
  <c r="BM1019" i="1" l="1"/>
  <c r="CB1019" i="1"/>
  <c r="CC1019" i="1" s="1"/>
  <c r="BV1019" i="1"/>
  <c r="BO1019" i="1" l="1"/>
  <c r="BN1019" i="1"/>
  <c r="BP1019" i="1"/>
  <c r="BJ1021" i="1"/>
  <c r="BL1021" i="1" s="1"/>
  <c r="CH1021" i="1"/>
  <c r="CH1022" i="1" s="1"/>
  <c r="CH1023" i="1" s="1"/>
  <c r="BH1021" i="1"/>
  <c r="BI1021" i="1" s="1"/>
  <c r="BR1019" i="1" l="1"/>
  <c r="BY1019" i="1" s="1"/>
  <c r="BJ1022" i="1"/>
  <c r="BL1022" i="1" s="1"/>
  <c r="BW1022" i="1" s="1"/>
  <c r="CD1022" i="1" s="1"/>
  <c r="BK1021" i="1"/>
  <c r="BH1022" i="1"/>
  <c r="BH1023" i="1" s="1"/>
  <c r="BI1023" i="1" s="1"/>
  <c r="BW1021" i="1"/>
  <c r="AQ1020" i="1" l="1"/>
  <c r="BC1020" i="1" s="1"/>
  <c r="BU1020" i="1" s="1"/>
  <c r="BK1022" i="1"/>
  <c r="BJ1023" i="1"/>
  <c r="BL1023" i="1" s="1"/>
  <c r="BW1023" i="1" s="1"/>
  <c r="BI1022" i="1"/>
  <c r="BX1021" i="1"/>
  <c r="CD1021" i="1"/>
  <c r="BX1022" i="1"/>
  <c r="BM1020" i="1" l="1"/>
  <c r="BV1020" i="1"/>
  <c r="CB1020" i="1"/>
  <c r="CC1020" i="1" s="1"/>
  <c r="BK1023" i="1"/>
  <c r="CE1022" i="1"/>
  <c r="CE1021" i="1"/>
  <c r="CD1023" i="1"/>
  <c r="CE1023" i="1" s="1"/>
  <c r="BX1023" i="1"/>
  <c r="BO1020" i="1" l="1"/>
  <c r="BN1020" i="1"/>
  <c r="BP1020" i="1"/>
  <c r="BR1020" i="1" l="1"/>
  <c r="BY1020" i="1" s="1"/>
  <c r="AQ1021" i="1" l="1"/>
  <c r="BC1021" i="1" s="1"/>
  <c r="BU1021" i="1" s="1"/>
  <c r="BM1021" i="1" l="1"/>
  <c r="BV1021" i="1"/>
  <c r="CB1021" i="1"/>
  <c r="CC1021" i="1" s="1"/>
  <c r="BP1021" i="1" l="1"/>
  <c r="BN1021" i="1"/>
  <c r="BO1021" i="1"/>
  <c r="BR1021" i="1" l="1"/>
  <c r="AQ1022" i="1" l="1"/>
  <c r="BY1021" i="1"/>
  <c r="CH1024" i="1"/>
  <c r="CH1025" i="1" s="1"/>
  <c r="CH1026" i="1" s="1"/>
  <c r="BJ1024" i="1"/>
  <c r="BC1022" i="1" l="1"/>
  <c r="BU1022" i="1" s="1"/>
  <c r="BK1024" i="1"/>
  <c r="BJ1025" i="1"/>
  <c r="BH1024" i="1"/>
  <c r="BM1022" i="1" l="1"/>
  <c r="BO1022" i="1" s="1"/>
  <c r="BV1022" i="1"/>
  <c r="CB1022" i="1"/>
  <c r="CC1022" i="1" s="1"/>
  <c r="BI1024" i="1"/>
  <c r="BH1025" i="1"/>
  <c r="BL1025" i="1" s="1"/>
  <c r="BW1025" i="1" s="1"/>
  <c r="CD1025" i="1" s="1"/>
  <c r="BJ1026" i="1"/>
  <c r="BK1025" i="1"/>
  <c r="BL1024" i="1"/>
  <c r="BP1022" i="1" l="1"/>
  <c r="BN1022" i="1"/>
  <c r="BK1026" i="1"/>
  <c r="BW1024" i="1"/>
  <c r="BI1025" i="1"/>
  <c r="BH1026" i="1"/>
  <c r="BR1022" i="1" l="1"/>
  <c r="BY1022" i="1" s="1"/>
  <c r="BX1025" i="1"/>
  <c r="CD1024" i="1"/>
  <c r="BX1024" i="1"/>
  <c r="BI1026" i="1"/>
  <c r="BL1026" i="1"/>
  <c r="BW1026" i="1" s="1"/>
  <c r="BX1026" i="1" s="1"/>
  <c r="AQ1023" i="1" l="1"/>
  <c r="BC1023" i="1" s="1"/>
  <c r="BU1023" i="1" s="1"/>
  <c r="CE1025" i="1"/>
  <c r="CE1024" i="1"/>
  <c r="CD1026" i="1"/>
  <c r="BV1023" i="1" l="1"/>
  <c r="CB1023" i="1"/>
  <c r="CC1023" i="1" s="1"/>
  <c r="BM1023" i="1"/>
  <c r="CE1026" i="1"/>
  <c r="BO1023" i="1" l="1"/>
  <c r="BP1023" i="1"/>
  <c r="BN1023" i="1"/>
  <c r="BR1023" i="1" l="1"/>
  <c r="BY1023" i="1" s="1"/>
  <c r="AQ1024" i="1" l="1"/>
  <c r="BC1024" i="1" s="1"/>
  <c r="BU1024" i="1" s="1"/>
  <c r="CB1024" i="1" l="1"/>
  <c r="BV1024" i="1"/>
  <c r="BM1024" i="1"/>
  <c r="CC1024" i="1" l="1"/>
  <c r="BN1024" i="1"/>
  <c r="BO1024" i="1"/>
  <c r="BP1024" i="1"/>
  <c r="BR1024" i="1" l="1"/>
  <c r="AQ1025" i="1" s="1"/>
  <c r="BY1024" i="1" l="1"/>
  <c r="BC1025" i="1"/>
  <c r="BU1025" i="1" s="1"/>
  <c r="BM1025" i="1" l="1"/>
  <c r="BN1025" i="1" s="1"/>
  <c r="CB1025" i="1"/>
  <c r="BV1025" i="1"/>
  <c r="BO1025" i="1" l="1"/>
  <c r="BP1025" i="1"/>
  <c r="CC1025" i="1"/>
  <c r="BR1025" i="1" l="1"/>
  <c r="AQ1026" i="1" s="1"/>
  <c r="BC1026" i="1" s="1"/>
  <c r="BU1026" i="1" s="1"/>
  <c r="BY1025" i="1" l="1"/>
  <c r="BM1026" i="1"/>
  <c r="BP1026" i="1" s="1"/>
  <c r="CB1026" i="1"/>
  <c r="CC1026" i="1" s="1"/>
  <c r="BV1026" i="1"/>
  <c r="BO1026" i="1" l="1"/>
  <c r="BN1026" i="1"/>
  <c r="BR1026" i="1" l="1"/>
  <c r="BY1026" i="1" s="1"/>
  <c r="AQ1027" i="1" l="1"/>
  <c r="BC1027" i="1" s="1"/>
  <c r="BU1027" i="1" s="1"/>
  <c r="BH1027" i="1"/>
  <c r="BI1027" i="1" s="1"/>
  <c r="BJ1027" i="1" l="1"/>
  <c r="BJ1028" i="1" s="1"/>
  <c r="BL1028" i="1" s="1"/>
  <c r="BW1028" i="1" s="1"/>
  <c r="CD1028" i="1" s="1"/>
  <c r="CH1027" i="1"/>
  <c r="CH1028" i="1" s="1"/>
  <c r="CH1029" i="1" s="1"/>
  <c r="CH1030" i="1" s="1"/>
  <c r="CH1031" i="1" s="1"/>
  <c r="CH1032" i="1" s="1"/>
  <c r="CB1027" i="1"/>
  <c r="CC1027" i="1" s="1"/>
  <c r="M139" i="1" s="1"/>
  <c r="AH336" i="3" s="1"/>
  <c r="BV1027" i="1"/>
  <c r="L139" i="1" s="1"/>
  <c r="Z336" i="3" s="1"/>
  <c r="BH1028" i="1"/>
  <c r="BI1028" i="1" s="1"/>
  <c r="BJ1029" i="1" l="1"/>
  <c r="BL1029" i="1" s="1"/>
  <c r="BW1029" i="1" s="1"/>
  <c r="BK1028" i="1"/>
  <c r="BK1027" i="1"/>
  <c r="BL1027" i="1"/>
  <c r="BM1027" i="1" s="1"/>
  <c r="BN1027" i="1" s="1"/>
  <c r="BH1029" i="1"/>
  <c r="BI1029" i="1" s="1"/>
  <c r="BO1027" i="1" l="1"/>
  <c r="BW1027" i="1"/>
  <c r="BX1029" i="1"/>
  <c r="BJ1030" i="1"/>
  <c r="BJ1031" i="1" s="1"/>
  <c r="BK1029" i="1"/>
  <c r="BP1027" i="1"/>
  <c r="BH1030" i="1"/>
  <c r="BI1030" i="1" s="1"/>
  <c r="BR1027" i="1"/>
  <c r="AQ1028" i="1" s="1"/>
  <c r="CD1029" i="1"/>
  <c r="BH1031" i="1" l="1"/>
  <c r="BI1031" i="1" s="1"/>
  <c r="BL1030" i="1"/>
  <c r="BW1030" i="1" s="1"/>
  <c r="BK1030" i="1"/>
  <c r="BX1027" i="1"/>
  <c r="N139" i="1" s="1"/>
  <c r="CD1027" i="1"/>
  <c r="BX1028" i="1"/>
  <c r="P139" i="1"/>
  <c r="BF336" i="3" s="1"/>
  <c r="CE1029" i="1"/>
  <c r="BY1027" i="1"/>
  <c r="Q139" i="1" s="1"/>
  <c r="BN336" i="3" s="1"/>
  <c r="BH1032" i="1"/>
  <c r="BI1032" i="1" s="1"/>
  <c r="BC1028" i="1"/>
  <c r="BU1028" i="1" s="1"/>
  <c r="BK1031" i="1"/>
  <c r="BL1031" i="1"/>
  <c r="BW1031" i="1" s="1"/>
  <c r="CD1031" i="1" s="1"/>
  <c r="BJ1032" i="1"/>
  <c r="CD1030" i="1"/>
  <c r="BX1030" i="1"/>
  <c r="CE1027" i="1" l="1"/>
  <c r="O139" i="1" s="1"/>
  <c r="AX336" i="3" s="1"/>
  <c r="CE1028" i="1"/>
  <c r="AP336" i="3"/>
  <c r="AF138" i="1"/>
  <c r="AI138" i="1" s="1"/>
  <c r="CE1030" i="1"/>
  <c r="BX1031" i="1"/>
  <c r="BK1032" i="1"/>
  <c r="BL1032" i="1"/>
  <c r="BW1032" i="1" s="1"/>
  <c r="CE1031" i="1"/>
  <c r="BM1028" i="1"/>
  <c r="BV1028" i="1"/>
  <c r="CB1028" i="1"/>
  <c r="CC1028" i="1" s="1"/>
  <c r="CD1032" i="1" l="1"/>
  <c r="CE1032" i="1" s="1"/>
  <c r="BX1032" i="1"/>
  <c r="BN1028" i="1"/>
  <c r="BP1028" i="1"/>
  <c r="BO1028" i="1"/>
  <c r="BR1028" i="1" l="1"/>
  <c r="AQ1029" i="1" s="1"/>
  <c r="BY1028" i="1" l="1"/>
  <c r="BC1029" i="1"/>
  <c r="BU1029" i="1" s="1"/>
  <c r="CB1029" i="1" l="1"/>
  <c r="CC1029" i="1" s="1"/>
  <c r="BV1029" i="1"/>
  <c r="BM1029" i="1"/>
  <c r="BP1029" i="1" l="1"/>
  <c r="BN1029" i="1"/>
  <c r="BO1029" i="1"/>
  <c r="BR1029" i="1" l="1"/>
  <c r="BY1029" i="1" s="1"/>
  <c r="AQ1030" i="1" l="1"/>
  <c r="BC1030" i="1" s="1"/>
  <c r="BU1030" i="1" s="1"/>
  <c r="BM1030" i="1" l="1"/>
  <c r="CB1030" i="1"/>
  <c r="CC1030" i="1" s="1"/>
  <c r="BV1030" i="1"/>
  <c r="BO1030" i="1" l="1"/>
  <c r="BP1030" i="1"/>
  <c r="BN1030" i="1"/>
  <c r="BR1030" i="1" l="1"/>
  <c r="BY1030" i="1" s="1"/>
  <c r="BH1033" i="1"/>
  <c r="BI1033" i="1" s="1"/>
  <c r="CH1033" i="1"/>
  <c r="CH1034" i="1" s="1"/>
  <c r="CH1035" i="1" s="1"/>
  <c r="BJ1033" i="1"/>
  <c r="AQ1031" i="1" l="1"/>
  <c r="BC1031" i="1" s="1"/>
  <c r="BU1031" i="1" s="1"/>
  <c r="BH1034" i="1"/>
  <c r="BI1034" i="1" s="1"/>
  <c r="BK1033" i="1"/>
  <c r="BJ1034" i="1"/>
  <c r="BL1033" i="1"/>
  <c r="BM1031" i="1" l="1"/>
  <c r="BP1031" i="1" s="1"/>
  <c r="CB1031" i="1"/>
  <c r="CC1031" i="1" s="1"/>
  <c r="BV1031" i="1"/>
  <c r="BH1035" i="1"/>
  <c r="BI1035" i="1" s="1"/>
  <c r="BW1033" i="1"/>
  <c r="BL1034" i="1"/>
  <c r="BW1034" i="1" s="1"/>
  <c r="BK1034" i="1"/>
  <c r="BJ1035" i="1"/>
  <c r="BN1031" i="1" l="1"/>
  <c r="BO1031" i="1"/>
  <c r="BK1035" i="1"/>
  <c r="BL1035" i="1"/>
  <c r="BW1035" i="1" s="1"/>
  <c r="CD1035" i="1" s="1"/>
  <c r="BX1034" i="1"/>
  <c r="CD1034" i="1"/>
  <c r="CD1033" i="1"/>
  <c r="BX1033" i="1"/>
  <c r="BR1031" i="1" l="1"/>
  <c r="AQ1032" i="1" s="1"/>
  <c r="BC1032" i="1" s="1"/>
  <c r="BU1032" i="1" s="1"/>
  <c r="BY1031" i="1"/>
  <c r="CE1033" i="1"/>
  <c r="CE1035" i="1"/>
  <c r="CE1034" i="1"/>
  <c r="BX1035" i="1"/>
  <c r="BM1032" i="1" l="1"/>
  <c r="BN1032" i="1" s="1"/>
  <c r="BV1032" i="1"/>
  <c r="CB1032" i="1"/>
  <c r="CC1032" i="1" s="1"/>
  <c r="BP1032" i="1" l="1"/>
  <c r="BO1032" i="1"/>
  <c r="BR1032" i="1" l="1"/>
  <c r="BY1032" i="1" s="1"/>
  <c r="AQ1033" i="1" l="1"/>
  <c r="BC1033" i="1" s="1"/>
  <c r="BU1033" i="1" s="1"/>
  <c r="BM1033" i="1" l="1"/>
  <c r="BN1033" i="1" s="1"/>
  <c r="CB1033" i="1"/>
  <c r="CC1033" i="1" s="1"/>
  <c r="BV1033" i="1"/>
  <c r="BH1036" i="1"/>
  <c r="BJ1036" i="1"/>
  <c r="BO1033" i="1" l="1"/>
  <c r="BP1033" i="1"/>
  <c r="CH1036" i="1"/>
  <c r="CH1037" i="1" s="1"/>
  <c r="CH1038" i="1" s="1"/>
  <c r="BJ1037" i="1"/>
  <c r="BK1036" i="1"/>
  <c r="BL1036" i="1"/>
  <c r="BI1036" i="1"/>
  <c r="BH1037" i="1"/>
  <c r="BR1033" i="1" l="1"/>
  <c r="BY1033" i="1" s="1"/>
  <c r="BH1038" i="1"/>
  <c r="BI1037" i="1"/>
  <c r="BW1036" i="1"/>
  <c r="BK1037" i="1"/>
  <c r="BJ1038" i="1"/>
  <c r="BL1037" i="1"/>
  <c r="BW1037" i="1" s="1"/>
  <c r="CD1037" i="1" s="1"/>
  <c r="AQ1034" i="1" l="1"/>
  <c r="BC1034" i="1" s="1"/>
  <c r="BU1034" i="1" s="1"/>
  <c r="BV1034" i="1" s="1"/>
  <c r="BL1038" i="1"/>
  <c r="BW1038" i="1" s="1"/>
  <c r="CD1038" i="1" s="1"/>
  <c r="BK1038" i="1"/>
  <c r="CD1036" i="1"/>
  <c r="BX1036" i="1"/>
  <c r="BX1037" i="1"/>
  <c r="BI1038" i="1"/>
  <c r="CB1034" i="1" l="1"/>
  <c r="CC1034" i="1" s="1"/>
  <c r="BM1034" i="1"/>
  <c r="BP1034" i="1" s="1"/>
  <c r="BX1038" i="1"/>
  <c r="CE1036" i="1"/>
  <c r="CE1037" i="1"/>
  <c r="CE1038" i="1"/>
  <c r="BN1034" i="1" l="1"/>
  <c r="BO1034" i="1"/>
  <c r="BR1034" i="1"/>
  <c r="BY1034" i="1" s="1"/>
  <c r="AQ1035" i="1" l="1"/>
  <c r="BC1035" i="1" s="1"/>
  <c r="BU1035" i="1" s="1"/>
  <c r="CB1035" i="1" s="1"/>
  <c r="CC1035" i="1" s="1"/>
  <c r="BV1035" i="1" l="1"/>
  <c r="BM1035" i="1"/>
  <c r="BN1035" i="1" s="1"/>
  <c r="BO1035" i="1" l="1"/>
  <c r="BP1035" i="1"/>
  <c r="BR1035" i="1" l="1"/>
  <c r="AQ1036" i="1" s="1"/>
  <c r="BY1035" i="1" l="1"/>
  <c r="BC1036" i="1"/>
  <c r="BU1036" i="1" s="1"/>
  <c r="CB1036" i="1" l="1"/>
  <c r="CC1036" i="1" s="1"/>
  <c r="BV1036" i="1"/>
  <c r="BM1036" i="1"/>
  <c r="BO1036" i="1" l="1"/>
  <c r="BP1036" i="1"/>
  <c r="BN1036" i="1"/>
  <c r="BR1036" i="1" l="1"/>
  <c r="BY1036" i="1" l="1"/>
  <c r="AQ1037" i="1"/>
  <c r="BC1037" i="1" l="1"/>
  <c r="BU1037" i="1" s="1"/>
  <c r="BM1037" i="1" l="1"/>
  <c r="BP1037" i="1" s="1"/>
  <c r="CB1037" i="1"/>
  <c r="CC1037" i="1" s="1"/>
  <c r="BV1037" i="1"/>
  <c r="BO1037" i="1" l="1"/>
  <c r="BN1037" i="1"/>
  <c r="BR1037" i="1" l="1"/>
  <c r="BY1037" i="1" s="1"/>
  <c r="AQ1038" i="1" l="1"/>
  <c r="BC1038" i="1" s="1"/>
  <c r="BU1038" i="1" s="1"/>
  <c r="CB1038" i="1" s="1"/>
  <c r="CC1038" i="1" s="1"/>
  <c r="BV1038" i="1" l="1"/>
  <c r="BM1038" i="1"/>
  <c r="BN1038" i="1" s="1"/>
  <c r="BO1038" i="1" l="1"/>
  <c r="BP1038" i="1"/>
  <c r="BR1038" i="1" s="1"/>
  <c r="BY1038" i="1" l="1"/>
  <c r="AQ1039" i="1"/>
  <c r="BC1039" i="1" s="1"/>
  <c r="BU1039" i="1" s="1"/>
  <c r="BJ1039" i="1"/>
  <c r="BJ1040" i="1" s="1"/>
  <c r="CH1039" i="1"/>
  <c r="CH1040" i="1" s="1"/>
  <c r="CH1041" i="1" s="1"/>
  <c r="CH1042" i="1" s="1"/>
  <c r="CH1043" i="1" s="1"/>
  <c r="CH1044" i="1" s="1"/>
  <c r="BH1039" i="1"/>
  <c r="BI1039" i="1" s="1"/>
  <c r="BV1039" i="1" l="1"/>
  <c r="L140" i="1" s="1"/>
  <c r="Z337" i="3" s="1"/>
  <c r="CB1039" i="1"/>
  <c r="CC1039" i="1" s="1"/>
  <c r="M140" i="1" s="1"/>
  <c r="AH337" i="3" s="1"/>
  <c r="BK1039" i="1"/>
  <c r="BL1039" i="1"/>
  <c r="BW1039" i="1" s="1"/>
  <c r="BH1040" i="1"/>
  <c r="BI1040" i="1" s="1"/>
  <c r="BK1040" i="1"/>
  <c r="BL1040" i="1"/>
  <c r="BW1040" i="1" s="1"/>
  <c r="CD1040" i="1" s="1"/>
  <c r="BJ1041" i="1"/>
  <c r="BM1039" i="1" l="1"/>
  <c r="BP1039" i="1" s="1"/>
  <c r="BH1041" i="1"/>
  <c r="BI1041" i="1" s="1"/>
  <c r="BJ1042" i="1"/>
  <c r="BL1041" i="1"/>
  <c r="BW1041" i="1" s="1"/>
  <c r="BX1041" i="1" s="1"/>
  <c r="BK1041" i="1"/>
  <c r="BX1039" i="1"/>
  <c r="N140" i="1" s="1"/>
  <c r="CD1039" i="1"/>
  <c r="BX1040" i="1"/>
  <c r="BH1042" i="1" l="1"/>
  <c r="BI1042" i="1" s="1"/>
  <c r="BO1039" i="1"/>
  <c r="BN1039" i="1"/>
  <c r="CE1039" i="1"/>
  <c r="O140" i="1" s="1"/>
  <c r="CE1040" i="1"/>
  <c r="CD1041" i="1"/>
  <c r="CE1041" i="1" s="1"/>
  <c r="BK1042" i="1"/>
  <c r="BL1042" i="1"/>
  <c r="BW1042" i="1" s="1"/>
  <c r="BX1042" i="1" s="1"/>
  <c r="BJ1043" i="1"/>
  <c r="AF139" i="1"/>
  <c r="AI139" i="1" s="1"/>
  <c r="AP337" i="3"/>
  <c r="BH1043" i="1" l="1"/>
  <c r="BR1039" i="1"/>
  <c r="AQ1040" i="1" s="1"/>
  <c r="BC1040" i="1" s="1"/>
  <c r="BU1040" i="1" s="1"/>
  <c r="AX337" i="3"/>
  <c r="BH1044" i="1"/>
  <c r="BI1044" i="1" s="1"/>
  <c r="BI1043" i="1"/>
  <c r="BJ1044" i="1"/>
  <c r="BK1043" i="1"/>
  <c r="BL1043" i="1"/>
  <c r="BW1043" i="1" s="1"/>
  <c r="CD1042" i="1"/>
  <c r="CE1042" i="1" s="1"/>
  <c r="BY1039" i="1" l="1"/>
  <c r="Q140" i="1" s="1"/>
  <c r="BN337" i="3" s="1"/>
  <c r="P140" i="1"/>
  <c r="BF337" i="3" s="1"/>
  <c r="BM1040" i="1"/>
  <c r="BO1040" i="1" s="1"/>
  <c r="CD1043" i="1"/>
  <c r="CE1043" i="1" s="1"/>
  <c r="BX1043" i="1"/>
  <c r="BL1044" i="1"/>
  <c r="BW1044" i="1" s="1"/>
  <c r="CD1044" i="1" s="1"/>
  <c r="CE1044" i="1" s="1"/>
  <c r="BK1044" i="1"/>
  <c r="CB1040" i="1"/>
  <c r="CC1040" i="1" s="1"/>
  <c r="BV1040" i="1"/>
  <c r="BP1040" i="1" l="1"/>
  <c r="BN1040" i="1"/>
  <c r="BX1044" i="1"/>
  <c r="BR1040" i="1" l="1"/>
  <c r="BY1040" i="1" l="1"/>
  <c r="AQ1041" i="1"/>
  <c r="BC1041" i="1" l="1"/>
  <c r="BU1041" i="1" s="1"/>
  <c r="BM1041" i="1" l="1"/>
  <c r="BO1041" i="1" s="1"/>
  <c r="CB1041" i="1"/>
  <c r="CC1041" i="1" s="1"/>
  <c r="BV1041" i="1"/>
  <c r="BN1041" i="1" l="1"/>
  <c r="BP1041" i="1"/>
  <c r="BR1041" i="1" l="1"/>
  <c r="AQ1042" i="1" l="1"/>
  <c r="BY1041" i="1"/>
  <c r="BC1042" i="1" l="1"/>
  <c r="BU1042" i="1" s="1"/>
  <c r="CB1042" i="1" l="1"/>
  <c r="CC1042" i="1" s="1"/>
  <c r="BV1042" i="1"/>
  <c r="BM1042" i="1"/>
  <c r="BN1042" i="1" l="1"/>
  <c r="BP1042" i="1"/>
  <c r="BO1042" i="1"/>
  <c r="BR1042" i="1" l="1"/>
  <c r="AQ1043" i="1" s="1"/>
  <c r="BY1042" i="1" l="1"/>
  <c r="BC1043" i="1"/>
  <c r="BU1043" i="1" s="1"/>
  <c r="BV1043" i="1" l="1"/>
  <c r="CB1043" i="1"/>
  <c r="CC1043" i="1" s="1"/>
  <c r="BM1043" i="1"/>
  <c r="BP1043" i="1" l="1"/>
  <c r="BN1043" i="1"/>
  <c r="BO1043" i="1"/>
  <c r="CH1045" i="1"/>
  <c r="CH1046" i="1" s="1"/>
  <c r="CH1047" i="1" s="1"/>
  <c r="BJ1045" i="1"/>
  <c r="BH1045" i="1"/>
  <c r="BR1043" i="1" l="1"/>
  <c r="BY1043" i="1" s="1"/>
  <c r="BH1046" i="1"/>
  <c r="BI1045" i="1"/>
  <c r="BK1045" i="1"/>
  <c r="BL1045" i="1"/>
  <c r="BJ1046" i="1"/>
  <c r="AQ1044" i="1" l="1"/>
  <c r="BC1044" i="1" s="1"/>
  <c r="BU1044" i="1" s="1"/>
  <c r="BL1046" i="1"/>
  <c r="BW1046" i="1" s="1"/>
  <c r="CD1046" i="1" s="1"/>
  <c r="BK1046" i="1"/>
  <c r="BJ1047" i="1"/>
  <c r="BW1045" i="1"/>
  <c r="BH1047" i="1"/>
  <c r="BI1047" i="1" s="1"/>
  <c r="BI1046" i="1"/>
  <c r="BM1044" i="1" l="1"/>
  <c r="BV1044" i="1"/>
  <c r="CB1044" i="1"/>
  <c r="CC1044" i="1" s="1"/>
  <c r="CD1045" i="1"/>
  <c r="BX1045" i="1"/>
  <c r="BX1046" i="1"/>
  <c r="BK1047" i="1"/>
  <c r="BL1047" i="1"/>
  <c r="BW1047" i="1" s="1"/>
  <c r="CD1047" i="1" s="1"/>
  <c r="CH1048" i="1"/>
  <c r="CH1049" i="1" s="1"/>
  <c r="CH1050" i="1" s="1"/>
  <c r="BH1048" i="1"/>
  <c r="BN1044" i="1" l="1"/>
  <c r="BP1044" i="1"/>
  <c r="BO1044" i="1"/>
  <c r="BX1047" i="1"/>
  <c r="CE1045" i="1"/>
  <c r="CE1046" i="1"/>
  <c r="CE1047" i="1"/>
  <c r="BI1048" i="1"/>
  <c r="BH1049" i="1"/>
  <c r="BR1044" i="1" l="1"/>
  <c r="BY1044" i="1" s="1"/>
  <c r="BH1050" i="1"/>
  <c r="BI1049" i="1"/>
  <c r="AQ1045" i="1" l="1"/>
  <c r="BC1045" i="1" s="1"/>
  <c r="BU1045" i="1" s="1"/>
  <c r="BI1050" i="1"/>
  <c r="BM1045" i="1" l="1"/>
  <c r="BN1045" i="1" s="1"/>
  <c r="CB1045" i="1"/>
  <c r="CC1045" i="1" s="1"/>
  <c r="BV1045" i="1"/>
  <c r="BO1045" i="1" l="1"/>
  <c r="BP1045" i="1"/>
  <c r="BJ1048" i="1"/>
  <c r="BR1045" i="1" l="1"/>
  <c r="AQ1046" i="1" s="1"/>
  <c r="BC1046" i="1" s="1"/>
  <c r="BU1046" i="1" s="1"/>
  <c r="BL1048" i="1"/>
  <c r="BJ1049" i="1"/>
  <c r="BK1048" i="1"/>
  <c r="BY1045" i="1" l="1"/>
  <c r="BM1046" i="1"/>
  <c r="BN1046" i="1" s="1"/>
  <c r="CB1046" i="1"/>
  <c r="CC1046" i="1" s="1"/>
  <c r="BV1046" i="1"/>
  <c r="BW1048" i="1"/>
  <c r="BL1049" i="1"/>
  <c r="BW1049" i="1" s="1"/>
  <c r="CD1049" i="1" s="1"/>
  <c r="BK1049" i="1"/>
  <c r="BJ1050" i="1"/>
  <c r="BO1046" i="1" l="1"/>
  <c r="BP1046" i="1"/>
  <c r="BK1050" i="1"/>
  <c r="BL1050" i="1"/>
  <c r="BW1050" i="1" s="1"/>
  <c r="BX1048" i="1"/>
  <c r="CD1048" i="1"/>
  <c r="BX1049" i="1"/>
  <c r="BR1046" i="1" l="1"/>
  <c r="BY1046" i="1" s="1"/>
  <c r="BX1050" i="1"/>
  <c r="CD1050" i="1"/>
  <c r="CE1050" i="1" s="1"/>
  <c r="CE1048" i="1"/>
  <c r="CE1049" i="1"/>
  <c r="AQ1047" i="1" l="1"/>
  <c r="BC1047" i="1" s="1"/>
  <c r="BU1047" i="1" s="1"/>
  <c r="CB1047" i="1" s="1"/>
  <c r="CC1047" i="1" s="1"/>
  <c r="BV1047" i="1" l="1"/>
  <c r="BM1047" i="1"/>
  <c r="BN1047" i="1" s="1"/>
  <c r="BO1047" i="1" l="1"/>
  <c r="BP1047" i="1"/>
  <c r="BR1047" i="1" l="1"/>
  <c r="BY1047" i="1" s="1"/>
  <c r="AQ1048" i="1" l="1"/>
  <c r="BC1048" i="1" s="1"/>
  <c r="BU1048" i="1" s="1"/>
  <c r="CB1048" i="1" s="1"/>
  <c r="CC1048" i="1" s="1"/>
  <c r="BM1048" i="1" l="1"/>
  <c r="BO1048" i="1" s="1"/>
  <c r="BV1048" i="1"/>
  <c r="BP1048" i="1"/>
  <c r="BN1048" i="1"/>
  <c r="BR1048" i="1" s="1"/>
  <c r="AQ1049" i="1" s="1"/>
  <c r="BC1049" i="1" s="1"/>
  <c r="BU1049" i="1" s="1"/>
  <c r="CB1049" i="1" s="1"/>
  <c r="CC1049" i="1" s="1"/>
  <c r="BV1049" i="1" l="1"/>
  <c r="BY1048" i="1"/>
  <c r="BM1049" i="1"/>
  <c r="BO1049" i="1" s="1"/>
  <c r="BN1049" i="1" l="1"/>
  <c r="BP1049" i="1"/>
  <c r="BR1049" i="1" l="1"/>
  <c r="BY1049" i="1" l="1"/>
  <c r="AQ1050" i="1"/>
  <c r="BC1050" i="1" l="1"/>
  <c r="BU1050" i="1" s="1"/>
  <c r="BM1050" i="1" l="1"/>
  <c r="BN1050" i="1" s="1"/>
  <c r="CB1050" i="1"/>
  <c r="CC1050" i="1" s="1"/>
  <c r="BV1050" i="1"/>
  <c r="BP1050" i="1" l="1"/>
  <c r="BO1050" i="1"/>
  <c r="BR1050" i="1" s="1"/>
  <c r="AQ1051" i="1" s="1"/>
  <c r="BC1051" i="1" s="1"/>
  <c r="BY1050" i="1" l="1"/>
  <c r="BU1051" i="1"/>
  <c r="BJ1051" i="1"/>
  <c r="BK1051" i="1" s="1"/>
  <c r="CH1051" i="1"/>
  <c r="CH1052" i="1" s="1"/>
  <c r="CH1053" i="1" s="1"/>
  <c r="CH1054" i="1" s="1"/>
  <c r="CH1055" i="1" s="1"/>
  <c r="CH1056" i="1" s="1"/>
  <c r="BH1051" i="1"/>
  <c r="BI1051" i="1" s="1"/>
  <c r="BJ1052" i="1"/>
  <c r="BK1052" i="1" s="1"/>
  <c r="BL1051" i="1" l="1"/>
  <c r="BW1051" i="1" s="1"/>
  <c r="BH1052" i="1"/>
  <c r="BI1052" i="1" s="1"/>
  <c r="BM1051" i="1"/>
  <c r="BN1051" i="1" s="1"/>
  <c r="BL1052" i="1"/>
  <c r="BW1052" i="1" s="1"/>
  <c r="BX1052" i="1" s="1"/>
  <c r="BJ1053" i="1"/>
  <c r="BL1053" i="1" s="1"/>
  <c r="BW1053" i="1" s="1"/>
  <c r="CD1053" i="1" s="1"/>
  <c r="CB1051" i="1"/>
  <c r="CC1051" i="1" s="1"/>
  <c r="M141" i="1" s="1"/>
  <c r="AH338" i="3" s="1"/>
  <c r="BV1051" i="1"/>
  <c r="L141" i="1" s="1"/>
  <c r="Z338" i="3" s="1"/>
  <c r="BJ1054" i="1"/>
  <c r="BK1054" i="1" s="1"/>
  <c r="BX1051" i="1"/>
  <c r="N141" i="1" s="1"/>
  <c r="CD1051" i="1"/>
  <c r="CE1051" i="1" s="1"/>
  <c r="O141" i="1" s="1"/>
  <c r="BO1051" i="1" l="1"/>
  <c r="BP1051" i="1"/>
  <c r="BH1053" i="1"/>
  <c r="BK1053" i="1"/>
  <c r="BX1053" i="1"/>
  <c r="CD1052" i="1"/>
  <c r="CE1053" i="1" s="1"/>
  <c r="BJ1055" i="1"/>
  <c r="BK1055" i="1" s="1"/>
  <c r="BL1054" i="1"/>
  <c r="BW1054" i="1" s="1"/>
  <c r="CD1054" i="1" s="1"/>
  <c r="CE1054" i="1" s="1"/>
  <c r="AX338" i="3"/>
  <c r="AP338" i="3"/>
  <c r="AF140" i="1"/>
  <c r="AI140" i="1" s="1"/>
  <c r="BR1051" i="1" l="1"/>
  <c r="BY1051" i="1" s="1"/>
  <c r="Q141" i="1" s="1"/>
  <c r="BN338" i="3" s="1"/>
  <c r="BJ1056" i="1"/>
  <c r="BK1056" i="1" s="1"/>
  <c r="CE1052" i="1"/>
  <c r="BL1055" i="1"/>
  <c r="BW1055" i="1" s="1"/>
  <c r="CD1055" i="1" s="1"/>
  <c r="CE1055" i="1" s="1"/>
  <c r="P141" i="1"/>
  <c r="BF338" i="3" s="1"/>
  <c r="BH1054" i="1"/>
  <c r="BI1053" i="1"/>
  <c r="BX1054" i="1"/>
  <c r="AQ1052" i="1"/>
  <c r="BC1052" i="1" s="1"/>
  <c r="BU1052" i="1" s="1"/>
  <c r="CB1052" i="1" s="1"/>
  <c r="CC1052" i="1" s="1"/>
  <c r="BL1056" i="1" l="1"/>
  <c r="BW1056" i="1" s="1"/>
  <c r="CD1056" i="1" s="1"/>
  <c r="CE1056" i="1" s="1"/>
  <c r="BX1055" i="1"/>
  <c r="BI1054" i="1"/>
  <c r="BH1055" i="1"/>
  <c r="BV1052" i="1"/>
  <c r="BM1052" i="1"/>
  <c r="BP1052" i="1" s="1"/>
  <c r="BX1056" i="1" l="1"/>
  <c r="BI1055" i="1"/>
  <c r="BH1056" i="1"/>
  <c r="BI1056" i="1" s="1"/>
  <c r="BN1052" i="1"/>
  <c r="BO1052" i="1"/>
  <c r="BR1052" i="1" l="1"/>
  <c r="AQ1053" i="1" l="1"/>
  <c r="BY1052" i="1"/>
  <c r="BC1053" i="1" l="1"/>
  <c r="BU1053" i="1" s="1"/>
  <c r="BM1053" i="1" l="1"/>
  <c r="BP1053" i="1" s="1"/>
  <c r="CB1053" i="1"/>
  <c r="CC1053" i="1" s="1"/>
  <c r="BV1053" i="1"/>
  <c r="BN1053" i="1" l="1"/>
  <c r="BO1053" i="1"/>
  <c r="BR1053" i="1" l="1"/>
  <c r="AQ1054" i="1" s="1"/>
  <c r="BC1054" i="1" s="1"/>
  <c r="BU1054" i="1" s="1"/>
  <c r="BY1053" i="1" l="1"/>
  <c r="BM1054" i="1"/>
  <c r="BN1054" i="1" s="1"/>
  <c r="CB1054" i="1"/>
  <c r="CC1054" i="1" s="1"/>
  <c r="BV1054" i="1"/>
  <c r="BO1054" i="1" l="1"/>
  <c r="BP1054" i="1"/>
  <c r="BR1054" i="1" l="1"/>
  <c r="BY1054" i="1" s="1"/>
  <c r="AQ1055" i="1" l="1"/>
  <c r="BC1055" i="1" s="1"/>
  <c r="BU1055" i="1" s="1"/>
  <c r="CB1055" i="1" s="1"/>
  <c r="CC1055" i="1" s="1"/>
  <c r="BV1055" i="1" l="1"/>
  <c r="BM1055" i="1"/>
  <c r="BP1055" i="1" s="1"/>
  <c r="BO1055" i="1" l="1"/>
  <c r="BN1055" i="1"/>
  <c r="BR1055" i="1" l="1"/>
  <c r="AQ1056" i="1" s="1"/>
  <c r="BC1056" i="1" s="1"/>
  <c r="BU1056" i="1" s="1"/>
  <c r="BV1056" i="1" s="1"/>
  <c r="CH1057" i="1"/>
  <c r="CH1058" i="1" s="1"/>
  <c r="CH1059" i="1" s="1"/>
  <c r="BJ1057" i="1"/>
  <c r="BH1057" i="1"/>
  <c r="CB1056" i="1" l="1"/>
  <c r="CC1056" i="1" s="1"/>
  <c r="BM1056" i="1"/>
  <c r="BP1056" i="1" s="1"/>
  <c r="BY1055" i="1"/>
  <c r="BH1058" i="1"/>
  <c r="BI1057" i="1"/>
  <c r="BK1057" i="1"/>
  <c r="BL1057" i="1"/>
  <c r="BJ1058" i="1"/>
  <c r="CH1060" i="1"/>
  <c r="CH1061" i="1" s="1"/>
  <c r="CH1062" i="1" s="1"/>
  <c r="BN1056" i="1" l="1"/>
  <c r="BO1056" i="1"/>
  <c r="BW1057" i="1"/>
  <c r="BJ1059" i="1"/>
  <c r="BK1058" i="1"/>
  <c r="BL1058" i="1"/>
  <c r="BW1058" i="1" s="1"/>
  <c r="BI1058" i="1"/>
  <c r="BH1059" i="1"/>
  <c r="BR1056" i="1" l="1"/>
  <c r="BY1056" i="1" s="1"/>
  <c r="BI1059" i="1"/>
  <c r="BH1060" i="1"/>
  <c r="BX1058" i="1"/>
  <c r="CD1058" i="1"/>
  <c r="BL1059" i="1"/>
  <c r="BW1059" i="1" s="1"/>
  <c r="CD1059" i="1" s="1"/>
  <c r="BK1059" i="1"/>
  <c r="BJ1060" i="1"/>
  <c r="BJ1061" i="1" s="1"/>
  <c r="BX1057" i="1"/>
  <c r="CD1057" i="1"/>
  <c r="AQ1057" i="1" l="1"/>
  <c r="BC1057" i="1" s="1"/>
  <c r="BU1057" i="1" s="1"/>
  <c r="CB1057" i="1" s="1"/>
  <c r="CC1057" i="1" s="1"/>
  <c r="BX1059" i="1"/>
  <c r="CE1058" i="1"/>
  <c r="CE1057" i="1"/>
  <c r="CE1059" i="1"/>
  <c r="BK1060" i="1"/>
  <c r="BI1060" i="1"/>
  <c r="BH1061" i="1"/>
  <c r="BL1060" i="1"/>
  <c r="BW1060" i="1" s="1"/>
  <c r="BL1061" i="1"/>
  <c r="BW1061" i="1" s="1"/>
  <c r="CD1061" i="1" s="1"/>
  <c r="BK1061" i="1"/>
  <c r="BJ1062" i="1"/>
  <c r="BM1057" i="1" l="1"/>
  <c r="BN1057" i="1" s="1"/>
  <c r="BV1057" i="1"/>
  <c r="BI1061" i="1"/>
  <c r="BH1062" i="1"/>
  <c r="BX1060" i="1"/>
  <c r="BX1061" i="1"/>
  <c r="CD1060" i="1"/>
  <c r="BL1062" i="1"/>
  <c r="BW1062" i="1" s="1"/>
  <c r="BK1062" i="1"/>
  <c r="BO1057" i="1" l="1"/>
  <c r="BP1057" i="1"/>
  <c r="BI1062" i="1"/>
  <c r="CD1062" i="1"/>
  <c r="CE1062" i="1" s="1"/>
  <c r="BX1062" i="1"/>
  <c r="CE1061" i="1"/>
  <c r="CE1060" i="1"/>
  <c r="BR1057" i="1" l="1"/>
  <c r="AQ1058" i="1" s="1"/>
  <c r="BY1057" i="1"/>
  <c r="BC1058" i="1" l="1"/>
  <c r="BU1058" i="1" s="1"/>
  <c r="BM1058" i="1" l="1"/>
  <c r="BO1058" i="1" s="1"/>
  <c r="BV1058" i="1"/>
  <c r="CB1058" i="1"/>
  <c r="CC1058" i="1" s="1"/>
  <c r="BP1058" i="1" l="1"/>
  <c r="BN1058" i="1"/>
  <c r="BR1058" i="1" l="1"/>
  <c r="AQ1059" i="1" s="1"/>
  <c r="BC1059" i="1" s="1"/>
  <c r="BU1059" i="1" s="1"/>
  <c r="BY1058" i="1" l="1"/>
  <c r="BM1059" i="1"/>
  <c r="BN1059" i="1" s="1"/>
  <c r="CB1059" i="1"/>
  <c r="CC1059" i="1" s="1"/>
  <c r="BV1059" i="1"/>
  <c r="BO1059" i="1" l="1"/>
  <c r="BP1059" i="1"/>
  <c r="BR1059" i="1" l="1"/>
  <c r="AQ1060" i="1" l="1"/>
  <c r="BY1059" i="1"/>
  <c r="BC1060" i="1" l="1"/>
  <c r="BU1060" i="1" s="1"/>
  <c r="BM1060" i="1" l="1"/>
  <c r="BP1060" i="1" s="1"/>
  <c r="BV1060" i="1"/>
  <c r="CB1060" i="1"/>
  <c r="CC1060" i="1" s="1"/>
  <c r="BO1060" i="1" l="1"/>
  <c r="BN1060" i="1"/>
  <c r="BR1060" i="1" l="1"/>
  <c r="AQ1061" i="1" s="1"/>
  <c r="BC1061" i="1" s="1"/>
  <c r="BU1061" i="1" s="1"/>
  <c r="BY1060" i="1" l="1"/>
  <c r="BM1061" i="1"/>
  <c r="BV1061" i="1"/>
  <c r="CB1061" i="1"/>
  <c r="CC1061" i="1" s="1"/>
  <c r="BN1061" i="1" l="1"/>
  <c r="BO1061" i="1"/>
  <c r="BP1061" i="1"/>
  <c r="BR1061" i="1" l="1"/>
  <c r="BY1061" i="1" s="1"/>
  <c r="AQ1062" i="1" l="1"/>
  <c r="BC1062" i="1" s="1"/>
  <c r="BU1062" i="1" s="1"/>
  <c r="BM1062" i="1" l="1"/>
  <c r="BO1062" i="1" s="1"/>
  <c r="CB1062" i="1"/>
  <c r="CC1062" i="1" s="1"/>
  <c r="BV1062" i="1"/>
  <c r="BN1062" i="1" l="1"/>
  <c r="BP1062" i="1"/>
  <c r="BR1062" i="1" l="1"/>
  <c r="AQ1063" i="1" s="1"/>
  <c r="BC1063" i="1" s="1"/>
  <c r="BY1062" i="1" l="1"/>
  <c r="BJ1063" i="1"/>
  <c r="BK1063" i="1" s="1"/>
  <c r="CH1063" i="1"/>
  <c r="CH1064" i="1" s="1"/>
  <c r="CH1065" i="1" s="1"/>
  <c r="CH1066" i="1" s="1"/>
  <c r="CH1067" i="1" s="1"/>
  <c r="CH1068" i="1" s="1"/>
  <c r="BU1063" i="1"/>
  <c r="BH1063" i="1"/>
  <c r="BJ1064" i="1" l="1"/>
  <c r="BL1064" i="1" s="1"/>
  <c r="BL1063" i="1"/>
  <c r="BW1063" i="1" s="1"/>
  <c r="BI1063" i="1"/>
  <c r="BH1064" i="1"/>
  <c r="CB1063" i="1"/>
  <c r="CC1063" i="1" s="1"/>
  <c r="M142" i="1" s="1"/>
  <c r="BV1063" i="1"/>
  <c r="L142" i="1" s="1"/>
  <c r="BK1064" i="1" l="1"/>
  <c r="BM1063" i="1"/>
  <c r="BN1063" i="1" s="1"/>
  <c r="BJ1065" i="1"/>
  <c r="BK1065" i="1" s="1"/>
  <c r="Z339" i="3"/>
  <c r="AH339" i="3"/>
  <c r="BH1065" i="1"/>
  <c r="BI1064" i="1"/>
  <c r="CD1063" i="1"/>
  <c r="CE1063" i="1" s="1"/>
  <c r="O142" i="1" s="1"/>
  <c r="BX1063" i="1"/>
  <c r="N142" i="1" s="1"/>
  <c r="BW1064" i="1"/>
  <c r="BP1063" i="1" l="1"/>
  <c r="BL1065" i="1"/>
  <c r="BW1065" i="1" s="1"/>
  <c r="CD1065" i="1" s="1"/>
  <c r="BO1063" i="1"/>
  <c r="BJ1066" i="1"/>
  <c r="BK1066" i="1" s="1"/>
  <c r="AX339" i="3"/>
  <c r="AF141" i="1"/>
  <c r="AI141" i="1" s="1"/>
  <c r="AP339" i="3"/>
  <c r="BI1065" i="1"/>
  <c r="BH1066" i="1"/>
  <c r="CD1064" i="1"/>
  <c r="BX1064" i="1"/>
  <c r="BJ1067" i="1"/>
  <c r="BL1066" i="1" l="1"/>
  <c r="BW1066" i="1" s="1"/>
  <c r="BR1063" i="1"/>
  <c r="BY1063" i="1" s="1"/>
  <c r="Q142" i="1" s="1"/>
  <c r="BN339" i="3" s="1"/>
  <c r="BX1065" i="1"/>
  <c r="CE1065" i="1"/>
  <c r="P142" i="1"/>
  <c r="BF339" i="3" s="1"/>
  <c r="AQ1064" i="1"/>
  <c r="BC1064" i="1" s="1"/>
  <c r="BU1064" i="1" s="1"/>
  <c r="BV1064" i="1" s="1"/>
  <c r="BI1066" i="1"/>
  <c r="BH1067" i="1"/>
  <c r="CE1064" i="1"/>
  <c r="BL1067" i="1"/>
  <c r="BW1067" i="1" s="1"/>
  <c r="BJ1068" i="1"/>
  <c r="BK1067" i="1"/>
  <c r="BX1066" i="1"/>
  <c r="CD1066" i="1"/>
  <c r="CE1066" i="1" s="1"/>
  <c r="BM1064" i="1" l="1"/>
  <c r="BO1064" i="1" s="1"/>
  <c r="CB1064" i="1"/>
  <c r="CC1064" i="1" s="1"/>
  <c r="BH1068" i="1"/>
  <c r="BI1068" i="1" s="1"/>
  <c r="BI1067" i="1"/>
  <c r="CD1067" i="1"/>
  <c r="CE1067" i="1" s="1"/>
  <c r="BK1068" i="1"/>
  <c r="BL1068" i="1"/>
  <c r="BW1068" i="1" s="1"/>
  <c r="CD1068" i="1" s="1"/>
  <c r="BX1067" i="1"/>
  <c r="CE1068" i="1" l="1"/>
  <c r="BP1064" i="1"/>
  <c r="BN1064" i="1"/>
  <c r="BX1068" i="1"/>
  <c r="BR1064" i="1" l="1"/>
  <c r="BY1064" i="1" s="1"/>
  <c r="AQ1065" i="1" l="1"/>
  <c r="BC1065" i="1" s="1"/>
  <c r="BU1065" i="1" s="1"/>
  <c r="BV1065" i="1" s="1"/>
  <c r="CB1065" i="1" l="1"/>
  <c r="CC1065" i="1" s="1"/>
  <c r="BM1065" i="1"/>
  <c r="BP1065" i="1" l="1"/>
  <c r="BO1065" i="1"/>
  <c r="BN1065" i="1"/>
  <c r="BR1065" i="1" l="1"/>
  <c r="AQ1066" i="1" s="1"/>
  <c r="BY1065" i="1" l="1"/>
  <c r="BC1066" i="1"/>
  <c r="BU1066" i="1" s="1"/>
  <c r="CB1066" i="1" l="1"/>
  <c r="CC1066" i="1" s="1"/>
  <c r="BV1066" i="1"/>
  <c r="BM1066" i="1"/>
  <c r="BO1066" i="1" l="1"/>
  <c r="BN1066" i="1"/>
  <c r="BP1066" i="1"/>
  <c r="BR1066" i="1" l="1"/>
  <c r="BY1066" i="1" s="1"/>
  <c r="AQ1067" i="1" l="1"/>
  <c r="BC1067" i="1" s="1"/>
  <c r="BU1067" i="1" s="1"/>
  <c r="BM1067" i="1" l="1"/>
  <c r="CB1067" i="1"/>
  <c r="CC1067" i="1" s="1"/>
  <c r="BV1067" i="1"/>
  <c r="BO1067" i="1" l="1"/>
  <c r="BP1067" i="1"/>
  <c r="BN1067" i="1"/>
  <c r="BR1067" i="1" l="1"/>
  <c r="BY1067" i="1" s="1"/>
  <c r="AQ1068" i="1" l="1"/>
  <c r="BC1068" i="1"/>
  <c r="BU1068" i="1" s="1"/>
  <c r="BH1069" i="1"/>
  <c r="CH1069" i="1"/>
  <c r="CH1070" i="1" s="1"/>
  <c r="CH1071" i="1" s="1"/>
  <c r="CH1072" i="1" s="1"/>
  <c r="CH1073" i="1" s="1"/>
  <c r="CH1074" i="1" s="1"/>
  <c r="BJ1069" i="1"/>
  <c r="BM1068" i="1" l="1"/>
  <c r="BO1068" i="1" s="1"/>
  <c r="CB1068" i="1"/>
  <c r="CC1068" i="1" s="1"/>
  <c r="BV1068" i="1"/>
  <c r="BL1069" i="1"/>
  <c r="BW1069" i="1" s="1"/>
  <c r="BK1069" i="1"/>
  <c r="BJ1070" i="1"/>
  <c r="BI1069" i="1"/>
  <c r="BH1070" i="1"/>
  <c r="BN1068" i="1" l="1"/>
  <c r="BP1068" i="1"/>
  <c r="BK1070" i="1"/>
  <c r="BL1070" i="1"/>
  <c r="BW1070" i="1" s="1"/>
  <c r="BJ1071" i="1"/>
  <c r="BI1070" i="1"/>
  <c r="BH1071" i="1"/>
  <c r="CD1069" i="1"/>
  <c r="BX1069" i="1"/>
  <c r="BR1068" i="1" l="1"/>
  <c r="BY1068" i="1" s="1"/>
  <c r="CD1070" i="1"/>
  <c r="CE1070" i="1" s="1"/>
  <c r="BX1070" i="1"/>
  <c r="CE1069" i="1"/>
  <c r="BI1071" i="1"/>
  <c r="BH1072" i="1"/>
  <c r="BK1071" i="1"/>
  <c r="BL1071" i="1"/>
  <c r="BW1071" i="1" s="1"/>
  <c r="CD1071" i="1" s="1"/>
  <c r="BJ1072" i="1"/>
  <c r="AQ1069" i="1" l="1"/>
  <c r="BC1069" i="1" s="1"/>
  <c r="BU1069" i="1" s="1"/>
  <c r="BV1069" i="1" s="1"/>
  <c r="BX1071" i="1"/>
  <c r="CE1071" i="1"/>
  <c r="BI1072" i="1"/>
  <c r="BH1073" i="1"/>
  <c r="BK1072" i="1"/>
  <c r="BL1072" i="1"/>
  <c r="BW1072" i="1" s="1"/>
  <c r="BJ1073" i="1"/>
  <c r="CB1069" i="1" l="1"/>
  <c r="CC1069" i="1" s="1"/>
  <c r="BM1069" i="1"/>
  <c r="BO1069" i="1" s="1"/>
  <c r="BL1073" i="1"/>
  <c r="BW1073" i="1" s="1"/>
  <c r="BX1073" i="1" s="1"/>
  <c r="BK1073" i="1"/>
  <c r="BJ1074" i="1"/>
  <c r="BH1074" i="1"/>
  <c r="BI1073" i="1"/>
  <c r="CD1072" i="1"/>
  <c r="CE1072" i="1" s="1"/>
  <c r="BX1072" i="1"/>
  <c r="BN1069" i="1" l="1"/>
  <c r="BP1069" i="1"/>
  <c r="BI1074" i="1"/>
  <c r="BK1074" i="1"/>
  <c r="BL1074" i="1"/>
  <c r="BW1074" i="1" s="1"/>
  <c r="BX1074" i="1" s="1"/>
  <c r="CD1073" i="1"/>
  <c r="CE1073" i="1" s="1"/>
  <c r="BR1069" i="1" l="1"/>
  <c r="CD1074" i="1"/>
  <c r="CE1074" i="1" s="1"/>
  <c r="AQ1070" i="1" l="1"/>
  <c r="BY1069" i="1"/>
  <c r="BC1070" i="1" l="1"/>
  <c r="BU1070" i="1" s="1"/>
  <c r="BM1070" i="1" l="1"/>
  <c r="BO1070" i="1" s="1"/>
  <c r="BN1070" i="1"/>
  <c r="BP1070" i="1"/>
  <c r="CB1070" i="1"/>
  <c r="CC1070" i="1" s="1"/>
  <c r="BV1070" i="1"/>
  <c r="BR1070" i="1" l="1"/>
  <c r="BY1070" i="1"/>
  <c r="AQ1071" i="1"/>
  <c r="BC1071" i="1" l="1"/>
  <c r="BU1071" i="1" s="1"/>
  <c r="BM1071" i="1" l="1"/>
  <c r="BO1071" i="1" s="1"/>
  <c r="BN1071" i="1"/>
  <c r="CB1071" i="1"/>
  <c r="CC1071" i="1" s="1"/>
  <c r="BV1071" i="1"/>
  <c r="BP1071" i="1" l="1"/>
  <c r="BR1071" i="1" s="1"/>
  <c r="AQ1072" i="1" l="1"/>
  <c r="BC1072" i="1" s="1"/>
  <c r="BU1072" i="1" s="1"/>
  <c r="BY1071" i="1"/>
  <c r="BM1072" i="1" l="1"/>
  <c r="BO1072" i="1"/>
  <c r="BN1072" i="1"/>
  <c r="BP1072" i="1"/>
  <c r="BV1072" i="1"/>
  <c r="CB1072" i="1"/>
  <c r="CC1072" i="1" s="1"/>
  <c r="BR1072" i="1" l="1"/>
  <c r="BY1072" i="1"/>
  <c r="AQ1073" i="1"/>
  <c r="BC1073" i="1" l="1"/>
  <c r="BU1073" i="1" s="1"/>
  <c r="CB1073" i="1" l="1"/>
  <c r="BV1073" i="1"/>
  <c r="BM1073" i="1"/>
  <c r="BN1073" i="1" l="1"/>
  <c r="BO1073" i="1"/>
  <c r="BP1073" i="1"/>
  <c r="BR1073" i="1" s="1"/>
  <c r="CC1073" i="1"/>
  <c r="AQ1074" i="1" l="1"/>
  <c r="BY1073" i="1"/>
  <c r="BC1074" i="1" l="1"/>
  <c r="BU1074" i="1" s="1"/>
  <c r="BM1074" i="1" l="1"/>
  <c r="CB1074" i="1"/>
  <c r="BV1074" i="1"/>
  <c r="BO1074" i="1" l="1"/>
  <c r="BP1074" i="1"/>
  <c r="BN1074" i="1"/>
  <c r="CC1074" i="1"/>
  <c r="BR1074" i="1" l="1"/>
  <c r="AQ1075" i="1" s="1"/>
  <c r="BY1074" i="1" l="1"/>
  <c r="BC1075" i="1"/>
  <c r="BU1075" i="1" s="1"/>
  <c r="CH1075" i="1"/>
  <c r="CH1076" i="1" s="1"/>
  <c r="CH1077" i="1" s="1"/>
  <c r="CH1078" i="1" s="1"/>
  <c r="CH1079" i="1" s="1"/>
  <c r="CH1080" i="1" s="1"/>
  <c r="BH1075" i="1"/>
  <c r="BJ1075" i="1"/>
  <c r="BI1075" i="1" l="1"/>
  <c r="BH1076" i="1"/>
  <c r="BK1075" i="1"/>
  <c r="BL1075" i="1"/>
  <c r="BJ1076" i="1"/>
  <c r="CB1075" i="1"/>
  <c r="CC1075" i="1" s="1"/>
  <c r="M143" i="1" s="1"/>
  <c r="AH340" i="3" s="1"/>
  <c r="BV1075" i="1"/>
  <c r="L143" i="1" s="1"/>
  <c r="Z340" i="3" s="1"/>
  <c r="BL1076" i="1" l="1"/>
  <c r="BW1076" i="1" s="1"/>
  <c r="CD1076" i="1" s="1"/>
  <c r="BK1076" i="1"/>
  <c r="BJ1077" i="1"/>
  <c r="BW1075" i="1"/>
  <c r="BM1075" i="1"/>
  <c r="BH1077" i="1"/>
  <c r="BI1076" i="1"/>
  <c r="BI1077" i="1" l="1"/>
  <c r="BH1078" i="1"/>
  <c r="BP1075" i="1"/>
  <c r="BO1075" i="1"/>
  <c r="BN1075" i="1"/>
  <c r="BR1075" i="1" s="1"/>
  <c r="CD1075" i="1"/>
  <c r="BX1075" i="1"/>
  <c r="N143" i="1" s="1"/>
  <c r="BX1076" i="1"/>
  <c r="BL1077" i="1"/>
  <c r="BW1077" i="1" s="1"/>
  <c r="BX1077" i="1" s="1"/>
  <c r="BJ1078" i="1"/>
  <c r="BK1077" i="1"/>
  <c r="CE1075" i="1" l="1"/>
  <c r="O143" i="1" s="1"/>
  <c r="AX340" i="3" s="1"/>
  <c r="CE1076" i="1"/>
  <c r="AQ1076" i="1"/>
  <c r="P143" i="1"/>
  <c r="BF340" i="3" s="1"/>
  <c r="BY1075" i="1"/>
  <c r="Q143" i="1" s="1"/>
  <c r="BN340" i="3" s="1"/>
  <c r="AP340" i="3"/>
  <c r="AF142" i="1"/>
  <c r="AI142" i="1" s="1"/>
  <c r="BK1078" i="1"/>
  <c r="BJ1079" i="1"/>
  <c r="BL1078" i="1"/>
  <c r="BW1078" i="1" s="1"/>
  <c r="CD1078" i="1" s="1"/>
  <c r="CD1077" i="1"/>
  <c r="BX1078" i="1"/>
  <c r="BH1079" i="1"/>
  <c r="BI1078" i="1"/>
  <c r="BI1079" i="1" l="1"/>
  <c r="BH1080" i="1"/>
  <c r="BI1080" i="1" s="1"/>
  <c r="BC1076" i="1"/>
  <c r="BU1076" i="1" s="1"/>
  <c r="BL1079" i="1"/>
  <c r="BW1079" i="1" s="1"/>
  <c r="BJ1080" i="1"/>
  <c r="BK1079" i="1"/>
  <c r="CE1077" i="1"/>
  <c r="CE1078" i="1"/>
  <c r="BM1076" i="1" l="1"/>
  <c r="BK1080" i="1"/>
  <c r="BL1080" i="1"/>
  <c r="BW1080" i="1" s="1"/>
  <c r="CD1080" i="1" s="1"/>
  <c r="CD1079" i="1"/>
  <c r="CE1079" i="1" s="1"/>
  <c r="BX1079" i="1"/>
  <c r="BN1076" i="1"/>
  <c r="BP1076" i="1"/>
  <c r="BO1076" i="1"/>
  <c r="BR1076" i="1" s="1"/>
  <c r="CB1076" i="1"/>
  <c r="CC1076" i="1" s="1"/>
  <c r="BV1076" i="1"/>
  <c r="BX1080" i="1" l="1"/>
  <c r="AQ1077" i="1"/>
  <c r="BY1076" i="1"/>
  <c r="CE1080" i="1"/>
  <c r="BC1077" i="1" l="1"/>
  <c r="BU1077" i="1" s="1"/>
  <c r="BM1077" i="1" l="1"/>
  <c r="BV1077" i="1"/>
  <c r="CB1077" i="1"/>
  <c r="CC1077" i="1" s="1"/>
  <c r="BP1077" i="1" l="1"/>
  <c r="BO1077" i="1"/>
  <c r="BN1077" i="1"/>
  <c r="BR1077" i="1" l="1"/>
  <c r="BY1077" i="1" s="1"/>
  <c r="AQ1078" i="1" l="1"/>
  <c r="BC1078" i="1"/>
  <c r="BU1078" i="1" s="1"/>
  <c r="BM1078" i="1" l="1"/>
  <c r="BN1078" i="1" s="1"/>
  <c r="BV1078" i="1"/>
  <c r="CB1078" i="1"/>
  <c r="CC1078" i="1" s="1"/>
  <c r="BO1078" i="1" l="1"/>
  <c r="BP1078" i="1"/>
  <c r="BR1078" i="1" l="1"/>
  <c r="AQ1079" i="1"/>
  <c r="BC1079" i="1" s="1"/>
  <c r="BY1078" i="1"/>
  <c r="BU1079" i="1" l="1"/>
  <c r="BM1079" i="1"/>
  <c r="BN1079" i="1" s="1"/>
  <c r="BO1079" i="1"/>
  <c r="BP1079" i="1"/>
  <c r="BV1079" i="1"/>
  <c r="CB1079" i="1"/>
  <c r="CC1079" i="1" s="1"/>
  <c r="BR1079" i="1" l="1"/>
  <c r="BY1079" i="1"/>
  <c r="AQ1080" i="1"/>
  <c r="BC1080" i="1" s="1"/>
  <c r="BU1080" i="1" s="1"/>
  <c r="CB1080" i="1" s="1"/>
  <c r="CC1080" i="1" s="1"/>
  <c r="BM1080" i="1" l="1"/>
  <c r="BN1080" i="1" s="1"/>
  <c r="BV1080" i="1"/>
  <c r="CH1081" i="1"/>
  <c r="CH1082" i="1" s="1"/>
  <c r="CH1083" i="1" s="1"/>
  <c r="CH1084" i="1" s="1"/>
  <c r="CH1085" i="1" s="1"/>
  <c r="CH1086" i="1" s="1"/>
  <c r="BJ1081" i="1"/>
  <c r="BL1081" i="1" s="1"/>
  <c r="BH1081" i="1"/>
  <c r="BI1081" i="1" s="1"/>
  <c r="BO1080" i="1" l="1"/>
  <c r="BP1080" i="1"/>
  <c r="BR1080" i="1"/>
  <c r="BY1080" i="1" s="1"/>
  <c r="BH1082" i="1"/>
  <c r="BI1082" i="1" s="1"/>
  <c r="BJ1082" i="1"/>
  <c r="BL1082" i="1" s="1"/>
  <c r="BW1082" i="1" s="1"/>
  <c r="CD1082" i="1" s="1"/>
  <c r="BW1081" i="1"/>
  <c r="BX1081" i="1" s="1"/>
  <c r="BK1081" i="1"/>
  <c r="AQ1081" i="1" l="1"/>
  <c r="CD1081" i="1"/>
  <c r="CE1081" i="1" s="1"/>
  <c r="BH1083" i="1"/>
  <c r="BH1084" i="1" s="1"/>
  <c r="BJ1083" i="1"/>
  <c r="BK1083" i="1" s="1"/>
  <c r="BK1082" i="1"/>
  <c r="BX1082" i="1"/>
  <c r="BC1081" i="1" l="1"/>
  <c r="BU1081" i="1" s="1"/>
  <c r="CE1082" i="1"/>
  <c r="BJ1084" i="1"/>
  <c r="BL1084" i="1" s="1"/>
  <c r="BW1084" i="1" s="1"/>
  <c r="BI1083" i="1"/>
  <c r="BL1083" i="1"/>
  <c r="BW1083" i="1" s="1"/>
  <c r="CD1083" i="1" s="1"/>
  <c r="CE1083" i="1" s="1"/>
  <c r="BH1085" i="1"/>
  <c r="BI1084" i="1"/>
  <c r="BM1081" i="1" l="1"/>
  <c r="BP1081" i="1" s="1"/>
  <c r="CB1081" i="1"/>
  <c r="CC1081" i="1" s="1"/>
  <c r="BV1081" i="1"/>
  <c r="BJ1085" i="1"/>
  <c r="BK1085" i="1" s="1"/>
  <c r="BK1084" i="1"/>
  <c r="BX1083" i="1"/>
  <c r="BX1084" i="1"/>
  <c r="BI1085" i="1"/>
  <c r="BH1086" i="1"/>
  <c r="CD1084" i="1"/>
  <c r="BO1081" i="1" l="1"/>
  <c r="BN1081" i="1"/>
  <c r="BJ1086" i="1"/>
  <c r="BL1086" i="1" s="1"/>
  <c r="BW1086" i="1" s="1"/>
  <c r="CD1086" i="1" s="1"/>
  <c r="BL1085" i="1"/>
  <c r="BW1085" i="1" s="1"/>
  <c r="BX1085" i="1" s="1"/>
  <c r="CE1084" i="1"/>
  <c r="BI1086" i="1"/>
  <c r="BR1081" i="1" l="1"/>
  <c r="BY1081" i="1" s="1"/>
  <c r="CD1085" i="1"/>
  <c r="CE1085" i="1" s="1"/>
  <c r="BK1086" i="1"/>
  <c r="BX1086" i="1"/>
  <c r="CE1086" i="1" l="1"/>
  <c r="AQ1082" i="1"/>
  <c r="BC1082" i="1" l="1"/>
  <c r="BU1082" i="1" s="1"/>
  <c r="BM1082" i="1" l="1"/>
  <c r="BO1082" i="1" s="1"/>
  <c r="BV1082" i="1"/>
  <c r="CB1082" i="1"/>
  <c r="CC1082" i="1" s="1"/>
  <c r="BN1082" i="1" l="1"/>
  <c r="BP1082" i="1"/>
  <c r="BR1082" i="1" l="1"/>
  <c r="AQ1083" i="1" s="1"/>
  <c r="BC1083" i="1" s="1"/>
  <c r="BU1083" i="1" s="1"/>
  <c r="BY1082" i="1" l="1"/>
  <c r="BM1083" i="1"/>
  <c r="CB1083" i="1"/>
  <c r="CC1083" i="1" s="1"/>
  <c r="BV1083" i="1"/>
  <c r="BN1083" i="1" l="1"/>
  <c r="BO1083" i="1"/>
  <c r="BP1083" i="1"/>
  <c r="BR1083" i="1" l="1"/>
  <c r="BY1083" i="1" s="1"/>
  <c r="AQ1084" i="1" l="1"/>
  <c r="BC1084" i="1" l="1"/>
  <c r="BU1084" i="1" s="1"/>
  <c r="CB1084" i="1" s="1"/>
  <c r="CC1084" i="1" s="1"/>
  <c r="BV1084" i="1" l="1"/>
  <c r="BM1084" i="1"/>
  <c r="BN1084" i="1" l="1"/>
  <c r="BO1084" i="1"/>
  <c r="BP1084" i="1"/>
  <c r="BR1084" i="1" l="1"/>
  <c r="BY1084" i="1" s="1"/>
  <c r="AQ1085" i="1" l="1"/>
  <c r="BC1085" i="1" s="1"/>
  <c r="BU1085" i="1" s="1"/>
  <c r="CB1085" i="1" s="1"/>
  <c r="CC1085" i="1" s="1"/>
  <c r="BV1085" i="1" l="1"/>
  <c r="BM1085" i="1"/>
  <c r="BP1085" i="1" s="1"/>
  <c r="BO1085" i="1" l="1"/>
  <c r="BN1085" i="1"/>
  <c r="BR1085" i="1" l="1"/>
  <c r="BY1085" i="1" s="1"/>
  <c r="AQ1086" i="1" l="1"/>
  <c r="BC1086" i="1" s="1"/>
  <c r="BU1086" i="1" s="1"/>
  <c r="CB1086" i="1" s="1"/>
  <c r="CC1086" i="1" s="1"/>
  <c r="BM1086" i="1"/>
  <c r="BP1086" i="1" s="1"/>
  <c r="BV1086" i="1" l="1"/>
  <c r="BN1086" i="1"/>
  <c r="BO1086" i="1"/>
  <c r="BR1086" i="1"/>
  <c r="AQ1087" i="1" s="1"/>
  <c r="BY1086" i="1" l="1"/>
  <c r="BC1087" i="1"/>
  <c r="BU1087" i="1" s="1"/>
  <c r="BJ1087" i="1"/>
  <c r="CH1087" i="1" l="1"/>
  <c r="CH1088" i="1" s="1"/>
  <c r="CH1089" i="1" s="1"/>
  <c r="CH1090" i="1" s="1"/>
  <c r="CH1091" i="1" s="1"/>
  <c r="CH1092" i="1" s="1"/>
  <c r="BH1087" i="1"/>
  <c r="BI1087" i="1" s="1"/>
  <c r="BK1087" i="1"/>
  <c r="BL1087" i="1"/>
  <c r="BJ1088" i="1"/>
  <c r="BV1087" i="1"/>
  <c r="L144" i="1" s="1"/>
  <c r="CB1087" i="1"/>
  <c r="CC1087" i="1" s="1"/>
  <c r="M144" i="1" s="1"/>
  <c r="BH1088" i="1" l="1"/>
  <c r="Z341" i="3"/>
  <c r="AH341" i="3"/>
  <c r="BI1088" i="1"/>
  <c r="BH1089" i="1"/>
  <c r="BK1088" i="1"/>
  <c r="BL1088" i="1"/>
  <c r="BW1088" i="1" s="1"/>
  <c r="CD1088" i="1" s="1"/>
  <c r="BJ1089" i="1"/>
  <c r="BW1087" i="1"/>
  <c r="BM1087" i="1"/>
  <c r="BX1088" i="1" l="1"/>
  <c r="BL1089" i="1"/>
  <c r="BW1089" i="1" s="1"/>
  <c r="CD1089" i="1" s="1"/>
  <c r="BK1089" i="1"/>
  <c r="BJ1090" i="1"/>
  <c r="BO1087" i="1"/>
  <c r="BP1087" i="1"/>
  <c r="BN1087" i="1"/>
  <c r="CD1087" i="1"/>
  <c r="CE1087" i="1" s="1"/>
  <c r="O144" i="1" s="1"/>
  <c r="BX1087" i="1"/>
  <c r="N144" i="1" s="1"/>
  <c r="BI1089" i="1"/>
  <c r="BH1090" i="1"/>
  <c r="BX1089" i="1"/>
  <c r="AX341" i="3" l="1"/>
  <c r="BR1087" i="1"/>
  <c r="BY1087" i="1" s="1"/>
  <c r="Q144" i="1" s="1"/>
  <c r="CE1088" i="1"/>
  <c r="P144" i="1"/>
  <c r="CE1089" i="1"/>
  <c r="BI1090" i="1"/>
  <c r="BH1091" i="1"/>
  <c r="BK1090" i="1"/>
  <c r="BJ1091" i="1"/>
  <c r="BL1090" i="1"/>
  <c r="BW1090" i="1" s="1"/>
  <c r="AF143" i="1"/>
  <c r="AI143" i="1" s="1"/>
  <c r="AP341" i="3"/>
  <c r="BF341" i="3" l="1"/>
  <c r="BN341" i="3"/>
  <c r="AQ1088" i="1"/>
  <c r="BC1088" i="1" s="1"/>
  <c r="BU1088" i="1" s="1"/>
  <c r="BJ1092" i="1"/>
  <c r="BK1091" i="1"/>
  <c r="BL1091" i="1"/>
  <c r="BW1091" i="1" s="1"/>
  <c r="BI1091" i="1"/>
  <c r="BH1092" i="1"/>
  <c r="BI1092" i="1" s="1"/>
  <c r="CD1090" i="1"/>
  <c r="BX1090" i="1"/>
  <c r="CB1088" i="1" l="1"/>
  <c r="CC1088" i="1" s="1"/>
  <c r="BV1088" i="1"/>
  <c r="CE1090" i="1"/>
  <c r="CD1091" i="1"/>
  <c r="BX1091" i="1"/>
  <c r="BM1088" i="1"/>
  <c r="BK1092" i="1"/>
  <c r="BL1092" i="1"/>
  <c r="BW1092" i="1" s="1"/>
  <c r="BN1088" i="1" l="1"/>
  <c r="BO1088" i="1"/>
  <c r="BP1088" i="1"/>
  <c r="CE1091" i="1"/>
  <c r="BX1092" i="1"/>
  <c r="CD1092" i="1"/>
  <c r="CE1092" i="1" s="1"/>
  <c r="BR1088" i="1" l="1"/>
  <c r="AQ1089" i="1" s="1"/>
  <c r="BY1088" i="1" l="1"/>
  <c r="BC1089" i="1"/>
  <c r="BU1089" i="1" s="1"/>
  <c r="BM1089" i="1" l="1"/>
  <c r="CB1089" i="1"/>
  <c r="BV1089" i="1"/>
  <c r="CC1089" i="1" l="1"/>
  <c r="BP1089" i="1"/>
  <c r="BO1089" i="1"/>
  <c r="BN1089" i="1"/>
  <c r="BR1089" i="1" l="1"/>
  <c r="BY1089" i="1" s="1"/>
  <c r="AQ1090" i="1" l="1"/>
  <c r="BC1090" i="1" s="1"/>
  <c r="BU1090" i="1" s="1"/>
  <c r="BM1090" i="1" l="1"/>
  <c r="CB1090" i="1"/>
  <c r="CC1090" i="1" s="1"/>
  <c r="BV1090" i="1"/>
  <c r="BP1090" i="1" l="1"/>
  <c r="BO1090" i="1"/>
  <c r="BN1090" i="1"/>
  <c r="BR1090" i="1" l="1"/>
  <c r="BY1090" i="1" s="1"/>
  <c r="AQ1091" i="1" l="1"/>
  <c r="BC1091" i="1" s="1"/>
  <c r="BU1091" i="1" s="1"/>
  <c r="BM1091" i="1" l="1"/>
  <c r="BP1091" i="1" s="1"/>
  <c r="CB1091" i="1"/>
  <c r="CC1091" i="1" s="1"/>
  <c r="BV1091" i="1"/>
  <c r="BN1091" i="1" l="1"/>
  <c r="BO1091" i="1"/>
  <c r="BR1091" i="1" l="1"/>
  <c r="BY1091" i="1" s="1"/>
  <c r="AQ1092" i="1" l="1"/>
  <c r="BC1092" i="1" s="1"/>
  <c r="BU1092" i="1" s="1"/>
  <c r="CH1093" i="1"/>
  <c r="CH1094" i="1" s="1"/>
  <c r="CH1095" i="1" s="1"/>
  <c r="CH1096" i="1" s="1"/>
  <c r="CH1097" i="1" s="1"/>
  <c r="CH1098" i="1" s="1"/>
  <c r="BJ1093" i="1"/>
  <c r="BL1093" i="1" s="1"/>
  <c r="BH1093" i="1"/>
  <c r="BI1093" i="1" s="1"/>
  <c r="BV1092" i="1" l="1"/>
  <c r="CB1092" i="1"/>
  <c r="CC1092" i="1" s="1"/>
  <c r="BM1092" i="1"/>
  <c r="BO1092" i="1" s="1"/>
  <c r="BJ1094" i="1"/>
  <c r="BL1094" i="1" s="1"/>
  <c r="BW1094" i="1" s="1"/>
  <c r="CD1094" i="1" s="1"/>
  <c r="BH1094" i="1"/>
  <c r="BI1094" i="1" s="1"/>
  <c r="BK1093" i="1"/>
  <c r="BW1093" i="1"/>
  <c r="BP1092" i="1" l="1"/>
  <c r="BN1092" i="1"/>
  <c r="BJ1095" i="1"/>
  <c r="BL1095" i="1" s="1"/>
  <c r="BW1095" i="1" s="1"/>
  <c r="CD1095" i="1" s="1"/>
  <c r="BK1094" i="1"/>
  <c r="BH1095" i="1"/>
  <c r="BI1095" i="1" s="1"/>
  <c r="BX1093" i="1"/>
  <c r="BX1094" i="1"/>
  <c r="CD1093" i="1"/>
  <c r="BR1092" i="1" l="1"/>
  <c r="BJ1096" i="1"/>
  <c r="BK1096" i="1" s="1"/>
  <c r="BK1095" i="1"/>
  <c r="BH1096" i="1"/>
  <c r="BI1096" i="1" s="1"/>
  <c r="CE1095" i="1"/>
  <c r="CE1093" i="1"/>
  <c r="CE1094" i="1"/>
  <c r="BX1095" i="1"/>
  <c r="BY1092" i="1" l="1"/>
  <c r="AQ1093" i="1"/>
  <c r="BC1093" i="1" s="1"/>
  <c r="BU1093" i="1" s="1"/>
  <c r="BV1093" i="1" s="1"/>
  <c r="BL1096" i="1"/>
  <c r="BW1096" i="1" s="1"/>
  <c r="CD1096" i="1" s="1"/>
  <c r="CE1096" i="1" s="1"/>
  <c r="BJ1097" i="1"/>
  <c r="BK1097" i="1" s="1"/>
  <c r="BH1097" i="1"/>
  <c r="BI1097" i="1" s="1"/>
  <c r="CB1093" i="1" l="1"/>
  <c r="CC1093" i="1" s="1"/>
  <c r="BM1093" i="1"/>
  <c r="BN1093" i="1" s="1"/>
  <c r="BJ1098" i="1"/>
  <c r="BL1098" i="1" s="1"/>
  <c r="BW1098" i="1" s="1"/>
  <c r="CD1098" i="1" s="1"/>
  <c r="BL1097" i="1"/>
  <c r="BW1097" i="1" s="1"/>
  <c r="CD1097" i="1" s="1"/>
  <c r="BX1096" i="1"/>
  <c r="BH1098" i="1"/>
  <c r="BO1093" i="1" l="1"/>
  <c r="BP1093" i="1"/>
  <c r="BK1098" i="1"/>
  <c r="BX1097" i="1"/>
  <c r="BI1098" i="1"/>
  <c r="BX1098" i="1"/>
  <c r="CE1097" i="1"/>
  <c r="CE1098" i="1"/>
  <c r="BR1093" i="1" l="1"/>
  <c r="AQ1094" i="1" s="1"/>
  <c r="BC1094" i="1" s="1"/>
  <c r="BU1094" i="1" s="1"/>
  <c r="BY1093" i="1" l="1"/>
  <c r="BM1094" i="1"/>
  <c r="BN1094" i="1" s="1"/>
  <c r="CB1094" i="1"/>
  <c r="CC1094" i="1" s="1"/>
  <c r="BV1094" i="1"/>
  <c r="BO1094" i="1" l="1"/>
  <c r="BP1094" i="1"/>
  <c r="BR1094" i="1" l="1"/>
  <c r="BY1094" i="1" s="1"/>
  <c r="AQ1095" i="1" l="1"/>
  <c r="BC1095" i="1" s="1"/>
  <c r="BU1095" i="1" s="1"/>
  <c r="CB1095" i="1" s="1"/>
  <c r="CC1095" i="1" s="1"/>
  <c r="BM1095" i="1" l="1"/>
  <c r="BV1095" i="1"/>
  <c r="BP1095" i="1" l="1"/>
  <c r="BO1095" i="1"/>
  <c r="BN1095" i="1"/>
  <c r="BR1095" i="1" l="1"/>
  <c r="BY1095" i="1" s="1"/>
  <c r="AQ1096" i="1" l="1"/>
  <c r="BC1096" i="1" s="1"/>
  <c r="BU1096" i="1" s="1"/>
  <c r="CB1096" i="1" l="1"/>
  <c r="CC1096" i="1" s="1"/>
  <c r="BV1096" i="1"/>
  <c r="BM1096" i="1"/>
  <c r="BO1096" i="1" l="1"/>
  <c r="BP1096" i="1"/>
  <c r="BN1096" i="1"/>
  <c r="BR1096" i="1" l="1"/>
  <c r="AQ1097" i="1" s="1"/>
  <c r="BY1096" i="1" l="1"/>
  <c r="BC1097" i="1"/>
  <c r="BU1097" i="1" s="1"/>
  <c r="BV1097" i="1" l="1"/>
  <c r="CB1097" i="1"/>
  <c r="CC1097" i="1" s="1"/>
  <c r="BM1097" i="1"/>
  <c r="BN1097" i="1" l="1"/>
  <c r="BO1097" i="1"/>
  <c r="BP1097" i="1"/>
  <c r="BR1097" i="1" l="1"/>
  <c r="BY1097" i="1" s="1"/>
  <c r="AQ1098" i="1" l="1"/>
  <c r="BC1098" i="1" s="1"/>
  <c r="BU1098" i="1" s="1"/>
  <c r="BM1098" i="1" l="1"/>
  <c r="BN1098" i="1" s="1"/>
  <c r="CB1098" i="1"/>
  <c r="CC1098" i="1" s="1"/>
  <c r="BV1098" i="1"/>
  <c r="BO1098" i="1" l="1"/>
  <c r="BP1098" i="1"/>
  <c r="BR1098" i="1" l="1"/>
  <c r="BY1098" i="1" s="1"/>
  <c r="AQ1099" i="1" l="1"/>
  <c r="BC1099" i="1" l="1"/>
  <c r="BH1099" i="1"/>
  <c r="CH1099" i="1"/>
  <c r="CH1100" i="1" s="1"/>
  <c r="CH1101" i="1" s="1"/>
  <c r="CH1102" i="1" s="1"/>
  <c r="CH1103" i="1" s="1"/>
  <c r="CH1104" i="1" s="1"/>
  <c r="BJ1099" i="1"/>
  <c r="BI1099" i="1" l="1"/>
  <c r="BH1100" i="1"/>
  <c r="BL1099" i="1"/>
  <c r="BW1099" i="1" s="1"/>
  <c r="BK1099" i="1"/>
  <c r="BJ1100" i="1"/>
  <c r="BU1099" i="1"/>
  <c r="BM1099" i="1" l="1"/>
  <c r="BN1099" i="1" s="1"/>
  <c r="BO1099" i="1"/>
  <c r="BP1099" i="1"/>
  <c r="BL1100" i="1"/>
  <c r="BW1100" i="1" s="1"/>
  <c r="CD1100" i="1" s="1"/>
  <c r="BK1100" i="1"/>
  <c r="BJ1101" i="1"/>
  <c r="CB1099" i="1"/>
  <c r="CC1099" i="1" s="1"/>
  <c r="M145" i="1" s="1"/>
  <c r="AH342" i="3" s="1"/>
  <c r="BV1099" i="1"/>
  <c r="L145" i="1" s="1"/>
  <c r="Z342" i="3" s="1"/>
  <c r="BI1100" i="1"/>
  <c r="BH1101" i="1"/>
  <c r="CD1099" i="1"/>
  <c r="BX1099" i="1"/>
  <c r="N145" i="1" s="1"/>
  <c r="BR1099" i="1" l="1"/>
  <c r="BY1099" i="1" s="1"/>
  <c r="Q145" i="1" s="1"/>
  <c r="BN342" i="3" s="1"/>
  <c r="BX1100" i="1"/>
  <c r="BL1101" i="1"/>
  <c r="BW1101" i="1" s="1"/>
  <c r="BK1101" i="1"/>
  <c r="BJ1102" i="1"/>
  <c r="AF144" i="1"/>
  <c r="AI144" i="1" s="1"/>
  <c r="AP342" i="3"/>
  <c r="CE1099" i="1"/>
  <c r="O145" i="1" s="1"/>
  <c r="AX342" i="3" s="1"/>
  <c r="CE1100" i="1"/>
  <c r="BH1102" i="1"/>
  <c r="BI1101" i="1"/>
  <c r="AQ1100" i="1" l="1"/>
  <c r="BC1100" i="1" s="1"/>
  <c r="BU1100" i="1" s="1"/>
  <c r="BV1100" i="1" s="1"/>
  <c r="P145" i="1"/>
  <c r="BF342" i="3" s="1"/>
  <c r="BL1102" i="1"/>
  <c r="BW1102" i="1" s="1"/>
  <c r="BJ1103" i="1"/>
  <c r="BK1102" i="1"/>
  <c r="BH1103" i="1"/>
  <c r="BI1102" i="1"/>
  <c r="CD1101" i="1"/>
  <c r="BX1101" i="1"/>
  <c r="CB1100" i="1" l="1"/>
  <c r="CC1100" i="1" s="1"/>
  <c r="BM1100" i="1"/>
  <c r="BP1100" i="1" s="1"/>
  <c r="BN1100" i="1"/>
  <c r="BI1103" i="1"/>
  <c r="BH1104" i="1"/>
  <c r="BI1104" i="1" s="1"/>
  <c r="BJ1104" i="1"/>
  <c r="BK1103" i="1"/>
  <c r="BL1103" i="1"/>
  <c r="BW1103" i="1" s="1"/>
  <c r="BX1103" i="1" s="1"/>
  <c r="CE1101" i="1"/>
  <c r="CD1102" i="1"/>
  <c r="CE1102" i="1" s="1"/>
  <c r="BX1102" i="1"/>
  <c r="BO1100" i="1" l="1"/>
  <c r="BR1100" i="1" s="1"/>
  <c r="CD1103" i="1"/>
  <c r="CE1103" i="1" s="1"/>
  <c r="BK1104" i="1"/>
  <c r="BL1104" i="1"/>
  <c r="BW1104" i="1" s="1"/>
  <c r="CD1104" i="1" s="1"/>
  <c r="AQ1101" i="1" l="1"/>
  <c r="BY1100" i="1"/>
  <c r="CE1104" i="1"/>
  <c r="BX1104" i="1"/>
  <c r="BC1101" i="1" l="1"/>
  <c r="BU1101" i="1" s="1"/>
  <c r="BM1101" i="1"/>
  <c r="BO1101" i="1" l="1"/>
  <c r="BP1101" i="1"/>
  <c r="BN1101" i="1"/>
  <c r="BV1101" i="1"/>
  <c r="CB1101" i="1"/>
  <c r="CC1101" i="1" s="1"/>
  <c r="BR1101" i="1" l="1"/>
  <c r="BY1101" i="1" l="1"/>
  <c r="AQ1102" i="1"/>
  <c r="BC1102" i="1" s="1"/>
  <c r="BU1102" i="1" s="1"/>
  <c r="CB1102" i="1" s="1"/>
  <c r="CC1102" i="1" s="1"/>
  <c r="BV1102" i="1" l="1"/>
  <c r="BM1102" i="1"/>
  <c r="BP1102" i="1" s="1"/>
  <c r="BO1102" i="1" l="1"/>
  <c r="BN1102" i="1"/>
  <c r="BR1102" i="1" l="1"/>
  <c r="BY1102" i="1" s="1"/>
  <c r="AQ1103" i="1"/>
  <c r="BC1103" i="1" s="1"/>
  <c r="BU1103" i="1" s="1"/>
  <c r="BM1103" i="1" l="1"/>
  <c r="CB1103" i="1"/>
  <c r="CC1103" i="1" s="1"/>
  <c r="BV1103" i="1"/>
  <c r="BN1103" i="1" l="1"/>
  <c r="BO1103" i="1"/>
  <c r="BP1103" i="1"/>
  <c r="BR1103" i="1" l="1"/>
  <c r="AQ1104" i="1" s="1"/>
  <c r="BY1103" i="1" l="1"/>
  <c r="BC1104" i="1"/>
  <c r="BU1104" i="1" s="1"/>
  <c r="BM1104" i="1" l="1"/>
  <c r="BN1104" i="1" s="1"/>
  <c r="BV1104" i="1"/>
  <c r="CB1104" i="1"/>
  <c r="CC1104" i="1" s="1"/>
  <c r="BJ1105" i="1"/>
  <c r="BP1104" i="1" l="1"/>
  <c r="BO1104" i="1"/>
  <c r="CH1105" i="1"/>
  <c r="CH1106" i="1" s="1"/>
  <c r="CH1107" i="1" s="1"/>
  <c r="CH1108" i="1" s="1"/>
  <c r="CH1109" i="1" s="1"/>
  <c r="CH1110" i="1" s="1"/>
  <c r="BK1105" i="1"/>
  <c r="BJ1106" i="1"/>
  <c r="BL1105" i="1"/>
  <c r="BH1105" i="1"/>
  <c r="BR1104" i="1" l="1"/>
  <c r="AQ1105" i="1" s="1"/>
  <c r="BC1105" i="1" s="1"/>
  <c r="BU1105" i="1" s="1"/>
  <c r="BI1105" i="1"/>
  <c r="BH1106" i="1"/>
  <c r="BW1105" i="1"/>
  <c r="BJ1107" i="1"/>
  <c r="BK1106" i="1"/>
  <c r="BL1106" i="1"/>
  <c r="BW1106" i="1" s="1"/>
  <c r="CD1106" i="1" s="1"/>
  <c r="BY1104" i="1" l="1"/>
  <c r="BV1105" i="1"/>
  <c r="CB1105" i="1"/>
  <c r="CC1105" i="1" s="1"/>
  <c r="BM1105" i="1"/>
  <c r="BN1105" i="1" s="1"/>
  <c r="BL1107" i="1"/>
  <c r="BW1107" i="1" s="1"/>
  <c r="CD1107" i="1" s="1"/>
  <c r="BK1107" i="1"/>
  <c r="BJ1108" i="1"/>
  <c r="BP1105" i="1"/>
  <c r="BX1105" i="1"/>
  <c r="BX1106" i="1"/>
  <c r="CD1105" i="1"/>
  <c r="BI1106" i="1"/>
  <c r="BH1107" i="1"/>
  <c r="BO1105" i="1" l="1"/>
  <c r="BX1107" i="1"/>
  <c r="BR1105" i="1"/>
  <c r="AQ1106" i="1" s="1"/>
  <c r="BI1107" i="1"/>
  <c r="BH1108" i="1"/>
  <c r="BK1108" i="1"/>
  <c r="BJ1109" i="1"/>
  <c r="BL1108" i="1"/>
  <c r="BW1108" i="1" s="1"/>
  <c r="CE1105" i="1"/>
  <c r="CE1106" i="1"/>
  <c r="CE1107" i="1"/>
  <c r="BY1105" i="1" l="1"/>
  <c r="BI1108" i="1"/>
  <c r="BH1109" i="1"/>
  <c r="CD1108" i="1"/>
  <c r="BX1108" i="1"/>
  <c r="BK1109" i="1"/>
  <c r="BJ1110" i="1"/>
  <c r="BL1109" i="1"/>
  <c r="BW1109" i="1" s="1"/>
  <c r="BX1109" i="1" s="1"/>
  <c r="BC1106" i="1"/>
  <c r="BU1106" i="1" s="1"/>
  <c r="BM1106" i="1" l="1"/>
  <c r="BN1106" i="1" s="1"/>
  <c r="BK1110" i="1"/>
  <c r="BL1110" i="1"/>
  <c r="BW1110" i="1" s="1"/>
  <c r="CE1108" i="1"/>
  <c r="BI1109" i="1"/>
  <c r="BH1110" i="1"/>
  <c r="BV1106" i="1"/>
  <c r="CB1106" i="1"/>
  <c r="CC1106" i="1" s="1"/>
  <c r="CD1109" i="1"/>
  <c r="BP1106" i="1" l="1"/>
  <c r="BO1106" i="1"/>
  <c r="BI1110" i="1"/>
  <c r="CE1109" i="1"/>
  <c r="CD1110" i="1"/>
  <c r="CE1110" i="1" s="1"/>
  <c r="BX1110" i="1"/>
  <c r="BR1106" i="1" l="1"/>
  <c r="BY1106" i="1" s="1"/>
  <c r="AQ1107" i="1" l="1"/>
  <c r="BC1107" i="1" s="1"/>
  <c r="BU1107" i="1" s="1"/>
  <c r="BM1107" i="1" l="1"/>
  <c r="BN1107" i="1" s="1"/>
  <c r="BV1107" i="1"/>
  <c r="CB1107" i="1"/>
  <c r="CC1107" i="1" s="1"/>
  <c r="BP1107" i="1" l="1"/>
  <c r="BO1107" i="1"/>
  <c r="BR1107" i="1" l="1"/>
  <c r="BY1107" i="1" s="1"/>
  <c r="AQ1108" i="1" l="1"/>
  <c r="BC1108" i="1" s="1"/>
  <c r="BU1108" i="1" s="1"/>
  <c r="BM1108" i="1" l="1"/>
  <c r="BN1108" i="1" s="1"/>
  <c r="CB1108" i="1"/>
  <c r="CC1108" i="1" s="1"/>
  <c r="BV1108" i="1"/>
  <c r="BO1108" i="1" l="1"/>
  <c r="BP1108" i="1"/>
  <c r="BR1108" i="1" l="1"/>
  <c r="BY1108" i="1" s="1"/>
  <c r="AQ1109" i="1" l="1"/>
  <c r="BC1109" i="1" s="1"/>
  <c r="BU1109" i="1" s="1"/>
  <c r="BM1109" i="1" l="1"/>
  <c r="BO1109" i="1" s="1"/>
  <c r="CB1109" i="1"/>
  <c r="CC1109" i="1" s="1"/>
  <c r="BV1109" i="1"/>
  <c r="BP1109" i="1" l="1"/>
  <c r="BN1109" i="1"/>
  <c r="BR1109" i="1" l="1"/>
  <c r="BY1109" i="1" l="1"/>
  <c r="AQ1110" i="1"/>
  <c r="BC1110" i="1" l="1"/>
  <c r="BU1110" i="1" s="1"/>
  <c r="BM1110" i="1" l="1"/>
  <c r="BO1110" i="1" s="1"/>
  <c r="BV1110" i="1"/>
  <c r="CB1110" i="1"/>
  <c r="CC1110" i="1" s="1"/>
  <c r="BN1110" i="1" l="1"/>
  <c r="BP1110" i="1"/>
  <c r="BR1110" i="1" l="1"/>
  <c r="BY1110" i="1" s="1"/>
  <c r="AQ1111" i="1" l="1"/>
  <c r="BC1111" i="1" l="1"/>
  <c r="BU1111" i="1" s="1"/>
  <c r="CB1111" i="1" s="1"/>
  <c r="CC1111" i="1" s="1"/>
  <c r="M146" i="1" s="1"/>
  <c r="BJ1111" i="1"/>
  <c r="BV1111" i="1" l="1"/>
  <c r="L146" i="1" s="1"/>
  <c r="CH1111" i="1"/>
  <c r="CH1112" i="1" s="1"/>
  <c r="CH1113" i="1" s="1"/>
  <c r="CH1114" i="1" s="1"/>
  <c r="CH1115" i="1" s="1"/>
  <c r="CH1116" i="1" s="1"/>
  <c r="BH1111" i="1"/>
  <c r="BI1111" i="1" s="1"/>
  <c r="AH343" i="3"/>
  <c r="BL1111" i="1"/>
  <c r="BK1111" i="1"/>
  <c r="BJ1112" i="1"/>
  <c r="BH1112" i="1" l="1"/>
  <c r="BI1112" i="1" s="1"/>
  <c r="Z343" i="3"/>
  <c r="BJ1113" i="1"/>
  <c r="BK1112" i="1"/>
  <c r="BL1112" i="1"/>
  <c r="BW1112" i="1" s="1"/>
  <c r="CD1112" i="1" s="1"/>
  <c r="BW1111" i="1"/>
  <c r="BM1111" i="1"/>
  <c r="BH1113" i="1" l="1"/>
  <c r="BI1113" i="1" s="1"/>
  <c r="BN1111" i="1"/>
  <c r="BO1111" i="1"/>
  <c r="BP1111" i="1"/>
  <c r="CD1111" i="1"/>
  <c r="BX1111" i="1"/>
  <c r="N146" i="1" s="1"/>
  <c r="BX1112" i="1"/>
  <c r="BL1113" i="1"/>
  <c r="BW1113" i="1" s="1"/>
  <c r="CD1113" i="1" s="1"/>
  <c r="BJ1114" i="1"/>
  <c r="BK1113" i="1"/>
  <c r="BH1114" i="1" l="1"/>
  <c r="BI1114" i="1" s="1"/>
  <c r="BR1111" i="1"/>
  <c r="AQ1112" i="1" s="1"/>
  <c r="BC1112" i="1" s="1"/>
  <c r="BU1112" i="1" s="1"/>
  <c r="BV1112" i="1" s="1"/>
  <c r="BX1113" i="1"/>
  <c r="AF145" i="1"/>
  <c r="AI145" i="1" s="1"/>
  <c r="AP343" i="3"/>
  <c r="CE1111" i="1"/>
  <c r="O146" i="1" s="1"/>
  <c r="CE1113" i="1"/>
  <c r="CE1112" i="1"/>
  <c r="BJ1115" i="1"/>
  <c r="BL1114" i="1"/>
  <c r="BW1114" i="1" s="1"/>
  <c r="BK1114" i="1"/>
  <c r="BH1115" i="1" l="1"/>
  <c r="P146" i="1"/>
  <c r="BY1111" i="1"/>
  <c r="Q146" i="1" s="1"/>
  <c r="AX343" i="3"/>
  <c r="CB1112" i="1"/>
  <c r="CC1112" i="1" s="1"/>
  <c r="BM1112" i="1"/>
  <c r="BO1112" i="1" s="1"/>
  <c r="CD1114" i="1"/>
  <c r="BL1115" i="1"/>
  <c r="BW1115" i="1" s="1"/>
  <c r="BK1115" i="1"/>
  <c r="BJ1116" i="1"/>
  <c r="BI1115" i="1"/>
  <c r="BH1116" i="1"/>
  <c r="BI1116" i="1" s="1"/>
  <c r="BX1114" i="1"/>
  <c r="BN343" i="3" l="1"/>
  <c r="BF343" i="3"/>
  <c r="BN1112" i="1"/>
  <c r="BP1112" i="1"/>
  <c r="CD1115" i="1"/>
  <c r="CE1115" i="1" s="1"/>
  <c r="BX1115" i="1"/>
  <c r="BK1116" i="1"/>
  <c r="BL1116" i="1"/>
  <c r="BW1116" i="1" s="1"/>
  <c r="CD1116" i="1" s="1"/>
  <c r="CE1114" i="1"/>
  <c r="CE1116" i="1" l="1"/>
  <c r="BR1112" i="1"/>
  <c r="BY1112" i="1" s="1"/>
  <c r="BX1116" i="1"/>
  <c r="AQ1113" i="1" l="1"/>
  <c r="BC1113" i="1" s="1"/>
  <c r="BU1113" i="1" s="1"/>
  <c r="CB1113" i="1" s="1"/>
  <c r="CC1113" i="1" s="1"/>
  <c r="BM1113" i="1" l="1"/>
  <c r="BO1113" i="1" s="1"/>
  <c r="BV1113" i="1"/>
  <c r="BP1113" i="1" l="1"/>
  <c r="BN1113" i="1"/>
  <c r="BR1113" i="1" l="1"/>
  <c r="BY1113" i="1" s="1"/>
  <c r="AQ1114" i="1" l="1"/>
  <c r="BC1114" i="1" s="1"/>
  <c r="BU1114" i="1" s="1"/>
  <c r="CB1114" i="1" s="1"/>
  <c r="CC1114" i="1" s="1"/>
  <c r="BV1114" i="1" l="1"/>
  <c r="BM1114" i="1"/>
  <c r="BP1114" i="1" s="1"/>
  <c r="BN1114" i="1" l="1"/>
  <c r="BO1114" i="1"/>
  <c r="BR1114" i="1" l="1"/>
  <c r="BY1114" i="1" s="1"/>
  <c r="AQ1115" i="1"/>
  <c r="BC1115" i="1" s="1"/>
  <c r="BU1115" i="1" s="1"/>
  <c r="CB1115" i="1" s="1"/>
  <c r="CC1115" i="1" s="1"/>
  <c r="BM1115" i="1" l="1"/>
  <c r="BN1115" i="1" s="1"/>
  <c r="BV1115" i="1"/>
  <c r="BO1115" i="1" l="1"/>
  <c r="BP1115" i="1"/>
  <c r="BR1115" i="1" l="1"/>
  <c r="BY1115" i="1" s="1"/>
  <c r="AQ1116" i="1" l="1"/>
  <c r="BC1116" i="1" s="1"/>
  <c r="BU1116" i="1" s="1"/>
  <c r="CB1116" i="1" s="1"/>
  <c r="CC1116" i="1" s="1"/>
  <c r="BM1116" i="1" l="1"/>
  <c r="BO1116" i="1" s="1"/>
  <c r="BV1116" i="1"/>
  <c r="BP1116" i="1" l="1"/>
  <c r="BN1116" i="1"/>
  <c r="CH1117" i="1"/>
  <c r="CH1118" i="1" s="1"/>
  <c r="CH1119" i="1" s="1"/>
  <c r="CH1120" i="1" s="1"/>
  <c r="CH1121" i="1" s="1"/>
  <c r="CH1122" i="1" s="1"/>
  <c r="BH1117" i="1"/>
  <c r="BJ1117" i="1"/>
  <c r="BR1116" i="1" l="1"/>
  <c r="BY1116" i="1" s="1"/>
  <c r="AQ1117" i="1"/>
  <c r="BC1117" i="1" s="1"/>
  <c r="BU1117" i="1" s="1"/>
  <c r="BL1117" i="1"/>
  <c r="BW1117" i="1" s="1"/>
  <c r="BK1117" i="1"/>
  <c r="BJ1118" i="1"/>
  <c r="BI1117" i="1"/>
  <c r="BH1118" i="1"/>
  <c r="BM1117" i="1" l="1"/>
  <c r="BO1117" i="1" s="1"/>
  <c r="BV1117" i="1"/>
  <c r="CB1117" i="1"/>
  <c r="CC1117" i="1" s="1"/>
  <c r="BI1118" i="1"/>
  <c r="BH1119" i="1"/>
  <c r="BL1118" i="1"/>
  <c r="BW1118" i="1" s="1"/>
  <c r="BJ1119" i="1"/>
  <c r="BK1118" i="1"/>
  <c r="BX1117" i="1"/>
  <c r="CD1117" i="1"/>
  <c r="BP1117" i="1" l="1"/>
  <c r="BN1117" i="1"/>
  <c r="BI1119" i="1"/>
  <c r="BH1120" i="1"/>
  <c r="BJ1120" i="1"/>
  <c r="BL1119" i="1"/>
  <c r="BW1119" i="1" s="1"/>
  <c r="BK1119" i="1"/>
  <c r="CE1117" i="1"/>
  <c r="CD1118" i="1"/>
  <c r="CE1118" i="1" s="1"/>
  <c r="BX1118" i="1"/>
  <c r="BR1117" i="1" l="1"/>
  <c r="AQ1118" i="1" s="1"/>
  <c r="BK1120" i="1"/>
  <c r="BJ1121" i="1"/>
  <c r="BL1120" i="1"/>
  <c r="BW1120" i="1" s="1"/>
  <c r="CD1120" i="1" s="1"/>
  <c r="BH1121" i="1"/>
  <c r="BI1120" i="1"/>
  <c r="CD1119" i="1"/>
  <c r="CE1119" i="1" s="1"/>
  <c r="BX1119" i="1"/>
  <c r="BY1117" i="1" l="1"/>
  <c r="BC1118" i="1"/>
  <c r="BU1118" i="1" s="1"/>
  <c r="BX1120" i="1"/>
  <c r="BH1122" i="1"/>
  <c r="BI1121" i="1"/>
  <c r="BL1121" i="1"/>
  <c r="BW1121" i="1" s="1"/>
  <c r="BK1121" i="1"/>
  <c r="BJ1122" i="1"/>
  <c r="CE1120" i="1"/>
  <c r="BM1118" i="1" l="1"/>
  <c r="BO1118" i="1" s="1"/>
  <c r="BV1118" i="1"/>
  <c r="CB1118" i="1"/>
  <c r="CC1118" i="1" s="1"/>
  <c r="BL1122" i="1"/>
  <c r="BW1122" i="1" s="1"/>
  <c r="CD1122" i="1" s="1"/>
  <c r="BK1122" i="1"/>
  <c r="CD1121" i="1"/>
  <c r="CE1121" i="1" s="1"/>
  <c r="BX1121" i="1"/>
  <c r="BI1122" i="1"/>
  <c r="BP1118" i="1" l="1"/>
  <c r="BN1118" i="1"/>
  <c r="BX1122" i="1"/>
  <c r="CE1122" i="1"/>
  <c r="BR1118" i="1" l="1"/>
  <c r="BY1118" i="1" s="1"/>
  <c r="AQ1119" i="1" l="1"/>
  <c r="BC1119" i="1"/>
  <c r="BU1119" i="1" s="1"/>
  <c r="CB1119" i="1" l="1"/>
  <c r="CC1119" i="1" s="1"/>
  <c r="BV1119" i="1"/>
  <c r="BM1119" i="1"/>
  <c r="BN1119" i="1" l="1"/>
  <c r="BO1119" i="1"/>
  <c r="BP1119" i="1"/>
  <c r="BR1119" i="1" l="1"/>
  <c r="BY1119" i="1" s="1"/>
  <c r="AQ1120" i="1" l="1"/>
  <c r="BC1120" i="1" s="1"/>
  <c r="BU1120" i="1" s="1"/>
  <c r="BM1120" i="1" l="1"/>
  <c r="BO1120" i="1" s="1"/>
  <c r="CB1120" i="1"/>
  <c r="CC1120" i="1" s="1"/>
  <c r="BV1120" i="1"/>
  <c r="BN1120" i="1" l="1"/>
  <c r="BP1120" i="1"/>
  <c r="BR1120" i="1" l="1"/>
  <c r="AQ1121" i="1" s="1"/>
  <c r="BC1121" i="1" s="1"/>
  <c r="BU1121" i="1" s="1"/>
  <c r="BY1120" i="1" l="1"/>
  <c r="BM1121" i="1"/>
  <c r="BP1121" i="1" s="1"/>
  <c r="BV1121" i="1"/>
  <c r="CB1121" i="1"/>
  <c r="CC1121" i="1" s="1"/>
  <c r="BN1121" i="1" l="1"/>
  <c r="BO1121" i="1"/>
  <c r="BR1121" i="1" l="1"/>
  <c r="BY1121" i="1" s="1"/>
  <c r="AQ1122" i="1"/>
  <c r="BC1122" i="1" s="1"/>
  <c r="BU1122" i="1" s="1"/>
  <c r="BV1122" i="1" l="1"/>
  <c r="CB1122" i="1"/>
  <c r="CC1122" i="1" s="1"/>
  <c r="BM1122" i="1"/>
  <c r="BN1122" i="1" l="1"/>
  <c r="BP1122" i="1"/>
  <c r="BO1122" i="1"/>
  <c r="BR1122" i="1" l="1"/>
  <c r="BY1122" i="1" s="1"/>
  <c r="AQ1123" i="1" l="1"/>
  <c r="BC1123" i="1" s="1"/>
  <c r="CH1123" i="1" l="1"/>
  <c r="CH1124" i="1" s="1"/>
  <c r="CH1125" i="1" s="1"/>
  <c r="CH1126" i="1" s="1"/>
  <c r="CH1127" i="1" s="1"/>
  <c r="CH1128" i="1" s="1"/>
  <c r="BH1123" i="1"/>
  <c r="BI1123" i="1" s="1"/>
  <c r="BJ1123" i="1"/>
  <c r="BK1123" i="1" s="1"/>
  <c r="BU1123" i="1"/>
  <c r="BL1123" i="1" l="1"/>
  <c r="BW1123" i="1" s="1"/>
  <c r="BH1124" i="1"/>
  <c r="BI1124" i="1" s="1"/>
  <c r="BJ1124" i="1"/>
  <c r="BK1124" i="1" s="1"/>
  <c r="BM1123" i="1"/>
  <c r="BO1123" i="1" s="1"/>
  <c r="BX1123" i="1"/>
  <c r="N147" i="1" s="1"/>
  <c r="CD1123" i="1"/>
  <c r="CB1123" i="1"/>
  <c r="CC1123" i="1" s="1"/>
  <c r="M147" i="1" s="1"/>
  <c r="BV1123" i="1"/>
  <c r="L147" i="1" s="1"/>
  <c r="BP1123" i="1" l="1"/>
  <c r="BJ1125" i="1"/>
  <c r="BK1125" i="1" s="1"/>
  <c r="BH1125" i="1"/>
  <c r="BI1125" i="1" s="1"/>
  <c r="BL1124" i="1"/>
  <c r="BW1124" i="1" s="1"/>
  <c r="CD1124" i="1" s="1"/>
  <c r="BN1123" i="1"/>
  <c r="Z344" i="3"/>
  <c r="AH344" i="3"/>
  <c r="CE1123" i="1"/>
  <c r="O147" i="1" s="1"/>
  <c r="AP344" i="3"/>
  <c r="AF146" i="1"/>
  <c r="AI146" i="1" s="1"/>
  <c r="BX1124" i="1" l="1"/>
  <c r="BR1123" i="1"/>
  <c r="BY1123" i="1" s="1"/>
  <c r="Q147" i="1" s="1"/>
  <c r="BH1126" i="1"/>
  <c r="BH1127" i="1" s="1"/>
  <c r="BL1125" i="1"/>
  <c r="BW1125" i="1" s="1"/>
  <c r="CD1125" i="1" s="1"/>
  <c r="CE1125" i="1" s="1"/>
  <c r="BJ1126" i="1"/>
  <c r="BK1126" i="1" s="1"/>
  <c r="BN344" i="3"/>
  <c r="AX344" i="3"/>
  <c r="P147" i="1"/>
  <c r="CE1124" i="1"/>
  <c r="BX1125" i="1" l="1"/>
  <c r="BJ1127" i="1"/>
  <c r="BJ1128" i="1" s="1"/>
  <c r="BL1126" i="1"/>
  <c r="BW1126" i="1" s="1"/>
  <c r="CD1126" i="1" s="1"/>
  <c r="CE1126" i="1" s="1"/>
  <c r="AQ1124" i="1"/>
  <c r="BC1124" i="1" s="1"/>
  <c r="BU1124" i="1" s="1"/>
  <c r="BI1126" i="1"/>
  <c r="BF344" i="3"/>
  <c r="BX1126" i="1"/>
  <c r="BH1128" i="1"/>
  <c r="BI1128" i="1" s="1"/>
  <c r="BI1127" i="1"/>
  <c r="BL1127" i="1" l="1"/>
  <c r="BW1127" i="1" s="1"/>
  <c r="BK1127" i="1"/>
  <c r="BM1124" i="1"/>
  <c r="BV1124" i="1"/>
  <c r="CB1124" i="1"/>
  <c r="CC1124" i="1" s="1"/>
  <c r="BK1128" i="1"/>
  <c r="BL1128" i="1"/>
  <c r="BW1128" i="1" s="1"/>
  <c r="CD1128" i="1" s="1"/>
  <c r="BX1127" i="1"/>
  <c r="CD1127" i="1"/>
  <c r="BX1128" i="1" l="1"/>
  <c r="BP1124" i="1"/>
  <c r="BO1124" i="1"/>
  <c r="BN1124" i="1"/>
  <c r="CE1127" i="1"/>
  <c r="CE1128" i="1"/>
  <c r="BR1124" i="1" l="1"/>
  <c r="BY1124" i="1" s="1"/>
  <c r="AQ1125" i="1" l="1"/>
  <c r="BC1125" i="1" s="1"/>
  <c r="BU1125" i="1" s="1"/>
  <c r="BM1125" i="1" l="1"/>
  <c r="BN1125" i="1" s="1"/>
  <c r="CB1125" i="1"/>
  <c r="CC1125" i="1" s="1"/>
  <c r="BV1125" i="1"/>
  <c r="BO1125" i="1" l="1"/>
  <c r="BP1125" i="1"/>
  <c r="BR1125" i="1" l="1"/>
  <c r="BY1125" i="1" s="1"/>
  <c r="AQ1126" i="1" l="1"/>
  <c r="BC1126" i="1" s="1"/>
  <c r="BU1126" i="1" s="1"/>
  <c r="CB1126" i="1" s="1"/>
  <c r="CC1126" i="1" s="1"/>
  <c r="BV1126" i="1" l="1"/>
  <c r="BM1126" i="1"/>
  <c r="BN1126" i="1" s="1"/>
  <c r="BO1126" i="1" l="1"/>
  <c r="BP1126" i="1"/>
  <c r="CH1129" i="1"/>
  <c r="CH1130" i="1" s="1"/>
  <c r="CH1131" i="1" s="1"/>
  <c r="BH1129" i="1"/>
  <c r="BI1129" i="1" s="1"/>
  <c r="BR1126" i="1" l="1"/>
  <c r="AQ1127" i="1" s="1"/>
  <c r="BC1127" i="1" s="1"/>
  <c r="BU1127" i="1" s="1"/>
  <c r="CB1127" i="1" s="1"/>
  <c r="CC1127" i="1" s="1"/>
  <c r="BJ1129" i="1"/>
  <c r="BJ1130" i="1" s="1"/>
  <c r="BJ1131" i="1" s="1"/>
  <c r="BH1130" i="1"/>
  <c r="BH1131" i="1" s="1"/>
  <c r="BI1131" i="1" s="1"/>
  <c r="CH1132" i="1"/>
  <c r="CH1133" i="1" s="1"/>
  <c r="CH1134" i="1" s="1"/>
  <c r="BV1127" i="1" l="1"/>
  <c r="BM1127" i="1"/>
  <c r="BN1127" i="1" s="1"/>
  <c r="BY1126" i="1"/>
  <c r="BK1130" i="1"/>
  <c r="BL1130" i="1"/>
  <c r="BW1130" i="1" s="1"/>
  <c r="CD1130" i="1" s="1"/>
  <c r="BL1129" i="1"/>
  <c r="BK1129" i="1"/>
  <c r="BI1130" i="1"/>
  <c r="BL1131" i="1"/>
  <c r="BW1131" i="1" s="1"/>
  <c r="BK1131" i="1"/>
  <c r="BJ1132" i="1"/>
  <c r="BK1132" i="1" s="1"/>
  <c r="BH1132" i="1"/>
  <c r="BI1132" i="1" s="1"/>
  <c r="BO1127" i="1" l="1"/>
  <c r="BP1127" i="1"/>
  <c r="BR1127" i="1" s="1"/>
  <c r="AQ1128" i="1" s="1"/>
  <c r="BC1128" i="1" s="1"/>
  <c r="BU1128" i="1" s="1"/>
  <c r="BW1129" i="1"/>
  <c r="BX1129" i="1" s="1"/>
  <c r="CD1131" i="1"/>
  <c r="BH1133" i="1"/>
  <c r="BI1133" i="1" s="1"/>
  <c r="BJ1133" i="1"/>
  <c r="BK1133" i="1" s="1"/>
  <c r="BL1132" i="1"/>
  <c r="BY1127" i="1" l="1"/>
  <c r="BM1128" i="1"/>
  <c r="BN1128" i="1" s="1"/>
  <c r="CB1128" i="1"/>
  <c r="CC1128" i="1" s="1"/>
  <c r="BV1128" i="1"/>
  <c r="CD1129" i="1"/>
  <c r="CE1129" i="1" s="1"/>
  <c r="BX1131" i="1"/>
  <c r="BX1130" i="1"/>
  <c r="BH1134" i="1"/>
  <c r="BI1134" i="1" s="1"/>
  <c r="BJ1134" i="1"/>
  <c r="BL1134" i="1" s="1"/>
  <c r="BW1134" i="1" s="1"/>
  <c r="BL1133" i="1"/>
  <c r="BW1133" i="1" s="1"/>
  <c r="CD1133" i="1" s="1"/>
  <c r="BW1132" i="1"/>
  <c r="BO1128" i="1" l="1"/>
  <c r="BP1128" i="1"/>
  <c r="CE1130" i="1"/>
  <c r="CE1131" i="1"/>
  <c r="BX1133" i="1"/>
  <c r="BK1134" i="1"/>
  <c r="BX1132" i="1"/>
  <c r="CD1132" i="1"/>
  <c r="CE1132" i="1" s="1"/>
  <c r="CD1134" i="1"/>
  <c r="BX1134" i="1"/>
  <c r="BR1128" i="1" l="1"/>
  <c r="CE1133" i="1"/>
  <c r="CE1134" i="1"/>
  <c r="BY1128" i="1" l="1"/>
  <c r="AQ1129" i="1"/>
  <c r="BC1129" i="1" s="1"/>
  <c r="BU1129" i="1" s="1"/>
  <c r="CB1129" i="1" s="1"/>
  <c r="CC1129" i="1" s="1"/>
  <c r="BV1129" i="1" l="1"/>
  <c r="BM1129" i="1"/>
  <c r="BO1129" i="1" s="1"/>
  <c r="BN1129" i="1" l="1"/>
  <c r="BP1129" i="1"/>
  <c r="BR1129" i="1" s="1"/>
  <c r="BY1129" i="1" l="1"/>
  <c r="AQ1130" i="1"/>
  <c r="BC1130" i="1" s="1"/>
  <c r="BU1130" i="1" s="1"/>
  <c r="BV1130" i="1" s="1"/>
  <c r="CB1130" i="1" l="1"/>
  <c r="CC1130" i="1" s="1"/>
  <c r="BM1130" i="1"/>
  <c r="BP1130" i="1" s="1"/>
  <c r="BO1130" i="1" l="1"/>
  <c r="BN1130" i="1"/>
  <c r="BR1130" i="1" l="1"/>
  <c r="BY1130" i="1" s="1"/>
  <c r="AQ1131" i="1"/>
  <c r="BC1131" i="1" s="1"/>
  <c r="BU1131" i="1" s="1"/>
  <c r="BM1131" i="1" l="1"/>
  <c r="BN1131" i="1" s="1"/>
  <c r="CB1131" i="1"/>
  <c r="CC1131" i="1" s="1"/>
  <c r="BV1131" i="1"/>
  <c r="BO1131" i="1" l="1"/>
  <c r="BP1131" i="1"/>
  <c r="BR1131" i="1" l="1"/>
  <c r="AQ1132" i="1" s="1"/>
  <c r="BY1131" i="1" l="1"/>
  <c r="BC1132" i="1"/>
  <c r="BU1132" i="1" s="1"/>
  <c r="BM1132" i="1" l="1"/>
  <c r="BO1132" i="1" s="1"/>
  <c r="BV1132" i="1"/>
  <c r="CB1132" i="1"/>
  <c r="CC1132" i="1" s="1"/>
  <c r="BP1132" i="1" l="1"/>
  <c r="BN1132" i="1"/>
  <c r="BR1132" i="1" l="1"/>
  <c r="BY1132" i="1" l="1"/>
  <c r="AQ1133" i="1"/>
  <c r="BC1133" i="1" s="1"/>
  <c r="BU1133" i="1" s="1"/>
  <c r="CB1133" i="1" s="1"/>
  <c r="CC1133" i="1" s="1"/>
  <c r="BV1133" i="1" l="1"/>
  <c r="BM1133" i="1"/>
  <c r="BN1133" i="1" s="1"/>
  <c r="BO1133" i="1" l="1"/>
  <c r="BP1133" i="1"/>
  <c r="BR1133" i="1" l="1"/>
  <c r="AQ1134" i="1" s="1"/>
  <c r="BC1134" i="1" s="1"/>
  <c r="BU1134" i="1" s="1"/>
  <c r="BV1134" i="1" s="1"/>
  <c r="BY1133" i="1" l="1"/>
  <c r="CB1134" i="1"/>
  <c r="CC1134" i="1" s="1"/>
  <c r="BM1134" i="1"/>
  <c r="BP1134" i="1" s="1"/>
  <c r="BO1134" i="1" l="1"/>
  <c r="BN1134" i="1"/>
  <c r="BR1134" i="1" l="1"/>
  <c r="BY1134" i="1" s="1"/>
  <c r="AQ1135" i="1" l="1"/>
  <c r="BC1135" i="1" s="1"/>
  <c r="CH1135" i="1" l="1"/>
  <c r="CH1136" i="1" s="1"/>
  <c r="CH1137" i="1" s="1"/>
  <c r="CH1138" i="1" s="1"/>
  <c r="CH1139" i="1" s="1"/>
  <c r="CH1140" i="1" s="1"/>
  <c r="BJ1135" i="1"/>
  <c r="BK1135" i="1" s="1"/>
  <c r="BU1135" i="1"/>
  <c r="BH1135" i="1"/>
  <c r="BJ1136" i="1" l="1"/>
  <c r="BL1136" i="1" s="1"/>
  <c r="BW1136" i="1" s="1"/>
  <c r="BL1135" i="1"/>
  <c r="BH1136" i="1"/>
  <c r="BI1135" i="1"/>
  <c r="CB1135" i="1"/>
  <c r="CC1135" i="1" s="1"/>
  <c r="M148" i="1" s="1"/>
  <c r="BV1135" i="1"/>
  <c r="L148" i="1" s="1"/>
  <c r="BK1136" i="1" l="1"/>
  <c r="BJ1137" i="1"/>
  <c r="BJ1138" i="1" s="1"/>
  <c r="BW1135" i="1"/>
  <c r="BX1136" i="1" s="1"/>
  <c r="BM1135" i="1"/>
  <c r="AH345" i="3"/>
  <c r="Z345" i="3"/>
  <c r="BH1137" i="1"/>
  <c r="BI1136" i="1"/>
  <c r="CD1136" i="1"/>
  <c r="BK1137" i="1" l="1"/>
  <c r="BL1137" i="1"/>
  <c r="BW1137" i="1" s="1"/>
  <c r="BX1137" i="1" s="1"/>
  <c r="BO1135" i="1"/>
  <c r="BP1135" i="1"/>
  <c r="BN1135" i="1"/>
  <c r="CD1135" i="1"/>
  <c r="CE1135" i="1" s="1"/>
  <c r="O148" i="1" s="1"/>
  <c r="AX345" i="3" s="1"/>
  <c r="BX1135" i="1"/>
  <c r="N148" i="1" s="1"/>
  <c r="CD1137" i="1"/>
  <c r="BL1138" i="1"/>
  <c r="BW1138" i="1" s="1"/>
  <c r="BJ1139" i="1"/>
  <c r="BK1138" i="1"/>
  <c r="BH1138" i="1"/>
  <c r="BI1137" i="1"/>
  <c r="BR1135" i="1" l="1"/>
  <c r="CE1136" i="1"/>
  <c r="AP345" i="3"/>
  <c r="AF147" i="1"/>
  <c r="AI147" i="1" s="1"/>
  <c r="CE1137" i="1"/>
  <c r="BK1139" i="1"/>
  <c r="BJ1140" i="1"/>
  <c r="BL1139" i="1"/>
  <c r="BW1139" i="1" s="1"/>
  <c r="CD1138" i="1"/>
  <c r="BX1138" i="1"/>
  <c r="BI1138" i="1"/>
  <c r="BH1139" i="1"/>
  <c r="P148" i="1" l="1"/>
  <c r="BF345" i="3" s="1"/>
  <c r="BY1135" i="1"/>
  <c r="Q148" i="1" s="1"/>
  <c r="BN345" i="3" s="1"/>
  <c r="AQ1136" i="1"/>
  <c r="BC1136" i="1" s="1"/>
  <c r="BU1136" i="1" s="1"/>
  <c r="BV1136" i="1" s="1"/>
  <c r="BL1140" i="1"/>
  <c r="BW1140" i="1" s="1"/>
  <c r="BK1140" i="1"/>
  <c r="BI1139" i="1"/>
  <c r="BH1140" i="1"/>
  <c r="BI1140" i="1" s="1"/>
  <c r="CE1138" i="1"/>
  <c r="CD1139" i="1"/>
  <c r="CE1139" i="1" s="1"/>
  <c r="BX1139" i="1"/>
  <c r="BM1136" i="1" l="1"/>
  <c r="BO1136" i="1" s="1"/>
  <c r="CB1136" i="1"/>
  <c r="CC1136" i="1" s="1"/>
  <c r="CD1140" i="1"/>
  <c r="CE1140" i="1" s="1"/>
  <c r="BX1140" i="1"/>
  <c r="BP1136" i="1" l="1"/>
  <c r="BN1136" i="1"/>
  <c r="BR1136" i="1" l="1"/>
  <c r="AQ1137" i="1" s="1"/>
  <c r="BY1136" i="1"/>
  <c r="BC1137" i="1"/>
  <c r="BU1137" i="1" s="1"/>
  <c r="BM1137" i="1" l="1"/>
  <c r="BN1137" i="1" s="1"/>
  <c r="CB1137" i="1"/>
  <c r="CC1137" i="1" s="1"/>
  <c r="BV1137" i="1"/>
  <c r="BO1137" i="1" l="1"/>
  <c r="BP1137" i="1"/>
  <c r="BR1137" i="1" l="1"/>
  <c r="AQ1138" i="1" s="1"/>
  <c r="BC1138" i="1" s="1"/>
  <c r="BU1138" i="1" s="1"/>
  <c r="BY1137" i="1" l="1"/>
  <c r="BM1138" i="1"/>
  <c r="BP1138" i="1" s="1"/>
  <c r="CB1138" i="1"/>
  <c r="CC1138" i="1" s="1"/>
  <c r="BV1138" i="1"/>
  <c r="BN1138" i="1" l="1"/>
  <c r="BO1138" i="1"/>
  <c r="BH1141" i="1"/>
  <c r="BI1141" i="1" s="1"/>
  <c r="BJ1141" i="1"/>
  <c r="BK1141" i="1" s="1"/>
  <c r="CH1141" i="1"/>
  <c r="CH1142" i="1" s="1"/>
  <c r="CH1143" i="1" s="1"/>
  <c r="BR1138" i="1" l="1"/>
  <c r="AQ1139" i="1" s="1"/>
  <c r="BH1142" i="1"/>
  <c r="BI1142" i="1" s="1"/>
  <c r="BJ1142" i="1"/>
  <c r="BK1142" i="1" s="1"/>
  <c r="BL1141" i="1"/>
  <c r="BW1141" i="1" s="1"/>
  <c r="BY1138" i="1" l="1"/>
  <c r="BC1139" i="1"/>
  <c r="BU1139" i="1" s="1"/>
  <c r="BJ1143" i="1"/>
  <c r="BK1143" i="1" s="1"/>
  <c r="BH1143" i="1"/>
  <c r="BI1143" i="1" s="1"/>
  <c r="BL1142" i="1"/>
  <c r="BW1142" i="1" s="1"/>
  <c r="CD1142" i="1" s="1"/>
  <c r="CD1141" i="1"/>
  <c r="BX1141" i="1"/>
  <c r="BM1139" i="1" l="1"/>
  <c r="BP1139" i="1" s="1"/>
  <c r="CB1139" i="1"/>
  <c r="CC1139" i="1" s="1"/>
  <c r="BV1139" i="1"/>
  <c r="BL1143" i="1"/>
  <c r="BW1143" i="1" s="1"/>
  <c r="CD1143" i="1" s="1"/>
  <c r="CE1143" i="1" s="1"/>
  <c r="BX1142" i="1"/>
  <c r="CE1141" i="1"/>
  <c r="CE1142" i="1"/>
  <c r="BN1139" i="1" l="1"/>
  <c r="BO1139" i="1"/>
  <c r="BX1143" i="1"/>
  <c r="BR1139" i="1" l="1"/>
  <c r="AQ1140" i="1" s="1"/>
  <c r="BC1140" i="1"/>
  <c r="BU1140" i="1" s="1"/>
  <c r="BJ1144" i="1"/>
  <c r="BH1144" i="1"/>
  <c r="BY1139" i="1" l="1"/>
  <c r="BM1140" i="1"/>
  <c r="BP1140" i="1" s="1"/>
  <c r="BV1140" i="1"/>
  <c r="CB1140" i="1"/>
  <c r="CC1140" i="1" s="1"/>
  <c r="BH1145" i="1"/>
  <c r="BI1144" i="1"/>
  <c r="BL1144" i="1"/>
  <c r="BK1144" i="1"/>
  <c r="BJ1145" i="1"/>
  <c r="BO1140" i="1" l="1"/>
  <c r="BN1140" i="1"/>
  <c r="CH1144" i="1"/>
  <c r="CH1145" i="1" s="1"/>
  <c r="CH1146" i="1" s="1"/>
  <c r="BL1145" i="1"/>
  <c r="BW1145" i="1" s="1"/>
  <c r="BK1145" i="1"/>
  <c r="BJ1146" i="1"/>
  <c r="BW1144" i="1"/>
  <c r="BI1145" i="1"/>
  <c r="BH1146" i="1"/>
  <c r="BR1140" i="1" l="1"/>
  <c r="BY1140" i="1" s="1"/>
  <c r="BL1146" i="1"/>
  <c r="BW1146" i="1" s="1"/>
  <c r="BK1146" i="1"/>
  <c r="BI1146" i="1"/>
  <c r="CD1144" i="1"/>
  <c r="BX1144" i="1"/>
  <c r="CD1145" i="1"/>
  <c r="BX1145" i="1"/>
  <c r="AQ1141" i="1" l="1"/>
  <c r="BC1141" i="1" s="1"/>
  <c r="BU1141" i="1" s="1"/>
  <c r="CB1141" i="1" s="1"/>
  <c r="CC1141" i="1" s="1"/>
  <c r="BV1141" i="1"/>
  <c r="CE1145" i="1"/>
  <c r="CE1144" i="1"/>
  <c r="CD1146" i="1"/>
  <c r="BX1146" i="1"/>
  <c r="BM1141" i="1" l="1"/>
  <c r="BP1141" i="1" s="1"/>
  <c r="BO1141" i="1"/>
  <c r="BN1141" i="1"/>
  <c r="CE1146" i="1"/>
  <c r="BR1141" i="1" l="1"/>
  <c r="BY1141" i="1" l="1"/>
  <c r="AQ1142" i="1"/>
  <c r="BC1142" i="1" l="1"/>
  <c r="BU1142" i="1" s="1"/>
  <c r="CB1142" i="1" l="1"/>
  <c r="CC1142" i="1" s="1"/>
  <c r="BV1142" i="1"/>
  <c r="BM1142" i="1"/>
  <c r="BO1142" i="1" l="1"/>
  <c r="BN1142" i="1"/>
  <c r="BP1142" i="1"/>
  <c r="BR1142" i="1" l="1"/>
  <c r="AQ1143" i="1" s="1"/>
  <c r="BY1142" i="1" l="1"/>
  <c r="BC1143" i="1"/>
  <c r="BU1143" i="1" s="1"/>
  <c r="BM1143" i="1" l="1"/>
  <c r="BP1143" i="1" s="1"/>
  <c r="CB1143" i="1"/>
  <c r="CC1143" i="1" s="1"/>
  <c r="BV1143" i="1"/>
  <c r="BN1143" i="1" l="1"/>
  <c r="BO1143" i="1"/>
  <c r="BR1143" i="1" l="1"/>
  <c r="BY1143" i="1" s="1"/>
  <c r="AQ1144" i="1" l="1"/>
  <c r="BC1144" i="1" s="1"/>
  <c r="BU1144" i="1" s="1"/>
  <c r="BM1144" i="1" l="1"/>
  <c r="BP1144" i="1" s="1"/>
  <c r="BV1144" i="1"/>
  <c r="CB1144" i="1"/>
  <c r="CC1144" i="1" s="1"/>
  <c r="BO1144" i="1" l="1"/>
  <c r="BN1144" i="1"/>
  <c r="BR1144" i="1" l="1"/>
  <c r="AQ1145" i="1" s="1"/>
  <c r="BY1144" i="1" l="1"/>
  <c r="BC1145" i="1"/>
  <c r="BU1145" i="1" s="1"/>
  <c r="BM1145" i="1" l="1"/>
  <c r="BP1145" i="1" s="1"/>
  <c r="CB1145" i="1"/>
  <c r="CC1145" i="1" s="1"/>
  <c r="BV1145" i="1"/>
  <c r="BO1145" i="1" l="1"/>
  <c r="BN1145" i="1"/>
  <c r="BR1145" i="1" l="1"/>
  <c r="BY1145" i="1" s="1"/>
  <c r="AQ1146" i="1" l="1"/>
  <c r="BC1146" i="1" s="1"/>
  <c r="BU1146" i="1" s="1"/>
  <c r="BM1146" i="1" l="1"/>
  <c r="BN1146" i="1" s="1"/>
  <c r="CB1146" i="1"/>
  <c r="CC1146" i="1" s="1"/>
  <c r="BV1146" i="1"/>
  <c r="BP1146" i="1" l="1"/>
  <c r="BO1146" i="1"/>
  <c r="BR1146" i="1" l="1"/>
  <c r="BY1146" i="1" s="1"/>
  <c r="AQ1147" i="1"/>
  <c r="BC1147" i="1" s="1"/>
  <c r="BU1147" i="1" l="1"/>
  <c r="BH1147" i="1"/>
  <c r="BH1148" i="1" s="1"/>
  <c r="CH1147" i="1"/>
  <c r="CH1148" i="1" s="1"/>
  <c r="CH1149" i="1" s="1"/>
  <c r="CH1150" i="1" s="1"/>
  <c r="CH1151" i="1" s="1"/>
  <c r="CH1152" i="1" s="1"/>
  <c r="BJ1147" i="1"/>
  <c r="BJ1148" i="1" s="1"/>
  <c r="CB1147" i="1"/>
  <c r="CC1147" i="1" s="1"/>
  <c r="M149" i="1" s="1"/>
  <c r="AH346" i="3" s="1"/>
  <c r="BV1147" i="1"/>
  <c r="L149" i="1" s="1"/>
  <c r="Z346" i="3" s="1"/>
  <c r="BL1147" i="1" l="1"/>
  <c r="BW1147" i="1" s="1"/>
  <c r="BK1147" i="1"/>
  <c r="BI1147" i="1"/>
  <c r="BL1148" i="1"/>
  <c r="BW1148" i="1" s="1"/>
  <c r="CD1148" i="1" s="1"/>
  <c r="BJ1149" i="1"/>
  <c r="BK1148" i="1"/>
  <c r="BH1149" i="1"/>
  <c r="BI1148" i="1"/>
  <c r="BM1147" i="1" l="1"/>
  <c r="BO1147" i="1" s="1"/>
  <c r="BI1149" i="1"/>
  <c r="BH1150" i="1"/>
  <c r="CD1147" i="1"/>
  <c r="BX1147" i="1"/>
  <c r="N149" i="1" s="1"/>
  <c r="BX1148" i="1"/>
  <c r="BK1149" i="1"/>
  <c r="BL1149" i="1"/>
  <c r="BW1149" i="1" s="1"/>
  <c r="BJ1150" i="1"/>
  <c r="BN1147" i="1" l="1"/>
  <c r="BP1147" i="1"/>
  <c r="BI1150" i="1"/>
  <c r="BH1151" i="1"/>
  <c r="AP346" i="3"/>
  <c r="AF148" i="1"/>
  <c r="AI148" i="1" s="1"/>
  <c r="CE1148" i="1"/>
  <c r="CE1147" i="1"/>
  <c r="O149" i="1" s="1"/>
  <c r="AX346" i="3" s="1"/>
  <c r="BK1150" i="1"/>
  <c r="BJ1151" i="1"/>
  <c r="BL1150" i="1"/>
  <c r="BW1150" i="1" s="1"/>
  <c r="CD1149" i="1"/>
  <c r="CE1149" i="1" s="1"/>
  <c r="BX1149" i="1"/>
  <c r="BR1147" i="1" l="1"/>
  <c r="BY1147" i="1"/>
  <c r="Q149" i="1" s="1"/>
  <c r="BN346" i="3" s="1"/>
  <c r="AQ1148" i="1"/>
  <c r="BC1148" i="1" s="1"/>
  <c r="BU1148" i="1" s="1"/>
  <c r="CB1148" i="1" s="1"/>
  <c r="CC1148" i="1" s="1"/>
  <c r="P149" i="1"/>
  <c r="BF346" i="3" s="1"/>
  <c r="BK1151" i="1"/>
  <c r="BJ1152" i="1"/>
  <c r="BL1151" i="1"/>
  <c r="BW1151" i="1" s="1"/>
  <c r="BM1148" i="1"/>
  <c r="BO1148" i="1" s="1"/>
  <c r="CD1150" i="1"/>
  <c r="BX1150" i="1"/>
  <c r="BI1151" i="1"/>
  <c r="BH1152" i="1"/>
  <c r="BI1152" i="1" s="1"/>
  <c r="BV1148" i="1" l="1"/>
  <c r="CE1150" i="1"/>
  <c r="BP1148" i="1"/>
  <c r="CD1151" i="1"/>
  <c r="CE1151" i="1" s="1"/>
  <c r="BX1151" i="1"/>
  <c r="BN1148" i="1"/>
  <c r="BR1148" i="1" s="1"/>
  <c r="AQ1149" i="1" s="1"/>
  <c r="BK1152" i="1"/>
  <c r="BL1152" i="1"/>
  <c r="BW1152" i="1" s="1"/>
  <c r="CD1152" i="1" s="1"/>
  <c r="BX1152" i="1" l="1"/>
  <c r="CE1152" i="1"/>
  <c r="BY1148" i="1"/>
  <c r="BC1149" i="1"/>
  <c r="BU1149" i="1" s="1"/>
  <c r="BM1149" i="1" l="1"/>
  <c r="BP1149" i="1" s="1"/>
  <c r="CB1149" i="1"/>
  <c r="CC1149" i="1" s="1"/>
  <c r="BV1149" i="1"/>
  <c r="BN1149" i="1" l="1"/>
  <c r="BO1149" i="1"/>
  <c r="BR1149" i="1" l="1"/>
  <c r="BY1149" i="1" s="1"/>
  <c r="AQ1150" i="1" l="1"/>
  <c r="BC1150" i="1" s="1"/>
  <c r="BU1150" i="1" s="1"/>
  <c r="CB1150" i="1" s="1"/>
  <c r="CC1150" i="1" s="1"/>
  <c r="BM1150" i="1" l="1"/>
  <c r="BO1150" i="1" s="1"/>
  <c r="BV1150" i="1"/>
  <c r="BH1153" i="1"/>
  <c r="BI1153" i="1" s="1"/>
  <c r="BJ1153" i="1"/>
  <c r="CH1153" i="1"/>
  <c r="CH1154" i="1" s="1"/>
  <c r="CH1155" i="1" s="1"/>
  <c r="BN1150" i="1" l="1"/>
  <c r="BP1150" i="1"/>
  <c r="BH1154" i="1"/>
  <c r="BI1154" i="1" s="1"/>
  <c r="BK1153" i="1"/>
  <c r="BJ1154" i="1"/>
  <c r="BL1153" i="1"/>
  <c r="BR1150" i="1" l="1"/>
  <c r="BY1150" i="1" s="1"/>
  <c r="BH1155" i="1"/>
  <c r="BI1155" i="1" s="1"/>
  <c r="BL1154" i="1"/>
  <c r="BW1154" i="1" s="1"/>
  <c r="CD1154" i="1" s="1"/>
  <c r="BK1154" i="1"/>
  <c r="BJ1155" i="1"/>
  <c r="BW1153" i="1"/>
  <c r="AQ1151" i="1" l="1"/>
  <c r="BC1151" i="1" s="1"/>
  <c r="BU1151" i="1" s="1"/>
  <c r="BV1151" i="1" s="1"/>
  <c r="BX1153" i="1"/>
  <c r="CD1153" i="1"/>
  <c r="BX1154" i="1"/>
  <c r="BK1155" i="1"/>
  <c r="BL1155" i="1"/>
  <c r="BW1155" i="1" s="1"/>
  <c r="CD1155" i="1" s="1"/>
  <c r="BM1151" i="1" l="1"/>
  <c r="BP1151" i="1" s="1"/>
  <c r="CB1151" i="1"/>
  <c r="CC1151" i="1" s="1"/>
  <c r="BN1151" i="1"/>
  <c r="BO1151" i="1"/>
  <c r="BX1155" i="1"/>
  <c r="CE1153" i="1"/>
  <c r="CE1154" i="1"/>
  <c r="CE1155" i="1"/>
  <c r="BR1151" i="1" l="1"/>
  <c r="BY1151" i="1" s="1"/>
  <c r="AQ1152" i="1" l="1"/>
  <c r="BC1152" i="1" s="1"/>
  <c r="BU1152" i="1" s="1"/>
  <c r="BM1152" i="1" l="1"/>
  <c r="BP1152" i="1" s="1"/>
  <c r="BV1152" i="1"/>
  <c r="CB1152" i="1"/>
  <c r="CC1152" i="1" s="1"/>
  <c r="BO1152" i="1" l="1"/>
  <c r="BN1152" i="1"/>
  <c r="BR1152" i="1" l="1"/>
  <c r="AQ1153" i="1" s="1"/>
  <c r="BC1153" i="1" s="1"/>
  <c r="BU1153" i="1" s="1"/>
  <c r="CH1156" i="1"/>
  <c r="CH1157" i="1" s="1"/>
  <c r="CH1158" i="1" s="1"/>
  <c r="BH1156" i="1"/>
  <c r="BY1152" i="1" l="1"/>
  <c r="BM1153" i="1"/>
  <c r="BP1153" i="1" s="1"/>
  <c r="CB1153" i="1"/>
  <c r="CC1153" i="1" s="1"/>
  <c r="BV1153" i="1"/>
  <c r="BJ1156" i="1"/>
  <c r="BL1156" i="1" s="1"/>
  <c r="BH1157" i="1"/>
  <c r="BI1156" i="1"/>
  <c r="BN1153" i="1" l="1"/>
  <c r="BO1153" i="1"/>
  <c r="BJ1157" i="1"/>
  <c r="BL1157" i="1" s="1"/>
  <c r="BW1157" i="1" s="1"/>
  <c r="BK1156" i="1"/>
  <c r="BW1156" i="1"/>
  <c r="BH1158" i="1"/>
  <c r="BI1157" i="1"/>
  <c r="BR1153" i="1" l="1"/>
  <c r="AQ1154" i="1" s="1"/>
  <c r="BC1154" i="1" s="1"/>
  <c r="BU1154" i="1" s="1"/>
  <c r="BJ1158" i="1"/>
  <c r="BL1158" i="1" s="1"/>
  <c r="BW1158" i="1" s="1"/>
  <c r="BK1157" i="1"/>
  <c r="BI1158" i="1"/>
  <c r="CD1157" i="1"/>
  <c r="BX1157" i="1"/>
  <c r="CD1156" i="1"/>
  <c r="BX1156" i="1"/>
  <c r="BY1153" i="1" l="1"/>
  <c r="CB1154" i="1"/>
  <c r="CC1154" i="1" s="1"/>
  <c r="BV1154" i="1"/>
  <c r="BM1154" i="1"/>
  <c r="BK1158" i="1"/>
  <c r="CE1156" i="1"/>
  <c r="CD1158" i="1"/>
  <c r="BX1158" i="1"/>
  <c r="CE1157" i="1"/>
  <c r="BN1154" i="1" l="1"/>
  <c r="BP1154" i="1"/>
  <c r="BO1154" i="1"/>
  <c r="CE1158" i="1"/>
  <c r="BR1154" i="1" l="1"/>
  <c r="AQ1155" i="1" s="1"/>
  <c r="BY1154" i="1" l="1"/>
  <c r="BC1155" i="1"/>
  <c r="BU1155" i="1" s="1"/>
  <c r="BM1155" i="1" l="1"/>
  <c r="BO1155" i="1" s="1"/>
  <c r="CB1155" i="1"/>
  <c r="CC1155" i="1" s="1"/>
  <c r="BV1155" i="1"/>
  <c r="BN1155" i="1" l="1"/>
  <c r="BP1155" i="1"/>
  <c r="BR1155" i="1" l="1"/>
  <c r="AQ1156" i="1" s="1"/>
  <c r="BC1156" i="1" s="1"/>
  <c r="BU1156" i="1" s="1"/>
  <c r="BY1155" i="1" l="1"/>
  <c r="BV1156" i="1"/>
  <c r="CB1156" i="1"/>
  <c r="BM1156" i="1"/>
  <c r="CC1156" i="1" l="1"/>
  <c r="BP1156" i="1"/>
  <c r="BO1156" i="1"/>
  <c r="BN1156" i="1"/>
  <c r="BR1156" i="1" l="1"/>
  <c r="BY1156" i="1" s="1"/>
  <c r="AQ1157" i="1" l="1"/>
  <c r="BC1157" i="1" s="1"/>
  <c r="BU1157" i="1" s="1"/>
  <c r="BM1157" i="1" l="1"/>
  <c r="BN1157" i="1" s="1"/>
  <c r="CB1157" i="1"/>
  <c r="BV1157" i="1"/>
  <c r="BO1157" i="1" l="1"/>
  <c r="BP1157" i="1"/>
  <c r="CC1157" i="1"/>
  <c r="BR1157" i="1" l="1"/>
  <c r="BY1157" i="1" s="1"/>
  <c r="AQ1158" i="1" l="1"/>
  <c r="BC1158" i="1" s="1"/>
  <c r="BU1158" i="1" s="1"/>
  <c r="BM1158" i="1" l="1"/>
  <c r="BO1158" i="1" s="1"/>
  <c r="CB1158" i="1"/>
  <c r="CC1158" i="1" s="1"/>
  <c r="BV1158" i="1"/>
  <c r="BP1158" i="1" l="1"/>
  <c r="BN1158" i="1"/>
  <c r="BR1158" i="1" s="1"/>
  <c r="AQ1159" i="1" s="1"/>
  <c r="BC1159" i="1" s="1"/>
  <c r="CH1159" i="1" l="1"/>
  <c r="CH1160" i="1" s="1"/>
  <c r="CH1161" i="1" s="1"/>
  <c r="CH1162" i="1" s="1"/>
  <c r="CH1163" i="1" s="1"/>
  <c r="CH1164" i="1" s="1"/>
  <c r="BJ1159" i="1"/>
  <c r="BK1159" i="1" s="1"/>
  <c r="BY1158" i="1"/>
  <c r="BH1159" i="1"/>
  <c r="BU1159" i="1"/>
  <c r="BJ1160" i="1" l="1"/>
  <c r="BK1160" i="1" s="1"/>
  <c r="BL1159" i="1"/>
  <c r="BW1159" i="1" s="1"/>
  <c r="CB1159" i="1"/>
  <c r="CC1159" i="1" s="1"/>
  <c r="M150" i="1" s="1"/>
  <c r="BV1159" i="1"/>
  <c r="L150" i="1" s="1"/>
  <c r="BI1159" i="1"/>
  <c r="BH1160" i="1"/>
  <c r="BJ1161" i="1" l="1"/>
  <c r="BK1161" i="1" s="1"/>
  <c r="BL1160" i="1"/>
  <c r="BW1160" i="1" s="1"/>
  <c r="CD1160" i="1" s="1"/>
  <c r="BM1159" i="1"/>
  <c r="BO1159" i="1" s="1"/>
  <c r="Z347" i="3"/>
  <c r="AH347" i="3"/>
  <c r="CD1159" i="1"/>
  <c r="CE1159" i="1" s="1"/>
  <c r="O150" i="1" s="1"/>
  <c r="BX1159" i="1"/>
  <c r="N150" i="1" s="1"/>
  <c r="BI1160" i="1"/>
  <c r="BH1161" i="1"/>
  <c r="BP1159" i="1" l="1"/>
  <c r="BJ1162" i="1"/>
  <c r="BK1162" i="1" s="1"/>
  <c r="BL1161" i="1"/>
  <c r="BW1161" i="1" s="1"/>
  <c r="BN1159" i="1"/>
  <c r="BX1160" i="1"/>
  <c r="AX347" i="3"/>
  <c r="BR1159" i="1"/>
  <c r="AQ1160" i="1" s="1"/>
  <c r="CE1160" i="1"/>
  <c r="AF149" i="1"/>
  <c r="AI149" i="1" s="1"/>
  <c r="AP347" i="3"/>
  <c r="BJ1163" i="1"/>
  <c r="BL1162" i="1"/>
  <c r="BW1162" i="1" s="1"/>
  <c r="BI1161" i="1"/>
  <c r="BH1162" i="1"/>
  <c r="CD1161" i="1"/>
  <c r="BX1161" i="1"/>
  <c r="P150" i="1" l="1"/>
  <c r="BF347" i="3" s="1"/>
  <c r="BY1159" i="1"/>
  <c r="Q150" i="1" s="1"/>
  <c r="BN347" i="3" s="1"/>
  <c r="BC1160" i="1"/>
  <c r="BU1160" i="1" s="1"/>
  <c r="CE1161" i="1"/>
  <c r="CD1162" i="1"/>
  <c r="BX1162" i="1"/>
  <c r="BK1163" i="1"/>
  <c r="BJ1164" i="1"/>
  <c r="BI1162" i="1"/>
  <c r="BH1163" i="1"/>
  <c r="BM1160" i="1" l="1"/>
  <c r="BP1160" i="1" s="1"/>
  <c r="BL1163" i="1"/>
  <c r="BW1163" i="1" s="1"/>
  <c r="BH1164" i="1"/>
  <c r="BI1164" i="1" s="1"/>
  <c r="BI1163" i="1"/>
  <c r="CE1162" i="1"/>
  <c r="CB1160" i="1"/>
  <c r="BV1160" i="1"/>
  <c r="BK1164" i="1"/>
  <c r="BL1164" i="1"/>
  <c r="BW1164" i="1" s="1"/>
  <c r="CD1164" i="1" s="1"/>
  <c r="BN1160" i="1" l="1"/>
  <c r="BO1160" i="1"/>
  <c r="CC1160" i="1"/>
  <c r="CD1163" i="1"/>
  <c r="BX1163" i="1"/>
  <c r="BX1164" i="1"/>
  <c r="BR1160" i="1" l="1"/>
  <c r="BY1160" i="1" s="1"/>
  <c r="CE1163" i="1"/>
  <c r="CE1164" i="1"/>
  <c r="AQ1161" i="1" l="1"/>
  <c r="BC1161" i="1" s="1"/>
  <c r="BU1161" i="1" s="1"/>
  <c r="CB1161" i="1" s="1"/>
  <c r="CC1161" i="1" s="1"/>
  <c r="BV1161" i="1" l="1"/>
  <c r="BM1161" i="1"/>
  <c r="BN1161" i="1" s="1"/>
  <c r="BO1161" i="1" l="1"/>
  <c r="BP1161" i="1"/>
  <c r="BR1161" i="1" l="1"/>
  <c r="BY1161" i="1" s="1"/>
  <c r="AQ1162" i="1" l="1"/>
  <c r="BC1162" i="1" s="1"/>
  <c r="BU1162" i="1" s="1"/>
  <c r="BV1162" i="1" s="1"/>
  <c r="BM1162" i="1" l="1"/>
  <c r="BO1162" i="1" s="1"/>
  <c r="CB1162" i="1"/>
  <c r="CC1162" i="1" s="1"/>
  <c r="BP1162" i="1"/>
  <c r="BN1162" i="1" l="1"/>
  <c r="BR1162" i="1" s="1"/>
  <c r="AQ1163" i="1" s="1"/>
  <c r="BC1163" i="1" s="1"/>
  <c r="BU1163" i="1" s="1"/>
  <c r="CB1163" i="1" s="1"/>
  <c r="CC1163" i="1" s="1"/>
  <c r="BY1162" i="1" l="1"/>
  <c r="BM1163" i="1"/>
  <c r="BP1163" i="1" s="1"/>
  <c r="BV1163" i="1"/>
  <c r="BO1163" i="1" l="1"/>
  <c r="BN1163" i="1"/>
  <c r="BR1163" i="1" l="1"/>
  <c r="BY1163" i="1" s="1"/>
  <c r="BH1165" i="1"/>
  <c r="AQ1164" i="1" l="1"/>
  <c r="BC1164" i="1" s="1"/>
  <c r="BU1164" i="1" s="1"/>
  <c r="BV1164" i="1" s="1"/>
  <c r="BJ1165" i="1"/>
  <c r="BK1165" i="1" s="1"/>
  <c r="CH1165" i="1"/>
  <c r="CH1166" i="1" s="1"/>
  <c r="CH1167" i="1" s="1"/>
  <c r="BI1165" i="1"/>
  <c r="BH1166" i="1"/>
  <c r="CB1164" i="1" l="1"/>
  <c r="CC1164" i="1" s="1"/>
  <c r="BM1164" i="1"/>
  <c r="BN1164" i="1" s="1"/>
  <c r="BJ1166" i="1"/>
  <c r="BK1166" i="1" s="1"/>
  <c r="BL1165" i="1"/>
  <c r="BW1165" i="1" s="1"/>
  <c r="BI1166" i="1"/>
  <c r="BH1167" i="1"/>
  <c r="BI1167" i="1" s="1"/>
  <c r="BO1164" i="1" l="1"/>
  <c r="BP1164" i="1"/>
  <c r="BR1164" i="1"/>
  <c r="BY1164" i="1" s="1"/>
  <c r="BJ1167" i="1"/>
  <c r="BL1167" i="1" s="1"/>
  <c r="BW1167" i="1" s="1"/>
  <c r="CD1167" i="1" s="1"/>
  <c r="BL1166" i="1"/>
  <c r="BW1166" i="1" s="1"/>
  <c r="CD1166" i="1" s="1"/>
  <c r="CD1165" i="1"/>
  <c r="BX1165" i="1"/>
  <c r="AQ1165" i="1" l="1"/>
  <c r="BC1165" i="1" s="1"/>
  <c r="BU1165" i="1" s="1"/>
  <c r="CB1165" i="1" s="1"/>
  <c r="CC1165" i="1" s="1"/>
  <c r="BX1166" i="1"/>
  <c r="BK1167" i="1"/>
  <c r="BX1167" i="1"/>
  <c r="CE1165" i="1"/>
  <c r="CE1166" i="1"/>
  <c r="CE1167" i="1"/>
  <c r="BV1165" i="1" l="1"/>
  <c r="BM1165" i="1"/>
  <c r="BO1165" i="1" s="1"/>
  <c r="BN1165" i="1" l="1"/>
  <c r="BP1165" i="1"/>
  <c r="BR1165" i="1" l="1"/>
  <c r="BY1165" i="1" l="1"/>
  <c r="AQ1166" i="1"/>
  <c r="BC1166" i="1" l="1"/>
  <c r="BU1166" i="1" s="1"/>
  <c r="BM1166" i="1" l="1"/>
  <c r="BO1166" i="1" s="1"/>
  <c r="CB1166" i="1"/>
  <c r="CC1166" i="1" s="1"/>
  <c r="BV1166" i="1"/>
  <c r="CH1168" i="1"/>
  <c r="CH1169" i="1" s="1"/>
  <c r="CH1170" i="1" s="1"/>
  <c r="BJ1168" i="1"/>
  <c r="BN1166" i="1" l="1"/>
  <c r="BP1166" i="1"/>
  <c r="BH1168" i="1"/>
  <c r="BL1168" i="1" s="1"/>
  <c r="BJ1169" i="1"/>
  <c r="BK1168" i="1"/>
  <c r="BR1166" i="1" l="1"/>
  <c r="AQ1167" i="1" s="1"/>
  <c r="BC1167" i="1" s="1"/>
  <c r="BU1167" i="1" s="1"/>
  <c r="BH1169" i="1"/>
  <c r="BI1169" i="1" s="1"/>
  <c r="BI1168" i="1"/>
  <c r="BW1168" i="1"/>
  <c r="BL1169" i="1"/>
  <c r="BW1169" i="1" s="1"/>
  <c r="BK1169" i="1"/>
  <c r="BJ1170" i="1"/>
  <c r="BY1166" i="1" l="1"/>
  <c r="BM1167" i="1"/>
  <c r="BO1167" i="1" s="1"/>
  <c r="BV1167" i="1"/>
  <c r="CB1167" i="1"/>
  <c r="CC1167" i="1" s="1"/>
  <c r="BH1170" i="1"/>
  <c r="BI1170" i="1" s="1"/>
  <c r="CD1168" i="1"/>
  <c r="BX1168" i="1"/>
  <c r="BL1170" i="1"/>
  <c r="BW1170" i="1" s="1"/>
  <c r="BK1170" i="1"/>
  <c r="CD1169" i="1"/>
  <c r="BX1169" i="1"/>
  <c r="BP1167" i="1" l="1"/>
  <c r="BN1167" i="1"/>
  <c r="CE1169" i="1"/>
  <c r="CE1168" i="1"/>
  <c r="CD1170" i="1"/>
  <c r="BX1170" i="1"/>
  <c r="BR1167" i="1" l="1"/>
  <c r="AQ1168" i="1" s="1"/>
  <c r="CE1170" i="1"/>
  <c r="BY1167" i="1" l="1"/>
  <c r="BC1168" i="1"/>
  <c r="BU1168" i="1" s="1"/>
  <c r="BM1168" i="1" l="1"/>
  <c r="BP1168" i="1" s="1"/>
  <c r="CB1168" i="1"/>
  <c r="CC1168" i="1" s="1"/>
  <c r="BV1168" i="1"/>
  <c r="BO1168" i="1" l="1"/>
  <c r="BN1168" i="1"/>
  <c r="BR1168" i="1" l="1"/>
  <c r="AQ1169" i="1" s="1"/>
  <c r="BC1169" i="1" s="1"/>
  <c r="BU1169" i="1" s="1"/>
  <c r="BY1168" i="1" l="1"/>
  <c r="BM1169" i="1"/>
  <c r="BP1169" i="1" s="1"/>
  <c r="BV1169" i="1"/>
  <c r="CB1169" i="1"/>
  <c r="CC1169" i="1" s="1"/>
  <c r="BO1169" i="1" l="1"/>
  <c r="BN1169" i="1"/>
  <c r="BR1169" i="1" l="1"/>
  <c r="BY1169" i="1" s="1"/>
  <c r="AQ1170" i="1" l="1"/>
  <c r="BC1170" i="1" s="1"/>
  <c r="BU1170" i="1" s="1"/>
  <c r="CB1170" i="1" s="1"/>
  <c r="CC1170" i="1" s="1"/>
  <c r="BV1170" i="1" l="1"/>
  <c r="BM1170" i="1"/>
  <c r="BP1170" i="1" s="1"/>
  <c r="BN1170" i="1"/>
  <c r="BO1170" i="1" l="1"/>
  <c r="BR1170" i="1" s="1"/>
  <c r="AQ1171" i="1" l="1"/>
  <c r="BC1171" i="1" s="1"/>
  <c r="CH1171" i="1" s="1"/>
  <c r="BY1170" i="1"/>
  <c r="BU1171" i="1"/>
  <c r="BH1171" i="1"/>
  <c r="BI1171" i="1" s="1"/>
  <c r="BJ1171" i="1"/>
  <c r="BK1171" i="1" l="1"/>
  <c r="BL1171" i="1"/>
  <c r="CB1171" i="1"/>
  <c r="CC1171" i="1" s="1"/>
  <c r="M151" i="1" s="1"/>
  <c r="AH348" i="3" s="1"/>
  <c r="BV1171" i="1"/>
  <c r="L151" i="1" s="1"/>
  <c r="Z348" i="3" s="1"/>
  <c r="BW1171" i="1" l="1"/>
  <c r="BM1171" i="1"/>
  <c r="BN1171" i="1" l="1"/>
  <c r="BP1171" i="1"/>
  <c r="BO1171" i="1"/>
  <c r="BX1171" i="1"/>
  <c r="N151" i="1" s="1"/>
  <c r="CD1171" i="1"/>
  <c r="CE1171" i="1" s="1"/>
  <c r="O151" i="1" s="1"/>
  <c r="AX348" i="3" s="1"/>
  <c r="CH1172" i="1"/>
  <c r="CH1173" i="1" s="1"/>
  <c r="CH1174" i="1" s="1"/>
  <c r="CH1175" i="1" s="1"/>
  <c r="CH1176" i="1" s="1"/>
  <c r="BJ1172" i="1"/>
  <c r="BK1172" i="1" s="1"/>
  <c r="BH1172" i="1"/>
  <c r="BI1172" i="1" s="1"/>
  <c r="AF150" i="1" l="1"/>
  <c r="AI150" i="1" s="1"/>
  <c r="AP348" i="3"/>
  <c r="BR1171" i="1"/>
  <c r="BJ1173" i="1"/>
  <c r="BK1173" i="1" s="1"/>
  <c r="BL1172" i="1"/>
  <c r="BW1172" i="1" s="1"/>
  <c r="BH1173" i="1"/>
  <c r="BY1171" i="1" l="1"/>
  <c r="Q151" i="1" s="1"/>
  <c r="BN348" i="3" s="1"/>
  <c r="P151" i="1"/>
  <c r="BF348" i="3" s="1"/>
  <c r="AQ1172" i="1"/>
  <c r="BC1172" i="1" s="1"/>
  <c r="BU1172" i="1" s="1"/>
  <c r="BL1173" i="1"/>
  <c r="BW1173" i="1" s="1"/>
  <c r="CD1173" i="1" s="1"/>
  <c r="BJ1174" i="1"/>
  <c r="BK1174" i="1" s="1"/>
  <c r="BH1174" i="1"/>
  <c r="BI1174" i="1" s="1"/>
  <c r="BI1173" i="1"/>
  <c r="CD1172" i="1"/>
  <c r="BX1172" i="1"/>
  <c r="BM1172" i="1" l="1"/>
  <c r="BP1172" i="1" s="1"/>
  <c r="CB1172" i="1"/>
  <c r="CC1172" i="1" s="1"/>
  <c r="BV1172" i="1"/>
  <c r="BX1173" i="1"/>
  <c r="BJ1175" i="1"/>
  <c r="BL1175" i="1" s="1"/>
  <c r="BW1175" i="1" s="1"/>
  <c r="CD1175" i="1" s="1"/>
  <c r="BH1175" i="1"/>
  <c r="BI1175" i="1" s="1"/>
  <c r="BL1174" i="1"/>
  <c r="BW1174" i="1" s="1"/>
  <c r="CD1174" i="1" s="1"/>
  <c r="CE1174" i="1" s="1"/>
  <c r="CE1172" i="1"/>
  <c r="CE1173" i="1"/>
  <c r="BO1172" i="1" l="1"/>
  <c r="BN1172" i="1"/>
  <c r="BH1176" i="1"/>
  <c r="BI1176" i="1" s="1"/>
  <c r="BJ1176" i="1"/>
  <c r="BK1176" i="1" s="1"/>
  <c r="CE1175" i="1"/>
  <c r="BX1174" i="1"/>
  <c r="BK1175" i="1"/>
  <c r="BX1175" i="1"/>
  <c r="BR1172" i="1" l="1"/>
  <c r="BY1172" i="1" s="1"/>
  <c r="AQ1173" i="1"/>
  <c r="BC1173" i="1" s="1"/>
  <c r="BU1173" i="1" s="1"/>
  <c r="BV1173" i="1" s="1"/>
  <c r="BL1176" i="1"/>
  <c r="BW1176" i="1" s="1"/>
  <c r="CD1176" i="1" s="1"/>
  <c r="BX1176" i="1" l="1"/>
  <c r="CB1173" i="1"/>
  <c r="CC1173" i="1" s="1"/>
  <c r="BM1173" i="1"/>
  <c r="BN1173" i="1" s="1"/>
  <c r="CE1176" i="1"/>
  <c r="BP1173" i="1" l="1"/>
  <c r="BO1173" i="1"/>
  <c r="BR1173" i="1" l="1"/>
  <c r="AQ1174" i="1" s="1"/>
  <c r="BC1174" i="1" s="1"/>
  <c r="BU1174" i="1" s="1"/>
  <c r="BY1173" i="1" l="1"/>
  <c r="CB1174" i="1"/>
  <c r="CC1174" i="1" s="1"/>
  <c r="BV1174" i="1"/>
  <c r="BM1174" i="1"/>
  <c r="BO1174" i="1" l="1"/>
  <c r="BP1174" i="1"/>
  <c r="BN1174" i="1"/>
  <c r="BR1174" i="1" l="1"/>
  <c r="AQ1175" i="1" s="1"/>
  <c r="BY1174" i="1" l="1"/>
  <c r="BC1175" i="1"/>
  <c r="BU1175" i="1" s="1"/>
  <c r="BM1175" i="1" l="1"/>
  <c r="BN1175" i="1" s="1"/>
  <c r="CB1175" i="1"/>
  <c r="CC1175" i="1" s="1"/>
  <c r="BV1175" i="1"/>
  <c r="BO1175" i="1" l="1"/>
  <c r="BP1175" i="1"/>
  <c r="BR1175" i="1" l="1"/>
  <c r="AQ1176" i="1" s="1"/>
  <c r="BC1176" i="1" s="1"/>
  <c r="BU1176" i="1" s="1"/>
  <c r="BY1175" i="1" l="1"/>
  <c r="BM1176" i="1"/>
  <c r="BN1176" i="1" s="1"/>
  <c r="CB1176" i="1"/>
  <c r="CC1176" i="1" s="1"/>
  <c r="BV1176" i="1"/>
  <c r="BO1176" i="1" l="1"/>
  <c r="BP1176" i="1"/>
  <c r="BR1176" i="1" l="1"/>
  <c r="AQ1177" i="1" s="1"/>
  <c r="BC1177" i="1" l="1"/>
  <c r="BU1177" i="1" s="1"/>
  <c r="BV1177" i="1" s="1"/>
  <c r="CH1177" i="1"/>
  <c r="CH1178" i="1" s="1"/>
  <c r="CH1179" i="1" s="1"/>
  <c r="BJ1177" i="1"/>
  <c r="BH1177" i="1"/>
  <c r="BY1176" i="1"/>
  <c r="CB1177" i="1" l="1"/>
  <c r="CC1177" i="1" s="1"/>
  <c r="BI1177" i="1"/>
  <c r="BH1178" i="1"/>
  <c r="BK1177" i="1"/>
  <c r="BL1177" i="1"/>
  <c r="BJ1178" i="1"/>
  <c r="BI1178" i="1" l="1"/>
  <c r="BH1179" i="1"/>
  <c r="BI1179" i="1" s="1"/>
  <c r="BK1178" i="1"/>
  <c r="BJ1179" i="1"/>
  <c r="BL1178" i="1"/>
  <c r="BW1178" i="1" s="1"/>
  <c r="CD1178" i="1" s="1"/>
  <c r="BW1177" i="1"/>
  <c r="BM1177" i="1"/>
  <c r="BO1177" i="1" l="1"/>
  <c r="BP1177" i="1"/>
  <c r="BN1177" i="1"/>
  <c r="CD1177" i="1"/>
  <c r="BX1177" i="1"/>
  <c r="BX1178" i="1"/>
  <c r="BL1179" i="1"/>
  <c r="BW1179" i="1" s="1"/>
  <c r="CD1179" i="1" s="1"/>
  <c r="BK1179" i="1"/>
  <c r="BR1177" i="1" l="1"/>
  <c r="AQ1178" i="1" s="1"/>
  <c r="BC1178" i="1" s="1"/>
  <c r="BU1178" i="1" s="1"/>
  <c r="BV1178" i="1" s="1"/>
  <c r="BX1179" i="1"/>
  <c r="CE1177" i="1"/>
  <c r="CE1178" i="1"/>
  <c r="CE1179" i="1"/>
  <c r="BY1177" i="1" l="1"/>
  <c r="BM1178" i="1"/>
  <c r="BN1178" i="1" s="1"/>
  <c r="CB1178" i="1"/>
  <c r="CC1178" i="1" s="1"/>
  <c r="BP1178" i="1" l="1"/>
  <c r="BO1178" i="1"/>
  <c r="BR1178" i="1" l="1"/>
  <c r="AQ1179" i="1" s="1"/>
  <c r="BC1179" i="1" s="1"/>
  <c r="BU1179" i="1" s="1"/>
  <c r="BV1179" i="1" s="1"/>
  <c r="CB1179" i="1" l="1"/>
  <c r="CC1179" i="1" s="1"/>
  <c r="BM1179" i="1"/>
  <c r="BN1179" i="1" s="1"/>
  <c r="BY1178" i="1"/>
  <c r="BO1179" i="1" l="1"/>
  <c r="BP1179" i="1"/>
  <c r="BR1179" i="1" l="1"/>
  <c r="BY1179" i="1" s="1"/>
  <c r="CH1180" i="1"/>
  <c r="CH1181" i="1" s="1"/>
  <c r="CH1182" i="1" s="1"/>
  <c r="BJ1180" i="1"/>
  <c r="BH1180" i="1"/>
  <c r="AQ1180" i="1" l="1"/>
  <c r="BC1180" i="1" s="1"/>
  <c r="BU1180" i="1" s="1"/>
  <c r="CB1180" i="1" s="1"/>
  <c r="BK1180" i="1"/>
  <c r="BL1180" i="1"/>
  <c r="BJ1181" i="1"/>
  <c r="BI1180" i="1"/>
  <c r="BH1181" i="1"/>
  <c r="BV1180" i="1" l="1"/>
  <c r="CC1180" i="1"/>
  <c r="BH1182" i="1"/>
  <c r="BI1181" i="1"/>
  <c r="BL1181" i="1"/>
  <c r="BW1181" i="1" s="1"/>
  <c r="BJ1182" i="1"/>
  <c r="BK1181" i="1"/>
  <c r="BW1180" i="1"/>
  <c r="BM1180" i="1"/>
  <c r="BI1182" i="1" l="1"/>
  <c r="CD1180" i="1"/>
  <c r="BX1180" i="1"/>
  <c r="BK1182" i="1"/>
  <c r="BL1182" i="1"/>
  <c r="BW1182" i="1" s="1"/>
  <c r="BO1180" i="1"/>
  <c r="BN1180" i="1"/>
  <c r="BP1180" i="1"/>
  <c r="CD1181" i="1"/>
  <c r="BX1181" i="1"/>
  <c r="BR1180" i="1" l="1"/>
  <c r="AQ1181" i="1" s="1"/>
  <c r="CD1182" i="1"/>
  <c r="BX1182" i="1"/>
  <c r="CE1181" i="1"/>
  <c r="CE1180" i="1"/>
  <c r="BY1180" i="1" l="1"/>
  <c r="CE1182" i="1"/>
  <c r="BC1181" i="1"/>
  <c r="BU1181" i="1" s="1"/>
  <c r="BM1181" i="1" l="1"/>
  <c r="BP1181" i="1" s="1"/>
  <c r="CB1181" i="1"/>
  <c r="BV1181" i="1"/>
  <c r="BN1181" i="1" l="1"/>
  <c r="BO1181" i="1"/>
  <c r="CC1181" i="1"/>
  <c r="BR1181" i="1" l="1"/>
  <c r="AQ1182" i="1" s="1"/>
  <c r="BY1181" i="1" l="1"/>
  <c r="BC1182" i="1"/>
  <c r="BU1182" i="1" s="1"/>
  <c r="CB1182" i="1" l="1"/>
  <c r="BV1182" i="1"/>
  <c r="BM1182" i="1"/>
  <c r="BN1182" i="1" l="1"/>
  <c r="BP1182" i="1"/>
  <c r="BO1182" i="1"/>
  <c r="CC1182" i="1"/>
  <c r="BR1182" i="1" l="1"/>
  <c r="BY1182" i="1" l="1"/>
  <c r="AQ1183" i="1"/>
  <c r="BC1183" i="1" l="1"/>
  <c r="BU1183" i="1" s="1"/>
  <c r="CH1183" i="1" l="1"/>
  <c r="BJ1183" i="1"/>
  <c r="BK1183" i="1" s="1"/>
  <c r="BH1183" i="1"/>
  <c r="BI1183" i="1" s="1"/>
  <c r="CB1183" i="1"/>
  <c r="BV1183" i="1"/>
  <c r="L152" i="1" s="1"/>
  <c r="BL1183" i="1" l="1"/>
  <c r="Z349" i="3"/>
  <c r="CC1183" i="1"/>
  <c r="M152" i="1" s="1"/>
  <c r="BW1183" i="1" l="1"/>
  <c r="BM1183" i="1"/>
  <c r="AH349" i="3"/>
  <c r="BN1183" i="1" l="1"/>
  <c r="BO1183" i="1"/>
  <c r="BP1183" i="1"/>
  <c r="CD1183" i="1"/>
  <c r="CE1183" i="1" s="1"/>
  <c r="O152" i="1" s="1"/>
  <c r="BX1183" i="1"/>
  <c r="N152" i="1" s="1"/>
  <c r="AF151" i="1" l="1"/>
  <c r="AI151" i="1" s="1"/>
  <c r="AP349" i="3"/>
  <c r="AX349" i="3"/>
  <c r="BR1183" i="1"/>
  <c r="CH1184" i="1"/>
  <c r="CH1185" i="1" s="1"/>
  <c r="CH1186" i="1" s="1"/>
  <c r="CH1187" i="1" s="1"/>
  <c r="CH1188" i="1" s="1"/>
  <c r="BJ1184" i="1"/>
  <c r="BH1184" i="1"/>
  <c r="BY1183" i="1" l="1"/>
  <c r="Q152" i="1" s="1"/>
  <c r="P152" i="1"/>
  <c r="AQ1184" i="1"/>
  <c r="BC1184" i="1" s="1"/>
  <c r="BU1184" i="1" s="1"/>
  <c r="BH1185" i="1"/>
  <c r="BI1184" i="1"/>
  <c r="BK1184" i="1"/>
  <c r="BL1184" i="1"/>
  <c r="BJ1185" i="1"/>
  <c r="BF349" i="3" l="1"/>
  <c r="BV1184" i="1"/>
  <c r="CB1184" i="1"/>
  <c r="CC1184" i="1" s="1"/>
  <c r="BN349" i="3"/>
  <c r="BJ1186" i="1"/>
  <c r="BL1185" i="1"/>
  <c r="BW1185" i="1" s="1"/>
  <c r="CD1185" i="1" s="1"/>
  <c r="BK1185" i="1"/>
  <c r="BW1184" i="1"/>
  <c r="BM1184" i="1"/>
  <c r="BI1185" i="1"/>
  <c r="BH1186" i="1"/>
  <c r="BI1186" i="1" l="1"/>
  <c r="BH1187" i="1"/>
  <c r="BN1184" i="1"/>
  <c r="BO1184" i="1"/>
  <c r="BP1184" i="1"/>
  <c r="CD1184" i="1"/>
  <c r="BX1184" i="1"/>
  <c r="BX1185" i="1"/>
  <c r="BJ1187" i="1"/>
  <c r="BL1186" i="1"/>
  <c r="BW1186" i="1" s="1"/>
  <c r="CD1186" i="1" s="1"/>
  <c r="BK1186" i="1"/>
  <c r="BR1184" i="1" l="1"/>
  <c r="BY1184" i="1" s="1"/>
  <c r="BX1186" i="1"/>
  <c r="CE1184" i="1"/>
  <c r="CE1185" i="1"/>
  <c r="CE1186" i="1"/>
  <c r="BK1187" i="1"/>
  <c r="BL1187" i="1"/>
  <c r="BW1187" i="1" s="1"/>
  <c r="BX1187" i="1" s="1"/>
  <c r="BJ1188" i="1"/>
  <c r="BI1187" i="1"/>
  <c r="BH1188" i="1"/>
  <c r="AQ1185" i="1" l="1"/>
  <c r="BC1185" i="1" s="1"/>
  <c r="BU1185" i="1" s="1"/>
  <c r="BL1188" i="1"/>
  <c r="BW1188" i="1" s="1"/>
  <c r="BK1188" i="1"/>
  <c r="CD1187" i="1"/>
  <c r="BI1188" i="1"/>
  <c r="BM1185" i="1" l="1"/>
  <c r="BN1185" i="1" s="1"/>
  <c r="CD1188" i="1"/>
  <c r="CE1188" i="1" s="1"/>
  <c r="BX1188" i="1"/>
  <c r="CE1187" i="1"/>
  <c r="CB1185" i="1"/>
  <c r="CC1185" i="1" s="1"/>
  <c r="BV1185" i="1"/>
  <c r="BP1185" i="1" l="1"/>
  <c r="BO1185" i="1"/>
  <c r="BR1185" i="1" l="1"/>
  <c r="AQ1186" i="1" s="1"/>
  <c r="BY1185" i="1" l="1"/>
  <c r="BC1186" i="1"/>
  <c r="BU1186" i="1" s="1"/>
  <c r="BM1186" i="1" l="1"/>
  <c r="BN1186" i="1" s="1"/>
  <c r="CB1186" i="1"/>
  <c r="CC1186" i="1" s="1"/>
  <c r="BV1186" i="1"/>
  <c r="BP1186" i="1" l="1"/>
  <c r="BO1186" i="1"/>
  <c r="BR1186" i="1" l="1"/>
  <c r="AQ1187" i="1" s="1"/>
  <c r="BC1187" i="1" s="1"/>
  <c r="BU1187" i="1" s="1"/>
  <c r="BY1186" i="1" l="1"/>
  <c r="BM1187" i="1"/>
  <c r="BP1187" i="1" s="1"/>
  <c r="CB1187" i="1"/>
  <c r="CC1187" i="1" s="1"/>
  <c r="BV1187" i="1"/>
  <c r="BO1187" i="1" l="1"/>
  <c r="BN1187" i="1"/>
  <c r="BR1187" i="1" l="1"/>
  <c r="AQ1188" i="1" s="1"/>
  <c r="BY1187" i="1" l="1"/>
  <c r="BC1188" i="1"/>
  <c r="BU1188" i="1" s="1"/>
  <c r="BM1188" i="1" l="1"/>
  <c r="BO1188" i="1" s="1"/>
  <c r="CB1188" i="1"/>
  <c r="CC1188" i="1" s="1"/>
  <c r="BV1188" i="1"/>
  <c r="BP1188" i="1" l="1"/>
  <c r="BN1188" i="1"/>
  <c r="BR1188" i="1" l="1"/>
  <c r="AQ1189" i="1" s="1"/>
  <c r="BY1188" i="1" l="1"/>
  <c r="BC1189" i="1"/>
  <c r="BU1189" i="1" s="1"/>
  <c r="CB1189" i="1" s="1"/>
  <c r="CC1189" i="1" s="1"/>
  <c r="CH1189" i="1"/>
  <c r="CH1190" i="1" s="1"/>
  <c r="CH1191" i="1" s="1"/>
  <c r="BJ1189" i="1"/>
  <c r="BH1189" i="1"/>
  <c r="BV1189" i="1"/>
  <c r="BI1189" i="1" l="1"/>
  <c r="BH1190" i="1"/>
  <c r="BL1189" i="1"/>
  <c r="BK1189" i="1"/>
  <c r="BJ1190" i="1"/>
  <c r="BW1189" i="1" l="1"/>
  <c r="BM1189" i="1"/>
  <c r="BI1190" i="1"/>
  <c r="BH1191" i="1"/>
  <c r="BI1191" i="1" s="1"/>
  <c r="BJ1191" i="1"/>
  <c r="BL1190" i="1"/>
  <c r="BW1190" i="1" s="1"/>
  <c r="CD1190" i="1" s="1"/>
  <c r="BK1190" i="1"/>
  <c r="BL1191" i="1" l="1"/>
  <c r="BW1191" i="1" s="1"/>
  <c r="CD1191" i="1" s="1"/>
  <c r="BK1191" i="1"/>
  <c r="BO1189" i="1"/>
  <c r="BN1189" i="1"/>
  <c r="BP1189" i="1"/>
  <c r="BX1189" i="1"/>
  <c r="CD1189" i="1"/>
  <c r="CE1190" i="1" s="1"/>
  <c r="BX1190" i="1"/>
  <c r="BX1191" i="1" l="1"/>
  <c r="BR1189" i="1"/>
  <c r="BY1189" i="1" s="1"/>
  <c r="CE1189" i="1"/>
  <c r="CE1191" i="1"/>
  <c r="AQ1190" i="1" l="1"/>
  <c r="BC1190" i="1" s="1"/>
  <c r="BU1190" i="1" s="1"/>
  <c r="CB1190" i="1" s="1"/>
  <c r="CC1190" i="1" s="1"/>
  <c r="BV1190" i="1" l="1"/>
  <c r="BM1190" i="1"/>
  <c r="BN1190" i="1" s="1"/>
  <c r="BP1190" i="1" l="1"/>
  <c r="BO1190" i="1"/>
  <c r="BR1190" i="1" l="1"/>
  <c r="BY1190" i="1" s="1"/>
  <c r="AQ1191" i="1" l="1"/>
  <c r="BC1191" i="1" s="1"/>
  <c r="BU1191" i="1" s="1"/>
  <c r="BV1191" i="1" s="1"/>
  <c r="CH1192" i="1"/>
  <c r="CH1193" i="1" s="1"/>
  <c r="CH1194" i="1" s="1"/>
  <c r="BJ1192" i="1"/>
  <c r="BH1192" i="1"/>
  <c r="BI1192" i="1" s="1"/>
  <c r="BM1191" i="1" l="1"/>
  <c r="BN1191" i="1" s="1"/>
  <c r="CB1191" i="1"/>
  <c r="CC1191" i="1" s="1"/>
  <c r="BL1192" i="1"/>
  <c r="BW1192" i="1" s="1"/>
  <c r="BX1192" i="1" s="1"/>
  <c r="BJ1193" i="1"/>
  <c r="BJ1194" i="1" s="1"/>
  <c r="BK1192" i="1"/>
  <c r="BH1193" i="1"/>
  <c r="BH1194" i="1" s="1"/>
  <c r="BP1191" i="1" l="1"/>
  <c r="BO1191" i="1"/>
  <c r="CD1192" i="1"/>
  <c r="CE1192" i="1" s="1"/>
  <c r="BL1193" i="1"/>
  <c r="BW1193" i="1" s="1"/>
  <c r="CD1193" i="1" s="1"/>
  <c r="BK1193" i="1"/>
  <c r="BI1193" i="1"/>
  <c r="BI1194" i="1"/>
  <c r="BK1194" i="1"/>
  <c r="BL1194" i="1"/>
  <c r="BW1194" i="1" s="1"/>
  <c r="BR1191" i="1" l="1"/>
  <c r="BY1191" i="1" s="1"/>
  <c r="BX1193" i="1"/>
  <c r="CE1193" i="1"/>
  <c r="CD1194" i="1"/>
  <c r="BX1194" i="1"/>
  <c r="AQ1192" i="1" l="1"/>
  <c r="BC1192" i="1" s="1"/>
  <c r="BU1192" i="1" s="1"/>
  <c r="CE1194" i="1"/>
  <c r="BM1192" i="1" l="1"/>
  <c r="BP1192" i="1" s="1"/>
  <c r="BV1192" i="1"/>
  <c r="CB1192" i="1"/>
  <c r="CC1192" i="1" s="1"/>
  <c r="BO1192" i="1" l="1"/>
  <c r="BN1192" i="1"/>
  <c r="BR1192" i="1" l="1"/>
  <c r="BY1192" i="1" s="1"/>
  <c r="AQ1193" i="1" l="1"/>
  <c r="BC1193" i="1" s="1"/>
  <c r="BU1193" i="1" s="1"/>
  <c r="BM1193" i="1" l="1"/>
  <c r="BP1193" i="1" s="1"/>
  <c r="BV1193" i="1"/>
  <c r="CB1193" i="1"/>
  <c r="CC1193" i="1" s="1"/>
  <c r="BN1193" i="1" l="1"/>
  <c r="BO1193" i="1"/>
  <c r="BR1193" i="1" l="1"/>
  <c r="BY1193" i="1" s="1"/>
  <c r="AQ1194" i="1" l="1"/>
  <c r="BC1194" i="1" s="1"/>
  <c r="BU1194" i="1" s="1"/>
  <c r="CB1194" i="1" s="1"/>
  <c r="CC1194" i="1" s="1"/>
  <c r="BV1194" i="1" l="1"/>
  <c r="BM1194" i="1"/>
  <c r="BO1194" i="1" s="1"/>
  <c r="BP1194" i="1" l="1"/>
  <c r="BN1194" i="1"/>
  <c r="BR1194" i="1" l="1"/>
  <c r="BY1194" i="1" s="1"/>
  <c r="AQ1195" i="1" l="1"/>
  <c r="BC1195" i="1" l="1"/>
  <c r="BU1195" i="1" s="1"/>
  <c r="CB1195" i="1" s="1"/>
  <c r="CC1195" i="1" s="1"/>
  <c r="M153" i="1" s="1"/>
  <c r="BJ1195" i="1"/>
  <c r="BV1195" i="1" l="1"/>
  <c r="L153" i="1" s="1"/>
  <c r="CH1195" i="1"/>
  <c r="CH1196" i="1" s="1"/>
  <c r="CH1197" i="1" s="1"/>
  <c r="CH1198" i="1" s="1"/>
  <c r="CH1199" i="1" s="1"/>
  <c r="CH1200" i="1" s="1"/>
  <c r="BH1195" i="1"/>
  <c r="BI1195" i="1" s="1"/>
  <c r="AH350" i="3"/>
  <c r="BL1195" i="1"/>
  <c r="BK1195" i="1"/>
  <c r="BJ1196" i="1"/>
  <c r="Z350" i="3" l="1"/>
  <c r="BH1196" i="1"/>
  <c r="BI1196" i="1" s="1"/>
  <c r="BW1195" i="1"/>
  <c r="BM1195" i="1"/>
  <c r="BK1196" i="1"/>
  <c r="BL1196" i="1"/>
  <c r="BJ1197" i="1"/>
  <c r="BH1197" i="1" l="1"/>
  <c r="BI1197" i="1" s="1"/>
  <c r="BP1195" i="1"/>
  <c r="BN1195" i="1"/>
  <c r="BO1195" i="1"/>
  <c r="CD1195" i="1"/>
  <c r="CE1195" i="1" s="1"/>
  <c r="O153" i="1" s="1"/>
  <c r="BX1195" i="1"/>
  <c r="N153" i="1" s="1"/>
  <c r="BH1198" i="1"/>
  <c r="BH1199" i="1" s="1"/>
  <c r="BL1197" i="1"/>
  <c r="BW1197" i="1" s="1"/>
  <c r="CD1197" i="1" s="1"/>
  <c r="BK1197" i="1"/>
  <c r="BJ1198" i="1"/>
  <c r="BW1196" i="1"/>
  <c r="AX350" i="3" l="1"/>
  <c r="BR1195" i="1"/>
  <c r="AQ1196" i="1" s="1"/>
  <c r="P153" i="1"/>
  <c r="AF152" i="1"/>
  <c r="AI152" i="1" s="1"/>
  <c r="AP350" i="3"/>
  <c r="BI1198" i="1"/>
  <c r="CD1196" i="1"/>
  <c r="CE1196" i="1" s="1"/>
  <c r="BX1196" i="1"/>
  <c r="BX1197" i="1"/>
  <c r="BJ1199" i="1"/>
  <c r="BL1198" i="1"/>
  <c r="BW1198" i="1" s="1"/>
  <c r="CD1198" i="1" s="1"/>
  <c r="BK1198" i="1"/>
  <c r="BI1199" i="1"/>
  <c r="BH1200" i="1"/>
  <c r="BY1195" i="1" l="1"/>
  <c r="Q153" i="1" s="1"/>
  <c r="BF350" i="3"/>
  <c r="BC1196" i="1"/>
  <c r="BU1196" i="1" s="1"/>
  <c r="CE1197" i="1"/>
  <c r="CE1198" i="1"/>
  <c r="BL1199" i="1"/>
  <c r="BW1199" i="1" s="1"/>
  <c r="CD1199" i="1" s="1"/>
  <c r="CE1199" i="1" s="1"/>
  <c r="BK1199" i="1"/>
  <c r="BJ1200" i="1"/>
  <c r="BI1200" i="1"/>
  <c r="BX1198" i="1"/>
  <c r="BN350" i="3" l="1"/>
  <c r="BM1196" i="1"/>
  <c r="BP1196" i="1" s="1"/>
  <c r="CB1196" i="1"/>
  <c r="CC1196" i="1" s="1"/>
  <c r="BV1196" i="1"/>
  <c r="BX1199" i="1"/>
  <c r="BK1200" i="1"/>
  <c r="BL1200" i="1"/>
  <c r="BW1200" i="1" s="1"/>
  <c r="BO1196" i="1" l="1"/>
  <c r="BN1196" i="1"/>
  <c r="CD1200" i="1"/>
  <c r="CE1200" i="1" s="1"/>
  <c r="BX1200" i="1"/>
  <c r="BR1196" i="1" l="1"/>
  <c r="AQ1197" i="1" s="1"/>
  <c r="BC1197" i="1" s="1"/>
  <c r="BU1197" i="1" s="1"/>
  <c r="BY1196" i="1" l="1"/>
  <c r="BM1197" i="1"/>
  <c r="BP1197" i="1" s="1"/>
  <c r="CB1197" i="1"/>
  <c r="CC1197" i="1" s="1"/>
  <c r="BV1197" i="1"/>
  <c r="BO1197" i="1" l="1"/>
  <c r="BN1197" i="1"/>
  <c r="BR1197" i="1" l="1"/>
  <c r="BY1197" i="1" s="1"/>
  <c r="AQ1198" i="1" l="1"/>
  <c r="BC1198" i="1" s="1"/>
  <c r="BU1198" i="1" s="1"/>
  <c r="CB1198" i="1" s="1"/>
  <c r="CC1198" i="1" s="1"/>
  <c r="BM1198" i="1" l="1"/>
  <c r="BN1198" i="1" s="1"/>
  <c r="BV1198" i="1"/>
  <c r="BO1198" i="1" l="1"/>
  <c r="BP1198" i="1"/>
  <c r="BR1198" i="1" l="1"/>
  <c r="AQ1199" i="1" s="1"/>
  <c r="BC1199" i="1" s="1"/>
  <c r="BU1199" i="1" s="1"/>
  <c r="CB1199" i="1" s="1"/>
  <c r="CC1199" i="1" s="1"/>
  <c r="BV1199" i="1" l="1"/>
  <c r="BY1198" i="1"/>
  <c r="BM1199" i="1"/>
  <c r="BP1199" i="1" s="1"/>
  <c r="BN1199" i="1" l="1"/>
  <c r="BO1199" i="1"/>
  <c r="BR1199" i="1" l="1"/>
  <c r="BY1199" i="1" s="1"/>
  <c r="AQ1200" i="1" l="1"/>
  <c r="BC1200" i="1" s="1"/>
  <c r="BU1200" i="1" s="1"/>
  <c r="CB1200" i="1" s="1"/>
  <c r="CC1200" i="1" s="1"/>
  <c r="BM1200" i="1" l="1"/>
  <c r="BN1200" i="1" s="1"/>
  <c r="BV1200" i="1"/>
  <c r="BP1200" i="1" l="1"/>
  <c r="BO1200" i="1"/>
  <c r="BR1200" i="1" l="1"/>
  <c r="AQ1201" i="1" s="1"/>
  <c r="BC1201" i="1" s="1"/>
  <c r="CH1201" i="1"/>
  <c r="CH1202" i="1" s="1"/>
  <c r="CH1203" i="1" s="1"/>
  <c r="BH1201" i="1"/>
  <c r="BJ1201" i="1"/>
  <c r="BY1200" i="1" l="1"/>
  <c r="BK1201" i="1"/>
  <c r="BL1201" i="1"/>
  <c r="BW1201" i="1" s="1"/>
  <c r="BJ1202" i="1"/>
  <c r="BH1202" i="1"/>
  <c r="BI1201" i="1"/>
  <c r="BU1201" i="1"/>
  <c r="BM1201" i="1" l="1"/>
  <c r="BO1201" i="1" s="1"/>
  <c r="BV1201" i="1"/>
  <c r="CB1201" i="1"/>
  <c r="CC1201" i="1" s="1"/>
  <c r="BK1202" i="1"/>
  <c r="BL1202" i="1"/>
  <c r="BW1202" i="1" s="1"/>
  <c r="CD1202" i="1" s="1"/>
  <c r="BJ1203" i="1"/>
  <c r="BI1202" i="1"/>
  <c r="BH1203" i="1"/>
  <c r="BI1203" i="1" s="1"/>
  <c r="BX1201" i="1"/>
  <c r="CD1201" i="1"/>
  <c r="CE1201" i="1" s="1"/>
  <c r="CE1202" i="1" l="1"/>
  <c r="BP1201" i="1"/>
  <c r="BN1201" i="1"/>
  <c r="BX1202" i="1"/>
  <c r="BL1203" i="1"/>
  <c r="BW1203" i="1" s="1"/>
  <c r="CD1203" i="1" s="1"/>
  <c r="CE1203" i="1" s="1"/>
  <c r="BK1203" i="1"/>
  <c r="BR1201" i="1" l="1"/>
  <c r="AQ1202" i="1" s="1"/>
  <c r="BC1202" i="1" s="1"/>
  <c r="BU1202" i="1" s="1"/>
  <c r="CB1202" i="1" s="1"/>
  <c r="CC1202" i="1" s="1"/>
  <c r="BX1203" i="1"/>
  <c r="BV1202" i="1" l="1"/>
  <c r="BY1201" i="1"/>
  <c r="BM1202" i="1"/>
  <c r="BP1202" i="1" s="1"/>
  <c r="BN1202" i="1" l="1"/>
  <c r="BO1202" i="1"/>
  <c r="BR1202" i="1" l="1"/>
  <c r="BY1202" i="1" s="1"/>
  <c r="CH1204" i="1"/>
  <c r="CH1205" i="1" s="1"/>
  <c r="CH1206" i="1" s="1"/>
  <c r="BH1204" i="1"/>
  <c r="BJ1204" i="1"/>
  <c r="AQ1203" i="1" l="1"/>
  <c r="BC1203" i="1" s="1"/>
  <c r="BU1203" i="1" s="1"/>
  <c r="CB1203" i="1" s="1"/>
  <c r="CC1203" i="1" s="1"/>
  <c r="BJ1205" i="1"/>
  <c r="BL1204" i="1"/>
  <c r="BK1204" i="1"/>
  <c r="BI1204" i="1"/>
  <c r="BH1205" i="1"/>
  <c r="BM1203" i="1" l="1"/>
  <c r="BP1203" i="1" s="1"/>
  <c r="BV1203" i="1"/>
  <c r="BI1205" i="1"/>
  <c r="BH1206" i="1"/>
  <c r="BW1204" i="1"/>
  <c r="BK1205" i="1"/>
  <c r="BL1205" i="1"/>
  <c r="BW1205" i="1" s="1"/>
  <c r="BJ1206" i="1"/>
  <c r="BO1203" i="1" l="1"/>
  <c r="BN1203" i="1"/>
  <c r="BR1203" i="1" s="1"/>
  <c r="AQ1204" i="1" s="1"/>
  <c r="BC1204" i="1" s="1"/>
  <c r="BU1204" i="1" s="1"/>
  <c r="BV1204" i="1" s="1"/>
  <c r="BK1206" i="1"/>
  <c r="BL1206" i="1"/>
  <c r="BW1206" i="1" s="1"/>
  <c r="BI1206" i="1"/>
  <c r="CD1205" i="1"/>
  <c r="BX1205" i="1"/>
  <c r="CD1204" i="1"/>
  <c r="CE1204" i="1" s="1"/>
  <c r="BX1204" i="1"/>
  <c r="BY1203" i="1" l="1"/>
  <c r="CB1204" i="1"/>
  <c r="CC1204" i="1" s="1"/>
  <c r="BM1204" i="1"/>
  <c r="BO1204" i="1" s="1"/>
  <c r="CE1205" i="1"/>
  <c r="CD1206" i="1"/>
  <c r="CE1206" i="1" s="1"/>
  <c r="BX1206" i="1"/>
  <c r="BP1204" i="1" l="1"/>
  <c r="BN1204" i="1"/>
  <c r="BR1204" i="1" l="1"/>
  <c r="AQ1205" i="1" l="1"/>
  <c r="BY1204" i="1"/>
  <c r="AG54" i="1"/>
  <c r="AH54" i="1" s="1"/>
  <c r="BC1205" i="1" l="1"/>
  <c r="BU1205" i="1" s="1"/>
  <c r="BM1205" i="1" l="1"/>
  <c r="BN1205" i="1" s="1"/>
  <c r="BV1205" i="1"/>
  <c r="CB1205" i="1"/>
  <c r="CC1205" i="1" s="1"/>
  <c r="BP1205" i="1" l="1"/>
  <c r="BO1205" i="1"/>
  <c r="BR1205" i="1" l="1"/>
  <c r="AQ1206" i="1" l="1"/>
  <c r="BY1205" i="1"/>
  <c r="BC1206" i="1" l="1"/>
  <c r="BU1206" i="1" s="1"/>
  <c r="BM1206" i="1" l="1"/>
  <c r="BN1206" i="1" s="1"/>
  <c r="CB1206" i="1"/>
  <c r="CC1206" i="1" s="1"/>
  <c r="BV1206" i="1"/>
  <c r="BO1206" i="1" l="1"/>
  <c r="BP1206" i="1"/>
  <c r="BR1206" i="1" l="1"/>
  <c r="AQ1207" i="1" s="1"/>
  <c r="BC1207" i="1" s="1"/>
  <c r="BU1207" i="1" s="1"/>
  <c r="BY1206" i="1" l="1"/>
  <c r="BH1207" i="1"/>
  <c r="BI1207" i="1" s="1"/>
  <c r="BJ1207" i="1"/>
  <c r="CH1207" i="1"/>
  <c r="BV1207" i="1"/>
  <c r="L154" i="1" s="1"/>
  <c r="CB1207" i="1"/>
  <c r="CC1207" i="1" s="1"/>
  <c r="M154" i="1" s="1"/>
  <c r="AH351" i="3" l="1"/>
  <c r="Z351" i="3"/>
  <c r="BL1207" i="1"/>
  <c r="BK1207" i="1"/>
  <c r="CH1208" i="1"/>
  <c r="CH1209" i="1" s="1"/>
  <c r="CH1210" i="1" s="1"/>
  <c r="CH1211" i="1" s="1"/>
  <c r="CH1212" i="1" s="1"/>
  <c r="BJ1208" i="1"/>
  <c r="BK1208" i="1" s="1"/>
  <c r="BH1208" i="1"/>
  <c r="BW1207" i="1" l="1"/>
  <c r="BM1207" i="1"/>
  <c r="BJ1209" i="1"/>
  <c r="BK1209" i="1" s="1"/>
  <c r="BI1208" i="1"/>
  <c r="BH1209" i="1"/>
  <c r="BL1208" i="1"/>
  <c r="BO1207" i="1" l="1"/>
  <c r="BN1207" i="1"/>
  <c r="BP1207" i="1"/>
  <c r="CD1207" i="1"/>
  <c r="CE1207" i="1" s="1"/>
  <c r="O154" i="1" s="1"/>
  <c r="BX1207" i="1"/>
  <c r="N154" i="1" s="1"/>
  <c r="BL1209" i="1"/>
  <c r="BW1209" i="1" s="1"/>
  <c r="CD1209" i="1" s="1"/>
  <c r="BJ1210" i="1"/>
  <c r="BK1210" i="1" s="1"/>
  <c r="BW1208" i="1"/>
  <c r="BI1209" i="1"/>
  <c r="BH1210" i="1"/>
  <c r="AX351" i="3" l="1"/>
  <c r="AP351" i="3"/>
  <c r="AF153" i="1"/>
  <c r="AI153" i="1" s="1"/>
  <c r="BR1207" i="1"/>
  <c r="BJ1211" i="1"/>
  <c r="BK1211" i="1" s="1"/>
  <c r="BI1210" i="1"/>
  <c r="BH1211" i="1"/>
  <c r="BL1210" i="1"/>
  <c r="BW1210" i="1" s="1"/>
  <c r="CD1210" i="1" s="1"/>
  <c r="CD1208" i="1"/>
  <c r="BX1208" i="1"/>
  <c r="BX1209" i="1"/>
  <c r="P154" i="1" l="1"/>
  <c r="BY1207" i="1"/>
  <c r="Q154" i="1" s="1"/>
  <c r="AQ1208" i="1"/>
  <c r="BJ1212" i="1"/>
  <c r="BK1212" i="1" s="1"/>
  <c r="BL1211" i="1"/>
  <c r="BW1211" i="1" s="1"/>
  <c r="CD1211" i="1" s="1"/>
  <c r="CE1211" i="1" s="1"/>
  <c r="CE1210" i="1"/>
  <c r="CE1208" i="1"/>
  <c r="CE1209" i="1"/>
  <c r="BX1210" i="1"/>
  <c r="BH1212" i="1"/>
  <c r="BI1211" i="1"/>
  <c r="BN351" i="3" l="1"/>
  <c r="BF351" i="3"/>
  <c r="BC1208" i="1"/>
  <c r="BU1208" i="1" s="1"/>
  <c r="BL1212" i="1"/>
  <c r="BW1212" i="1" s="1"/>
  <c r="CD1212" i="1" s="1"/>
  <c r="CE1212" i="1" s="1"/>
  <c r="BX1211" i="1"/>
  <c r="BI1212" i="1"/>
  <c r="BM1208" i="1" l="1"/>
  <c r="BN1208" i="1" s="1"/>
  <c r="CB1208" i="1"/>
  <c r="CC1208" i="1" s="1"/>
  <c r="BV1208" i="1"/>
  <c r="BX1212" i="1"/>
  <c r="BP1208" i="1" l="1"/>
  <c r="BO1208" i="1"/>
  <c r="BR1208" i="1" l="1"/>
  <c r="AQ1209" i="1" s="1"/>
  <c r="BC1209" i="1" s="1"/>
  <c r="BU1209" i="1" s="1"/>
  <c r="BY1208" i="1" l="1"/>
  <c r="BM1209" i="1"/>
  <c r="BP1209" i="1" s="1"/>
  <c r="BV1209" i="1"/>
  <c r="CB1209" i="1"/>
  <c r="CC1209" i="1" s="1"/>
  <c r="BO1209" i="1" l="1"/>
  <c r="BN1209" i="1"/>
  <c r="BR1209" i="1" l="1"/>
  <c r="AQ1210" i="1" s="1"/>
  <c r="BC1210" i="1" s="1"/>
  <c r="BU1210" i="1" s="1"/>
  <c r="CB1210" i="1" s="1"/>
  <c r="CC1210" i="1" s="1"/>
  <c r="BY1209" i="1" l="1"/>
  <c r="BV1210" i="1"/>
  <c r="BM1210" i="1"/>
  <c r="BO1210" i="1" l="1"/>
  <c r="BP1210" i="1"/>
  <c r="BN1210" i="1"/>
  <c r="BR1210" i="1" l="1"/>
  <c r="AQ1211" i="1" s="1"/>
  <c r="BY1210" i="1" l="1"/>
  <c r="BC1211" i="1"/>
  <c r="BU1211" i="1" s="1"/>
  <c r="BM1211" i="1" l="1"/>
  <c r="CB1211" i="1"/>
  <c r="CC1211" i="1" s="1"/>
  <c r="BV1211" i="1"/>
  <c r="BP1211" i="1" l="1"/>
  <c r="BN1211" i="1"/>
  <c r="BO1211" i="1"/>
  <c r="BR1211" i="1" l="1"/>
  <c r="BY1211" i="1" s="1"/>
  <c r="AQ1212" i="1" l="1"/>
  <c r="BC1212" i="1" s="1"/>
  <c r="BU1212" i="1" s="1"/>
  <c r="BM1212" i="1" l="1"/>
  <c r="BV1212" i="1"/>
  <c r="CB1212" i="1"/>
  <c r="CC1212" i="1" s="1"/>
  <c r="BO1212" i="1" l="1"/>
  <c r="BP1212" i="1"/>
  <c r="BN1212" i="1"/>
  <c r="BH1213" i="1"/>
  <c r="BJ1213" i="1"/>
  <c r="CH1213" i="1"/>
  <c r="CH1214" i="1" s="1"/>
  <c r="CH1215" i="1" s="1"/>
  <c r="BR1212" i="1" l="1"/>
  <c r="AQ1213" i="1" s="1"/>
  <c r="BC1213" i="1" s="1"/>
  <c r="BU1213" i="1" s="1"/>
  <c r="BK1213" i="1"/>
  <c r="BJ1214" i="1"/>
  <c r="BL1213" i="1"/>
  <c r="BH1214" i="1"/>
  <c r="BI1213" i="1"/>
  <c r="BY1212" i="1" l="1"/>
  <c r="BV1213" i="1"/>
  <c r="CB1213" i="1"/>
  <c r="CC1213" i="1" s="1"/>
  <c r="BW1213" i="1"/>
  <c r="BM1213" i="1"/>
  <c r="BH1215" i="1"/>
  <c r="BI1215" i="1" s="1"/>
  <c r="BI1214" i="1"/>
  <c r="BJ1215" i="1"/>
  <c r="BK1214" i="1"/>
  <c r="BL1214" i="1"/>
  <c r="BW1214" i="1" s="1"/>
  <c r="CD1214" i="1" s="1"/>
  <c r="BK1215" i="1" l="1"/>
  <c r="BL1215" i="1"/>
  <c r="BW1215" i="1" s="1"/>
  <c r="CD1215" i="1" s="1"/>
  <c r="BO1213" i="1"/>
  <c r="BP1213" i="1"/>
  <c r="BN1213" i="1"/>
  <c r="CD1213" i="1"/>
  <c r="BX1213" i="1"/>
  <c r="BX1214" i="1"/>
  <c r="BR1213" i="1" l="1"/>
  <c r="BY1213" i="1" s="1"/>
  <c r="CE1213" i="1"/>
  <c r="CE1215" i="1"/>
  <c r="BX1215" i="1"/>
  <c r="CE1214" i="1"/>
  <c r="AQ1214" i="1" l="1"/>
  <c r="BC1214" i="1" s="1"/>
  <c r="BU1214" i="1" s="1"/>
  <c r="CB1214" i="1" s="1"/>
  <c r="CC1214" i="1" s="1"/>
  <c r="BV1214" i="1" l="1"/>
  <c r="BM1214" i="1"/>
  <c r="BN1214" i="1" s="1"/>
  <c r="BO1214" i="1" l="1"/>
  <c r="BP1214" i="1"/>
  <c r="BR1214" i="1" l="1"/>
  <c r="AQ1215" i="1" s="1"/>
  <c r="BC1215" i="1" s="1"/>
  <c r="BU1215" i="1" s="1"/>
  <c r="CB1215" i="1" s="1"/>
  <c r="CC1215" i="1" s="1"/>
  <c r="BY1214" i="1" l="1"/>
  <c r="BM1215" i="1"/>
  <c r="BO1215" i="1" s="1"/>
  <c r="BV1215" i="1"/>
  <c r="BN1215" i="1" l="1"/>
  <c r="BP1215" i="1"/>
  <c r="BR1215" i="1" l="1"/>
  <c r="BY1215" i="1" s="1"/>
  <c r="AQ1216" i="1" l="1"/>
  <c r="BC1216" i="1" s="1"/>
  <c r="BU1216" i="1" s="1"/>
  <c r="CB1216" i="1" s="1"/>
  <c r="CC1216" i="1" s="1"/>
  <c r="CH1216" i="1"/>
  <c r="CH1217" i="1" s="1"/>
  <c r="CH1218" i="1" s="1"/>
  <c r="BH1216" i="1"/>
  <c r="BI1216" i="1" s="1"/>
  <c r="BJ1216" i="1"/>
  <c r="BK1216" i="1" s="1"/>
  <c r="BV1216" i="1" l="1"/>
  <c r="BJ1217" i="1"/>
  <c r="BK1217" i="1" s="1"/>
  <c r="BL1216" i="1"/>
  <c r="BW1216" i="1" s="1"/>
  <c r="BH1217" i="1"/>
  <c r="BJ1218" i="1" l="1"/>
  <c r="BL1217" i="1"/>
  <c r="BW1217" i="1" s="1"/>
  <c r="CD1217" i="1" s="1"/>
  <c r="BH1218" i="1"/>
  <c r="BI1218" i="1" s="1"/>
  <c r="BM1216" i="1"/>
  <c r="BO1216" i="1" s="1"/>
  <c r="BI1217" i="1"/>
  <c r="CD1216" i="1"/>
  <c r="CE1216" i="1" s="1"/>
  <c r="BX1216" i="1"/>
  <c r="BX1217" i="1" l="1"/>
  <c r="BK1218" i="1"/>
  <c r="BL1218" i="1"/>
  <c r="BW1218" i="1" s="1"/>
  <c r="CD1218" i="1" s="1"/>
  <c r="CE1218" i="1" s="1"/>
  <c r="BN1216" i="1"/>
  <c r="BP1216" i="1"/>
  <c r="CE1217" i="1"/>
  <c r="BX1218" i="1" l="1"/>
  <c r="BR1216" i="1"/>
  <c r="AQ1217" i="1" s="1"/>
  <c r="BY1216" i="1" l="1"/>
  <c r="BC1217" i="1"/>
  <c r="BU1217" i="1" s="1"/>
  <c r="CB1217" i="1" l="1"/>
  <c r="CC1217" i="1" s="1"/>
  <c r="BV1217" i="1"/>
  <c r="BM1217" i="1"/>
  <c r="BN1217" i="1" l="1"/>
  <c r="BP1217" i="1"/>
  <c r="BO1217" i="1"/>
  <c r="BR1217" i="1" l="1"/>
  <c r="BY1217" i="1" s="1"/>
  <c r="AQ1218" i="1" l="1"/>
  <c r="BC1218" i="1" s="1"/>
  <c r="BU1218" i="1" s="1"/>
  <c r="BM1218" i="1" l="1"/>
  <c r="BN1218" i="1" s="1"/>
  <c r="CB1218" i="1"/>
  <c r="CC1218" i="1" s="1"/>
  <c r="BV1218" i="1"/>
  <c r="BO1218" i="1" l="1"/>
  <c r="BP1218" i="1"/>
  <c r="BR1218" i="1" l="1"/>
  <c r="BY1218" i="1" s="1"/>
  <c r="AQ1219" i="1" l="1"/>
  <c r="BC1219" i="1" l="1"/>
  <c r="BJ1219" i="1" s="1"/>
  <c r="BH1219" i="1" l="1"/>
  <c r="BI1219" i="1" s="1"/>
  <c r="BK1219" i="1"/>
  <c r="BU1219" i="1"/>
  <c r="CH1219" i="1"/>
  <c r="BL1219" i="1" l="1"/>
  <c r="BW1219" i="1" s="1"/>
  <c r="CB1219" i="1"/>
  <c r="CC1219" i="1" s="1"/>
  <c r="BV1219" i="1"/>
  <c r="BM1219" i="1"/>
  <c r="BO1219" i="1" l="1"/>
  <c r="BN1219" i="1"/>
  <c r="BP1219" i="1"/>
  <c r="BX1219" i="1"/>
  <c r="CD1219" i="1"/>
  <c r="CE1219" i="1" s="1"/>
  <c r="BR1219" i="1" l="1"/>
  <c r="BY1219" i="1" s="1"/>
</calcChain>
</file>

<file path=xl/sharedStrings.xml><?xml version="1.0" encoding="utf-8"?>
<sst xmlns="http://schemas.openxmlformats.org/spreadsheetml/2006/main" count="453" uniqueCount="220">
  <si>
    <t>Client details</t>
  </si>
  <si>
    <t>Client name and surname</t>
  </si>
  <si>
    <t>Investment assumptions</t>
  </si>
  <si>
    <t>Time horizon (Years)</t>
  </si>
  <si>
    <t>Age at end of time horizon</t>
  </si>
  <si>
    <t>Expected return and inflation</t>
  </si>
  <si>
    <t>Nominal return after unit trust fees (%)</t>
  </si>
  <si>
    <t>Inflation rate (%)</t>
  </si>
  <si>
    <t>Net platform administration fees (%)</t>
  </si>
  <si>
    <t>Financial adviser fees (%)</t>
  </si>
  <si>
    <t>Other fees (%)</t>
  </si>
  <si>
    <t>Investment details</t>
  </si>
  <si>
    <t>Lump sum contributions</t>
  </si>
  <si>
    <t>Withdrawals</t>
  </si>
  <si>
    <t>Annuity payments</t>
  </si>
  <si>
    <t xml:space="preserve">      Variable to optimise</t>
  </si>
  <si>
    <t xml:space="preserve">      Optimise period ending</t>
  </si>
  <si>
    <t xml:space="preserve">      Variable to change</t>
  </si>
  <si>
    <t xml:space="preserve">      Variable type</t>
  </si>
  <si>
    <t>Comparison</t>
  </si>
  <si>
    <t>End market value</t>
  </si>
  <si>
    <t>Optimisation details</t>
  </si>
  <si>
    <t>Check of name</t>
  </si>
  <si>
    <t>Frequency</t>
  </si>
  <si>
    <t>Max real annuity payment</t>
  </si>
  <si>
    <t>Maximum nominal annuity payment</t>
  </si>
  <si>
    <t>Adjusting variable cell reference</t>
  </si>
  <si>
    <t>Entry position</t>
  </si>
  <si>
    <t>Max reached</t>
  </si>
  <si>
    <t>Min reached</t>
  </si>
  <si>
    <t>End date</t>
  </si>
  <si>
    <t>Age/Year</t>
  </si>
  <si>
    <t>Graph ticks</t>
  </si>
  <si>
    <t>line tracker</t>
  </si>
  <si>
    <t>Count of compare</t>
  </si>
  <si>
    <t>Drawdown tick</t>
  </si>
  <si>
    <t>Nominal</t>
  </si>
  <si>
    <t>Real</t>
  </si>
  <si>
    <t>Version 1.5</t>
  </si>
  <si>
    <t>Year end</t>
  </si>
  <si>
    <t>Client age</t>
  </si>
  <si>
    <t>Annual contributions</t>
  </si>
  <si>
    <t>Annual withdrawals</t>
  </si>
  <si>
    <t>Nominal terms</t>
  </si>
  <si>
    <t>Real terms</t>
  </si>
  <si>
    <t>Annuity payment date list</t>
  </si>
  <si>
    <t>Year #</t>
  </si>
  <si>
    <t>Year has annuity payment</t>
  </si>
  <si>
    <t>First year</t>
  </si>
  <si>
    <t>length</t>
  </si>
  <si>
    <t>Lump sum</t>
  </si>
  <si>
    <t>Contribution</t>
  </si>
  <si>
    <t>Annuity payment</t>
  </si>
  <si>
    <t>Ongoing fees</t>
  </si>
  <si>
    <t>Date</t>
  </si>
  <si>
    <t>Month</t>
  </si>
  <si>
    <t>Market value on date</t>
  </si>
  <si>
    <t>Investment</t>
  </si>
  <si>
    <t>Initial IFA fees</t>
  </si>
  <si>
    <t>Initial platform fees</t>
  </si>
  <si>
    <t>Initial other fees</t>
  </si>
  <si>
    <t>Net investment</t>
  </si>
  <si>
    <t>Net contribution</t>
  </si>
  <si>
    <t>Withdrawal</t>
  </si>
  <si>
    <t>Actual withdrawal</t>
  </si>
  <si>
    <t>Annual annuity payment</t>
  </si>
  <si>
    <t>Annuity min</t>
  </si>
  <si>
    <t>Annuity cap</t>
  </si>
  <si>
    <t>Cap reached</t>
  </si>
  <si>
    <t>Actual payment</t>
  </si>
  <si>
    <t>Market value before ongoing fees</t>
  </si>
  <si>
    <t>Annual IFA fees</t>
  </si>
  <si>
    <t>Annual platform fees</t>
  </si>
  <si>
    <t>Annual other fees</t>
  </si>
  <si>
    <t>Month end</t>
  </si>
  <si>
    <t>Market value at date</t>
  </si>
  <si>
    <t>Month's inflows</t>
  </si>
  <si>
    <t>Annual inflows</t>
  </si>
  <si>
    <t>Month's withdrawals</t>
  </si>
  <si>
    <t>Month's annuity payments</t>
  </si>
  <si>
    <t>Annual annuity payments</t>
  </si>
  <si>
    <t>Month's outflows</t>
  </si>
  <si>
    <t>Annual outflows</t>
  </si>
  <si>
    <t>Max annuity payment (Nom)</t>
  </si>
  <si>
    <t>Max annuity payment (Real)</t>
  </si>
  <si>
    <t>Real or Nominal</t>
  </si>
  <si>
    <t>Rows</t>
  </si>
  <si>
    <t>lsc</t>
  </si>
  <si>
    <t>rcs</t>
  </si>
  <si>
    <t>w</t>
  </si>
  <si>
    <t>ap</t>
  </si>
  <si>
    <t>All flows appended into single continuous list</t>
  </si>
  <si>
    <t>Amount or escalation check</t>
  </si>
  <si>
    <t>Position</t>
  </si>
  <si>
    <t>frequency options</t>
  </si>
  <si>
    <t>Flow #</t>
  </si>
  <si>
    <t>Name</t>
  </si>
  <si>
    <t>Amount</t>
  </si>
  <si>
    <t>Start date</t>
  </si>
  <si>
    <t>Escalation</t>
  </si>
  <si>
    <t>Cell name</t>
  </si>
  <si>
    <t>Drawdown</t>
  </si>
  <si>
    <t>Amount (Nominal)</t>
  </si>
  <si>
    <t>Amount (Real)</t>
  </si>
  <si>
    <t>Escalation (%)</t>
  </si>
  <si>
    <t>Variable types</t>
  </si>
  <si>
    <t>#</t>
  </si>
  <si>
    <t>Months since start date</t>
  </si>
  <si>
    <t>Frequency number</t>
  </si>
  <si>
    <t>Once-off</t>
  </si>
  <si>
    <t>Nominal return</t>
  </si>
  <si>
    <t>NomRetn</t>
  </si>
  <si>
    <t>Rate</t>
  </si>
  <si>
    <t>Lump-sum</t>
  </si>
  <si>
    <t>Annually</t>
  </si>
  <si>
    <t>year</t>
  </si>
  <si>
    <t>Bi-annually</t>
  </si>
  <si>
    <t>half year</t>
  </si>
  <si>
    <t>Quarterly</t>
  </si>
  <si>
    <t>quarter</t>
  </si>
  <si>
    <t>First ap start date</t>
  </si>
  <si>
    <t>Monthly</t>
  </si>
  <si>
    <t>month</t>
  </si>
  <si>
    <t>Wording</t>
  </si>
  <si>
    <t xml:space="preserve">      Once-off amount</t>
  </si>
  <si>
    <t>Reporting currencies</t>
  </si>
  <si>
    <t>ZAR</t>
  </si>
  <si>
    <t>USD</t>
  </si>
  <si>
    <t>Variables to optimise</t>
  </si>
  <si>
    <t>Current value (Nominal)</t>
  </si>
  <si>
    <t>Current value (Real)</t>
  </si>
  <si>
    <t>Current annuity payment</t>
  </si>
  <si>
    <t>Max annuity payment</t>
  </si>
  <si>
    <t>Difference</t>
  </si>
  <si>
    <t>GBP</t>
  </si>
  <si>
    <t>EUR</t>
  </si>
  <si>
    <t>`</t>
  </si>
  <si>
    <t>Merging all flows into a continuous list</t>
  </si>
  <si>
    <t>Please enable macros</t>
  </si>
  <si>
    <t>4. Close the Excel Options window.</t>
  </si>
  <si>
    <t>5. Close and re-open the Financial Planning Tool.</t>
  </si>
  <si>
    <r>
      <t xml:space="preserve">1.  </t>
    </r>
    <r>
      <rPr>
        <b/>
        <sz val="10"/>
        <color theme="1"/>
        <rFont val="Arial"/>
        <family val="2"/>
      </rPr>
      <t>Excel 2007</t>
    </r>
    <r>
      <rPr>
        <sz val="10"/>
        <color theme="1"/>
        <rFont val="Arial"/>
        <family val="2"/>
      </rPr>
      <t xml:space="preserve">:  Click the </t>
    </r>
    <r>
      <rPr>
        <b/>
        <sz val="10"/>
        <color theme="1"/>
        <rFont val="Arial"/>
        <family val="2"/>
      </rPr>
      <t>Microsoft Office Button</t>
    </r>
    <r>
      <rPr>
        <sz val="10"/>
        <color theme="1"/>
        <rFont val="Arial"/>
        <family val="2"/>
      </rPr>
      <t xml:space="preserve">            , and then click </t>
    </r>
    <r>
      <rPr>
        <b/>
        <sz val="10"/>
        <color theme="1"/>
        <rFont val="Arial"/>
        <family val="2"/>
      </rPr>
      <t>Excel Options</t>
    </r>
    <r>
      <rPr>
        <sz val="10"/>
        <color theme="1"/>
        <rFont val="Arial"/>
        <family val="2"/>
      </rPr>
      <t>.</t>
    </r>
  </si>
  <si>
    <r>
      <t xml:space="preserve">1.  </t>
    </r>
    <r>
      <rPr>
        <b/>
        <sz val="10"/>
        <color theme="1"/>
        <rFont val="Arial"/>
        <family val="2"/>
      </rPr>
      <t>Excel 2010</t>
    </r>
    <r>
      <rPr>
        <sz val="10"/>
        <color theme="1"/>
        <rFont val="Arial"/>
        <family val="2"/>
      </rPr>
      <t xml:space="preserve">:  Click the </t>
    </r>
    <r>
      <rPr>
        <b/>
        <sz val="10"/>
        <color theme="1"/>
        <rFont val="Arial"/>
        <family val="2"/>
      </rPr>
      <t>File</t>
    </r>
    <r>
      <rPr>
        <sz val="10"/>
        <color theme="1"/>
        <rFont val="Arial"/>
        <family val="2"/>
      </rPr>
      <t xml:space="preserve"> tab, and then click </t>
    </r>
    <r>
      <rPr>
        <b/>
        <sz val="10"/>
        <color theme="1"/>
        <rFont val="Arial"/>
        <family val="2"/>
      </rPr>
      <t>Options</t>
    </r>
    <r>
      <rPr>
        <sz val="10"/>
        <color theme="1"/>
        <rFont val="Arial"/>
        <family val="2"/>
      </rPr>
      <t>.</t>
    </r>
  </si>
  <si>
    <r>
      <t xml:space="preserve">2. In the </t>
    </r>
    <r>
      <rPr>
        <b/>
        <sz val="10"/>
        <color theme="1"/>
        <rFont val="Arial"/>
        <family val="2"/>
      </rPr>
      <t>Trust Centre</t>
    </r>
    <r>
      <rPr>
        <sz val="10"/>
        <color theme="1"/>
        <rFont val="Arial"/>
        <family val="2"/>
      </rPr>
      <t xml:space="preserve"> category, click </t>
    </r>
    <r>
      <rPr>
        <b/>
        <sz val="10"/>
        <color theme="1"/>
        <rFont val="Arial"/>
        <family val="2"/>
      </rPr>
      <t>Trust Centre Settings</t>
    </r>
    <r>
      <rPr>
        <sz val="10"/>
        <color theme="1"/>
        <rFont val="Arial"/>
        <family val="2"/>
      </rPr>
      <t xml:space="preserve">, and then click the </t>
    </r>
    <r>
      <rPr>
        <b/>
        <sz val="10"/>
        <color theme="1"/>
        <rFont val="Arial"/>
        <family val="2"/>
      </rPr>
      <t>Macro Settings</t>
    </r>
    <r>
      <rPr>
        <sz val="10"/>
        <color theme="1"/>
        <rFont val="Arial"/>
        <family val="2"/>
      </rPr>
      <t xml:space="preserve"> category.</t>
    </r>
  </si>
  <si>
    <r>
      <t xml:space="preserve">3. Select </t>
    </r>
    <r>
      <rPr>
        <b/>
        <sz val="10"/>
        <color theme="1"/>
        <rFont val="Arial"/>
        <family val="2"/>
      </rPr>
      <t>Enable all macros</t>
    </r>
    <r>
      <rPr>
        <sz val="10"/>
        <color theme="1"/>
        <rFont val="Arial"/>
        <family val="2"/>
      </rPr>
      <t xml:space="preserve"> and click </t>
    </r>
    <r>
      <rPr>
        <b/>
        <sz val="10"/>
        <color theme="1"/>
        <rFont val="Arial"/>
        <family val="2"/>
      </rPr>
      <t>OK</t>
    </r>
    <r>
      <rPr>
        <sz val="10"/>
        <color theme="1"/>
        <rFont val="Arial"/>
        <family val="2"/>
      </rPr>
      <t>.</t>
    </r>
  </si>
  <si>
    <t>Investment cashflow planning</t>
  </si>
  <si>
    <t>Date of birth</t>
  </si>
  <si>
    <t>Initial</t>
  </si>
  <si>
    <t>Annual</t>
  </si>
  <si>
    <t xml:space="preserve">Initial fees are charged on each lump sum contribution and monthly debit order payment. Annual fees are calculated daily, charged and paid monthly in arrears, and are </t>
  </si>
  <si>
    <t>based on the daily value of the investment account. Note: Where the Financial Adviser is a VAT vendor, VAT is payable on all initial fees and/or annual fees levied and</t>
  </si>
  <si>
    <t>is deducted from the investor's investment and paid by the Administrator to SARS.</t>
  </si>
  <si>
    <t>Nominal amount</t>
  </si>
  <si>
    <t>Real amount</t>
  </si>
  <si>
    <t>Client Signature</t>
  </si>
  <si>
    <t>Financial Adviser Signature</t>
  </si>
  <si>
    <t>Allan Gray Proprietary Limited is an authorised financial services provider</t>
  </si>
  <si>
    <t>Ongoing</t>
  </si>
  <si>
    <t>Current scenario</t>
  </si>
  <si>
    <t>Saved scenario</t>
  </si>
  <si>
    <t>Input messages</t>
  </si>
  <si>
    <t>Value at the end of the year</t>
  </si>
  <si>
    <t>Constant drawdown amount</t>
  </si>
  <si>
    <t>Goal optimisation</t>
  </si>
  <si>
    <t>Notes:</t>
  </si>
  <si>
    <t>Recurring contributions</t>
  </si>
  <si>
    <t>Financial Planning Tool</t>
  </si>
  <si>
    <t>Saved scenario - investment details</t>
  </si>
  <si>
    <t>Saved scenario - Output</t>
  </si>
  <si>
    <t>Years tick - lsc</t>
  </si>
  <si>
    <t>Years tick - rcs</t>
  </si>
  <si>
    <t>Years tick - w</t>
  </si>
  <si>
    <t>Years tick - ap</t>
  </si>
  <si>
    <t>Saved value - optimisation</t>
  </si>
  <si>
    <t>Optimisation run</t>
  </si>
  <si>
    <t xml:space="preserve">      Current value</t>
  </si>
  <si>
    <t xml:space="preserve">      Desired amount in Real terms</t>
  </si>
  <si>
    <t xml:space="preserve">      Amount or rate</t>
  </si>
  <si>
    <t>Optimisation run check</t>
  </si>
  <si>
    <t xml:space="preserve">      Starting amount per </t>
  </si>
  <si>
    <t>Enable help text</t>
  </si>
  <si>
    <t xml:space="preserve">This is an illustration for the purpose of discussion between the investor and the Financial Adviser. </t>
  </si>
  <si>
    <t xml:space="preserve">It is intended to be a proposal to the investor and does not provide advice. </t>
  </si>
  <si>
    <t>Insert your logo into the block below. Please ensure that the image is entirely within the borders, or it will not be added to the print page. Then click "Add logo"</t>
  </si>
  <si>
    <t>Annuity payment checks</t>
  </si>
  <si>
    <t>Escalation is not blank</t>
  </si>
  <si>
    <t>Within date range</t>
  </si>
  <si>
    <r>
      <rPr>
        <b/>
        <sz val="10"/>
        <color theme="1"/>
        <rFont val="Arial"/>
        <family val="2"/>
      </rPr>
      <t>Disclaimer</t>
    </r>
    <r>
      <rPr>
        <sz val="10"/>
        <color theme="1"/>
        <rFont val="Arial"/>
        <family val="2"/>
      </rPr>
      <t>: This financial planning tool is made available to advisers for convenience and is for illustrative purposes only. All projections are based on the values and assumptions determined by the adviser when using the tool. Actual future values will depend on the amounts invested and the real returns of the underlying investment portfolios selected. The calculations provided in this tool do not constitute financial, legal or tax advice. Allan Gray cannot warrant the accuracy, reliability, completeness, suitability or potential value of any information or calculations provided through the use of this tool and will not be held liable for any direct or indirect loss or damages that you as the adviser or your clients may suffer as a result of reliance on this tool. No income tax or capital gains tax are taken into account.</t>
    </r>
  </si>
  <si>
    <t>Select either nominal or real</t>
  </si>
  <si>
    <t>Graph and calculation options</t>
  </si>
  <si>
    <t>Age</t>
  </si>
  <si>
    <t>Investment time horizon (Years)</t>
  </si>
  <si>
    <t>Age at end of investment time horizon</t>
  </si>
  <si>
    <t>Estimated fees</t>
  </si>
  <si>
    <t>What do you want to optimise?</t>
  </si>
  <si>
    <t>What do you want to change?</t>
  </si>
  <si>
    <t>For which year do you want it to be optimised?</t>
  </si>
  <si>
    <t>Do you want to change the amount, escalation or rate?</t>
  </si>
  <si>
    <t>Cap been reached</t>
  </si>
  <si>
    <t>Checks</t>
  </si>
  <si>
    <t>Cap reached saved</t>
  </si>
  <si>
    <r>
      <t xml:space="preserve">      Start date (Month | </t>
    </r>
    <r>
      <rPr>
        <sz val="10"/>
        <color rgb="FF26B0E2"/>
        <rFont val="Arial"/>
        <family val="2"/>
      </rPr>
      <t>years from start</t>
    </r>
    <r>
      <rPr>
        <sz val="10"/>
        <color theme="1"/>
        <rFont val="Arial"/>
        <family val="2"/>
      </rPr>
      <t>)</t>
    </r>
  </si>
  <si>
    <t>Annuity</t>
  </si>
  <si>
    <t xml:space="preserve">      Frequency</t>
  </si>
  <si>
    <t>1.   Lump sum name</t>
  </si>
  <si>
    <r>
      <t xml:space="preserve">      Amount (Nominal | </t>
    </r>
    <r>
      <rPr>
        <sz val="10"/>
        <color rgb="FF3AB972"/>
        <rFont val="Arial"/>
        <family val="2"/>
      </rPr>
      <t>real</t>
    </r>
    <r>
      <rPr>
        <sz val="10"/>
        <color theme="1"/>
        <rFont val="Arial"/>
        <family val="2"/>
      </rPr>
      <t>)</t>
    </r>
  </si>
  <si>
    <t>1.   Annuity payment name</t>
  </si>
  <si>
    <t>Annuity payment 1</t>
  </si>
  <si>
    <t xml:space="preserve">      Drawdown (%)</t>
  </si>
  <si>
    <t>Mr Example</t>
  </si>
  <si>
    <t>Liberty RA</t>
  </si>
  <si>
    <t>2.   Lump sum name</t>
  </si>
  <si>
    <t>Sanlam RA</t>
  </si>
  <si>
    <t>3.   Lump sum name</t>
  </si>
  <si>
    <t>Liberty Corporate</t>
  </si>
  <si>
    <t>1.   Contribution name</t>
  </si>
  <si>
    <r>
      <t xml:space="preserve">      End date (Month | </t>
    </r>
    <r>
      <rPr>
        <sz val="10"/>
        <color rgb="FF26B0E2"/>
        <rFont val="Arial"/>
        <family val="2"/>
      </rPr>
      <t>years from start</t>
    </r>
    <r>
      <rPr>
        <sz val="10"/>
        <color theme="1"/>
        <rFont val="Arial"/>
        <family val="2"/>
      </rPr>
      <t>)</t>
    </r>
  </si>
  <si>
    <t>2.   Contribution name</t>
  </si>
  <si>
    <t>3.   Contribution name</t>
  </si>
  <si>
    <t>Liberty Corporate Employer/Employee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</si>
</sst>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yyyy"/>
    <numFmt numFmtId="167" formatCode="&quot;R&quot;\ #,##0"/>
    <numFmt numFmtId="168" formatCode="mmmm\ yyyy"/>
    <numFmt numFmtId="169" formatCode="&quot;R&quot;\ #,##0.00"/>
    <numFmt numFmtId="170" formatCode="\R\ #\ ###\ ###\ ##0"/>
  </numFmts>
  <fonts count="14" x14ac:knownFonts="1">
    <font>
      <sz val="10"/>
      <color theme="1"/>
      <name val="Arial"/>
      <family val="2"/>
    </font>
    <font>
      <sz val="10"/>
      <color theme="1"/>
      <name val="Arial"/>
      <family val="2"/>
    </font>
    <font>
      <sz val="10"/>
      <color rgb="FF000000"/>
      <name val="Arial"/>
      <family val="2"/>
    </font>
    <font>
      <b/>
      <sz val="10"/>
      <color theme="1"/>
      <name val="Arial"/>
      <family val="2"/>
    </font>
    <font>
      <i/>
      <sz val="10"/>
      <color theme="1"/>
      <name val="Arial"/>
      <family val="2"/>
    </font>
    <font>
      <b/>
      <sz val="11"/>
      <color theme="1"/>
      <name val="Arial"/>
      <family val="2"/>
    </font>
    <font>
      <sz val="10"/>
      <color theme="0" tint="-0.499984740745262"/>
      <name val="Arial"/>
      <family val="2"/>
    </font>
    <font>
      <sz val="10"/>
      <color theme="0"/>
      <name val="Arial"/>
      <family val="2"/>
    </font>
    <font>
      <b/>
      <sz val="12"/>
      <color theme="0" tint="-0.499984740745262"/>
      <name val="Arial"/>
      <family val="2"/>
    </font>
    <font>
      <sz val="10"/>
      <color rgb="FF58595B"/>
      <name val="Arial"/>
      <family val="2"/>
    </font>
    <font>
      <b/>
      <sz val="12"/>
      <color rgb="FF58595B"/>
      <name val="Arial"/>
      <family val="2"/>
    </font>
    <font>
      <b/>
      <sz val="10"/>
      <color rgb="FF3AB972"/>
      <name val="Arial"/>
      <family val="2"/>
    </font>
    <font>
      <sz val="10"/>
      <color rgb="FF3AB972"/>
      <name val="Arial"/>
      <family val="2"/>
    </font>
    <font>
      <sz val="10"/>
      <color rgb="FF26B0E2"/>
      <name val="Arial"/>
      <family val="2"/>
    </font>
  </fonts>
  <fills count="9">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58595B"/>
        <bgColor indexed="64"/>
      </patternFill>
    </fill>
    <fill>
      <patternFill patternType="solid">
        <fgColor rgb="FFDEE3E6"/>
        <bgColor indexed="64"/>
      </patternFill>
    </fill>
    <fill>
      <patternFill patternType="solid">
        <fgColor theme="0" tint="-4.9989318521683403E-2"/>
        <bgColor indexed="64"/>
      </patternFill>
    </fill>
    <fill>
      <patternFill patternType="solid">
        <fgColor theme="2"/>
        <bgColor indexed="64"/>
      </patternFill>
    </fill>
    <fill>
      <patternFill patternType="solid">
        <fgColor theme="1"/>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theme="0" tint="-0.249977111117893"/>
      </right>
      <top style="thin">
        <color indexed="64"/>
      </top>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indexed="64"/>
      </left>
      <right/>
      <top style="thin">
        <color theme="0" tint="-0.249977111117893"/>
      </top>
      <bottom/>
      <diagonal/>
    </border>
    <border>
      <left/>
      <right style="thin">
        <color rgb="FFBFBFBF"/>
      </right>
      <top style="thin">
        <color theme="0" tint="-0.249977111117893"/>
      </top>
      <bottom/>
      <diagonal/>
    </border>
    <border>
      <left style="thin">
        <color rgb="FFBFBFBF"/>
      </left>
      <right style="thin">
        <color indexed="64"/>
      </right>
      <top style="thin">
        <color theme="0" tint="-0.249977111117893"/>
      </top>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274">
    <xf numFmtId="0" fontId="0" fillId="0" borderId="0" xfId="0"/>
    <xf numFmtId="14" fontId="0" fillId="0" borderId="0" xfId="0" applyNumberFormat="1"/>
    <xf numFmtId="0" fontId="0" fillId="0" borderId="1" xfId="0" applyBorder="1" applyAlignment="1">
      <alignment horizontal="center"/>
    </xf>
    <xf numFmtId="0" fontId="3" fillId="0" borderId="0" xfId="0" applyFont="1"/>
    <xf numFmtId="166" fontId="0" fillId="0" borderId="5" xfId="0" applyNumberFormat="1" applyBorder="1"/>
    <xf numFmtId="166" fontId="0" fillId="0" borderId="6" xfId="0" applyNumberFormat="1" applyBorder="1"/>
    <xf numFmtId="166" fontId="0" fillId="0" borderId="7" xfId="0" applyNumberFormat="1" applyBorder="1"/>
    <xf numFmtId="0" fontId="0" fillId="0" borderId="5" xfId="0" applyBorder="1"/>
    <xf numFmtId="0" fontId="0" fillId="0" borderId="6" xfId="0" applyBorder="1"/>
    <xf numFmtId="0" fontId="0" fillId="0" borderId="7" xfId="0" applyBorder="1"/>
    <xf numFmtId="0" fontId="3" fillId="0" borderId="0" xfId="0" applyFont="1" applyAlignment="1">
      <alignment horizontal="right"/>
    </xf>
    <xf numFmtId="167" fontId="0" fillId="0" borderId="5" xfId="0" applyNumberFormat="1" applyBorder="1"/>
    <xf numFmtId="167" fontId="0" fillId="0" borderId="6" xfId="0" applyNumberFormat="1" applyBorder="1"/>
    <xf numFmtId="167" fontId="0" fillId="0" borderId="7" xfId="0" applyNumberFormat="1" applyBorder="1"/>
    <xf numFmtId="2" fontId="0" fillId="0" borderId="0" xfId="0" applyNumberFormat="1" applyAlignment="1">
      <alignment horizontal="center"/>
    </xf>
    <xf numFmtId="0" fontId="0" fillId="0" borderId="9" xfId="0" applyBorder="1"/>
    <xf numFmtId="0" fontId="0" fillId="0" borderId="9" xfId="0" applyBorder="1" applyAlignment="1">
      <alignment horizontal="right"/>
    </xf>
    <xf numFmtId="167" fontId="0" fillId="0" borderId="9" xfId="0" applyNumberFormat="1" applyBorder="1" applyAlignment="1">
      <alignment horizontal="right"/>
    </xf>
    <xf numFmtId="0" fontId="0" fillId="0" borderId="14" xfId="0" applyBorder="1"/>
    <xf numFmtId="167" fontId="6" fillId="0" borderId="1" xfId="0" applyNumberFormat="1" applyFont="1" applyBorder="1" applyAlignment="1">
      <alignment horizontal="right"/>
    </xf>
    <xf numFmtId="0" fontId="7" fillId="0" borderId="0" xfId="0" applyFont="1"/>
    <xf numFmtId="0" fontId="0" fillId="0" borderId="20" xfId="0" applyBorder="1"/>
    <xf numFmtId="0" fontId="0" fillId="0" borderId="21" xfId="0" applyBorder="1"/>
    <xf numFmtId="164" fontId="0" fillId="0" borderId="20" xfId="1" applyFont="1" applyBorder="1"/>
    <xf numFmtId="164" fontId="0" fillId="0" borderId="0" xfId="1" applyFont="1" applyBorder="1"/>
    <xf numFmtId="164" fontId="0" fillId="0" borderId="21" xfId="1" applyFont="1" applyBorder="1"/>
    <xf numFmtId="164" fontId="0" fillId="0" borderId="22" xfId="1" applyFont="1" applyBorder="1"/>
    <xf numFmtId="164" fontId="0" fillId="0" borderId="9" xfId="1" applyFont="1" applyBorder="1"/>
    <xf numFmtId="164" fontId="0" fillId="0" borderId="23" xfId="1" applyFont="1" applyBorder="1"/>
    <xf numFmtId="164" fontId="0" fillId="2" borderId="0" xfId="1" applyFont="1" applyFill="1" applyBorder="1"/>
    <xf numFmtId="0" fontId="0" fillId="0" borderId="24" xfId="0" applyBorder="1"/>
    <xf numFmtId="0" fontId="0" fillId="0" borderId="25" xfId="0" applyBorder="1"/>
    <xf numFmtId="164" fontId="0" fillId="0" borderId="25" xfId="1" applyFont="1" applyBorder="1"/>
    <xf numFmtId="164" fontId="0" fillId="0" borderId="26" xfId="1" applyFont="1" applyBorder="1"/>
    <xf numFmtId="14" fontId="0" fillId="0" borderId="25" xfId="1" applyNumberFormat="1" applyFont="1" applyBorder="1"/>
    <xf numFmtId="14" fontId="0" fillId="0" borderId="26" xfId="1" applyNumberFormat="1" applyFont="1" applyBorder="1"/>
    <xf numFmtId="0" fontId="0" fillId="0" borderId="17" xfId="0" applyBorder="1"/>
    <xf numFmtId="0" fontId="0" fillId="0" borderId="19" xfId="0" applyBorder="1"/>
    <xf numFmtId="0" fontId="0" fillId="0" borderId="23" xfId="0" applyBorder="1"/>
    <xf numFmtId="0" fontId="0" fillId="0" borderId="18" xfId="0" applyBorder="1"/>
    <xf numFmtId="0" fontId="0" fillId="0" borderId="22" xfId="0" applyBorder="1"/>
    <xf numFmtId="0" fontId="0" fillId="0" borderId="26" xfId="0" applyBorder="1"/>
    <xf numFmtId="164" fontId="0" fillId="0" borderId="17" xfId="1" applyFont="1" applyBorder="1"/>
    <xf numFmtId="164" fontId="0" fillId="0" borderId="19" xfId="1" applyFont="1" applyBorder="1"/>
    <xf numFmtId="164" fontId="0" fillId="0" borderId="24" xfId="1" applyFont="1" applyBorder="1"/>
    <xf numFmtId="164" fontId="0" fillId="0" borderId="18" xfId="1" applyFont="1" applyBorder="1"/>
    <xf numFmtId="14" fontId="0" fillId="0" borderId="24" xfId="1" applyNumberFormat="1" applyFont="1" applyBorder="1"/>
    <xf numFmtId="14" fontId="0" fillId="0" borderId="9" xfId="0" applyNumberFormat="1" applyBorder="1"/>
    <xf numFmtId="165" fontId="0" fillId="0" borderId="19" xfId="2" applyNumberFormat="1" applyFont="1" applyBorder="1"/>
    <xf numFmtId="165" fontId="0" fillId="0" borderId="23" xfId="2" applyNumberFormat="1" applyFont="1" applyBorder="1"/>
    <xf numFmtId="0" fontId="0" fillId="0" borderId="0" xfId="0" applyProtection="1">
      <protection locked="0"/>
    </xf>
    <xf numFmtId="0" fontId="0" fillId="0" borderId="19" xfId="0" applyBorder="1" applyProtection="1">
      <protection locked="0"/>
    </xf>
    <xf numFmtId="0" fontId="0" fillId="0" borderId="21" xfId="0" applyBorder="1" applyProtection="1">
      <protection locked="0"/>
    </xf>
    <xf numFmtId="168" fontId="0" fillId="0" borderId="20" xfId="0" applyNumberFormat="1" applyBorder="1"/>
    <xf numFmtId="168" fontId="0" fillId="0" borderId="17" xfId="0" applyNumberFormat="1" applyBorder="1"/>
    <xf numFmtId="168" fontId="0" fillId="0" borderId="22" xfId="0" applyNumberFormat="1" applyBorder="1"/>
    <xf numFmtId="0" fontId="0" fillId="0" borderId="9" xfId="0" applyBorder="1" applyProtection="1">
      <protection locked="0"/>
    </xf>
    <xf numFmtId="0" fontId="0" fillId="0" borderId="12" xfId="0" applyBorder="1"/>
    <xf numFmtId="0" fontId="0" fillId="3" borderId="0" xfId="0" applyFill="1"/>
    <xf numFmtId="0" fontId="0" fillId="4" borderId="0" xfId="0" applyFill="1"/>
    <xf numFmtId="0" fontId="9" fillId="4" borderId="0" xfId="0" applyFont="1" applyFill="1"/>
    <xf numFmtId="0" fontId="0" fillId="0" borderId="8" xfId="0" applyBorder="1"/>
    <xf numFmtId="0" fontId="0" fillId="0" borderId="1" xfId="0" applyBorder="1"/>
    <xf numFmtId="0" fontId="0" fillId="0" borderId="2" xfId="0" applyBorder="1"/>
    <xf numFmtId="164" fontId="0" fillId="0" borderId="5" xfId="1" applyFont="1" applyBorder="1"/>
    <xf numFmtId="164" fontId="0" fillId="0" borderId="6" xfId="1" applyFont="1" applyBorder="1"/>
    <xf numFmtId="164" fontId="0" fillId="0" borderId="7" xfId="1" applyFont="1" applyBorder="1"/>
    <xf numFmtId="169" fontId="0" fillId="0" borderId="5" xfId="1" applyNumberFormat="1" applyFont="1" applyBorder="1"/>
    <xf numFmtId="169" fontId="0" fillId="0" borderId="6" xfId="1" applyNumberFormat="1" applyFont="1" applyBorder="1"/>
    <xf numFmtId="169" fontId="0" fillId="0" borderId="7" xfId="1" applyNumberFormat="1" applyFont="1" applyBorder="1"/>
    <xf numFmtId="14" fontId="0" fillId="0" borderId="5" xfId="0" applyNumberFormat="1" applyBorder="1"/>
    <xf numFmtId="14" fontId="0" fillId="0" borderId="6" xfId="0" applyNumberFormat="1" applyBorder="1"/>
    <xf numFmtId="14" fontId="0" fillId="0" borderId="7" xfId="0" applyNumberFormat="1" applyBorder="1"/>
    <xf numFmtId="0" fontId="0" fillId="0" borderId="29" xfId="0" applyBorder="1"/>
    <xf numFmtId="0" fontId="0" fillId="5" borderId="0" xfId="0" applyFill="1"/>
    <xf numFmtId="0" fontId="3" fillId="6" borderId="20" xfId="0" applyFont="1" applyFill="1" applyBorder="1"/>
    <xf numFmtId="0" fontId="0" fillId="6" borderId="0" xfId="0" applyFill="1"/>
    <xf numFmtId="0" fontId="0" fillId="6" borderId="21" xfId="0" applyFill="1" applyBorder="1"/>
    <xf numFmtId="0" fontId="0" fillId="6" borderId="20" xfId="0" applyFill="1" applyBorder="1"/>
    <xf numFmtId="14" fontId="0" fillId="6" borderId="0" xfId="0" applyNumberFormat="1" applyFill="1"/>
    <xf numFmtId="0" fontId="0" fillId="6" borderId="22" xfId="0" applyFill="1" applyBorder="1"/>
    <xf numFmtId="0" fontId="0" fillId="6" borderId="9" xfId="0" applyFill="1" applyBorder="1"/>
    <xf numFmtId="0" fontId="0" fillId="6" borderId="23" xfId="0" applyFill="1" applyBorder="1"/>
    <xf numFmtId="0" fontId="3" fillId="7" borderId="20" xfId="0" applyFont="1" applyFill="1" applyBorder="1"/>
    <xf numFmtId="0" fontId="0" fillId="7" borderId="0" xfId="0" applyFill="1"/>
    <xf numFmtId="0" fontId="0" fillId="7" borderId="21" xfId="0" applyFill="1" applyBorder="1"/>
    <xf numFmtId="0" fontId="0" fillId="7" borderId="20" xfId="0" applyFill="1" applyBorder="1"/>
    <xf numFmtId="14" fontId="0" fillId="7" borderId="0" xfId="0" applyNumberFormat="1" applyFill="1"/>
    <xf numFmtId="0" fontId="0" fillId="0" borderId="30" xfId="0" applyBorder="1"/>
    <xf numFmtId="0" fontId="0" fillId="0" borderId="15" xfId="0" applyBorder="1"/>
    <xf numFmtId="167" fontId="0" fillId="0" borderId="1" xfId="0" applyNumberFormat="1" applyBorder="1" applyProtection="1">
      <protection locked="0"/>
    </xf>
    <xf numFmtId="0" fontId="3" fillId="7" borderId="17" xfId="0" applyFont="1" applyFill="1" applyBorder="1"/>
    <xf numFmtId="0" fontId="0" fillId="7" borderId="18" xfId="0" applyFill="1" applyBorder="1"/>
    <xf numFmtId="0" fontId="0" fillId="7" borderId="19" xfId="0" applyFill="1" applyBorder="1"/>
    <xf numFmtId="0" fontId="0" fillId="7" borderId="23" xfId="0" applyFill="1" applyBorder="1"/>
    <xf numFmtId="0" fontId="0" fillId="7" borderId="22" xfId="0" applyFill="1" applyBorder="1"/>
    <xf numFmtId="0" fontId="0" fillId="7" borderId="9" xfId="0" applyFill="1" applyBorder="1"/>
    <xf numFmtId="0" fontId="3" fillId="6" borderId="17" xfId="0" applyFont="1" applyFill="1" applyBorder="1"/>
    <xf numFmtId="0" fontId="0" fillId="6" borderId="18" xfId="0" applyFill="1" applyBorder="1"/>
    <xf numFmtId="0" fontId="0" fillId="6" borderId="19" xfId="0" applyFill="1" applyBorder="1"/>
    <xf numFmtId="0" fontId="7" fillId="6" borderId="0" xfId="0" applyFont="1" applyFill="1"/>
    <xf numFmtId="0" fontId="4" fillId="6" borderId="20" xfId="0" applyFont="1" applyFill="1" applyBorder="1"/>
    <xf numFmtId="0" fontId="0" fillId="6" borderId="0" xfId="0" applyFill="1" applyAlignment="1">
      <alignment horizontal="right"/>
    </xf>
    <xf numFmtId="0" fontId="11" fillId="7" borderId="0" xfId="0" applyFont="1" applyFill="1" applyAlignment="1">
      <alignment horizontal="center"/>
    </xf>
    <xf numFmtId="0" fontId="3" fillId="7" borderId="0" xfId="0" applyFont="1" applyFill="1" applyAlignment="1">
      <alignment horizontal="center"/>
    </xf>
    <xf numFmtId="167" fontId="12" fillId="0" borderId="1" xfId="0" applyNumberFormat="1" applyFont="1" applyBorder="1" applyProtection="1">
      <protection locked="0"/>
    </xf>
    <xf numFmtId="2" fontId="0" fillId="0" borderId="1" xfId="1" applyNumberFormat="1" applyFont="1" applyBorder="1" applyAlignment="1" applyProtection="1">
      <alignment horizontal="right"/>
      <protection locked="0"/>
    </xf>
    <xf numFmtId="2" fontId="0" fillId="0" borderId="3" xfId="1" applyNumberFormat="1" applyFont="1" applyBorder="1" applyAlignment="1" applyProtection="1">
      <alignment horizontal="right"/>
      <protection locked="0"/>
    </xf>
    <xf numFmtId="2" fontId="0" fillId="0" borderId="7" xfId="1" applyNumberFormat="1" applyFont="1" applyBorder="1" applyAlignment="1" applyProtection="1">
      <alignment horizontal="right"/>
      <protection locked="0"/>
    </xf>
    <xf numFmtId="2" fontId="0" fillId="0" borderId="4" xfId="1" applyNumberFormat="1" applyFont="1" applyBorder="1" applyAlignment="1" applyProtection="1">
      <alignment horizontal="right"/>
      <protection locked="0"/>
    </xf>
    <xf numFmtId="0" fontId="0" fillId="8" borderId="0" xfId="0" applyFill="1"/>
    <xf numFmtId="164" fontId="0" fillId="2" borderId="24" xfId="1" applyFont="1" applyFill="1" applyBorder="1"/>
    <xf numFmtId="0" fontId="3" fillId="6" borderId="19" xfId="0" applyFont="1" applyFill="1" applyBorder="1" applyAlignment="1">
      <alignment vertical="center"/>
    </xf>
    <xf numFmtId="0" fontId="3" fillId="6" borderId="21" xfId="0" applyFont="1" applyFill="1" applyBorder="1" applyAlignment="1">
      <alignment vertical="center"/>
    </xf>
    <xf numFmtId="0" fontId="3" fillId="6" borderId="18" xfId="0" applyFont="1" applyFill="1" applyBorder="1" applyAlignment="1">
      <alignment vertical="top"/>
    </xf>
    <xf numFmtId="0" fontId="3" fillId="6" borderId="0" xfId="0" applyFont="1" applyFill="1" applyAlignment="1">
      <alignment vertical="top"/>
    </xf>
    <xf numFmtId="0" fontId="0" fillId="7" borderId="0" xfId="0" applyFill="1" applyAlignment="1">
      <alignment horizontal="center" vertical="center" wrapText="1"/>
    </xf>
    <xf numFmtId="0" fontId="0" fillId="0" borderId="0" xfId="0" applyAlignment="1">
      <alignment horizontal="center" vertical="center" wrapText="1"/>
    </xf>
    <xf numFmtId="0" fontId="0" fillId="7" borderId="18" xfId="0" applyFill="1" applyBorder="1" applyAlignment="1">
      <alignment horizontal="center" vertical="center" wrapText="1"/>
    </xf>
    <xf numFmtId="0" fontId="0" fillId="7" borderId="9" xfId="0" applyFill="1" applyBorder="1" applyAlignment="1">
      <alignment horizontal="center" vertical="center" wrapText="1"/>
    </xf>
    <xf numFmtId="14" fontId="0" fillId="6" borderId="18" xfId="0" applyNumberFormat="1" applyFill="1" applyBorder="1"/>
    <xf numFmtId="0" fontId="0" fillId="0" borderId="31" xfId="0" applyBorder="1"/>
    <xf numFmtId="14" fontId="0" fillId="0" borderId="21" xfId="0" applyNumberFormat="1" applyBorder="1"/>
    <xf numFmtId="14" fontId="0" fillId="0" borderId="23" xfId="0" applyNumberFormat="1" applyBorder="1"/>
    <xf numFmtId="170" fontId="0" fillId="0" borderId="32" xfId="0" applyNumberFormat="1" applyBorder="1" applyProtection="1">
      <protection locked="0"/>
    </xf>
    <xf numFmtId="170" fontId="12" fillId="0" borderId="32" xfId="0" applyNumberFormat="1" applyFont="1" applyBorder="1" applyProtection="1">
      <protection locked="0"/>
    </xf>
    <xf numFmtId="168" fontId="0" fillId="0" borderId="32" xfId="0" applyNumberFormat="1" applyBorder="1" applyProtection="1">
      <protection locked="0"/>
    </xf>
    <xf numFmtId="2" fontId="13" fillId="0" borderId="32" xfId="0" applyNumberFormat="1" applyFont="1" applyBorder="1" applyProtection="1">
      <protection locked="0"/>
    </xf>
    <xf numFmtId="2" fontId="0" fillId="0" borderId="32" xfId="0" applyNumberFormat="1" applyBorder="1" applyProtection="1">
      <protection locked="0"/>
    </xf>
    <xf numFmtId="2" fontId="12" fillId="0" borderId="32" xfId="0" applyNumberFormat="1" applyFont="1" applyBorder="1" applyProtection="1">
      <protection locked="0"/>
    </xf>
    <xf numFmtId="0" fontId="0" fillId="7" borderId="35" xfId="0" applyFill="1" applyBorder="1"/>
    <xf numFmtId="0" fontId="0" fillId="7" borderId="36" xfId="0" applyFill="1" applyBorder="1"/>
    <xf numFmtId="0" fontId="0" fillId="7" borderId="37" xfId="0" applyFill="1" applyBorder="1"/>
    <xf numFmtId="0" fontId="0" fillId="6" borderId="35" xfId="0" applyFill="1" applyBorder="1"/>
    <xf numFmtId="0" fontId="0" fillId="6" borderId="36" xfId="0" applyFill="1" applyBorder="1"/>
    <xf numFmtId="0" fontId="0" fillId="6" borderId="37" xfId="0" applyFill="1" applyBorder="1"/>
    <xf numFmtId="0" fontId="10" fillId="3" borderId="0" xfId="0" applyFont="1" applyFill="1" applyAlignment="1">
      <alignment horizontal="left" vertical="center"/>
    </xf>
    <xf numFmtId="0" fontId="8" fillId="3" borderId="0" xfId="0" applyFont="1" applyFill="1" applyAlignment="1">
      <alignment horizontal="left" vertical="center"/>
    </xf>
    <xf numFmtId="2" fontId="0" fillId="0" borderId="33" xfId="0" applyNumberFormat="1" applyBorder="1" applyProtection="1">
      <protection locked="0"/>
    </xf>
    <xf numFmtId="14" fontId="0" fillId="0" borderId="34" xfId="0" applyNumberFormat="1" applyBorder="1" applyProtection="1">
      <protection locked="0"/>
    </xf>
    <xf numFmtId="0" fontId="0" fillId="0" borderId="0" xfId="0" applyAlignment="1">
      <alignment horizontal="left" vertical="top" wrapText="1"/>
    </xf>
    <xf numFmtId="0" fontId="0" fillId="0" borderId="1" xfId="0" applyBorder="1" applyAlignment="1" applyProtection="1">
      <alignment horizontal="right"/>
      <protection locked="0"/>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66" fontId="0" fillId="0" borderId="1" xfId="0" applyNumberFormat="1" applyBorder="1" applyAlignment="1" applyProtection="1">
      <alignment horizontal="right"/>
      <protection locked="0"/>
    </xf>
    <xf numFmtId="0" fontId="3" fillId="6" borderId="20" xfId="0" applyFont="1" applyFill="1" applyBorder="1" applyAlignment="1">
      <alignment horizontal="center" vertical="center" wrapText="1"/>
    </xf>
    <xf numFmtId="0" fontId="3" fillId="6" borderId="0" xfId="0" applyFont="1" applyFill="1" applyAlignment="1">
      <alignment horizontal="center" vertical="center" wrapText="1"/>
    </xf>
    <xf numFmtId="168" fontId="2" fillId="0" borderId="33" xfId="0" applyNumberFormat="1" applyFont="1" applyBorder="1" applyAlignment="1" applyProtection="1">
      <alignment horizontal="center"/>
      <protection locked="0"/>
    </xf>
    <xf numFmtId="168" fontId="2" fillId="0" borderId="34" xfId="0" applyNumberFormat="1" applyFont="1" applyBorder="1" applyAlignment="1" applyProtection="1">
      <alignment horizontal="center"/>
      <protection locked="0"/>
    </xf>
    <xf numFmtId="2" fontId="0" fillId="0" borderId="33" xfId="0" applyNumberFormat="1" applyBorder="1" applyAlignment="1" applyProtection="1">
      <alignment horizontal="center"/>
      <protection locked="0"/>
    </xf>
    <xf numFmtId="2" fontId="0" fillId="0" borderId="34" xfId="0" applyNumberFormat="1" applyBorder="1" applyAlignment="1" applyProtection="1">
      <alignment horizontal="center"/>
      <protection locked="0"/>
    </xf>
    <xf numFmtId="14" fontId="2" fillId="0" borderId="33" xfId="0" applyNumberFormat="1" applyFont="1" applyBorder="1" applyAlignment="1" applyProtection="1">
      <alignment horizontal="center"/>
      <protection locked="0"/>
    </xf>
    <xf numFmtId="14" fontId="2" fillId="0" borderId="34" xfId="0" applyNumberFormat="1" applyFont="1" applyBorder="1" applyAlignment="1" applyProtection="1">
      <alignment horizontal="center"/>
      <protection locked="0"/>
    </xf>
    <xf numFmtId="14" fontId="0" fillId="0" borderId="33" xfId="0" applyNumberFormat="1" applyBorder="1" applyAlignment="1" applyProtection="1">
      <alignment horizontal="center"/>
      <protection locked="0"/>
    </xf>
    <xf numFmtId="14" fontId="0" fillId="0" borderId="34" xfId="0" applyNumberFormat="1" applyBorder="1" applyAlignment="1" applyProtection="1">
      <alignment horizontal="center"/>
      <protection locked="0"/>
    </xf>
    <xf numFmtId="0" fontId="0" fillId="7" borderId="0" xfId="0" applyFill="1" applyAlignment="1">
      <alignment horizontal="center" vertical="center" wrapText="1"/>
    </xf>
    <xf numFmtId="0" fontId="3" fillId="6" borderId="17" xfId="0" applyFont="1" applyFill="1" applyBorder="1" applyAlignment="1">
      <alignment horizontal="left" vertical="top"/>
    </xf>
    <xf numFmtId="0" fontId="3" fillId="6" borderId="20" xfId="0" applyFont="1" applyFill="1" applyBorder="1" applyAlignment="1">
      <alignment horizontal="left" vertical="top"/>
    </xf>
    <xf numFmtId="0" fontId="11" fillId="6" borderId="18" xfId="0" applyFont="1" applyFill="1" applyBorder="1" applyAlignment="1">
      <alignment horizontal="center"/>
    </xf>
    <xf numFmtId="0" fontId="3" fillId="6" borderId="0" xfId="0" applyFont="1" applyFill="1" applyAlignment="1">
      <alignment horizontal="center"/>
    </xf>
    <xf numFmtId="0" fontId="0" fillId="0" borderId="14" xfId="0" applyBorder="1" applyAlignment="1">
      <alignment horizontal="left"/>
    </xf>
    <xf numFmtId="0" fontId="0" fillId="0" borderId="15" xfId="0" applyBorder="1" applyAlignment="1">
      <alignment horizontal="left"/>
    </xf>
    <xf numFmtId="0" fontId="2" fillId="0" borderId="33" xfId="0" applyFont="1" applyBorder="1" applyAlignment="1" applyProtection="1">
      <alignment horizontal="center"/>
      <protection locked="0"/>
    </xf>
    <xf numFmtId="0" fontId="2" fillId="0" borderId="34" xfId="0" applyFont="1" applyBorder="1" applyAlignment="1" applyProtection="1">
      <alignment horizontal="center"/>
      <protection locked="0"/>
    </xf>
    <xf numFmtId="0" fontId="0" fillId="0" borderId="33" xfId="0" applyBorder="1" applyAlignment="1" applyProtection="1">
      <alignment horizontal="center"/>
      <protection locked="0"/>
    </xf>
    <xf numFmtId="0" fontId="0" fillId="0" borderId="34" xfId="0" applyBorder="1" applyAlignment="1" applyProtection="1">
      <alignment horizontal="center"/>
      <protection locked="0"/>
    </xf>
    <xf numFmtId="2" fontId="2" fillId="0" borderId="33" xfId="0" applyNumberFormat="1" applyFont="1" applyBorder="1" applyAlignment="1" applyProtection="1">
      <alignment horizontal="center"/>
      <protection locked="0"/>
    </xf>
    <xf numFmtId="2" fontId="2" fillId="0" borderId="34" xfId="0" applyNumberFormat="1" applyFont="1" applyBorder="1" applyAlignment="1" applyProtection="1">
      <alignment horizontal="center"/>
      <protection locked="0"/>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1" xfId="0" applyBorder="1" applyAlignment="1">
      <alignment horizontal="center"/>
    </xf>
    <xf numFmtId="0" fontId="0" fillId="0" borderId="28" xfId="0" applyBorder="1" applyAlignment="1">
      <alignment horizontal="left"/>
    </xf>
    <xf numFmtId="0" fontId="0" fillId="0" borderId="27" xfId="0" applyBorder="1" applyAlignment="1">
      <alignment horizontal="left"/>
    </xf>
    <xf numFmtId="0" fontId="0" fillId="0" borderId="11" xfId="0" applyBorder="1" applyAlignment="1">
      <alignment horizontal="left"/>
    </xf>
    <xf numFmtId="0" fontId="0" fillId="0" borderId="13" xfId="0" applyBorder="1" applyAlignment="1">
      <alignment horizontal="left"/>
    </xf>
    <xf numFmtId="0" fontId="0" fillId="0" borderId="1" xfId="0" applyBorder="1" applyAlignment="1">
      <alignment horizontal="center" vertic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3" fillId="6" borderId="18" xfId="0" applyFont="1" applyFill="1" applyBorder="1" applyAlignment="1">
      <alignment horizontal="center"/>
    </xf>
    <xf numFmtId="0" fontId="0" fillId="0" borderId="16" xfId="0" applyBorder="1" applyAlignment="1">
      <alignment horizontal="left"/>
    </xf>
    <xf numFmtId="0" fontId="0" fillId="0" borderId="4" xfId="0" applyBorder="1" applyAlignment="1">
      <alignment horizontal="left"/>
    </xf>
    <xf numFmtId="0" fontId="0" fillId="0" borderId="2" xfId="0" applyBorder="1" applyAlignment="1" applyProtection="1">
      <alignment horizontal="right"/>
      <protection locked="0"/>
    </xf>
    <xf numFmtId="0" fontId="0" fillId="0" borderId="3" xfId="0" applyBorder="1" applyAlignment="1" applyProtection="1">
      <alignment horizontal="right"/>
      <protection locked="0"/>
    </xf>
    <xf numFmtId="14" fontId="2" fillId="0" borderId="2" xfId="0" applyNumberFormat="1" applyFont="1" applyBorder="1" applyAlignment="1" applyProtection="1">
      <alignment horizontal="right"/>
      <protection locked="0"/>
    </xf>
    <xf numFmtId="14" fontId="2" fillId="0" borderId="3" xfId="0" applyNumberFormat="1" applyFont="1" applyBorder="1" applyAlignment="1" applyProtection="1">
      <alignment horizontal="right"/>
      <protection locked="0"/>
    </xf>
    <xf numFmtId="0" fontId="0" fillId="0" borderId="0" xfId="0" applyAlignment="1">
      <alignment horizontal="center"/>
    </xf>
    <xf numFmtId="0" fontId="0" fillId="0" borderId="21" xfId="0" applyBorder="1" applyAlignment="1">
      <alignment horizontal="center"/>
    </xf>
    <xf numFmtId="0" fontId="10" fillId="5" borderId="0" xfId="0" applyFont="1" applyFill="1" applyAlignment="1">
      <alignment horizontal="left" vertical="center"/>
    </xf>
    <xf numFmtId="0" fontId="9" fillId="5" borderId="0" xfId="0" applyFont="1" applyFill="1" applyAlignment="1">
      <alignment horizontal="left" vertical="center"/>
    </xf>
    <xf numFmtId="0" fontId="0" fillId="0" borderId="0" xfId="0" applyAlignment="1">
      <alignment horizontal="left" vertical="center"/>
    </xf>
    <xf numFmtId="0" fontId="3" fillId="0" borderId="10" xfId="0" applyFont="1" applyBorder="1" applyAlignment="1">
      <alignment horizontal="center"/>
    </xf>
    <xf numFmtId="0" fontId="0" fillId="0" borderId="8" xfId="0" applyBorder="1" applyAlignment="1" applyProtection="1">
      <alignment horizontal="right"/>
      <protection locked="0"/>
    </xf>
    <xf numFmtId="14" fontId="0" fillId="0" borderId="2" xfId="0" applyNumberFormat="1" applyBorder="1" applyAlignment="1" applyProtection="1">
      <alignment horizontal="right"/>
      <protection locked="0"/>
    </xf>
    <xf numFmtId="167" fontId="0" fillId="0" borderId="1" xfId="0" applyNumberFormat="1" applyBorder="1" applyAlignment="1">
      <alignment horizontal="right"/>
    </xf>
    <xf numFmtId="0" fontId="3" fillId="0" borderId="0" xfId="0" applyFont="1" applyAlignment="1">
      <alignment horizontal="center" vertical="center" wrapText="1"/>
    </xf>
    <xf numFmtId="0" fontId="0" fillId="0" borderId="10" xfId="0" applyBorder="1" applyAlignment="1" applyProtection="1">
      <alignment horizontal="left"/>
      <protection locked="0"/>
    </xf>
    <xf numFmtId="0" fontId="0" fillId="0" borderId="11" xfId="0" applyBorder="1" applyAlignment="1" applyProtection="1">
      <alignment horizontal="left" vertical="top"/>
      <protection locked="0"/>
    </xf>
    <xf numFmtId="0" fontId="0" fillId="0" borderId="12" xfId="0" applyBorder="1" applyAlignment="1" applyProtection="1">
      <alignment horizontal="left" vertical="top"/>
      <protection locked="0"/>
    </xf>
    <xf numFmtId="0" fontId="0" fillId="0" borderId="13" xfId="0" applyBorder="1" applyAlignment="1" applyProtection="1">
      <alignment horizontal="left" vertical="top"/>
      <protection locked="0"/>
    </xf>
    <xf numFmtId="0" fontId="0" fillId="0" borderId="14" xfId="0" applyBorder="1" applyAlignment="1" applyProtection="1">
      <alignment horizontal="left" vertical="top"/>
      <protection locked="0"/>
    </xf>
    <xf numFmtId="0" fontId="0" fillId="0" borderId="0" xfId="0"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16" xfId="0" applyBorder="1" applyAlignment="1" applyProtection="1">
      <alignment horizontal="left" vertical="top"/>
      <protection locked="0"/>
    </xf>
    <xf numFmtId="0" fontId="0" fillId="0" borderId="10" xfId="0" applyBorder="1" applyAlignment="1" applyProtection="1">
      <alignment horizontal="left" vertical="top"/>
      <protection locked="0"/>
    </xf>
    <xf numFmtId="0" fontId="0" fillId="0" borderId="4" xfId="0" applyBorder="1" applyAlignment="1" applyProtection="1">
      <alignment horizontal="left" vertical="top"/>
      <protection locked="0"/>
    </xf>
    <xf numFmtId="166" fontId="0" fillId="0" borderId="16" xfId="0" applyNumberFormat="1" applyBorder="1" applyAlignment="1">
      <alignment horizontal="center"/>
    </xf>
    <xf numFmtId="166" fontId="0" fillId="0" borderId="10" xfId="0" applyNumberFormat="1" applyBorder="1" applyAlignment="1">
      <alignment horizontal="center"/>
    </xf>
    <xf numFmtId="166" fontId="0" fillId="0" borderId="4" xfId="0" applyNumberFormat="1" applyBorder="1" applyAlignment="1">
      <alignment horizontal="center"/>
    </xf>
    <xf numFmtId="0" fontId="0" fillId="0" borderId="16" xfId="0"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167" fontId="0" fillId="0" borderId="16" xfId="0" applyNumberFormat="1" applyBorder="1" applyAlignment="1">
      <alignment horizontal="right"/>
    </xf>
    <xf numFmtId="167" fontId="0" fillId="0" borderId="10" xfId="0" applyNumberFormat="1" applyBorder="1" applyAlignment="1">
      <alignment horizontal="right"/>
    </xf>
    <xf numFmtId="167" fontId="0" fillId="0" borderId="4" xfId="0" applyNumberFormat="1" applyBorder="1" applyAlignment="1">
      <alignment horizontal="right"/>
    </xf>
    <xf numFmtId="166" fontId="0" fillId="0" borderId="14" xfId="0" applyNumberFormat="1" applyBorder="1" applyAlignment="1">
      <alignment horizontal="center"/>
    </xf>
    <xf numFmtId="166" fontId="0" fillId="0" borderId="0" xfId="0" applyNumberFormat="1" applyAlignment="1">
      <alignment horizontal="center"/>
    </xf>
    <xf numFmtId="166" fontId="0" fillId="0" borderId="15" xfId="0" applyNumberFormat="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167" fontId="0" fillId="0" borderId="14" xfId="0" applyNumberFormat="1" applyBorder="1" applyAlignment="1">
      <alignment horizontal="right"/>
    </xf>
    <xf numFmtId="167" fontId="0" fillId="0" borderId="0" xfId="0" applyNumberFormat="1" applyAlignment="1">
      <alignment horizontal="right"/>
    </xf>
    <xf numFmtId="167" fontId="0" fillId="0" borderId="15" xfId="0" applyNumberFormat="1" applyBorder="1" applyAlignment="1">
      <alignment horizontal="right"/>
    </xf>
    <xf numFmtId="0" fontId="0" fillId="0" borderId="1" xfId="0" applyBorder="1" applyAlignment="1">
      <alignment horizontal="center" vertical="center" wrapText="1"/>
    </xf>
    <xf numFmtId="0" fontId="0" fillId="0" borderId="2" xfId="0" applyBorder="1" applyAlignment="1">
      <alignment horizontal="center"/>
    </xf>
    <xf numFmtId="0" fontId="0" fillId="0" borderId="8" xfId="0" applyBorder="1" applyAlignment="1">
      <alignment horizontal="center"/>
    </xf>
    <xf numFmtId="0" fontId="0" fillId="0" borderId="3" xfId="0" applyBorder="1" applyAlignment="1">
      <alignment horizontal="center"/>
    </xf>
    <xf numFmtId="166" fontId="0" fillId="0" borderId="11" xfId="0" applyNumberFormat="1" applyBorder="1" applyAlignment="1">
      <alignment horizontal="center"/>
    </xf>
    <xf numFmtId="166" fontId="0" fillId="0" borderId="12" xfId="0" applyNumberFormat="1" applyBorder="1" applyAlignment="1">
      <alignment horizontal="center"/>
    </xf>
    <xf numFmtId="166" fontId="0" fillId="0" borderId="13" xfId="0" applyNumberFormat="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167" fontId="0" fillId="0" borderId="11" xfId="0" applyNumberFormat="1" applyBorder="1" applyAlignment="1">
      <alignment horizontal="right"/>
    </xf>
    <xf numFmtId="167" fontId="0" fillId="0" borderId="12" xfId="0" applyNumberFormat="1" applyBorder="1" applyAlignment="1">
      <alignment horizontal="right"/>
    </xf>
    <xf numFmtId="167" fontId="0" fillId="0" borderId="13" xfId="0" applyNumberFormat="1" applyBorder="1" applyAlignment="1">
      <alignment horizontal="right"/>
    </xf>
    <xf numFmtId="0" fontId="5" fillId="0" borderId="0" xfId="0" applyFont="1" applyAlignment="1">
      <alignment horizontal="left" vertical="top"/>
    </xf>
    <xf numFmtId="0" fontId="0" fillId="0" borderId="2" xfId="0" applyBorder="1" applyAlignment="1">
      <alignment horizontal="right"/>
    </xf>
    <xf numFmtId="0" fontId="0" fillId="0" borderId="8" xfId="0" applyBorder="1" applyAlignment="1">
      <alignment horizontal="right"/>
    </xf>
    <xf numFmtId="0" fontId="0" fillId="0" borderId="3" xfId="0" applyBorder="1" applyAlignment="1">
      <alignment horizontal="right"/>
    </xf>
    <xf numFmtId="14" fontId="0" fillId="0" borderId="2" xfId="0" applyNumberFormat="1" applyBorder="1" applyAlignment="1">
      <alignment horizontal="right"/>
    </xf>
    <xf numFmtId="14" fontId="0" fillId="0" borderId="8" xfId="0" applyNumberFormat="1" applyBorder="1" applyAlignment="1">
      <alignment horizontal="right"/>
    </xf>
    <xf numFmtId="14" fontId="0" fillId="0" borderId="3" xfId="0" applyNumberFormat="1" applyBorder="1" applyAlignment="1">
      <alignment horizontal="right"/>
    </xf>
    <xf numFmtId="2" fontId="0" fillId="0" borderId="2" xfId="0" applyNumberFormat="1" applyBorder="1" applyAlignment="1">
      <alignment horizontal="right"/>
    </xf>
    <xf numFmtId="2" fontId="0" fillId="0" borderId="8" xfId="0" applyNumberFormat="1" applyBorder="1" applyAlignment="1">
      <alignment horizontal="right"/>
    </xf>
    <xf numFmtId="2" fontId="0" fillId="0" borderId="3" xfId="0" applyNumberFormat="1" applyBorder="1" applyAlignment="1">
      <alignment horizontal="right"/>
    </xf>
    <xf numFmtId="0" fontId="3" fillId="0" borderId="10" xfId="0" applyFont="1" applyBorder="1" applyAlignment="1">
      <alignment horizontal="right"/>
    </xf>
    <xf numFmtId="0" fontId="0" fillId="0" borderId="1"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0" fillId="0" borderId="12" xfId="0" applyBorder="1" applyAlignment="1">
      <alignment horizontal="left"/>
    </xf>
    <xf numFmtId="167" fontId="0" fillId="0" borderId="11" xfId="0" applyNumberFormat="1" applyBorder="1"/>
    <xf numFmtId="167" fontId="0" fillId="0" borderId="12" xfId="0" applyNumberFormat="1" applyBorder="1"/>
    <xf numFmtId="167" fontId="0" fillId="0" borderId="13" xfId="0" applyNumberFormat="1" applyBorder="1"/>
    <xf numFmtId="0" fontId="0" fillId="0" borderId="11" xfId="0" applyBorder="1" applyAlignment="1">
      <alignment horizontal="right"/>
    </xf>
    <xf numFmtId="0" fontId="0" fillId="0" borderId="12" xfId="0" applyBorder="1" applyAlignment="1">
      <alignment horizontal="right"/>
    </xf>
    <xf numFmtId="0" fontId="0" fillId="0" borderId="13" xfId="0" applyBorder="1" applyAlignment="1">
      <alignment horizontal="right"/>
    </xf>
    <xf numFmtId="14" fontId="0" fillId="0" borderId="11" xfId="0" applyNumberFormat="1" applyBorder="1" applyAlignment="1">
      <alignment horizontal="right"/>
    </xf>
    <xf numFmtId="14" fontId="0" fillId="0" borderId="12" xfId="0" applyNumberFormat="1" applyBorder="1" applyAlignment="1">
      <alignment horizontal="right"/>
    </xf>
    <xf numFmtId="14" fontId="0" fillId="0" borderId="13" xfId="0" applyNumberFormat="1" applyBorder="1" applyAlignment="1">
      <alignment horizontal="right"/>
    </xf>
    <xf numFmtId="14" fontId="0" fillId="0" borderId="14" xfId="0" applyNumberFormat="1" applyBorder="1" applyAlignment="1">
      <alignment horizontal="right"/>
    </xf>
    <xf numFmtId="14" fontId="0" fillId="0" borderId="0" xfId="0" applyNumberFormat="1" applyAlignment="1">
      <alignment horizontal="right"/>
    </xf>
    <xf numFmtId="14" fontId="0" fillId="0" borderId="15" xfId="0" applyNumberFormat="1" applyBorder="1" applyAlignment="1">
      <alignment horizontal="right"/>
    </xf>
    <xf numFmtId="0" fontId="0" fillId="0" borderId="0" xfId="0" applyAlignment="1">
      <alignment horizontal="left"/>
    </xf>
    <xf numFmtId="167" fontId="0" fillId="0" borderId="14" xfId="0" applyNumberFormat="1" applyBorder="1"/>
    <xf numFmtId="167" fontId="0" fillId="0" borderId="0" xfId="0" applyNumberFormat="1"/>
    <xf numFmtId="167" fontId="0" fillId="0" borderId="15" xfId="0" applyNumberFormat="1" applyBorder="1"/>
    <xf numFmtId="0" fontId="0" fillId="0" borderId="14" xfId="0" applyBorder="1" applyAlignment="1">
      <alignment horizontal="right"/>
    </xf>
    <xf numFmtId="0" fontId="0" fillId="0" borderId="0" xfId="0" applyAlignment="1">
      <alignment horizontal="right"/>
    </xf>
    <xf numFmtId="0" fontId="0" fillId="0" borderId="15" xfId="0" applyBorder="1" applyAlignment="1">
      <alignment horizontal="right"/>
    </xf>
    <xf numFmtId="0" fontId="3" fillId="0" borderId="0" xfId="0" applyFont="1" applyAlignment="1">
      <alignment horizontal="right"/>
    </xf>
    <xf numFmtId="167" fontId="0" fillId="0" borderId="2" xfId="0" applyNumberFormat="1" applyBorder="1" applyAlignment="1">
      <alignment horizontal="right"/>
    </xf>
    <xf numFmtId="167" fontId="0" fillId="0" borderId="8" xfId="0" applyNumberFormat="1" applyBorder="1" applyAlignment="1">
      <alignment horizontal="right"/>
    </xf>
    <xf numFmtId="167" fontId="0" fillId="0" borderId="3" xfId="0" applyNumberFormat="1" applyBorder="1" applyAlignment="1">
      <alignment horizontal="right"/>
    </xf>
  </cellXfs>
  <cellStyles count="4">
    <cellStyle name="Comma" xfId="1" builtinId="3"/>
    <cellStyle name="Comma 2" xfId="3" xr:uid="{00000000-0005-0000-0000-000001000000}"/>
    <cellStyle name="Normal" xfId="0" builtinId="0"/>
    <cellStyle name="Per cent" xfId="2" builtinId="5"/>
  </cellStyles>
  <dxfs count="25">
    <dxf>
      <font>
        <b/>
        <i val="0"/>
        <color rgb="FFED0025"/>
      </font>
    </dxf>
    <dxf>
      <border>
        <left/>
        <right/>
        <top/>
        <bottom/>
        <vertical/>
        <horizontal/>
      </border>
    </dxf>
    <dxf>
      <border>
        <bottom style="thin">
          <color theme="0" tint="-0.24994659260841701"/>
        </bottom>
        <vertical/>
        <horizontal/>
      </border>
    </dxf>
    <dxf>
      <border>
        <bottom style="thin">
          <color theme="0" tint="-0.24994659260841701"/>
        </bottom>
        <vertical/>
        <horizontal/>
      </border>
    </dxf>
    <dxf>
      <font>
        <b/>
        <i val="0"/>
        <color rgb="FFED0025"/>
      </font>
    </dxf>
    <dxf>
      <font>
        <b/>
        <i val="0"/>
        <color rgb="FFED0025"/>
      </font>
    </dxf>
    <dxf>
      <border>
        <left/>
        <right/>
        <top/>
        <bottom/>
        <vertical/>
        <horizontal/>
      </border>
    </dxf>
    <dxf>
      <border>
        <bottom style="thin">
          <color theme="0" tint="-0.24994659260841701"/>
        </bottom>
        <vertical/>
        <horizontal/>
      </border>
    </dxf>
    <dxf>
      <border>
        <bottom style="thin">
          <color theme="0" tint="-0.24994659260841701"/>
        </bottom>
        <vertical/>
        <horizontal/>
      </border>
    </dxf>
    <dxf>
      <border>
        <bottom style="thin">
          <color theme="0" tint="-0.24994659260841701"/>
        </bottom>
        <vertical/>
        <horizontal/>
      </border>
    </dxf>
    <dxf>
      <border>
        <bottom style="thin">
          <color theme="0" tint="-0.24994659260841701"/>
        </bottom>
        <vertical/>
        <horizontal/>
      </border>
    </dxf>
    <dxf>
      <font>
        <b/>
        <i val="0"/>
        <color rgb="FFED0025"/>
      </font>
    </dxf>
    <dxf>
      <font>
        <b/>
        <i val="0"/>
        <color rgb="FFED0025"/>
      </font>
      <fill>
        <patternFill patternType="none">
          <bgColor auto="1"/>
        </patternFill>
      </fill>
    </dxf>
    <dxf>
      <font>
        <color rgb="FFF2F2F2"/>
      </font>
    </dxf>
    <dxf>
      <font>
        <b/>
        <i val="0"/>
        <color rgb="FFED0025"/>
      </font>
    </dxf>
    <dxf>
      <font>
        <b/>
        <i val="0"/>
        <color rgb="FFED0025"/>
      </font>
    </dxf>
    <dxf>
      <fill>
        <patternFill>
          <bgColor theme="5" tint="0.59996337778862885"/>
        </patternFill>
      </fill>
    </dxf>
    <dxf>
      <font>
        <color theme="0"/>
      </font>
      <border>
        <left/>
        <right/>
        <bottom/>
        <vertical/>
        <horizontal/>
      </border>
    </dxf>
    <dxf>
      <border>
        <bottom style="thin">
          <color theme="0" tint="-0.24994659260841701"/>
        </bottom>
        <vertical/>
        <horizontal/>
      </border>
    </dxf>
    <dxf>
      <font>
        <color theme="0"/>
      </font>
    </dxf>
    <dxf>
      <numFmt numFmtId="2" formatCode="0.00"/>
    </dxf>
    <dxf>
      <font>
        <color theme="0"/>
      </font>
      <border>
        <left/>
        <right/>
        <bottom/>
        <vertical/>
        <horizontal/>
      </border>
    </dxf>
    <dxf>
      <border>
        <bottom style="thin">
          <color theme="0" tint="-0.24994659260841701"/>
        </bottom>
        <vertical/>
        <horizontal/>
      </border>
    </dxf>
    <dxf>
      <font>
        <color theme="0"/>
      </font>
      <border>
        <left/>
        <right/>
        <bottom/>
        <vertical/>
        <horizontal/>
      </border>
    </dxf>
    <dxf>
      <border>
        <bottom style="thin">
          <color theme="0" tint="-0.24994659260841701"/>
        </bottom>
        <vertical/>
        <horizontal/>
      </border>
    </dxf>
  </dxfs>
  <tableStyles count="0" defaultTableStyle="TableStyleMedium2" defaultPivotStyle="PivotStyleLight16"/>
  <colors>
    <mruColors>
      <color rgb="FFED0025"/>
      <color rgb="FFFF7575"/>
      <color rgb="FFF2F2F2"/>
      <color rgb="FFDEE3E6"/>
      <color rgb="FF3AB972"/>
      <color rgb="FF26B0E2"/>
      <color rgb="FFA3347D"/>
      <color rgb="FF5859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166603098186465E-2"/>
          <c:y val="2.9216479683985188E-2"/>
          <c:w val="0.88504581168473428"/>
          <c:h val="0.70730859545904379"/>
        </c:manualLayout>
      </c:layout>
      <c:barChart>
        <c:barDir val="col"/>
        <c:grouping val="clustered"/>
        <c:varyColors val="0"/>
        <c:ser>
          <c:idx val="2"/>
          <c:order val="1"/>
          <c:tx>
            <c:v>Withdrawals</c:v>
          </c:tx>
          <c:spPr>
            <a:solidFill>
              <a:srgbClr val="D25400"/>
            </a:solidFill>
            <a:ln>
              <a:solidFill>
                <a:srgbClr val="D25400"/>
              </a:solidFill>
              <a:prstDash val="solid"/>
            </a:ln>
          </c:spPr>
          <c:invertIfNegative val="0"/>
          <c:cat>
            <c:numRef>
              <c:f>[0]!graph_x_values</c:f>
              <c:numCache>
                <c:formatCode>General</c:formatCode>
                <c:ptCount val="36"/>
                <c:pt idx="0">
                  <c:v>55</c:v>
                </c:pt>
                <c:pt idx="1">
                  <c:v>56</c:v>
                </c:pt>
                <c:pt idx="2">
                  <c:v>57</c:v>
                </c:pt>
                <c:pt idx="3">
                  <c:v>58</c:v>
                </c:pt>
                <c:pt idx="4">
                  <c:v>59</c:v>
                </c:pt>
                <c:pt idx="5">
                  <c:v>60</c:v>
                </c:pt>
                <c:pt idx="6">
                  <c:v>61</c:v>
                </c:pt>
                <c:pt idx="7">
                  <c:v>62</c:v>
                </c:pt>
                <c:pt idx="8">
                  <c:v>63</c:v>
                </c:pt>
                <c:pt idx="9">
                  <c:v>64</c:v>
                </c:pt>
                <c:pt idx="10">
                  <c:v>65</c:v>
                </c:pt>
                <c:pt idx="11">
                  <c:v>66</c:v>
                </c:pt>
                <c:pt idx="12">
                  <c:v>67</c:v>
                </c:pt>
                <c:pt idx="13">
                  <c:v>68</c:v>
                </c:pt>
                <c:pt idx="14">
                  <c:v>69</c:v>
                </c:pt>
                <c:pt idx="15">
                  <c:v>70</c:v>
                </c:pt>
                <c:pt idx="16">
                  <c:v>71</c:v>
                </c:pt>
                <c:pt idx="17">
                  <c:v>72</c:v>
                </c:pt>
                <c:pt idx="18">
                  <c:v>73</c:v>
                </c:pt>
                <c:pt idx="19">
                  <c:v>74</c:v>
                </c:pt>
                <c:pt idx="20">
                  <c:v>75</c:v>
                </c:pt>
                <c:pt idx="21">
                  <c:v>76</c:v>
                </c:pt>
                <c:pt idx="22">
                  <c:v>77</c:v>
                </c:pt>
                <c:pt idx="23">
                  <c:v>78</c:v>
                </c:pt>
                <c:pt idx="24">
                  <c:v>79</c:v>
                </c:pt>
                <c:pt idx="25">
                  <c:v>80</c:v>
                </c:pt>
                <c:pt idx="26">
                  <c:v>81</c:v>
                </c:pt>
                <c:pt idx="27">
                  <c:v>82</c:v>
                </c:pt>
                <c:pt idx="28">
                  <c:v>83</c:v>
                </c:pt>
                <c:pt idx="29">
                  <c:v>84</c:v>
                </c:pt>
                <c:pt idx="30">
                  <c:v>85</c:v>
                </c:pt>
                <c:pt idx="31">
                  <c:v>86</c:v>
                </c:pt>
                <c:pt idx="32">
                  <c:v>87</c:v>
                </c:pt>
                <c:pt idx="33">
                  <c:v>88</c:v>
                </c:pt>
                <c:pt idx="34">
                  <c:v>89</c:v>
                </c:pt>
                <c:pt idx="35">
                  <c:v>90</c:v>
                </c:pt>
              </c:numCache>
            </c:numRef>
          </c:cat>
          <c:val>
            <c:numRef>
              <c:f>[0]!graph_withdrawals_r</c:f>
              <c:numCache>
                <c:formatCode>"$"\ #,##0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0-E58B-423F-BD26-9C6988738A0E}"/>
            </c:ext>
          </c:extLst>
        </c:ser>
        <c:dLbls>
          <c:showLegendKey val="0"/>
          <c:showVal val="0"/>
          <c:showCatName val="0"/>
          <c:showSerName val="0"/>
          <c:showPercent val="0"/>
          <c:showBubbleSize val="0"/>
        </c:dLbls>
        <c:gapWidth val="150"/>
        <c:axId val="476030968"/>
        <c:axId val="476031360"/>
      </c:barChart>
      <c:lineChart>
        <c:grouping val="standard"/>
        <c:varyColors val="0"/>
        <c:ser>
          <c:idx val="0"/>
          <c:order val="0"/>
          <c:tx>
            <c:v>Market value</c:v>
          </c:tx>
          <c:spPr>
            <a:ln w="25400">
              <a:solidFill>
                <a:srgbClr val="8E0016"/>
              </a:solidFill>
              <a:prstDash val="sysDash"/>
            </a:ln>
          </c:spPr>
          <c:marker>
            <c:symbol val="none"/>
          </c:marker>
          <c:cat>
            <c:numRef>
              <c:f>[0]!graph_x_values</c:f>
              <c:numCache>
                <c:formatCode>General</c:formatCode>
                <c:ptCount val="36"/>
                <c:pt idx="0">
                  <c:v>55</c:v>
                </c:pt>
                <c:pt idx="1">
                  <c:v>56</c:v>
                </c:pt>
                <c:pt idx="2">
                  <c:v>57</c:v>
                </c:pt>
                <c:pt idx="3">
                  <c:v>58</c:v>
                </c:pt>
                <c:pt idx="4">
                  <c:v>59</c:v>
                </c:pt>
                <c:pt idx="5">
                  <c:v>60</c:v>
                </c:pt>
                <c:pt idx="6">
                  <c:v>61</c:v>
                </c:pt>
                <c:pt idx="7">
                  <c:v>62</c:v>
                </c:pt>
                <c:pt idx="8">
                  <c:v>63</c:v>
                </c:pt>
                <c:pt idx="9">
                  <c:v>64</c:v>
                </c:pt>
                <c:pt idx="10">
                  <c:v>65</c:v>
                </c:pt>
                <c:pt idx="11">
                  <c:v>66</c:v>
                </c:pt>
                <c:pt idx="12">
                  <c:v>67</c:v>
                </c:pt>
                <c:pt idx="13">
                  <c:v>68</c:v>
                </c:pt>
                <c:pt idx="14">
                  <c:v>69</c:v>
                </c:pt>
                <c:pt idx="15">
                  <c:v>70</c:v>
                </c:pt>
                <c:pt idx="16">
                  <c:v>71</c:v>
                </c:pt>
                <c:pt idx="17">
                  <c:v>72</c:v>
                </c:pt>
                <c:pt idx="18">
                  <c:v>73</c:v>
                </c:pt>
                <c:pt idx="19">
                  <c:v>74</c:v>
                </c:pt>
                <c:pt idx="20">
                  <c:v>75</c:v>
                </c:pt>
                <c:pt idx="21">
                  <c:v>76</c:v>
                </c:pt>
                <c:pt idx="22">
                  <c:v>77</c:v>
                </c:pt>
                <c:pt idx="23">
                  <c:v>78</c:v>
                </c:pt>
                <c:pt idx="24">
                  <c:v>79</c:v>
                </c:pt>
                <c:pt idx="25">
                  <c:v>80</c:v>
                </c:pt>
                <c:pt idx="26">
                  <c:v>81</c:v>
                </c:pt>
                <c:pt idx="27">
                  <c:v>82</c:v>
                </c:pt>
                <c:pt idx="28">
                  <c:v>83</c:v>
                </c:pt>
                <c:pt idx="29">
                  <c:v>84</c:v>
                </c:pt>
                <c:pt idx="30">
                  <c:v>85</c:v>
                </c:pt>
                <c:pt idx="31">
                  <c:v>86</c:v>
                </c:pt>
                <c:pt idx="32">
                  <c:v>87</c:v>
                </c:pt>
                <c:pt idx="33">
                  <c:v>88</c:v>
                </c:pt>
                <c:pt idx="34">
                  <c:v>89</c:v>
                </c:pt>
                <c:pt idx="35">
                  <c:v>90</c:v>
                </c:pt>
              </c:numCache>
            </c:numRef>
          </c:cat>
          <c:val>
            <c:numRef>
              <c:f>[0]!graph_mv_r</c:f>
              <c:numCache>
                <c:formatCode>"$"\ #,##0</c:formatCode>
                <c:ptCount val="36"/>
                <c:pt idx="0">
                  <c:v>721497.84</c:v>
                </c:pt>
                <c:pt idx="1">
                  <c:v>845294.41</c:v>
                </c:pt>
                <c:pt idx="2">
                  <c:v>982587.13</c:v>
                </c:pt>
                <c:pt idx="3">
                  <c:v>1134684.8600000001</c:v>
                </c:pt>
                <c:pt idx="4">
                  <c:v>1303017.97</c:v>
                </c:pt>
                <c:pt idx="5">
                  <c:v>1489149.51</c:v>
                </c:pt>
                <c:pt idx="6">
                  <c:v>1694787.3</c:v>
                </c:pt>
                <c:pt idx="7">
                  <c:v>1921797.06</c:v>
                </c:pt>
                <c:pt idx="8">
                  <c:v>2172216.85</c:v>
                </c:pt>
                <c:pt idx="9">
                  <c:v>2448272.75</c:v>
                </c:pt>
                <c:pt idx="10">
                  <c:v>2717143.68</c:v>
                </c:pt>
                <c:pt idx="11">
                  <c:v>2520071.06</c:v>
                </c:pt>
                <c:pt idx="12">
                  <c:v>2291809.29</c:v>
                </c:pt>
                <c:pt idx="13">
                  <c:v>2077710.89</c:v>
                </c:pt>
                <c:pt idx="14">
                  <c:v>1883613.34</c:v>
                </c:pt>
                <c:pt idx="15">
                  <c:v>1707648.17</c:v>
                </c:pt>
                <c:pt idx="16">
                  <c:v>1548121.49</c:v>
                </c:pt>
                <c:pt idx="17">
                  <c:v>1403497.62</c:v>
                </c:pt>
                <c:pt idx="18">
                  <c:v>1272384.3600000001</c:v>
                </c:pt>
                <c:pt idx="19">
                  <c:v>1153519.56</c:v>
                </c:pt>
                <c:pt idx="20">
                  <c:v>1045758.98</c:v>
                </c:pt>
                <c:pt idx="21">
                  <c:v>948065.28000000003</c:v>
                </c:pt>
                <c:pt idx="22">
                  <c:v>859498.03</c:v>
                </c:pt>
                <c:pt idx="23">
                  <c:v>779204.63</c:v>
                </c:pt>
                <c:pt idx="24">
                  <c:v>706412.16</c:v>
                </c:pt>
                <c:pt idx="25">
                  <c:v>640419.89</c:v>
                </c:pt>
                <c:pt idx="26">
                  <c:v>580592.54</c:v>
                </c:pt>
                <c:pt idx="27">
                  <c:v>526354.19999999995</c:v>
                </c:pt>
                <c:pt idx="28">
                  <c:v>477182.75</c:v>
                </c:pt>
                <c:pt idx="29">
                  <c:v>432604.84</c:v>
                </c:pt>
                <c:pt idx="30">
                  <c:v>392191.35</c:v>
                </c:pt>
                <c:pt idx="31">
                  <c:v>355553.25</c:v>
                </c:pt>
                <c:pt idx="32">
                  <c:v>322337.84000000003</c:v>
                </c:pt>
                <c:pt idx="33">
                  <c:v>292225.38</c:v>
                </c:pt>
                <c:pt idx="34">
                  <c:v>264926</c:v>
                </c:pt>
                <c:pt idx="35">
                  <c:v>240176.89</c:v>
                </c:pt>
              </c:numCache>
            </c:numRef>
          </c:val>
          <c:smooth val="0"/>
          <c:extLst>
            <c:ext xmlns:c16="http://schemas.microsoft.com/office/drawing/2014/chart" uri="{C3380CC4-5D6E-409C-BE32-E72D297353CC}">
              <c16:uniqueId val="{00000003-238C-4832-81AC-73E6380E9B56}"/>
            </c:ext>
          </c:extLst>
        </c:ser>
        <c:dLbls>
          <c:showLegendKey val="0"/>
          <c:showVal val="0"/>
          <c:showCatName val="0"/>
          <c:showSerName val="0"/>
          <c:showPercent val="0"/>
          <c:showBubbleSize val="0"/>
        </c:dLbls>
        <c:marker val="1"/>
        <c:smooth val="0"/>
        <c:axId val="476030968"/>
        <c:axId val="476031360"/>
      </c:lineChart>
      <c:catAx>
        <c:axId val="47603096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31360"/>
        <c:crosses val="autoZero"/>
        <c:auto val="1"/>
        <c:lblAlgn val="ctr"/>
        <c:lblOffset val="100"/>
        <c:noMultiLvlLbl val="1"/>
      </c:catAx>
      <c:valAx>
        <c:axId val="476031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76030968"/>
        <c:crosses val="autoZero"/>
        <c:crossBetween val="between"/>
      </c:valAx>
      <c:spPr>
        <a:noFill/>
        <a:ln w="25400">
          <a:noFill/>
        </a:ln>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166603098186465E-2"/>
          <c:y val="2.9216479683985188E-2"/>
          <c:w val="0.88504581168473428"/>
          <c:h val="0.70730859545904379"/>
        </c:manualLayout>
      </c:layout>
      <c:barChart>
        <c:barDir val="col"/>
        <c:grouping val="clustered"/>
        <c:varyColors val="0"/>
        <c:ser>
          <c:idx val="2"/>
          <c:order val="1"/>
          <c:tx>
            <c:v>Withdrawals</c:v>
          </c:tx>
          <c:spPr>
            <a:solidFill>
              <a:srgbClr val="D25400"/>
            </a:solidFill>
            <a:ln>
              <a:solidFill>
                <a:srgbClr val="D25400"/>
              </a:solidFill>
              <a:prstDash val="solid"/>
            </a:ln>
          </c:spPr>
          <c:invertIfNegative val="0"/>
          <c:cat>
            <c:numRef>
              <c:f>[0]!graph_x_values</c:f>
              <c:numCache>
                <c:formatCode>General</c:formatCode>
                <c:ptCount val="36"/>
                <c:pt idx="0">
                  <c:v>55</c:v>
                </c:pt>
                <c:pt idx="1">
                  <c:v>56</c:v>
                </c:pt>
                <c:pt idx="2">
                  <c:v>57</c:v>
                </c:pt>
                <c:pt idx="3">
                  <c:v>58</c:v>
                </c:pt>
                <c:pt idx="4">
                  <c:v>59</c:v>
                </c:pt>
                <c:pt idx="5">
                  <c:v>60</c:v>
                </c:pt>
                <c:pt idx="6">
                  <c:v>61</c:v>
                </c:pt>
                <c:pt idx="7">
                  <c:v>62</c:v>
                </c:pt>
                <c:pt idx="8">
                  <c:v>63</c:v>
                </c:pt>
                <c:pt idx="9">
                  <c:v>64</c:v>
                </c:pt>
                <c:pt idx="10">
                  <c:v>65</c:v>
                </c:pt>
                <c:pt idx="11">
                  <c:v>66</c:v>
                </c:pt>
                <c:pt idx="12">
                  <c:v>67</c:v>
                </c:pt>
                <c:pt idx="13">
                  <c:v>68</c:v>
                </c:pt>
                <c:pt idx="14">
                  <c:v>69</c:v>
                </c:pt>
                <c:pt idx="15">
                  <c:v>70</c:v>
                </c:pt>
                <c:pt idx="16">
                  <c:v>71</c:v>
                </c:pt>
                <c:pt idx="17">
                  <c:v>72</c:v>
                </c:pt>
                <c:pt idx="18">
                  <c:v>73</c:v>
                </c:pt>
                <c:pt idx="19">
                  <c:v>74</c:v>
                </c:pt>
                <c:pt idx="20">
                  <c:v>75</c:v>
                </c:pt>
                <c:pt idx="21">
                  <c:v>76</c:v>
                </c:pt>
                <c:pt idx="22">
                  <c:v>77</c:v>
                </c:pt>
                <c:pt idx="23">
                  <c:v>78</c:v>
                </c:pt>
                <c:pt idx="24">
                  <c:v>79</c:v>
                </c:pt>
                <c:pt idx="25">
                  <c:v>80</c:v>
                </c:pt>
                <c:pt idx="26">
                  <c:v>81</c:v>
                </c:pt>
                <c:pt idx="27">
                  <c:v>82</c:v>
                </c:pt>
                <c:pt idx="28">
                  <c:v>83</c:v>
                </c:pt>
                <c:pt idx="29">
                  <c:v>84</c:v>
                </c:pt>
                <c:pt idx="30">
                  <c:v>85</c:v>
                </c:pt>
                <c:pt idx="31">
                  <c:v>86</c:v>
                </c:pt>
                <c:pt idx="32">
                  <c:v>87</c:v>
                </c:pt>
                <c:pt idx="33">
                  <c:v>88</c:v>
                </c:pt>
                <c:pt idx="34">
                  <c:v>89</c:v>
                </c:pt>
                <c:pt idx="35">
                  <c:v>90</c:v>
                </c:pt>
              </c:numCache>
            </c:numRef>
          </c:cat>
          <c:val>
            <c:numRef>
              <c:f>[0]!graph_withdrawals_r</c:f>
              <c:numCache>
                <c:formatCode>"$"\ #,##0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0-B082-41D2-8CD6-FD591F0D11C1}"/>
            </c:ext>
          </c:extLst>
        </c:ser>
        <c:dLbls>
          <c:showLegendKey val="0"/>
          <c:showVal val="0"/>
          <c:showCatName val="0"/>
          <c:showSerName val="0"/>
          <c:showPercent val="0"/>
          <c:showBubbleSize val="0"/>
        </c:dLbls>
        <c:gapWidth val="150"/>
        <c:axId val="476030968"/>
        <c:axId val="476031360"/>
      </c:barChart>
      <c:lineChart>
        <c:grouping val="standard"/>
        <c:varyColors val="0"/>
        <c:ser>
          <c:idx val="0"/>
          <c:order val="0"/>
          <c:tx>
            <c:v>Market value</c:v>
          </c:tx>
          <c:spPr>
            <a:ln w="25400">
              <a:solidFill>
                <a:srgbClr val="8E0016"/>
              </a:solidFill>
              <a:prstDash val="sysDash"/>
            </a:ln>
          </c:spPr>
          <c:marker>
            <c:symbol val="none"/>
          </c:marker>
          <c:cat>
            <c:numRef>
              <c:f>[0]!graph_x_values</c:f>
              <c:numCache>
                <c:formatCode>General</c:formatCode>
                <c:ptCount val="36"/>
                <c:pt idx="0">
                  <c:v>55</c:v>
                </c:pt>
                <c:pt idx="1">
                  <c:v>56</c:v>
                </c:pt>
                <c:pt idx="2">
                  <c:v>57</c:v>
                </c:pt>
                <c:pt idx="3">
                  <c:v>58</c:v>
                </c:pt>
                <c:pt idx="4">
                  <c:v>59</c:v>
                </c:pt>
                <c:pt idx="5">
                  <c:v>60</c:v>
                </c:pt>
                <c:pt idx="6">
                  <c:v>61</c:v>
                </c:pt>
                <c:pt idx="7">
                  <c:v>62</c:v>
                </c:pt>
                <c:pt idx="8">
                  <c:v>63</c:v>
                </c:pt>
                <c:pt idx="9">
                  <c:v>64</c:v>
                </c:pt>
                <c:pt idx="10">
                  <c:v>65</c:v>
                </c:pt>
                <c:pt idx="11">
                  <c:v>66</c:v>
                </c:pt>
                <c:pt idx="12">
                  <c:v>67</c:v>
                </c:pt>
                <c:pt idx="13">
                  <c:v>68</c:v>
                </c:pt>
                <c:pt idx="14">
                  <c:v>69</c:v>
                </c:pt>
                <c:pt idx="15">
                  <c:v>70</c:v>
                </c:pt>
                <c:pt idx="16">
                  <c:v>71</c:v>
                </c:pt>
                <c:pt idx="17">
                  <c:v>72</c:v>
                </c:pt>
                <c:pt idx="18">
                  <c:v>73</c:v>
                </c:pt>
                <c:pt idx="19">
                  <c:v>74</c:v>
                </c:pt>
                <c:pt idx="20">
                  <c:v>75</c:v>
                </c:pt>
                <c:pt idx="21">
                  <c:v>76</c:v>
                </c:pt>
                <c:pt idx="22">
                  <c:v>77</c:v>
                </c:pt>
                <c:pt idx="23">
                  <c:v>78</c:v>
                </c:pt>
                <c:pt idx="24">
                  <c:v>79</c:v>
                </c:pt>
                <c:pt idx="25">
                  <c:v>80</c:v>
                </c:pt>
                <c:pt idx="26">
                  <c:v>81</c:v>
                </c:pt>
                <c:pt idx="27">
                  <c:v>82</c:v>
                </c:pt>
                <c:pt idx="28">
                  <c:v>83</c:v>
                </c:pt>
                <c:pt idx="29">
                  <c:v>84</c:v>
                </c:pt>
                <c:pt idx="30">
                  <c:v>85</c:v>
                </c:pt>
                <c:pt idx="31">
                  <c:v>86</c:v>
                </c:pt>
                <c:pt idx="32">
                  <c:v>87</c:v>
                </c:pt>
                <c:pt idx="33">
                  <c:v>88</c:v>
                </c:pt>
                <c:pt idx="34">
                  <c:v>89</c:v>
                </c:pt>
                <c:pt idx="35">
                  <c:v>90</c:v>
                </c:pt>
              </c:numCache>
            </c:numRef>
          </c:cat>
          <c:val>
            <c:numRef>
              <c:f>[0]!graph_mv_r</c:f>
              <c:numCache>
                <c:formatCode>"$"\ #,##0</c:formatCode>
                <c:ptCount val="36"/>
                <c:pt idx="0">
                  <c:v>721497.84</c:v>
                </c:pt>
                <c:pt idx="1">
                  <c:v>845294.41</c:v>
                </c:pt>
                <c:pt idx="2">
                  <c:v>982587.13</c:v>
                </c:pt>
                <c:pt idx="3">
                  <c:v>1134684.8600000001</c:v>
                </c:pt>
                <c:pt idx="4">
                  <c:v>1303017.97</c:v>
                </c:pt>
                <c:pt idx="5">
                  <c:v>1489149.51</c:v>
                </c:pt>
                <c:pt idx="6">
                  <c:v>1694787.3</c:v>
                </c:pt>
                <c:pt idx="7">
                  <c:v>1921797.06</c:v>
                </c:pt>
                <c:pt idx="8">
                  <c:v>2172216.85</c:v>
                </c:pt>
                <c:pt idx="9">
                  <c:v>2448272.75</c:v>
                </c:pt>
                <c:pt idx="10">
                  <c:v>2717143.68</c:v>
                </c:pt>
                <c:pt idx="11">
                  <c:v>2520071.06</c:v>
                </c:pt>
                <c:pt idx="12">
                  <c:v>2291809.29</c:v>
                </c:pt>
                <c:pt idx="13">
                  <c:v>2077710.89</c:v>
                </c:pt>
                <c:pt idx="14">
                  <c:v>1883613.34</c:v>
                </c:pt>
                <c:pt idx="15">
                  <c:v>1707648.17</c:v>
                </c:pt>
                <c:pt idx="16">
                  <c:v>1548121.49</c:v>
                </c:pt>
                <c:pt idx="17">
                  <c:v>1403497.62</c:v>
                </c:pt>
                <c:pt idx="18">
                  <c:v>1272384.3600000001</c:v>
                </c:pt>
                <c:pt idx="19">
                  <c:v>1153519.56</c:v>
                </c:pt>
                <c:pt idx="20">
                  <c:v>1045758.98</c:v>
                </c:pt>
                <c:pt idx="21">
                  <c:v>948065.28000000003</c:v>
                </c:pt>
                <c:pt idx="22">
                  <c:v>859498.03</c:v>
                </c:pt>
                <c:pt idx="23">
                  <c:v>779204.63</c:v>
                </c:pt>
                <c:pt idx="24">
                  <c:v>706412.16</c:v>
                </c:pt>
                <c:pt idx="25">
                  <c:v>640419.89</c:v>
                </c:pt>
                <c:pt idx="26">
                  <c:v>580592.54</c:v>
                </c:pt>
                <c:pt idx="27">
                  <c:v>526354.19999999995</c:v>
                </c:pt>
                <c:pt idx="28">
                  <c:v>477182.75</c:v>
                </c:pt>
                <c:pt idx="29">
                  <c:v>432604.84</c:v>
                </c:pt>
                <c:pt idx="30">
                  <c:v>392191.35</c:v>
                </c:pt>
                <c:pt idx="31">
                  <c:v>355553.25</c:v>
                </c:pt>
                <c:pt idx="32">
                  <c:v>322337.84000000003</c:v>
                </c:pt>
                <c:pt idx="33">
                  <c:v>292225.38</c:v>
                </c:pt>
                <c:pt idx="34">
                  <c:v>264926</c:v>
                </c:pt>
                <c:pt idx="35">
                  <c:v>240176.89</c:v>
                </c:pt>
              </c:numCache>
            </c:numRef>
          </c:val>
          <c:smooth val="0"/>
          <c:extLst>
            <c:ext xmlns:c16="http://schemas.microsoft.com/office/drawing/2014/chart" uri="{C3380CC4-5D6E-409C-BE32-E72D297353CC}">
              <c16:uniqueId val="{00000001-B082-41D2-8CD6-FD591F0D11C1}"/>
            </c:ext>
          </c:extLst>
        </c:ser>
        <c:dLbls>
          <c:showLegendKey val="0"/>
          <c:showVal val="0"/>
          <c:showCatName val="0"/>
          <c:showSerName val="0"/>
          <c:showPercent val="0"/>
          <c:showBubbleSize val="0"/>
        </c:dLbls>
        <c:marker val="1"/>
        <c:smooth val="0"/>
        <c:axId val="476030968"/>
        <c:axId val="476031360"/>
      </c:lineChart>
      <c:catAx>
        <c:axId val="47603096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31360"/>
        <c:crosses val="autoZero"/>
        <c:auto val="1"/>
        <c:lblAlgn val="ctr"/>
        <c:lblOffset val="100"/>
        <c:noMultiLvlLbl val="1"/>
      </c:catAx>
      <c:valAx>
        <c:axId val="476031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76030968"/>
        <c:crosses val="autoZero"/>
        <c:crossBetween val="between"/>
      </c:valAx>
      <c:spPr>
        <a:noFill/>
        <a:ln w="25400">
          <a:noFill/>
        </a:ln>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AG$22" lockText="1" noThreeD="1"/>
</file>

<file path=xl/ctrlProps/ctrlProp2.xml><?xml version="1.0" encoding="utf-8"?>
<formControlPr xmlns="http://schemas.microsoft.com/office/spreadsheetml/2009/9/main" objectType="CheckBox" checked="Checked" fmlaLink="$AH$22" lockText="1" noThreeD="1"/>
</file>

<file path=xl/ctrlProps/ctrlProp3.xml><?xml version="1.0" encoding="utf-8"?>
<formControlPr xmlns="http://schemas.microsoft.com/office/spreadsheetml/2009/9/main" objectType="CheckBox" fmlaLink="$AI$22" lockText="1" noThreeD="1"/>
</file>

<file path=xl/ctrlProps/ctrlProp4.xml><?xml version="1.0" encoding="utf-8"?>
<formControlPr xmlns="http://schemas.microsoft.com/office/spreadsheetml/2009/9/main" objectType="CheckBox" checked="Checked" fmlaLink="$AJ$22" lockText="1" noThreeD="1"/>
</file>

<file path=xl/ctrlProps/ctrlProp5.xml><?xml version="1.0" encoding="utf-8"?>
<formControlPr xmlns="http://schemas.microsoft.com/office/spreadsheetml/2009/9/main" objectType="CheckBox" fmlaLink="$AG$23" lockText="1" noThreeD="1"/>
</file>

<file path=xl/ctrlProps/ctrlProp6.xml><?xml version="1.0" encoding="utf-8"?>
<formControlPr xmlns="http://schemas.microsoft.com/office/spreadsheetml/2009/9/main" objectType="CheckBox" fmlaLink="$AH$23" lockText="1" noThreeD="1"/>
</file>

<file path=xl/ctrlProps/ctrlProp7.xml><?xml version="1.0" encoding="utf-8"?>
<formControlPr xmlns="http://schemas.microsoft.com/office/spreadsheetml/2009/9/main" objectType="CheckBox" fmlaLink="$AI$23" lockText="1" noThreeD="1"/>
</file>

<file path=xl/ctrlProps/ctrlProp8.xml><?xml version="1.0" encoding="utf-8"?>
<formControlPr xmlns="http://schemas.microsoft.com/office/spreadsheetml/2009/9/main" objectType="CheckBox" fmlaLink="$AJ$23" lockText="1" noThreeD="1"/>
</file>

<file path=xl/ctrlProps/ctrlProp9.xml><?xml version="1.0" encoding="utf-8"?>
<formControlPr xmlns="http://schemas.microsoft.com/office/spreadsheetml/2009/9/main" objectType="CheckBox" checked="Checked" fmlaLink="$AJ$20"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firstButton="1" fmlaLink="$AH$12"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CheckBox" fmlaLink="$AG$31"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2.jpeg"/><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495300</xdr:colOff>
      <xdr:row>16</xdr:row>
      <xdr:rowOff>57150</xdr:rowOff>
    </xdr:from>
    <xdr:to>
      <xdr:col>6</xdr:col>
      <xdr:colOff>133350</xdr:colOff>
      <xdr:row>17</xdr:row>
      <xdr:rowOff>133350</xdr:rowOff>
    </xdr:to>
    <xdr:pic>
      <xdr:nvPicPr>
        <xdr:cNvPr id="2" name="Picture 3" descr="OfficeButton.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2647950"/>
          <a:ext cx="2476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5</xdr:col>
      <xdr:colOff>152400</xdr:colOff>
      <xdr:row>9</xdr:row>
      <xdr:rowOff>151659</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2781300" cy="16089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18</xdr:row>
      <xdr:rowOff>161924</xdr:rowOff>
    </xdr:from>
    <xdr:to>
      <xdr:col>17</xdr:col>
      <xdr:colOff>0</xdr:colOff>
      <xdr:row>49</xdr:row>
      <xdr:rowOff>161924</xdr:rowOff>
    </xdr:to>
    <xdr:graphicFrame macro="">
      <xdr:nvGraphicFramePr>
        <xdr:cNvPr id="48" name="graph_graph">
          <a:extLst>
            <a:ext uri="{FF2B5EF4-FFF2-40B4-BE49-F238E27FC236}">
              <a16:creationId xmlns:a16="http://schemas.microsoft.com/office/drawing/2014/main" id="{00000000-0008-0000-01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617220</xdr:colOff>
          <xdr:row>46</xdr:row>
          <xdr:rowOff>99060</xdr:rowOff>
        </xdr:from>
        <xdr:to>
          <xdr:col>16</xdr:col>
          <xdr:colOff>411480</xdr:colOff>
          <xdr:row>47</xdr:row>
          <xdr:rowOff>152400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ZA" sz="1000" b="0" i="0" u="none" strike="noStrike" baseline="0">
                  <a:solidFill>
                    <a:srgbClr val="000000"/>
                  </a:solidFill>
                  <a:latin typeface="Arial"/>
                  <a:cs typeface="Arial"/>
                </a:rPr>
                <a:t>Client age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54</xdr:row>
          <xdr:rowOff>45720</xdr:rowOff>
        </xdr:from>
        <xdr:to>
          <xdr:col>1</xdr:col>
          <xdr:colOff>1036320</xdr:colOff>
          <xdr:row>56</xdr:row>
          <xdr:rowOff>45720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1150620</xdr:colOff>
          <xdr:row>54</xdr:row>
          <xdr:rowOff>45720</xdr:rowOff>
        </xdr:from>
        <xdr:to>
          <xdr:col>1</xdr:col>
          <xdr:colOff>2133600</xdr:colOff>
          <xdr:row>56</xdr:row>
          <xdr:rowOff>45720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76</xdr:row>
          <xdr:rowOff>45720</xdr:rowOff>
        </xdr:from>
        <xdr:to>
          <xdr:col>1</xdr:col>
          <xdr:colOff>1036320</xdr:colOff>
          <xdr:row>78</xdr:row>
          <xdr:rowOff>45720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1150620</xdr:colOff>
          <xdr:row>76</xdr:row>
          <xdr:rowOff>45720</xdr:rowOff>
        </xdr:from>
        <xdr:to>
          <xdr:col>1</xdr:col>
          <xdr:colOff>2133600</xdr:colOff>
          <xdr:row>78</xdr:row>
          <xdr:rowOff>45720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80</xdr:row>
          <xdr:rowOff>45720</xdr:rowOff>
        </xdr:from>
        <xdr:to>
          <xdr:col>1</xdr:col>
          <xdr:colOff>1036320</xdr:colOff>
          <xdr:row>82</xdr:row>
          <xdr:rowOff>45720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1150620</xdr:colOff>
          <xdr:row>80</xdr:row>
          <xdr:rowOff>45720</xdr:rowOff>
        </xdr:from>
        <xdr:to>
          <xdr:col>1</xdr:col>
          <xdr:colOff>2133600</xdr:colOff>
          <xdr:row>82</xdr:row>
          <xdr:rowOff>45720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90</xdr:row>
          <xdr:rowOff>45720</xdr:rowOff>
        </xdr:from>
        <xdr:to>
          <xdr:col>1</xdr:col>
          <xdr:colOff>1036320</xdr:colOff>
          <xdr:row>92</xdr:row>
          <xdr:rowOff>45720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1150620</xdr:colOff>
          <xdr:row>90</xdr:row>
          <xdr:rowOff>45720</xdr:rowOff>
        </xdr:from>
        <xdr:to>
          <xdr:col>1</xdr:col>
          <xdr:colOff>2133600</xdr:colOff>
          <xdr:row>92</xdr:row>
          <xdr:rowOff>45720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109</xdr:row>
          <xdr:rowOff>22860</xdr:rowOff>
        </xdr:from>
        <xdr:to>
          <xdr:col>3</xdr:col>
          <xdr:colOff>1097280</xdr:colOff>
          <xdr:row>111</xdr:row>
          <xdr:rowOff>22860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Optimise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144780</xdr:colOff>
          <xdr:row>109</xdr:row>
          <xdr:rowOff>22860</xdr:rowOff>
        </xdr:from>
        <xdr:to>
          <xdr:col>4</xdr:col>
          <xdr:colOff>1127760</xdr:colOff>
          <xdr:row>111</xdr:row>
          <xdr:rowOff>22860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96</xdr:row>
          <xdr:rowOff>0</xdr:rowOff>
        </xdr:from>
        <xdr:to>
          <xdr:col>1</xdr:col>
          <xdr:colOff>1036320</xdr:colOff>
          <xdr:row>98</xdr:row>
          <xdr:rowOff>0</xdr:rowOff>
        </xdr:to>
        <xdr:sp macro="" textlink="">
          <xdr:nvSpPr>
            <xdr:cNvPr id="1047" name="Set_compare"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1150620</xdr:colOff>
          <xdr:row>96</xdr:row>
          <xdr:rowOff>0</xdr:rowOff>
        </xdr:from>
        <xdr:to>
          <xdr:col>1</xdr:col>
          <xdr:colOff>2133600</xdr:colOff>
          <xdr:row>98</xdr:row>
          <xdr:rowOff>0</xdr:rowOff>
        </xdr:to>
        <xdr:sp macro="" textlink="">
          <xdr:nvSpPr>
            <xdr:cNvPr id="1048" name="Remove_compare"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198120</xdr:colOff>
          <xdr:row>13</xdr:row>
          <xdr:rowOff>0</xdr:rowOff>
        </xdr:from>
        <xdr:to>
          <xdr:col>3</xdr:col>
          <xdr:colOff>1181100</xdr:colOff>
          <xdr:row>15</xdr:row>
          <xdr:rowOff>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13</xdr:row>
          <xdr:rowOff>0</xdr:rowOff>
        </xdr:from>
        <xdr:to>
          <xdr:col>4</xdr:col>
          <xdr:colOff>1036320</xdr:colOff>
          <xdr:row>15</xdr:row>
          <xdr:rowOff>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Print</a:t>
              </a:r>
            </a:p>
          </xdr:txBody>
        </xdr:sp>
        <xdr:clientData fPrintsWithSheet="0"/>
      </xdr:twoCellAnchor>
    </mc:Choice>
    <mc:Fallback/>
  </mc:AlternateContent>
  <xdr:twoCellAnchor editAs="oneCell">
    <xdr:from>
      <xdr:col>2</xdr:col>
      <xdr:colOff>209550</xdr:colOff>
      <xdr:row>24</xdr:row>
      <xdr:rowOff>19050</xdr:rowOff>
    </xdr:from>
    <xdr:to>
      <xdr:col>2</xdr:col>
      <xdr:colOff>1162049</xdr:colOff>
      <xdr:row>24</xdr:row>
      <xdr:rowOff>152400</xdr:rowOff>
    </xdr:to>
    <xdr:pic>
      <xdr:nvPicPr>
        <xdr:cNvPr id="29" name="sb_th" descr="Bar.PNG">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86150" y="3905250"/>
          <a:ext cx="9620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209550</xdr:colOff>
      <xdr:row>24</xdr:row>
      <xdr:rowOff>9525</xdr:rowOff>
    </xdr:from>
    <xdr:to>
      <xdr:col>2</xdr:col>
      <xdr:colOff>342900</xdr:colOff>
      <xdr:row>24</xdr:row>
      <xdr:rowOff>133349</xdr:rowOff>
    </xdr:to>
    <xdr:pic macro="[0]!scroll_bars">
      <xdr:nvPicPr>
        <xdr:cNvPr id="30" name="sb_th_m" descr="Minus.PNG">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86150" y="38957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oneCell">
    <xdr:from>
      <xdr:col>2</xdr:col>
      <xdr:colOff>1038225</xdr:colOff>
      <xdr:row>24</xdr:row>
      <xdr:rowOff>9525</xdr:rowOff>
    </xdr:from>
    <xdr:to>
      <xdr:col>2</xdr:col>
      <xdr:colOff>1162049</xdr:colOff>
      <xdr:row>24</xdr:row>
      <xdr:rowOff>133349</xdr:rowOff>
    </xdr:to>
    <xdr:pic macro="[0]!scroll_bars">
      <xdr:nvPicPr>
        <xdr:cNvPr id="31" name="sb_th_p" descr="Plus.PNG">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314825" y="38957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oneCell">
    <xdr:from>
      <xdr:col>2</xdr:col>
      <xdr:colOff>209550</xdr:colOff>
      <xdr:row>28</xdr:row>
      <xdr:rowOff>19050</xdr:rowOff>
    </xdr:from>
    <xdr:to>
      <xdr:col>2</xdr:col>
      <xdr:colOff>1162049</xdr:colOff>
      <xdr:row>28</xdr:row>
      <xdr:rowOff>152400</xdr:rowOff>
    </xdr:to>
    <xdr:pic>
      <xdr:nvPicPr>
        <xdr:cNvPr id="32" name="sb_r" descr="Bar.PNG">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86150" y="4552950"/>
          <a:ext cx="962025"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209550</xdr:colOff>
      <xdr:row>28</xdr:row>
      <xdr:rowOff>19050</xdr:rowOff>
    </xdr:from>
    <xdr:to>
      <xdr:col>2</xdr:col>
      <xdr:colOff>342900</xdr:colOff>
      <xdr:row>28</xdr:row>
      <xdr:rowOff>152400</xdr:rowOff>
    </xdr:to>
    <xdr:pic macro="[0]!scroll_bars">
      <xdr:nvPicPr>
        <xdr:cNvPr id="33" name="sb_r_m" descr="Minus.PNG">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86150" y="4552950"/>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oneCell">
    <xdr:from>
      <xdr:col>2</xdr:col>
      <xdr:colOff>1038225</xdr:colOff>
      <xdr:row>28</xdr:row>
      <xdr:rowOff>19050</xdr:rowOff>
    </xdr:from>
    <xdr:to>
      <xdr:col>2</xdr:col>
      <xdr:colOff>1162049</xdr:colOff>
      <xdr:row>28</xdr:row>
      <xdr:rowOff>152400</xdr:rowOff>
    </xdr:to>
    <xdr:pic macro="[0]!scroll_bars">
      <xdr:nvPicPr>
        <xdr:cNvPr id="34" name="sb_r_p" descr="Plus.PNG">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314825" y="4552950"/>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mc:AlternateContent xmlns:mc="http://schemas.openxmlformats.org/markup-compatibility/2006">
    <mc:Choice xmlns:a14="http://schemas.microsoft.com/office/drawing/2010/main" Requires="a14">
      <xdr:twoCellAnchor editAs="oneCell">
        <xdr:from>
          <xdr:col>4</xdr:col>
          <xdr:colOff>518160</xdr:colOff>
          <xdr:row>38</xdr:row>
          <xdr:rowOff>144780</xdr:rowOff>
        </xdr:from>
        <xdr:to>
          <xdr:col>4</xdr:col>
          <xdr:colOff>807720</xdr:colOff>
          <xdr:row>40</xdr:row>
          <xdr:rowOff>22860</xdr:rowOff>
        </xdr:to>
        <xdr:sp macro="" textlink="">
          <xdr:nvSpPr>
            <xdr:cNvPr id="1051" name="Option 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525780</xdr:colOff>
          <xdr:row>38</xdr:row>
          <xdr:rowOff>144780</xdr:rowOff>
        </xdr:from>
        <xdr:to>
          <xdr:col>3</xdr:col>
          <xdr:colOff>822960</xdr:colOff>
          <xdr:row>40</xdr:row>
          <xdr:rowOff>22860</xdr:rowOff>
        </xdr:to>
        <xdr:sp macro="" textlink="">
          <xdr:nvSpPr>
            <xdr:cNvPr id="1052" name="Option 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533400</xdr:colOff>
      <xdr:row>45</xdr:row>
      <xdr:rowOff>0</xdr:rowOff>
    </xdr:from>
    <xdr:to>
      <xdr:col>14</xdr:col>
      <xdr:colOff>895350</xdr:colOff>
      <xdr:row>48</xdr:row>
      <xdr:rowOff>47593</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10158663" y="7670132"/>
          <a:ext cx="4853740" cy="558935"/>
          <a:chOff x="19230978" y="3152775"/>
          <a:chExt cx="4743447" cy="533368"/>
        </a:xfrm>
      </xdr:grpSpPr>
      <xdr:grpSp>
        <xdr:nvGrpSpPr>
          <xdr:cNvPr id="7" name="Group 6">
            <a:extLst>
              <a:ext uri="{FF2B5EF4-FFF2-40B4-BE49-F238E27FC236}">
                <a16:creationId xmlns:a16="http://schemas.microsoft.com/office/drawing/2014/main" id="{00000000-0008-0000-0100-000007000000}"/>
              </a:ext>
            </a:extLst>
          </xdr:cNvPr>
          <xdr:cNvGrpSpPr/>
        </xdr:nvGrpSpPr>
        <xdr:grpSpPr>
          <a:xfrm>
            <a:off x="19278600" y="3152775"/>
            <a:ext cx="4695825" cy="533368"/>
            <a:chOff x="19897725" y="3429000"/>
            <a:chExt cx="4695825" cy="533368"/>
          </a:xfrm>
        </xdr:grpSpPr>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5"/>
            <a:stretch>
              <a:fillRect/>
            </a:stretch>
          </xdr:blipFill>
          <xdr:spPr>
            <a:xfrm>
              <a:off x="20088225" y="3705225"/>
              <a:ext cx="4342857" cy="257143"/>
            </a:xfrm>
            <a:prstGeom prst="rect">
              <a:avLst/>
            </a:prstGeom>
          </xdr:spPr>
        </xdr:pic>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9897725" y="3429000"/>
              <a:ext cx="1019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Contributions</a:t>
              </a:r>
            </a:p>
          </xdr:txBody>
        </xdr:sp>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21116925" y="3429000"/>
              <a:ext cx="1019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Withdrawals</a:t>
              </a:r>
            </a:p>
          </xdr:txBody>
        </xdr:sp>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22212300" y="3429000"/>
              <a:ext cx="1304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Income payments</a:t>
              </a:r>
            </a:p>
          </xdr:txBody>
        </xdr:sp>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23574375" y="3429000"/>
              <a:ext cx="1019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Market value</a:t>
              </a:r>
            </a:p>
          </xdr:txBody>
        </xdr:sp>
      </xdr:grpSp>
      <mc:AlternateContent xmlns:mc="http://schemas.openxmlformats.org/markup-compatibility/2006">
        <mc:Choice xmlns:a14="http://schemas.microsoft.com/office/drawing/2010/main" Requires="a14">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19230978" y="3429000"/>
                <a:ext cx="3714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20450175" y="3429000"/>
                <a:ext cx="3714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21669375" y="3429000"/>
                <a:ext cx="3714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22888575" y="3429000"/>
                <a:ext cx="3714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9</xdr:col>
      <xdr:colOff>733426</xdr:colOff>
      <xdr:row>46</xdr:row>
      <xdr:rowOff>66675</xdr:rowOff>
    </xdr:from>
    <xdr:to>
      <xdr:col>14</xdr:col>
      <xdr:colOff>732881</xdr:colOff>
      <xdr:row>50</xdr:row>
      <xdr:rowOff>0</xdr:rowOff>
    </xdr:to>
    <xdr:grpSp>
      <xdr:nvGrpSpPr>
        <xdr:cNvPr id="10" name="Group9" hidden="1">
          <a:extLst>
            <a:ext uri="{FF2B5EF4-FFF2-40B4-BE49-F238E27FC236}">
              <a16:creationId xmlns:a16="http://schemas.microsoft.com/office/drawing/2014/main" id="{00000000-0008-0000-0100-00000A000000}"/>
            </a:ext>
          </a:extLst>
        </xdr:cNvPr>
        <xdr:cNvGrpSpPr/>
      </xdr:nvGrpSpPr>
      <xdr:grpSpPr>
        <a:xfrm>
          <a:off x="9235742" y="7907254"/>
          <a:ext cx="5614192" cy="615114"/>
          <a:chOff x="18335626" y="3381375"/>
          <a:chExt cx="5476330" cy="581025"/>
        </a:xfrm>
      </xdr:grpSpPr>
      <mc:AlternateContent xmlns:mc="http://schemas.openxmlformats.org/markup-compatibility/2006">
        <mc:Choice xmlns:a14="http://schemas.microsoft.com/office/drawing/2010/main" Requires="a14">
          <xdr:sp macro="" textlink="">
            <xdr:nvSpPr>
              <xdr:cNvPr id="1029" name="Save_contributions_check_box"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19230975" y="3705225"/>
                <a:ext cx="3714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nvGrpSpPr>
          <xdr:cNvPr id="8" name="Group 7" hidden="1">
            <a:extLst>
              <a:ext uri="{FF2B5EF4-FFF2-40B4-BE49-F238E27FC236}">
                <a16:creationId xmlns:a16="http://schemas.microsoft.com/office/drawing/2014/main" id="{00000000-0008-0000-0100-000008000000}"/>
              </a:ext>
            </a:extLst>
          </xdr:cNvPr>
          <xdr:cNvGrpSpPr/>
        </xdr:nvGrpSpPr>
        <xdr:grpSpPr>
          <a:xfrm>
            <a:off x="18335626" y="3381375"/>
            <a:ext cx="5476330" cy="581025"/>
            <a:chOff x="18954751" y="3657600"/>
            <a:chExt cx="5476330" cy="581025"/>
          </a:xfrm>
        </xdr:grpSpPr>
        <xdr:pic>
          <xdr:nvPicPr>
            <xdr:cNvPr id="4" name="Picture 3"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a:stretch>
              <a:fillRect/>
            </a:stretch>
          </xdr:blipFill>
          <xdr:spPr>
            <a:xfrm>
              <a:off x="20078700" y="3971925"/>
              <a:ext cx="4352381" cy="247619"/>
            </a:xfrm>
            <a:prstGeom prst="rect">
              <a:avLst/>
            </a:prstGeom>
          </xdr:spPr>
        </xdr:pic>
        <xdr:sp macro="" textlink="">
          <xdr:nvSpPr>
            <xdr:cNvPr id="43" name="TextBox 42" hidden="1">
              <a:extLst>
                <a:ext uri="{FF2B5EF4-FFF2-40B4-BE49-F238E27FC236}">
                  <a16:creationId xmlns:a16="http://schemas.microsoft.com/office/drawing/2014/main" id="{00000000-0008-0000-0100-00002B000000}"/>
                </a:ext>
              </a:extLst>
            </xdr:cNvPr>
            <xdr:cNvSpPr txBox="1"/>
          </xdr:nvSpPr>
          <xdr:spPr>
            <a:xfrm>
              <a:off x="18954751" y="3657600"/>
              <a:ext cx="8382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Current:</a:t>
              </a:r>
            </a:p>
          </xdr:txBody>
        </xdr:sp>
        <xdr:sp macro="" textlink="">
          <xdr:nvSpPr>
            <xdr:cNvPr id="44" name="TextBox 43" hidden="1">
              <a:extLst>
                <a:ext uri="{FF2B5EF4-FFF2-40B4-BE49-F238E27FC236}">
                  <a16:creationId xmlns:a16="http://schemas.microsoft.com/office/drawing/2014/main" id="{00000000-0008-0000-0100-00002C000000}"/>
                </a:ext>
              </a:extLst>
            </xdr:cNvPr>
            <xdr:cNvSpPr txBox="1"/>
          </xdr:nvSpPr>
          <xdr:spPr>
            <a:xfrm>
              <a:off x="18954751" y="3933825"/>
              <a:ext cx="8572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Saved:</a:t>
              </a:r>
            </a:p>
          </xdr:txBody>
        </xdr:sp>
      </xdr:grpSp>
      <mc:AlternateContent xmlns:mc="http://schemas.openxmlformats.org/markup-compatibility/2006">
        <mc:Choice xmlns:a14="http://schemas.microsoft.com/office/drawing/2010/main" Requires="a14">
          <xdr:sp macro="" textlink="">
            <xdr:nvSpPr>
              <xdr:cNvPr id="1030" name="Save_withdrawals_check_box"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20450175" y="3705225"/>
                <a:ext cx="3714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1" name="Save_income_check_box"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21669375" y="3705225"/>
                <a:ext cx="3714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2" name="Save_mv_check_box"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22888575" y="3705225"/>
                <a:ext cx="3714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1</xdr:col>
          <xdr:colOff>1097280</xdr:colOff>
          <xdr:row>13</xdr:row>
          <xdr:rowOff>45720</xdr:rowOff>
        </xdr:from>
        <xdr:to>
          <xdr:col>1</xdr:col>
          <xdr:colOff>1470660</xdr:colOff>
          <xdr:row>14</xdr:row>
          <xdr:rowOff>106680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1</xdr:rowOff>
    </xdr:from>
    <xdr:to>
      <xdr:col>1</xdr:col>
      <xdr:colOff>2590800</xdr:colOff>
      <xdr:row>9</xdr:row>
      <xdr:rowOff>151660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0" y="1"/>
          <a:ext cx="2781300" cy="1608984"/>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60960</xdr:colOff>
          <xdr:row>125</xdr:row>
          <xdr:rowOff>0</xdr:rowOff>
        </xdr:from>
        <xdr:to>
          <xdr:col>1</xdr:col>
          <xdr:colOff>1036320</xdr:colOff>
          <xdr:row>127</xdr:row>
          <xdr:rowOff>0</xdr:rowOff>
        </xdr:to>
        <xdr:sp macro="" textlink="">
          <xdr:nvSpPr>
            <xdr:cNvPr id="1056" name="Set_compare"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Add a 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128</xdr:row>
          <xdr:rowOff>22860</xdr:rowOff>
        </xdr:from>
        <xdr:to>
          <xdr:col>1</xdr:col>
          <xdr:colOff>1036320</xdr:colOff>
          <xdr:row>130</xdr:row>
          <xdr:rowOff>144780</xdr:rowOff>
        </xdr:to>
        <xdr:sp macro="" textlink="">
          <xdr:nvSpPr>
            <xdr:cNvPr id="1057" name="View_help"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View help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128</xdr:row>
          <xdr:rowOff>22860</xdr:rowOff>
        </xdr:from>
        <xdr:to>
          <xdr:col>1</xdr:col>
          <xdr:colOff>1051560</xdr:colOff>
          <xdr:row>130</xdr:row>
          <xdr:rowOff>144780</xdr:rowOff>
        </xdr:to>
        <xdr:sp macro="" textlink="">
          <xdr:nvSpPr>
            <xdr:cNvPr id="1058" name="Hide_help"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Hide help scenarios</a:t>
              </a:r>
            </a:p>
          </xdr:txBody>
        </xdr:sp>
        <xdr:clientData fPrintsWithSheet="0"/>
      </xdr:twoCellAnchor>
    </mc:Choice>
    <mc:Fallback/>
  </mc:AlternateContent>
  <xdr:oneCellAnchor>
    <xdr:from>
      <xdr:col>2</xdr:col>
      <xdr:colOff>209550</xdr:colOff>
      <xdr:row>46</xdr:row>
      <xdr:rowOff>19050</xdr:rowOff>
    </xdr:from>
    <xdr:ext cx="952499" cy="133350"/>
    <xdr:pic>
      <xdr:nvPicPr>
        <xdr:cNvPr id="16" name="sb_lsc_a_1" descr="Bar.PNG">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1034" y="4607437"/>
          <a:ext cx="952499"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46</xdr:row>
      <xdr:rowOff>19050</xdr:rowOff>
    </xdr:from>
    <xdr:ext cx="133350" cy="133350"/>
    <xdr:pic macro="scroll_bars">
      <xdr:nvPicPr>
        <xdr:cNvPr id="17" name="sb_lsc_m_a_1" descr="Minus.PNG">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1034" y="4607437"/>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46</xdr:row>
      <xdr:rowOff>19050</xdr:rowOff>
    </xdr:from>
    <xdr:ext cx="123824" cy="133350"/>
    <xdr:pic macro="scroll_bars">
      <xdr:nvPicPr>
        <xdr:cNvPr id="18" name="sb_lsc_p_a_1" descr="Plus.PNG">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79709" y="4607437"/>
          <a:ext cx="123824"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86</xdr:row>
      <xdr:rowOff>19050</xdr:rowOff>
    </xdr:from>
    <xdr:ext cx="952499" cy="133350"/>
    <xdr:pic>
      <xdr:nvPicPr>
        <xdr:cNvPr id="19" name="sb_ap_a_1" descr="Bar.PNG">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1034" y="4607437"/>
          <a:ext cx="952499"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86</xdr:row>
      <xdr:rowOff>19050</xdr:rowOff>
    </xdr:from>
    <xdr:ext cx="133350" cy="133350"/>
    <xdr:pic macro="scroll_bars">
      <xdr:nvPicPr>
        <xdr:cNvPr id="20" name="sb_ap_m_a_1" descr="Minus.PNG">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1034" y="4607437"/>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86</xdr:row>
      <xdr:rowOff>19050</xdr:rowOff>
    </xdr:from>
    <xdr:ext cx="123824" cy="133350"/>
    <xdr:pic macro="scroll_bars">
      <xdr:nvPicPr>
        <xdr:cNvPr id="21" name="sb_ap_p_a_1" descr="Plus.PNG">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79709" y="4607437"/>
          <a:ext cx="123824"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88</xdr:row>
      <xdr:rowOff>19050</xdr:rowOff>
    </xdr:from>
    <xdr:ext cx="952499" cy="133350"/>
    <xdr:pic>
      <xdr:nvPicPr>
        <xdr:cNvPr id="22" name="sb_ap_e_1" descr="Bar.PNG">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1034" y="4607437"/>
          <a:ext cx="952499"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88</xdr:row>
      <xdr:rowOff>19050</xdr:rowOff>
    </xdr:from>
    <xdr:ext cx="133350" cy="133350"/>
    <xdr:pic macro="scroll_bars">
      <xdr:nvPicPr>
        <xdr:cNvPr id="23" name="sb_ap_m_e_1" descr="Minus.PNG">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1034" y="4607437"/>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88</xdr:row>
      <xdr:rowOff>19050</xdr:rowOff>
    </xdr:from>
    <xdr:ext cx="123824" cy="133350"/>
    <xdr:pic macro="scroll_bars">
      <xdr:nvPicPr>
        <xdr:cNvPr id="24" name="sb_ap_p_e_1" descr="Plus.PNG">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79709" y="4607437"/>
          <a:ext cx="123824"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49</xdr:row>
      <xdr:rowOff>19050</xdr:rowOff>
    </xdr:from>
    <xdr:ext cx="956309" cy="137160"/>
    <xdr:pic>
      <xdr:nvPicPr>
        <xdr:cNvPr id="2" name="sb_lsc_a_2" descr="Bar.PNG">
          <a:extLst>
            <a:ext uri="{FF2B5EF4-FFF2-40B4-BE49-F238E27FC236}">
              <a16:creationId xmlns:a16="http://schemas.microsoft.com/office/drawing/2014/main" id="{2A7E212A-EC71-46D4-B6CC-EFD59B6F69F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5417" y="4890401"/>
          <a:ext cx="95630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49</xdr:row>
      <xdr:rowOff>19050</xdr:rowOff>
    </xdr:from>
    <xdr:ext cx="137160" cy="137160"/>
    <xdr:pic macro="scroll_bars">
      <xdr:nvPicPr>
        <xdr:cNvPr id="11" name="sb_lsc_m_a_2" descr="Minus.PNG">
          <a:extLst>
            <a:ext uri="{FF2B5EF4-FFF2-40B4-BE49-F238E27FC236}">
              <a16:creationId xmlns:a16="http://schemas.microsoft.com/office/drawing/2014/main" id="{D641440D-16FF-4D2E-8F0A-2861CF78CCB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5417" y="4890401"/>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49</xdr:row>
      <xdr:rowOff>19050</xdr:rowOff>
    </xdr:from>
    <xdr:ext cx="121919" cy="137160"/>
    <xdr:pic macro="scroll_bars">
      <xdr:nvPicPr>
        <xdr:cNvPr id="12" name="sb_lsc_p_a_2" descr="Plus.PNG">
          <a:extLst>
            <a:ext uri="{FF2B5EF4-FFF2-40B4-BE49-F238E27FC236}">
              <a16:creationId xmlns:a16="http://schemas.microsoft.com/office/drawing/2014/main" id="{494422A7-2AC5-4E8F-B4FE-FB800E4324D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89807" y="4890401"/>
          <a:ext cx="12191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52</xdr:row>
      <xdr:rowOff>19050</xdr:rowOff>
    </xdr:from>
    <xdr:ext cx="956309" cy="137160"/>
    <xdr:pic>
      <xdr:nvPicPr>
        <xdr:cNvPr id="13" name="sb_lsc_a_3" descr="Bar.PNG">
          <a:extLst>
            <a:ext uri="{FF2B5EF4-FFF2-40B4-BE49-F238E27FC236}">
              <a16:creationId xmlns:a16="http://schemas.microsoft.com/office/drawing/2014/main" id="{F02BF36C-5990-4719-BA8C-A4F6D6DCA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5417" y="4890401"/>
          <a:ext cx="95630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52</xdr:row>
      <xdr:rowOff>19050</xdr:rowOff>
    </xdr:from>
    <xdr:ext cx="137160" cy="137160"/>
    <xdr:pic macro="scroll_bars">
      <xdr:nvPicPr>
        <xdr:cNvPr id="14" name="sb_lsc_m_a_3" descr="Minus.PNG">
          <a:extLst>
            <a:ext uri="{FF2B5EF4-FFF2-40B4-BE49-F238E27FC236}">
              <a16:creationId xmlns:a16="http://schemas.microsoft.com/office/drawing/2014/main" id="{DE3B1112-A7CF-4BD0-A321-32219560FEA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5417" y="4890401"/>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52</xdr:row>
      <xdr:rowOff>19050</xdr:rowOff>
    </xdr:from>
    <xdr:ext cx="121919" cy="137160"/>
    <xdr:pic macro="scroll_bars">
      <xdr:nvPicPr>
        <xdr:cNvPr id="15" name="sb_lsc_p_a_3" descr="Plus.PNG">
          <a:extLst>
            <a:ext uri="{FF2B5EF4-FFF2-40B4-BE49-F238E27FC236}">
              <a16:creationId xmlns:a16="http://schemas.microsoft.com/office/drawing/2014/main" id="{1683FC5E-E615-4279-A2F8-460E3D03953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89807" y="4890401"/>
          <a:ext cx="12191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60</xdr:row>
      <xdr:rowOff>19050</xdr:rowOff>
    </xdr:from>
    <xdr:ext cx="956309" cy="137160"/>
    <xdr:pic>
      <xdr:nvPicPr>
        <xdr:cNvPr id="25" name="sb_rcs_a_1" descr="Bar.PNG">
          <a:extLst>
            <a:ext uri="{FF2B5EF4-FFF2-40B4-BE49-F238E27FC236}">
              <a16:creationId xmlns:a16="http://schemas.microsoft.com/office/drawing/2014/main" id="{46C56DE8-4FB2-4F44-8B9C-DEB2477FE87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5417" y="4890401"/>
          <a:ext cx="95630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60</xdr:row>
      <xdr:rowOff>19050</xdr:rowOff>
    </xdr:from>
    <xdr:ext cx="137160" cy="137160"/>
    <xdr:pic macro="scroll_bars">
      <xdr:nvPicPr>
        <xdr:cNvPr id="26" name="sb_rcs_m_a_1" descr="Minus.PNG">
          <a:extLst>
            <a:ext uri="{FF2B5EF4-FFF2-40B4-BE49-F238E27FC236}">
              <a16:creationId xmlns:a16="http://schemas.microsoft.com/office/drawing/2014/main" id="{F33F5830-4A8A-4F74-8FBC-6E6E69005F4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5417" y="4890401"/>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60</xdr:row>
      <xdr:rowOff>19050</xdr:rowOff>
    </xdr:from>
    <xdr:ext cx="121919" cy="137160"/>
    <xdr:pic macro="scroll_bars">
      <xdr:nvPicPr>
        <xdr:cNvPr id="27" name="sb_rcs_p_a_1" descr="Plus.PNG">
          <a:extLst>
            <a:ext uri="{FF2B5EF4-FFF2-40B4-BE49-F238E27FC236}">
              <a16:creationId xmlns:a16="http://schemas.microsoft.com/office/drawing/2014/main" id="{9D54BD5E-0AA2-412F-ACB9-3DBC06470B7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89807" y="4890401"/>
          <a:ext cx="12191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63</xdr:row>
      <xdr:rowOff>19050</xdr:rowOff>
    </xdr:from>
    <xdr:ext cx="960119" cy="137160"/>
    <xdr:pic>
      <xdr:nvPicPr>
        <xdr:cNvPr id="28" name="sb_rcs_e_1" descr="Bar.PNG">
          <a:extLst>
            <a:ext uri="{FF2B5EF4-FFF2-40B4-BE49-F238E27FC236}">
              <a16:creationId xmlns:a16="http://schemas.microsoft.com/office/drawing/2014/main" id="{CFDAD4ED-16B8-4B24-8415-12D110AC56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5417" y="4890401"/>
          <a:ext cx="96011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63</xdr:row>
      <xdr:rowOff>19050</xdr:rowOff>
    </xdr:from>
    <xdr:ext cx="137160" cy="137160"/>
    <xdr:pic macro="scroll_bars">
      <xdr:nvPicPr>
        <xdr:cNvPr id="35" name="sb_rcs_m_e_1" descr="Minus.PNG">
          <a:extLst>
            <a:ext uri="{FF2B5EF4-FFF2-40B4-BE49-F238E27FC236}">
              <a16:creationId xmlns:a16="http://schemas.microsoft.com/office/drawing/2014/main" id="{37E70823-C80E-4CD0-A0B6-CFC2D1CD952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5417" y="4890401"/>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63</xdr:row>
      <xdr:rowOff>19050</xdr:rowOff>
    </xdr:from>
    <xdr:ext cx="125729" cy="137160"/>
    <xdr:pic macro="scroll_bars">
      <xdr:nvPicPr>
        <xdr:cNvPr id="36" name="sb_rcs_p_e_1" descr="Plus.PNG">
          <a:extLst>
            <a:ext uri="{FF2B5EF4-FFF2-40B4-BE49-F238E27FC236}">
              <a16:creationId xmlns:a16="http://schemas.microsoft.com/office/drawing/2014/main" id="{16B9EB46-6260-454E-81E8-BF7D0B97E72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89807" y="4890401"/>
          <a:ext cx="12572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66</xdr:row>
      <xdr:rowOff>19050</xdr:rowOff>
    </xdr:from>
    <xdr:ext cx="960119" cy="137160"/>
    <xdr:pic>
      <xdr:nvPicPr>
        <xdr:cNvPr id="37" name="sb_rcs_a_2" descr="Bar.PNG">
          <a:extLst>
            <a:ext uri="{FF2B5EF4-FFF2-40B4-BE49-F238E27FC236}">
              <a16:creationId xmlns:a16="http://schemas.microsoft.com/office/drawing/2014/main" id="{B7559BD7-46C5-4822-B817-4CB118694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5417" y="4890401"/>
          <a:ext cx="96011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66</xdr:row>
      <xdr:rowOff>19050</xdr:rowOff>
    </xdr:from>
    <xdr:ext cx="137160" cy="137160"/>
    <xdr:pic macro="scroll_bars">
      <xdr:nvPicPr>
        <xdr:cNvPr id="38" name="sb_rcs_m_a_2" descr="Minus.PNG">
          <a:extLst>
            <a:ext uri="{FF2B5EF4-FFF2-40B4-BE49-F238E27FC236}">
              <a16:creationId xmlns:a16="http://schemas.microsoft.com/office/drawing/2014/main" id="{785D5448-AA0D-4659-B82C-2607F50CCB0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5417" y="4890401"/>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66</xdr:row>
      <xdr:rowOff>19050</xdr:rowOff>
    </xdr:from>
    <xdr:ext cx="125729" cy="137160"/>
    <xdr:pic macro="scroll_bars">
      <xdr:nvPicPr>
        <xdr:cNvPr id="39" name="sb_rcs_p_a_2" descr="Plus.PNG">
          <a:extLst>
            <a:ext uri="{FF2B5EF4-FFF2-40B4-BE49-F238E27FC236}">
              <a16:creationId xmlns:a16="http://schemas.microsoft.com/office/drawing/2014/main" id="{745CF425-AC06-43E8-B0CA-FBF1EE60AE6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89807" y="4890401"/>
          <a:ext cx="12572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69</xdr:row>
      <xdr:rowOff>19050</xdr:rowOff>
    </xdr:from>
    <xdr:ext cx="956309" cy="137160"/>
    <xdr:pic>
      <xdr:nvPicPr>
        <xdr:cNvPr id="45" name="sb_rcs_e_2" descr="Bar.PNG">
          <a:extLst>
            <a:ext uri="{FF2B5EF4-FFF2-40B4-BE49-F238E27FC236}">
              <a16:creationId xmlns:a16="http://schemas.microsoft.com/office/drawing/2014/main" id="{338731C5-6FCA-4519-A40E-7F258A5662D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5417" y="4890401"/>
          <a:ext cx="95630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69</xdr:row>
      <xdr:rowOff>19050</xdr:rowOff>
    </xdr:from>
    <xdr:ext cx="137160" cy="137160"/>
    <xdr:pic macro="scroll_bars">
      <xdr:nvPicPr>
        <xdr:cNvPr id="46" name="sb_rcs_m_e_2" descr="Minus.PNG">
          <a:extLst>
            <a:ext uri="{FF2B5EF4-FFF2-40B4-BE49-F238E27FC236}">
              <a16:creationId xmlns:a16="http://schemas.microsoft.com/office/drawing/2014/main" id="{1C52D4AA-9677-49A5-8F52-FECD35B92D6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5417" y="4890401"/>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69</xdr:row>
      <xdr:rowOff>19050</xdr:rowOff>
    </xdr:from>
    <xdr:ext cx="121919" cy="137160"/>
    <xdr:pic macro="scroll_bars">
      <xdr:nvPicPr>
        <xdr:cNvPr id="47" name="sb_rcs_p_e_2" descr="Plus.PNG">
          <a:extLst>
            <a:ext uri="{FF2B5EF4-FFF2-40B4-BE49-F238E27FC236}">
              <a16:creationId xmlns:a16="http://schemas.microsoft.com/office/drawing/2014/main" id="{C090D2E7-4172-4DA6-972D-4081E9B38EC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89807" y="4890401"/>
          <a:ext cx="12191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72</xdr:row>
      <xdr:rowOff>19050</xdr:rowOff>
    </xdr:from>
    <xdr:ext cx="956309" cy="137160"/>
    <xdr:pic>
      <xdr:nvPicPr>
        <xdr:cNvPr id="49" name="sb_rcs_a_3" descr="Bar.PNG">
          <a:extLst>
            <a:ext uri="{FF2B5EF4-FFF2-40B4-BE49-F238E27FC236}">
              <a16:creationId xmlns:a16="http://schemas.microsoft.com/office/drawing/2014/main" id="{4CB76F67-74A0-489B-AA2A-C448B6FABDA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5417" y="4890401"/>
          <a:ext cx="95630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72</xdr:row>
      <xdr:rowOff>19050</xdr:rowOff>
    </xdr:from>
    <xdr:ext cx="137160" cy="137160"/>
    <xdr:pic macro="scroll_bars">
      <xdr:nvPicPr>
        <xdr:cNvPr id="50" name="sb_rcs_m_a_3" descr="Minus.PNG">
          <a:extLst>
            <a:ext uri="{FF2B5EF4-FFF2-40B4-BE49-F238E27FC236}">
              <a16:creationId xmlns:a16="http://schemas.microsoft.com/office/drawing/2014/main" id="{955F0E38-8DDA-4986-BB37-B6B883F5863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5417" y="4890401"/>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72</xdr:row>
      <xdr:rowOff>19050</xdr:rowOff>
    </xdr:from>
    <xdr:ext cx="121919" cy="137160"/>
    <xdr:pic macro="scroll_bars">
      <xdr:nvPicPr>
        <xdr:cNvPr id="51" name="sb_rcs_p_a_3" descr="Plus.PNG">
          <a:extLst>
            <a:ext uri="{FF2B5EF4-FFF2-40B4-BE49-F238E27FC236}">
              <a16:creationId xmlns:a16="http://schemas.microsoft.com/office/drawing/2014/main" id="{05DA61F2-DD2D-4933-9C6F-03AA02E38A6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89807" y="4890401"/>
          <a:ext cx="12191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209550</xdr:colOff>
      <xdr:row>75</xdr:row>
      <xdr:rowOff>19050</xdr:rowOff>
    </xdr:from>
    <xdr:ext cx="960119" cy="137160"/>
    <xdr:pic>
      <xdr:nvPicPr>
        <xdr:cNvPr id="52" name="sb_rcs_e_3" descr="Bar.PNG">
          <a:extLst>
            <a:ext uri="{FF2B5EF4-FFF2-40B4-BE49-F238E27FC236}">
              <a16:creationId xmlns:a16="http://schemas.microsoft.com/office/drawing/2014/main" id="{38F1D791-C8B5-4F5D-997A-852787B519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55417" y="4890401"/>
          <a:ext cx="96011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209550</xdr:colOff>
      <xdr:row>75</xdr:row>
      <xdr:rowOff>19050</xdr:rowOff>
    </xdr:from>
    <xdr:ext cx="137160" cy="137160"/>
    <xdr:pic macro="scroll_bars">
      <xdr:nvPicPr>
        <xdr:cNvPr id="53" name="sb_rcs_m_e_3" descr="Minus.PNG">
          <a:extLst>
            <a:ext uri="{FF2B5EF4-FFF2-40B4-BE49-F238E27FC236}">
              <a16:creationId xmlns:a16="http://schemas.microsoft.com/office/drawing/2014/main" id="{BEC293CC-8744-4BAE-97E6-9E5DA4B34F9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55417" y="4890401"/>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oneCellAnchor>
    <xdr:from>
      <xdr:col>2</xdr:col>
      <xdr:colOff>1038225</xdr:colOff>
      <xdr:row>75</xdr:row>
      <xdr:rowOff>19050</xdr:rowOff>
    </xdr:from>
    <xdr:ext cx="125729" cy="137160"/>
    <xdr:pic macro="scroll_bars">
      <xdr:nvPicPr>
        <xdr:cNvPr id="54" name="sb_rcs_p_e_3" descr="Plus.PNG">
          <a:extLst>
            <a:ext uri="{FF2B5EF4-FFF2-40B4-BE49-F238E27FC236}">
              <a16:creationId xmlns:a16="http://schemas.microsoft.com/office/drawing/2014/main" id="{926AF140-1CC6-4532-811B-86F3564AF54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89807" y="4890401"/>
          <a:ext cx="125729"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28</xdr:col>
      <xdr:colOff>493105</xdr:colOff>
      <xdr:row>106</xdr:row>
      <xdr:rowOff>54997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0"/>
          <a:ext cx="17561905" cy="17219047"/>
        </a:xfrm>
        <a:prstGeom prst="rect">
          <a:avLst/>
        </a:prstGeom>
      </xdr:spPr>
    </xdr:pic>
    <xdr:clientData/>
  </xdr:twoCellAnchor>
  <xdr:twoCellAnchor>
    <xdr:from>
      <xdr:col>4</xdr:col>
      <xdr:colOff>38100</xdr:colOff>
      <xdr:row>0</xdr:row>
      <xdr:rowOff>142875</xdr:rowOff>
    </xdr:from>
    <xdr:to>
      <xdr:col>27</xdr:col>
      <xdr:colOff>123825</xdr:colOff>
      <xdr:row>8</xdr:row>
      <xdr:rowOff>85725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476500" y="142875"/>
          <a:ext cx="14106525" cy="1238250"/>
        </a:xfrm>
        <a:prstGeom prst="rect">
          <a:avLst/>
        </a:prstGeom>
        <a:solidFill>
          <a:schemeClr val="lt1"/>
        </a:solidFill>
        <a:ln w="3810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Arial" panose="020B0604020202020204" pitchFamily="34" charset="0"/>
              <a:ea typeface="Roboto" panose="02000000000000000000" pitchFamily="2" charset="0"/>
              <a:cs typeface="Arial" panose="020B0604020202020204" pitchFamily="34" charset="0"/>
            </a:rPr>
            <a:t>Scenario - saving for</a:t>
          </a:r>
          <a:r>
            <a:rPr lang="en-US" sz="1200" b="1" baseline="0">
              <a:latin typeface="Arial" panose="020B0604020202020204" pitchFamily="34" charset="0"/>
              <a:ea typeface="Roboto" panose="02000000000000000000" pitchFamily="2" charset="0"/>
              <a:cs typeface="Arial" panose="020B0604020202020204" pitchFamily="34" charset="0"/>
            </a:rPr>
            <a:t> a generic investment goal</a:t>
          </a:r>
          <a:endParaRPr lang="en-US" sz="1200" b="1">
            <a:latin typeface="Arial" panose="020B0604020202020204" pitchFamily="34" charset="0"/>
            <a:ea typeface="Roboto" panose="02000000000000000000" pitchFamily="2" charset="0"/>
            <a:cs typeface="Arial" panose="020B0604020202020204" pitchFamily="34" charset="0"/>
          </a:endParaRPr>
        </a:p>
        <a:p>
          <a:endParaRPr lang="en-US" sz="1200" b="1">
            <a:latin typeface="Arial" panose="020B0604020202020204" pitchFamily="34" charset="0"/>
            <a:ea typeface="Roboto" panose="02000000000000000000" pitchFamily="2" charset="0"/>
            <a:cs typeface="Arial" panose="020B0604020202020204" pitchFamily="34" charset="0"/>
          </a:endParaRPr>
        </a:p>
        <a:p>
          <a:r>
            <a:rPr lang="en-US" sz="1100">
              <a:latin typeface="Arial" panose="020B0604020202020204" pitchFamily="34" charset="0"/>
              <a:ea typeface="Roboto" panose="02000000000000000000" pitchFamily="2" charset="0"/>
              <a:cs typeface="Arial" panose="020B0604020202020204" pitchFamily="34" charset="0"/>
            </a:rPr>
            <a:t>Joe</a:t>
          </a:r>
          <a:r>
            <a:rPr lang="en-US" sz="1100" baseline="0">
              <a:latin typeface="Arial" panose="020B0604020202020204" pitchFamily="34" charset="0"/>
              <a:ea typeface="Roboto" panose="02000000000000000000" pitchFamily="2" charset="0"/>
              <a:cs typeface="Arial" panose="020B0604020202020204" pitchFamily="34" charset="0"/>
            </a:rPr>
            <a:t> Soap is 28 years old and would like to save for a deposit on a house. He currently has R10 000 savings in his bank account. He has R2 500 to save per month with an annual escalation of 8%. He would like know whether he will have enough money for a substantial deposit on a house in 6 years time. </a:t>
          </a:r>
        </a:p>
        <a:p>
          <a:endParaRPr lang="en-US" sz="1100" baseline="0">
            <a:solidFill>
              <a:schemeClr val="dk1"/>
            </a:solidFill>
            <a:latin typeface="Arial" panose="020B0604020202020204" pitchFamily="34" charset="0"/>
            <a:ea typeface="Roboto" panose="02000000000000000000" pitchFamily="2"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Arial" panose="020B0604020202020204" pitchFamily="34" charset="0"/>
              <a:ea typeface="Roboto" panose="02000000000000000000" pitchFamily="2" charset="0"/>
              <a:cs typeface="Arial" panose="020B0604020202020204" pitchFamily="34" charset="0"/>
            </a:rPr>
            <a:t>Assumptions: a return of 10% p.a and an inflation rate of 6% p.a., with an ongoing advice fee of 0.75% and an ongoing administration fee of 0.2%</a:t>
          </a:r>
          <a:endParaRPr lang="en-US" sz="1100">
            <a:latin typeface="Roboto" panose="02000000000000000000" pitchFamily="2" charset="0"/>
            <a:ea typeface="Roboto" panose="02000000000000000000" pitchFamily="2" charset="0"/>
          </a:endParaRPr>
        </a:p>
      </xdr:txBody>
    </xdr:sp>
    <xdr:clientData/>
  </xdr:twoCellAnchor>
  <xdr:twoCellAnchor>
    <xdr:from>
      <xdr:col>0</xdr:col>
      <xdr:colOff>104775</xdr:colOff>
      <xdr:row>75</xdr:row>
      <xdr:rowOff>66675</xdr:rowOff>
    </xdr:from>
    <xdr:to>
      <xdr:col>11</xdr:col>
      <xdr:colOff>190500</xdr:colOff>
      <xdr:row>88</xdr:row>
      <xdr:rowOff>28575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04775" y="12211050"/>
          <a:ext cx="6791325" cy="2066925"/>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133350</xdr:colOff>
      <xdr:row>75</xdr:row>
      <xdr:rowOff>104775</xdr:rowOff>
    </xdr:from>
    <xdr:to>
      <xdr:col>11</xdr:col>
      <xdr:colOff>132512</xdr:colOff>
      <xdr:row>87</xdr:row>
      <xdr:rowOff>142627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133350" y="12249150"/>
          <a:ext cx="6704762" cy="1980952"/>
        </a:xfrm>
        <a:prstGeom prst="rect">
          <a:avLst/>
        </a:prstGeom>
      </xdr:spPr>
    </xdr:pic>
    <xdr:clientData/>
  </xdr:twoCellAnchor>
  <xdr:twoCellAnchor>
    <xdr:from>
      <xdr:col>11</xdr:col>
      <xdr:colOff>285750</xdr:colOff>
      <xdr:row>75</xdr:row>
      <xdr:rowOff>64477</xdr:rowOff>
    </xdr:from>
    <xdr:to>
      <xdr:col>25</xdr:col>
      <xdr:colOff>590550</xdr:colOff>
      <xdr:row>79</xdr:row>
      <xdr:rowOff>150202</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991350" y="12208852"/>
          <a:ext cx="8839200" cy="733425"/>
        </a:xfrm>
        <a:prstGeom prst="rect">
          <a:avLst/>
        </a:prstGeom>
        <a:solidFill>
          <a:schemeClr val="lt1"/>
        </a:solidFill>
        <a:ln w="3810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Arial" panose="020B0604020202020204" pitchFamily="34" charset="0"/>
              <a:ea typeface="Roboto" panose="02000000000000000000" pitchFamily="2" charset="0"/>
              <a:cs typeface="Arial" panose="020B0604020202020204" pitchFamily="34" charset="0"/>
            </a:rPr>
            <a:t>Scenario - saving for</a:t>
          </a:r>
          <a:r>
            <a:rPr lang="en-US" sz="1200" b="1" baseline="0">
              <a:latin typeface="Arial" panose="020B0604020202020204" pitchFamily="34" charset="0"/>
              <a:ea typeface="Roboto" panose="02000000000000000000" pitchFamily="2" charset="0"/>
              <a:cs typeface="Arial" panose="020B0604020202020204" pitchFamily="34" charset="0"/>
            </a:rPr>
            <a:t> a generic investment goal using the goal optimisation function</a:t>
          </a:r>
          <a:endParaRPr lang="en-US" sz="1200" b="1">
            <a:latin typeface="Arial" panose="020B0604020202020204" pitchFamily="34" charset="0"/>
            <a:ea typeface="Roboto" panose="02000000000000000000" pitchFamily="2" charset="0"/>
            <a:cs typeface="Arial" panose="020B0604020202020204" pitchFamily="34" charset="0"/>
          </a:endParaRPr>
        </a:p>
        <a:p>
          <a:endParaRPr lang="en-US" sz="1200" b="1">
            <a:latin typeface="Arial" panose="020B0604020202020204" pitchFamily="34" charset="0"/>
            <a:ea typeface="Roboto" panose="02000000000000000000" pitchFamily="2" charset="0"/>
            <a:cs typeface="Arial" panose="020B0604020202020204" pitchFamily="34" charset="0"/>
          </a:endParaRPr>
        </a:p>
        <a:p>
          <a:r>
            <a:rPr lang="en-US" sz="1100">
              <a:latin typeface="Arial" panose="020B0604020202020204" pitchFamily="34" charset="0"/>
              <a:ea typeface="Roboto" panose="02000000000000000000" pitchFamily="2" charset="0"/>
              <a:cs typeface="Arial" panose="020B0604020202020204" pitchFamily="34" charset="0"/>
            </a:rPr>
            <a:t>Joe</a:t>
          </a:r>
          <a:r>
            <a:rPr lang="en-US" sz="1100" baseline="0">
              <a:latin typeface="Arial" panose="020B0604020202020204" pitchFamily="34" charset="0"/>
              <a:ea typeface="Roboto" panose="02000000000000000000" pitchFamily="2" charset="0"/>
              <a:cs typeface="Arial" panose="020B0604020202020204" pitchFamily="34" charset="0"/>
            </a:rPr>
            <a:t> Soap would like to know by how much he needs to increase his monthly savings in order to have R250 000 for a deposit on a house.</a:t>
          </a:r>
          <a:endParaRPr lang="en-US" sz="1100">
            <a:latin typeface="Roboto" panose="02000000000000000000" pitchFamily="2" charset="0"/>
            <a:ea typeface="Roboto" panose="02000000000000000000" pitchFamily="2" charset="0"/>
          </a:endParaRPr>
        </a:p>
      </xdr:txBody>
    </xdr:sp>
    <xdr:clientData/>
  </xdr:twoCellAnchor>
  <xdr:twoCellAnchor editAs="oneCell">
    <xdr:from>
      <xdr:col>11</xdr:col>
      <xdr:colOff>314325</xdr:colOff>
      <xdr:row>80</xdr:row>
      <xdr:rowOff>85725</xdr:rowOff>
    </xdr:from>
    <xdr:to>
      <xdr:col>25</xdr:col>
      <xdr:colOff>571500</xdr:colOff>
      <xdr:row>112</xdr:row>
      <xdr:rowOff>133350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3"/>
        <a:srcRect l="854" r="606"/>
        <a:stretch/>
      </xdr:blipFill>
      <xdr:spPr>
        <a:xfrm>
          <a:off x="7019925" y="13039725"/>
          <a:ext cx="8791575" cy="5229225"/>
        </a:xfrm>
        <a:prstGeom prst="rect">
          <a:avLst/>
        </a:prstGeom>
        <a:ln w="38100" cap="sq">
          <a:solidFill>
            <a:srgbClr val="C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28</xdr:col>
      <xdr:colOff>474057</xdr:colOff>
      <xdr:row>110</xdr:row>
      <xdr:rowOff>47625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rcRect b="8346"/>
        <a:stretch/>
      </xdr:blipFill>
      <xdr:spPr>
        <a:xfrm>
          <a:off x="0" y="0"/>
          <a:ext cx="17542857" cy="17859375"/>
        </a:xfrm>
        <a:prstGeom prst="rect">
          <a:avLst/>
        </a:prstGeom>
      </xdr:spPr>
    </xdr:pic>
    <xdr:clientData/>
  </xdr:twoCellAnchor>
  <xdr:twoCellAnchor>
    <xdr:from>
      <xdr:col>4</xdr:col>
      <xdr:colOff>0</xdr:colOff>
      <xdr:row>0</xdr:row>
      <xdr:rowOff>142875</xdr:rowOff>
    </xdr:from>
    <xdr:to>
      <xdr:col>26</xdr:col>
      <xdr:colOff>133350</xdr:colOff>
      <xdr:row>8</xdr:row>
      <xdr:rowOff>114301</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438400" y="142875"/>
          <a:ext cx="13544550" cy="1266826"/>
        </a:xfrm>
        <a:prstGeom prst="rect">
          <a:avLst/>
        </a:prstGeom>
        <a:solidFill>
          <a:schemeClr val="lt1"/>
        </a:solidFill>
        <a:ln w="3810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atin typeface="Arial" panose="020B0604020202020204" pitchFamily="34" charset="0"/>
              <a:ea typeface="Roboto" panose="02000000000000000000" pitchFamily="2" charset="0"/>
              <a:cs typeface="Arial" panose="020B0604020202020204" pitchFamily="34" charset="0"/>
            </a:rPr>
            <a:t>Scenario - saving for retirement and drawing</a:t>
          </a:r>
          <a:r>
            <a:rPr lang="en-US" sz="1200" b="1" baseline="0">
              <a:latin typeface="Arial" panose="020B0604020202020204" pitchFamily="34" charset="0"/>
              <a:ea typeface="Roboto" panose="02000000000000000000" pitchFamily="2" charset="0"/>
              <a:cs typeface="Arial" panose="020B0604020202020204" pitchFamily="34" charset="0"/>
            </a:rPr>
            <a:t> an income</a:t>
          </a:r>
          <a:endParaRPr lang="en-US" sz="1200" b="1">
            <a:latin typeface="Arial" panose="020B0604020202020204" pitchFamily="34" charset="0"/>
            <a:ea typeface="Roboto" panose="02000000000000000000" pitchFamily="2" charset="0"/>
            <a:cs typeface="Arial" panose="020B0604020202020204" pitchFamily="34" charset="0"/>
          </a:endParaRPr>
        </a:p>
        <a:p>
          <a:endParaRPr lang="en-US" sz="1200" b="1">
            <a:latin typeface="Arial" panose="020B0604020202020204" pitchFamily="34" charset="0"/>
            <a:ea typeface="Roboto" panose="02000000000000000000" pitchFamily="2" charset="0"/>
            <a:cs typeface="Arial" panose="020B0604020202020204" pitchFamily="34" charset="0"/>
          </a:endParaRPr>
        </a:p>
        <a:p>
          <a:r>
            <a:rPr lang="en-US" sz="1100">
              <a:latin typeface="Arial" panose="020B0604020202020204" pitchFamily="34" charset="0"/>
              <a:ea typeface="Roboto" panose="02000000000000000000" pitchFamily="2" charset="0"/>
              <a:cs typeface="Arial" panose="020B0604020202020204" pitchFamily="34" charset="0"/>
            </a:rPr>
            <a:t>Joe</a:t>
          </a:r>
          <a:r>
            <a:rPr lang="en-US" sz="1100" baseline="0">
              <a:latin typeface="Arial" panose="020B0604020202020204" pitchFamily="34" charset="0"/>
              <a:ea typeface="Roboto" panose="02000000000000000000" pitchFamily="2" charset="0"/>
              <a:cs typeface="Arial" panose="020B0604020202020204" pitchFamily="34" charset="0"/>
            </a:rPr>
            <a:t> Brown is 29 years old and would like to start saving for retirement. He expects to retire when he is 68 years old and would like his income in retirement to last until the age of 85. He currently has R3000 per month to save towards retirement with an annual increase of 8%. He would like assistance in knowing how much he will be able to draw monthly in retirement, in order for his income to last him until he is 85 years old. </a:t>
          </a:r>
        </a:p>
        <a:p>
          <a:endParaRPr lang="en-US" sz="1100" baseline="0">
            <a:latin typeface="Arial" panose="020B0604020202020204" pitchFamily="34" charset="0"/>
            <a:ea typeface="Roboto" panose="02000000000000000000" pitchFamily="2" charset="0"/>
            <a:cs typeface="Arial" panose="020B0604020202020204" pitchFamily="34" charset="0"/>
          </a:endParaRPr>
        </a:p>
        <a:p>
          <a:r>
            <a:rPr lang="en-US" sz="1100" baseline="0">
              <a:latin typeface="Arial" panose="020B0604020202020204" pitchFamily="34" charset="0"/>
              <a:ea typeface="Roboto" panose="02000000000000000000" pitchFamily="2" charset="0"/>
              <a:cs typeface="Arial" panose="020B0604020202020204" pitchFamily="34" charset="0"/>
            </a:rPr>
            <a:t>Assumptions: a return of 12% p.a and an inflation rate of 6% p.a., with an ongoing advice fee of 0.5% and an ongoing administration fee of 0.5% and an initial real annuity payment of R25 000 p.m.</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114300</xdr:colOff>
          <xdr:row>14</xdr:row>
          <xdr:rowOff>121920</xdr:rowOff>
        </xdr:from>
        <xdr:to>
          <xdr:col>17</xdr:col>
          <xdr:colOff>45720</xdr:colOff>
          <xdr:row>16</xdr:row>
          <xdr:rowOff>121920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Add 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17</xdr:row>
          <xdr:rowOff>121920</xdr:rowOff>
        </xdr:from>
        <xdr:to>
          <xdr:col>17</xdr:col>
          <xdr:colOff>45720</xdr:colOff>
          <xdr:row>19</xdr:row>
          <xdr:rowOff>121920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000" b="0" i="0" u="none" strike="noStrike" baseline="0">
                  <a:solidFill>
                    <a:srgbClr val="000000"/>
                  </a:solidFill>
                  <a:latin typeface="Arial"/>
                  <a:cs typeface="Arial"/>
                </a:rPr>
                <a:t>Return to tool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23</xdr:col>
      <xdr:colOff>85725</xdr:colOff>
      <xdr:row>245</xdr:row>
      <xdr:rowOff>95250</xdr:rowOff>
    </xdr:from>
    <xdr:to>
      <xdr:col>53</xdr:col>
      <xdr:colOff>142332</xdr:colOff>
      <xdr:row>247</xdr:row>
      <xdr:rowOff>28543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371850" y="46081950"/>
          <a:ext cx="4342857" cy="257143"/>
        </a:xfrm>
        <a:prstGeom prst="rect">
          <a:avLst/>
        </a:prstGeom>
      </xdr:spPr>
    </xdr:pic>
    <xdr:clientData/>
  </xdr:twoCellAnchor>
  <xdr:twoCellAnchor>
    <xdr:from>
      <xdr:col>22</xdr:col>
      <xdr:colOff>38100</xdr:colOff>
      <xdr:row>243</xdr:row>
      <xdr:rowOff>142875</xdr:rowOff>
    </xdr:from>
    <xdr:to>
      <xdr:col>29</xdr:col>
      <xdr:colOff>57150</xdr:colOff>
      <xdr:row>245</xdr:row>
      <xdr:rowOff>123825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3181350" y="45805725"/>
          <a:ext cx="1019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Contributions</a:t>
          </a:r>
        </a:p>
      </xdr:txBody>
    </xdr:sp>
    <xdr:clientData/>
  </xdr:twoCellAnchor>
  <xdr:twoCellAnchor>
    <xdr:from>
      <xdr:col>30</xdr:col>
      <xdr:colOff>114300</xdr:colOff>
      <xdr:row>243</xdr:row>
      <xdr:rowOff>142875</xdr:rowOff>
    </xdr:from>
    <xdr:to>
      <xdr:col>37</xdr:col>
      <xdr:colOff>133350</xdr:colOff>
      <xdr:row>245</xdr:row>
      <xdr:rowOff>123825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400550" y="45805725"/>
          <a:ext cx="1019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Withdrawals</a:t>
          </a:r>
        </a:p>
      </xdr:txBody>
    </xdr:sp>
    <xdr:clientData/>
  </xdr:twoCellAnchor>
  <xdr:twoCellAnchor>
    <xdr:from>
      <xdr:col>38</xdr:col>
      <xdr:colOff>66675</xdr:colOff>
      <xdr:row>243</xdr:row>
      <xdr:rowOff>142875</xdr:rowOff>
    </xdr:from>
    <xdr:to>
      <xdr:col>47</xdr:col>
      <xdr:colOff>85725</xdr:colOff>
      <xdr:row>245</xdr:row>
      <xdr:rowOff>123825</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495925" y="45805725"/>
          <a:ext cx="1304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Income payments</a:t>
          </a:r>
        </a:p>
      </xdr:txBody>
    </xdr:sp>
    <xdr:clientData/>
  </xdr:twoCellAnchor>
  <xdr:twoCellAnchor>
    <xdr:from>
      <xdr:col>48</xdr:col>
      <xdr:colOff>0</xdr:colOff>
      <xdr:row>243</xdr:row>
      <xdr:rowOff>142875</xdr:rowOff>
    </xdr:from>
    <xdr:to>
      <xdr:col>55</xdr:col>
      <xdr:colOff>19050</xdr:colOff>
      <xdr:row>245</xdr:row>
      <xdr:rowOff>123825</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6858000" y="45805725"/>
          <a:ext cx="1019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Market value</a:t>
          </a:r>
        </a:p>
      </xdr:txBody>
    </xdr:sp>
    <xdr:clientData/>
  </xdr:twoCellAnchor>
  <xdr:twoCellAnchor>
    <xdr:from>
      <xdr:col>15</xdr:col>
      <xdr:colOff>95250</xdr:colOff>
      <xdr:row>245</xdr:row>
      <xdr:rowOff>38100</xdr:rowOff>
    </xdr:from>
    <xdr:to>
      <xdr:col>53</xdr:col>
      <xdr:colOff>142330</xdr:colOff>
      <xdr:row>248</xdr:row>
      <xdr:rowOff>133350</xdr:rowOff>
    </xdr:to>
    <xdr:grpSp>
      <xdr:nvGrpSpPr>
        <xdr:cNvPr id="10" name="Group10" hidden="1">
          <a:extLst>
            <a:ext uri="{FF2B5EF4-FFF2-40B4-BE49-F238E27FC236}">
              <a16:creationId xmlns:a16="http://schemas.microsoft.com/office/drawing/2014/main" id="{00000000-0008-0000-0500-00000A000000}"/>
            </a:ext>
          </a:extLst>
        </xdr:cNvPr>
        <xdr:cNvGrpSpPr/>
      </xdr:nvGrpSpPr>
      <xdr:grpSpPr>
        <a:xfrm>
          <a:off x="2152650" y="41109900"/>
          <a:ext cx="5251540" cy="598170"/>
          <a:chOff x="2038350" y="45967650"/>
          <a:chExt cx="5476330" cy="581025"/>
        </a:xfrm>
      </xdr:grpSpPr>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3162299" y="46281975"/>
            <a:ext cx="4352381" cy="247619"/>
          </a:xfrm>
          <a:prstGeom prst="rect">
            <a:avLst/>
          </a:prstGeom>
        </xdr:spPr>
      </xdr:pic>
      <xdr:sp macro="" textlink="">
        <xdr:nvSpPr>
          <xdr:cNvPr id="8" name="TextBox 7" hidden="1">
            <a:extLst>
              <a:ext uri="{FF2B5EF4-FFF2-40B4-BE49-F238E27FC236}">
                <a16:creationId xmlns:a16="http://schemas.microsoft.com/office/drawing/2014/main" id="{00000000-0008-0000-0500-000008000000}"/>
              </a:ext>
            </a:extLst>
          </xdr:cNvPr>
          <xdr:cNvSpPr txBox="1"/>
        </xdr:nvSpPr>
        <xdr:spPr>
          <a:xfrm>
            <a:off x="2038350" y="45967650"/>
            <a:ext cx="8382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Current:</a:t>
            </a:r>
          </a:p>
        </xdr:txBody>
      </xdr:sp>
      <xdr:sp macro="" textlink="">
        <xdr:nvSpPr>
          <xdr:cNvPr id="9" name="TextBox 8" hidden="1">
            <a:extLst>
              <a:ext uri="{FF2B5EF4-FFF2-40B4-BE49-F238E27FC236}">
                <a16:creationId xmlns:a16="http://schemas.microsoft.com/office/drawing/2014/main" id="{00000000-0008-0000-0500-000009000000}"/>
              </a:ext>
            </a:extLst>
          </xdr:cNvPr>
          <xdr:cNvSpPr txBox="1"/>
        </xdr:nvSpPr>
        <xdr:spPr>
          <a:xfrm>
            <a:off x="2038350" y="46243875"/>
            <a:ext cx="8572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Saved:</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85725</xdr:colOff>
      <xdr:row>101</xdr:row>
      <xdr:rowOff>95250</xdr:rowOff>
    </xdr:from>
    <xdr:to>
      <xdr:col>53</xdr:col>
      <xdr:colOff>142332</xdr:colOff>
      <xdr:row>103</xdr:row>
      <xdr:rowOff>28543</xdr:rowOff>
    </xdr:to>
    <xdr:pic>
      <xdr:nvPicPr>
        <xdr:cNvPr id="2" name="Picture 1">
          <a:extLst>
            <a:ext uri="{FF2B5EF4-FFF2-40B4-BE49-F238E27FC236}">
              <a16:creationId xmlns:a16="http://schemas.microsoft.com/office/drawing/2014/main" id="{490CCE00-C994-43F4-93D8-6F5BB747057F}"/>
            </a:ext>
          </a:extLst>
        </xdr:cNvPr>
        <xdr:cNvPicPr>
          <a:picLocks noChangeAspect="1"/>
        </xdr:cNvPicPr>
      </xdr:nvPicPr>
      <xdr:blipFill>
        <a:blip xmlns:r="http://schemas.openxmlformats.org/officeDocument/2006/relationships" r:embed="rId1"/>
        <a:stretch>
          <a:fillRect/>
        </a:stretch>
      </xdr:blipFill>
      <xdr:spPr>
        <a:xfrm>
          <a:off x="3154680" y="42096690"/>
          <a:ext cx="4043772" cy="278098"/>
        </a:xfrm>
        <a:prstGeom prst="rect">
          <a:avLst/>
        </a:prstGeom>
      </xdr:spPr>
    </xdr:pic>
    <xdr:clientData/>
  </xdr:twoCellAnchor>
  <xdr:twoCellAnchor>
    <xdr:from>
      <xdr:col>22</xdr:col>
      <xdr:colOff>38100</xdr:colOff>
      <xdr:row>99</xdr:row>
      <xdr:rowOff>142875</xdr:rowOff>
    </xdr:from>
    <xdr:to>
      <xdr:col>29</xdr:col>
      <xdr:colOff>57150</xdr:colOff>
      <xdr:row>101</xdr:row>
      <xdr:rowOff>123825</xdr:rowOff>
    </xdr:to>
    <xdr:sp macro="" textlink="">
      <xdr:nvSpPr>
        <xdr:cNvPr id="3" name="TextBox 2">
          <a:extLst>
            <a:ext uri="{FF2B5EF4-FFF2-40B4-BE49-F238E27FC236}">
              <a16:creationId xmlns:a16="http://schemas.microsoft.com/office/drawing/2014/main" id="{4649FCE5-B383-452E-990B-A8F7CDDC3231}"/>
            </a:ext>
          </a:extLst>
        </xdr:cNvPr>
        <xdr:cNvSpPr txBox="1"/>
      </xdr:nvSpPr>
      <xdr:spPr>
        <a:xfrm>
          <a:off x="2971800" y="41803320"/>
          <a:ext cx="94869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Contributions</a:t>
          </a:r>
        </a:p>
      </xdr:txBody>
    </xdr:sp>
    <xdr:clientData/>
  </xdr:twoCellAnchor>
  <xdr:twoCellAnchor>
    <xdr:from>
      <xdr:col>30</xdr:col>
      <xdr:colOff>114300</xdr:colOff>
      <xdr:row>99</xdr:row>
      <xdr:rowOff>142875</xdr:rowOff>
    </xdr:from>
    <xdr:to>
      <xdr:col>37</xdr:col>
      <xdr:colOff>133350</xdr:colOff>
      <xdr:row>101</xdr:row>
      <xdr:rowOff>123825</xdr:rowOff>
    </xdr:to>
    <xdr:sp macro="" textlink="">
      <xdr:nvSpPr>
        <xdr:cNvPr id="4" name="TextBox 3">
          <a:extLst>
            <a:ext uri="{FF2B5EF4-FFF2-40B4-BE49-F238E27FC236}">
              <a16:creationId xmlns:a16="http://schemas.microsoft.com/office/drawing/2014/main" id="{19916949-B2C9-41DD-8889-6B2915109976}"/>
            </a:ext>
          </a:extLst>
        </xdr:cNvPr>
        <xdr:cNvSpPr txBox="1"/>
      </xdr:nvSpPr>
      <xdr:spPr>
        <a:xfrm>
          <a:off x="4114800" y="41803320"/>
          <a:ext cx="94869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Withdrawals</a:t>
          </a:r>
        </a:p>
      </xdr:txBody>
    </xdr:sp>
    <xdr:clientData/>
  </xdr:twoCellAnchor>
  <xdr:twoCellAnchor>
    <xdr:from>
      <xdr:col>38</xdr:col>
      <xdr:colOff>66675</xdr:colOff>
      <xdr:row>99</xdr:row>
      <xdr:rowOff>142875</xdr:rowOff>
    </xdr:from>
    <xdr:to>
      <xdr:col>47</xdr:col>
      <xdr:colOff>85725</xdr:colOff>
      <xdr:row>101</xdr:row>
      <xdr:rowOff>123825</xdr:rowOff>
    </xdr:to>
    <xdr:sp macro="" textlink="">
      <xdr:nvSpPr>
        <xdr:cNvPr id="5" name="TextBox 4">
          <a:extLst>
            <a:ext uri="{FF2B5EF4-FFF2-40B4-BE49-F238E27FC236}">
              <a16:creationId xmlns:a16="http://schemas.microsoft.com/office/drawing/2014/main" id="{C9779520-9497-4DE9-8A62-7D050AC949D8}"/>
            </a:ext>
          </a:extLst>
        </xdr:cNvPr>
        <xdr:cNvSpPr txBox="1"/>
      </xdr:nvSpPr>
      <xdr:spPr>
        <a:xfrm>
          <a:off x="5132070" y="41803320"/>
          <a:ext cx="122301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Income payments</a:t>
          </a:r>
        </a:p>
      </xdr:txBody>
    </xdr:sp>
    <xdr:clientData/>
  </xdr:twoCellAnchor>
  <xdr:twoCellAnchor>
    <xdr:from>
      <xdr:col>48</xdr:col>
      <xdr:colOff>0</xdr:colOff>
      <xdr:row>99</xdr:row>
      <xdr:rowOff>142875</xdr:rowOff>
    </xdr:from>
    <xdr:to>
      <xdr:col>55</xdr:col>
      <xdr:colOff>19050</xdr:colOff>
      <xdr:row>101</xdr:row>
      <xdr:rowOff>123825</xdr:rowOff>
    </xdr:to>
    <xdr:sp macro="" textlink="">
      <xdr:nvSpPr>
        <xdr:cNvPr id="6" name="TextBox 5">
          <a:extLst>
            <a:ext uri="{FF2B5EF4-FFF2-40B4-BE49-F238E27FC236}">
              <a16:creationId xmlns:a16="http://schemas.microsoft.com/office/drawing/2014/main" id="{BBA44230-B332-4417-80E2-6E48003A2CDF}"/>
            </a:ext>
          </a:extLst>
        </xdr:cNvPr>
        <xdr:cNvSpPr txBox="1"/>
      </xdr:nvSpPr>
      <xdr:spPr>
        <a:xfrm>
          <a:off x="6400800" y="41803320"/>
          <a:ext cx="94869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Market value</a:t>
          </a:r>
        </a:p>
      </xdr:txBody>
    </xdr:sp>
    <xdr:clientData/>
  </xdr:twoCellAnchor>
  <xdr:twoCellAnchor>
    <xdr:from>
      <xdr:col>15</xdr:col>
      <xdr:colOff>91440</xdr:colOff>
      <xdr:row>101</xdr:row>
      <xdr:rowOff>38100</xdr:rowOff>
    </xdr:from>
    <xdr:to>
      <xdr:col>53</xdr:col>
      <xdr:colOff>130900</xdr:colOff>
      <xdr:row>104</xdr:row>
      <xdr:rowOff>129540</xdr:rowOff>
    </xdr:to>
    <xdr:grpSp>
      <xdr:nvGrpSpPr>
        <xdr:cNvPr id="7" name="Group10" hidden="1">
          <a:extLst>
            <a:ext uri="{FF2B5EF4-FFF2-40B4-BE49-F238E27FC236}">
              <a16:creationId xmlns:a16="http://schemas.microsoft.com/office/drawing/2014/main" id="{8DB0C1AD-FAA0-4A31-A8C9-984908F3BC59}"/>
            </a:ext>
          </a:extLst>
        </xdr:cNvPr>
        <xdr:cNvGrpSpPr/>
      </xdr:nvGrpSpPr>
      <xdr:grpSpPr>
        <a:xfrm>
          <a:off x="2148840" y="16969740"/>
          <a:ext cx="5251540" cy="594360"/>
          <a:chOff x="2038350" y="45967650"/>
          <a:chExt cx="5476330" cy="581025"/>
        </a:xfrm>
      </xdr:grpSpPr>
      <xdr:pic>
        <xdr:nvPicPr>
          <xdr:cNvPr id="8" name="Picture 7" hidden="1">
            <a:extLst>
              <a:ext uri="{FF2B5EF4-FFF2-40B4-BE49-F238E27FC236}">
                <a16:creationId xmlns:a16="http://schemas.microsoft.com/office/drawing/2014/main" id="{29318BA2-720B-EF1D-C161-16EC7BCC443E}"/>
              </a:ext>
            </a:extLst>
          </xdr:cNvPr>
          <xdr:cNvPicPr>
            <a:picLocks noChangeAspect="1"/>
          </xdr:cNvPicPr>
        </xdr:nvPicPr>
        <xdr:blipFill>
          <a:blip xmlns:r="http://schemas.openxmlformats.org/officeDocument/2006/relationships" r:embed="rId2"/>
          <a:stretch>
            <a:fillRect/>
          </a:stretch>
        </xdr:blipFill>
        <xdr:spPr>
          <a:xfrm>
            <a:off x="3162299" y="46281975"/>
            <a:ext cx="4352381" cy="247619"/>
          </a:xfrm>
          <a:prstGeom prst="rect">
            <a:avLst/>
          </a:prstGeom>
        </xdr:spPr>
      </xdr:pic>
      <xdr:sp macro="" textlink="">
        <xdr:nvSpPr>
          <xdr:cNvPr id="9" name="TextBox 8" hidden="1">
            <a:extLst>
              <a:ext uri="{FF2B5EF4-FFF2-40B4-BE49-F238E27FC236}">
                <a16:creationId xmlns:a16="http://schemas.microsoft.com/office/drawing/2014/main" id="{8A5B98A3-740B-FA8A-E499-1E0070D5907F}"/>
              </a:ext>
            </a:extLst>
          </xdr:cNvPr>
          <xdr:cNvSpPr txBox="1"/>
        </xdr:nvSpPr>
        <xdr:spPr>
          <a:xfrm>
            <a:off x="2038350" y="45967650"/>
            <a:ext cx="8382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Current:</a:t>
            </a:r>
          </a:p>
        </xdr:txBody>
      </xdr:sp>
      <xdr:sp macro="" textlink="">
        <xdr:nvSpPr>
          <xdr:cNvPr id="10" name="TextBox 9" hidden="1">
            <a:extLst>
              <a:ext uri="{FF2B5EF4-FFF2-40B4-BE49-F238E27FC236}">
                <a16:creationId xmlns:a16="http://schemas.microsoft.com/office/drawing/2014/main" id="{8C6F5A1F-9244-00A1-BEEA-B19EECCA1D14}"/>
              </a:ext>
            </a:extLst>
          </xdr:cNvPr>
          <xdr:cNvSpPr txBox="1"/>
        </xdr:nvSpPr>
        <xdr:spPr>
          <a:xfrm>
            <a:off x="2038350" y="46243875"/>
            <a:ext cx="8572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Saved:</a:t>
            </a:r>
          </a:p>
        </xdr:txBody>
      </xdr:sp>
    </xdr:grpSp>
    <xdr:clientData/>
  </xdr:twoCellAnchor>
  <xdr:twoCellAnchor>
    <xdr:from>
      <xdr:col>1</xdr:col>
      <xdr:colOff>0</xdr:colOff>
      <xdr:row>75</xdr:row>
      <xdr:rowOff>0</xdr:rowOff>
    </xdr:from>
    <xdr:to>
      <xdr:col>74</xdr:col>
      <xdr:colOff>554250</xdr:colOff>
      <xdr:row>103</xdr:row>
      <xdr:rowOff>15990</xdr:rowOff>
    </xdr:to>
    <xdr:graphicFrame macro="">
      <xdr:nvGraphicFramePr>
        <xdr:cNvPr id="11" name="graph_graph">
          <a:extLst>
            <a:ext uri="{FF2B5EF4-FFF2-40B4-BE49-F238E27FC236}">
              <a16:creationId xmlns:a16="http://schemas.microsoft.com/office/drawing/2014/main" id="{F2AB70D4-8D7C-4706-9D63-DC33CA8825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D27"/>
  <sheetViews>
    <sheetView showGridLines="0" showRowColHeaders="0" workbookViewId="0">
      <selection activeCell="B14" sqref="B14"/>
    </sheetView>
  </sheetViews>
  <sheetFormatPr defaultRowHeight="13.2" x14ac:dyDescent="0.25"/>
  <cols>
    <col min="1" max="1" width="2.88671875" customWidth="1"/>
  </cols>
  <sheetData>
    <row r="1" spans="1:30" x14ac:dyDescent="0.25">
      <c r="A1" s="60">
        <v>1</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row>
    <row r="2" spans="1:30" x14ac:dyDescent="0.2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row>
    <row r="3" spans="1:30" x14ac:dyDescent="0.2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row>
    <row r="4" spans="1:30" x14ac:dyDescent="0.25">
      <c r="A4" s="59"/>
      <c r="B4" s="59"/>
      <c r="C4" s="59"/>
      <c r="D4" s="59"/>
      <c r="E4" s="59"/>
      <c r="F4" s="59"/>
      <c r="G4" s="59"/>
      <c r="H4" s="59"/>
      <c r="I4" s="59"/>
      <c r="J4" s="59"/>
      <c r="K4" s="59"/>
      <c r="L4" s="59"/>
      <c r="M4" s="59"/>
      <c r="N4" s="59"/>
      <c r="O4" s="59"/>
      <c r="P4" s="59"/>
      <c r="Q4" s="59"/>
      <c r="R4" s="59"/>
      <c r="S4" s="59"/>
      <c r="T4" s="59"/>
      <c r="U4" s="59"/>
      <c r="V4" s="59"/>
      <c r="W4" s="59"/>
      <c r="X4" s="59"/>
      <c r="Y4" s="59"/>
      <c r="Z4" s="59"/>
      <c r="AA4" s="59"/>
      <c r="AB4" s="59"/>
      <c r="AC4" s="59"/>
      <c r="AD4" s="59"/>
    </row>
    <row r="5" spans="1:30" x14ac:dyDescent="0.25">
      <c r="A5" s="59"/>
      <c r="B5" s="59"/>
      <c r="C5" s="59"/>
      <c r="D5" s="59"/>
      <c r="E5" s="59"/>
      <c r="F5" s="59"/>
      <c r="G5" s="59"/>
      <c r="H5" s="59"/>
      <c r="I5" s="59"/>
      <c r="J5" s="59"/>
      <c r="K5" s="59"/>
      <c r="L5" s="59"/>
      <c r="M5" s="59"/>
      <c r="N5" s="59"/>
      <c r="O5" s="59"/>
      <c r="P5" s="59"/>
      <c r="Q5" s="59"/>
      <c r="R5" s="59"/>
      <c r="S5" s="59"/>
      <c r="T5" s="59"/>
      <c r="U5" s="59"/>
      <c r="V5" s="59"/>
      <c r="W5" s="59"/>
      <c r="X5" s="59"/>
      <c r="Y5" s="59"/>
      <c r="Z5" s="59"/>
      <c r="AA5" s="59"/>
      <c r="AB5" s="59"/>
      <c r="AC5" s="59"/>
      <c r="AD5" s="59"/>
    </row>
    <row r="6" spans="1:30"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row>
    <row r="7" spans="1:30"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row>
    <row r="8" spans="1:30"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row>
    <row r="9" spans="1:30"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row>
    <row r="10" spans="1:30"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row>
    <row r="11" spans="1:30" ht="12.75" customHeight="1" x14ac:dyDescent="0.25">
      <c r="A11" s="58"/>
      <c r="B11" s="136" t="s">
        <v>166</v>
      </c>
      <c r="C11" s="137"/>
      <c r="D11" s="137"/>
      <c r="E11" s="58"/>
      <c r="F11" s="58"/>
      <c r="G11" s="58"/>
      <c r="H11" s="58"/>
      <c r="I11" s="58"/>
      <c r="J11" s="58"/>
      <c r="K11" s="58"/>
      <c r="L11" s="58"/>
      <c r="M11" s="58"/>
      <c r="N11" s="58"/>
      <c r="O11" s="58"/>
      <c r="P11" s="58"/>
      <c r="Q11" s="58"/>
      <c r="R11" s="58"/>
      <c r="S11" s="58"/>
      <c r="T11" s="58"/>
      <c r="U11" s="58"/>
      <c r="V11" s="58"/>
      <c r="W11" s="58"/>
      <c r="X11" s="58"/>
      <c r="Y11" s="58"/>
      <c r="Z11" s="58"/>
      <c r="AA11" s="58"/>
      <c r="AB11" s="58"/>
      <c r="AC11" s="58"/>
      <c r="AD11" s="58"/>
    </row>
    <row r="12" spans="1:30" x14ac:dyDescent="0.25">
      <c r="A12" s="58"/>
      <c r="B12" s="137"/>
      <c r="C12" s="137"/>
      <c r="D12" s="137"/>
      <c r="E12" s="58"/>
      <c r="F12" s="58"/>
      <c r="G12" s="58"/>
      <c r="H12" s="58"/>
      <c r="I12" s="58"/>
      <c r="J12" s="58"/>
      <c r="K12" s="58"/>
      <c r="L12" s="58"/>
      <c r="M12" s="58"/>
      <c r="N12" s="58"/>
      <c r="O12" s="58"/>
      <c r="P12" s="58"/>
      <c r="Q12" s="58"/>
      <c r="R12" s="58"/>
      <c r="S12" s="58"/>
      <c r="T12" s="58"/>
      <c r="U12" s="58"/>
      <c r="V12" s="58"/>
      <c r="W12" s="58"/>
      <c r="X12" s="58"/>
      <c r="Y12" s="58"/>
      <c r="Z12" s="58"/>
      <c r="AA12" s="58"/>
      <c r="AB12" s="58"/>
      <c r="AC12" s="58"/>
      <c r="AD12" s="58"/>
    </row>
    <row r="16" spans="1:30" x14ac:dyDescent="0.25">
      <c r="B16" s="3" t="s">
        <v>138</v>
      </c>
    </row>
    <row r="18" spans="2:2" x14ac:dyDescent="0.25">
      <c r="B18" t="s">
        <v>141</v>
      </c>
    </row>
    <row r="19" spans="2:2" x14ac:dyDescent="0.25">
      <c r="B19" t="s">
        <v>142</v>
      </c>
    </row>
    <row r="21" spans="2:2" x14ac:dyDescent="0.25">
      <c r="B21" t="s">
        <v>143</v>
      </c>
    </row>
    <row r="23" spans="2:2" x14ac:dyDescent="0.25">
      <c r="B23" t="s">
        <v>144</v>
      </c>
    </row>
    <row r="25" spans="2:2" x14ac:dyDescent="0.25">
      <c r="B25" t="s">
        <v>139</v>
      </c>
    </row>
    <row r="27" spans="2:2" x14ac:dyDescent="0.25">
      <c r="B27" t="s">
        <v>140</v>
      </c>
    </row>
  </sheetData>
  <sheetProtection password="CD91" sheet="1" objects="1" scenarios="1"/>
  <mergeCells count="1">
    <mergeCell ref="B11:D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FM1219"/>
  <sheetViews>
    <sheetView showGridLines="0" showRowColHeaders="0" topLeftCell="A55" zoomScale="76" zoomScaleNormal="100" workbookViewId="0">
      <selection activeCell="C19" sqref="C19:E19"/>
    </sheetView>
  </sheetViews>
  <sheetFormatPr defaultColWidth="0" defaultRowHeight="13.2" x14ac:dyDescent="0.25"/>
  <cols>
    <col min="1" max="1" width="2.88671875" customWidth="1"/>
    <col min="2" max="2" width="40" customWidth="1"/>
    <col min="3" max="3" width="20.6640625" customWidth="1"/>
    <col min="4" max="5" width="18.5546875" customWidth="1"/>
    <col min="6" max="7" width="2.109375" customWidth="1"/>
    <col min="8" max="8" width="10.109375" bestFit="1" customWidth="1"/>
    <col min="9" max="9" width="9.109375" customWidth="1"/>
    <col min="10" max="17" width="16.44140625" customWidth="1"/>
    <col min="18" max="18" width="4.33203125" customWidth="1"/>
    <col min="19" max="19" width="4.33203125" hidden="1" customWidth="1"/>
    <col min="20" max="20" width="10.109375" hidden="1" customWidth="1"/>
    <col min="21" max="21" width="9.109375" hidden="1" customWidth="1"/>
    <col min="22" max="29" width="16.44140625" hidden="1" customWidth="1"/>
    <col min="30" max="30" width="4.33203125" customWidth="1"/>
    <col min="31" max="31" width="9.109375" hidden="1" customWidth="1"/>
    <col min="32" max="32" width="31.109375" hidden="1" customWidth="1"/>
    <col min="33" max="33" width="10.109375" hidden="1" customWidth="1"/>
    <col min="34" max="34" width="15.6640625" hidden="1" customWidth="1"/>
    <col min="35" max="35" width="16.109375" hidden="1" customWidth="1"/>
    <col min="36" max="36" width="16.88671875" hidden="1" customWidth="1"/>
    <col min="37" max="40" width="9.109375" hidden="1" customWidth="1"/>
    <col min="41" max="41" width="14.6640625" hidden="1" customWidth="1"/>
    <col min="42" max="42" width="9.109375" hidden="1" customWidth="1"/>
    <col min="43" max="68" width="22.88671875" hidden="1" customWidth="1"/>
    <col min="69" max="69" width="10.109375" hidden="1" customWidth="1"/>
    <col min="70" max="84" width="22.88671875" hidden="1" customWidth="1"/>
    <col min="85" max="85" width="24.6640625" hidden="1" customWidth="1"/>
    <col min="86" max="86" width="24.33203125" hidden="1" customWidth="1"/>
    <col min="87" max="87" width="9.109375" hidden="1" customWidth="1"/>
    <col min="88" max="88" width="9.6640625" hidden="1" customWidth="1"/>
    <col min="89" max="91" width="9.109375" hidden="1" customWidth="1"/>
    <col min="92" max="92" width="10.109375" hidden="1" customWidth="1"/>
    <col min="93" max="93" width="9.109375" hidden="1" customWidth="1"/>
    <col min="94" max="94" width="20.88671875" hidden="1" customWidth="1"/>
    <col min="95" max="95" width="9.109375" hidden="1" customWidth="1"/>
    <col min="96" max="96" width="10.88671875" hidden="1" customWidth="1"/>
    <col min="97" max="98" width="9.109375" hidden="1" customWidth="1"/>
    <col min="99" max="99" width="9.6640625" hidden="1" customWidth="1"/>
    <col min="100" max="100" width="9.109375" hidden="1" customWidth="1"/>
    <col min="101" max="102" width="10.109375" hidden="1" customWidth="1"/>
    <col min="103" max="103" width="9.6640625" hidden="1" customWidth="1"/>
    <col min="104" max="104" width="16.5546875" hidden="1" customWidth="1"/>
    <col min="105" max="105" width="9.33203125" hidden="1" customWidth="1"/>
    <col min="106" max="106" width="20.88671875" hidden="1" customWidth="1"/>
    <col min="107" max="107" width="9.109375" hidden="1" customWidth="1"/>
    <col min="108" max="108" width="10.109375" hidden="1" customWidth="1"/>
    <col min="109" max="110" width="9.109375" hidden="1" customWidth="1"/>
    <col min="111" max="111" width="9.6640625" hidden="1" customWidth="1"/>
    <col min="112" max="112" width="9.109375" hidden="1" customWidth="1"/>
    <col min="113" max="114" width="10.109375" hidden="1" customWidth="1"/>
    <col min="115" max="115" width="9.6640625" hidden="1" customWidth="1"/>
    <col min="116" max="116" width="16.5546875" hidden="1" customWidth="1"/>
    <col min="117" max="117" width="9.33203125" hidden="1" customWidth="1"/>
    <col min="118" max="118" width="20.88671875" hidden="1" customWidth="1"/>
    <col min="119" max="119" width="9.109375" hidden="1" customWidth="1"/>
    <col min="120" max="120" width="15.109375" hidden="1" customWidth="1"/>
    <col min="121" max="122" width="9.109375" hidden="1" customWidth="1"/>
    <col min="123" max="123" width="9.6640625" hidden="1" customWidth="1"/>
    <col min="124" max="124" width="9.109375" hidden="1" customWidth="1"/>
    <col min="125" max="125" width="9.44140625" hidden="1" customWidth="1"/>
    <col min="126" max="126" width="10.109375" hidden="1" customWidth="1"/>
    <col min="127" max="127" width="9.6640625" hidden="1" customWidth="1"/>
    <col min="128" max="128" width="16.5546875" hidden="1" customWidth="1"/>
    <col min="129" max="129" width="9.33203125" hidden="1" customWidth="1"/>
    <col min="130" max="130" width="20.88671875" hidden="1" customWidth="1"/>
    <col min="131" max="131" width="10.109375" hidden="1" customWidth="1"/>
    <col min="132" max="132" width="9.109375" hidden="1" customWidth="1"/>
    <col min="133" max="133" width="18.6640625" hidden="1" customWidth="1"/>
    <col min="134" max="134" width="20.44140625" hidden="1" customWidth="1"/>
    <col min="135" max="135" width="17.44140625" hidden="1" customWidth="1"/>
    <col min="136" max="136" width="11.44140625" hidden="1" customWidth="1"/>
    <col min="137" max="137" width="11.109375" hidden="1" customWidth="1"/>
    <col min="138" max="138" width="21.6640625" hidden="1" customWidth="1"/>
    <col min="139" max="139" width="19.109375" hidden="1" customWidth="1"/>
    <col min="140" max="145" width="9.109375" hidden="1" customWidth="1"/>
    <col min="146" max="147" width="10.109375" hidden="1" customWidth="1"/>
    <col min="148" max="148" width="9.6640625" hidden="1" customWidth="1"/>
    <col min="149" max="154" width="9.109375" hidden="1" customWidth="1"/>
    <col min="155" max="155" width="13.109375" hidden="1" customWidth="1"/>
    <col min="156" max="156" width="9.6640625" hidden="1" customWidth="1"/>
    <col min="157" max="157" width="16" hidden="1" customWidth="1"/>
    <col min="158" max="158" width="12.88671875" hidden="1" customWidth="1"/>
    <col min="159" max="160" width="10.109375" hidden="1" customWidth="1"/>
    <col min="161" max="161" width="13.33203125" hidden="1" customWidth="1"/>
    <col min="162" max="162" width="9.33203125" hidden="1" customWidth="1"/>
    <col min="163" max="163" width="9.44140625" hidden="1" customWidth="1"/>
    <col min="164" max="165" width="12.109375" hidden="1" customWidth="1"/>
    <col min="166" max="166" width="9.109375" hidden="1" customWidth="1"/>
    <col min="167" max="167" width="18.33203125" hidden="1" customWidth="1"/>
    <col min="168" max="16384" width="9.109375" hidden="1"/>
  </cols>
  <sheetData>
    <row r="1" spans="1:169" x14ac:dyDescent="0.25">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row>
    <row r="2" spans="1:169" x14ac:dyDescent="0.2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CK2" t="s">
        <v>86</v>
      </c>
    </row>
    <row r="3" spans="1:169" x14ac:dyDescent="0.2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CK3" t="s">
        <v>87</v>
      </c>
      <c r="CL3">
        <v>3</v>
      </c>
    </row>
    <row r="4" spans="1:169" x14ac:dyDescent="0.25">
      <c r="A4" s="59"/>
      <c r="B4" s="59"/>
      <c r="C4" s="59"/>
      <c r="D4" s="59"/>
      <c r="E4" s="59"/>
      <c r="F4" s="59"/>
      <c r="G4" s="59"/>
      <c r="H4" s="59"/>
      <c r="I4" s="59"/>
      <c r="J4" s="59"/>
      <c r="K4" s="59"/>
      <c r="L4" s="59"/>
      <c r="M4" s="59"/>
      <c r="N4" s="59"/>
      <c r="O4" s="59"/>
      <c r="P4" s="59"/>
      <c r="Q4" s="59"/>
      <c r="R4" s="59"/>
      <c r="S4" s="59"/>
      <c r="T4" s="59"/>
      <c r="U4" s="59"/>
      <c r="V4" s="59"/>
      <c r="W4" s="59"/>
      <c r="X4" s="59"/>
      <c r="Y4" s="59"/>
      <c r="Z4" s="59"/>
      <c r="AA4" s="59"/>
      <c r="AB4" s="59"/>
      <c r="AC4" s="59"/>
      <c r="AD4" s="59"/>
      <c r="CK4" t="s">
        <v>88</v>
      </c>
      <c r="CL4">
        <v>6</v>
      </c>
    </row>
    <row r="5" spans="1:169" x14ac:dyDescent="0.25">
      <c r="A5" s="59"/>
      <c r="B5" s="59"/>
      <c r="C5" s="59"/>
      <c r="D5" s="59"/>
      <c r="E5" s="59"/>
      <c r="F5" s="59"/>
      <c r="G5" s="59"/>
      <c r="H5" s="59"/>
      <c r="I5" s="59"/>
      <c r="J5" s="59"/>
      <c r="K5" s="59"/>
      <c r="L5" s="59"/>
      <c r="M5" s="59"/>
      <c r="N5" s="59"/>
      <c r="O5" s="59"/>
      <c r="P5" s="59"/>
      <c r="Q5" s="59"/>
      <c r="R5" s="59"/>
      <c r="S5" s="59"/>
      <c r="T5" s="59"/>
      <c r="U5" s="59"/>
      <c r="V5" s="59"/>
      <c r="W5" s="59"/>
      <c r="X5" s="59"/>
      <c r="Y5" s="59"/>
      <c r="Z5" s="59"/>
      <c r="AA5" s="59"/>
      <c r="AB5" s="59"/>
      <c r="AC5" s="59"/>
      <c r="AD5" s="59"/>
      <c r="CK5" t="s">
        <v>89</v>
      </c>
      <c r="CL5">
        <v>6</v>
      </c>
    </row>
    <row r="6" spans="1:169"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N6" s="30"/>
      <c r="AO6" s="36"/>
      <c r="AP6" s="37"/>
      <c r="AQ6" s="30"/>
      <c r="AR6" s="176" t="s">
        <v>50</v>
      </c>
      <c r="AS6" s="177"/>
      <c r="AT6" s="177"/>
      <c r="AU6" s="177"/>
      <c r="AV6" s="178"/>
      <c r="AW6" s="176" t="s">
        <v>51</v>
      </c>
      <c r="AX6" s="177"/>
      <c r="AY6" s="177"/>
      <c r="AZ6" s="177"/>
      <c r="BA6" s="178"/>
      <c r="BB6" s="176" t="s">
        <v>63</v>
      </c>
      <c r="BC6" s="178"/>
      <c r="BD6" s="176" t="s">
        <v>184</v>
      </c>
      <c r="BE6" s="178"/>
      <c r="BF6" s="176" t="s">
        <v>52</v>
      </c>
      <c r="BG6" s="177"/>
      <c r="BH6" s="177"/>
      <c r="BI6" s="177"/>
      <c r="BJ6" s="177"/>
      <c r="BK6" s="177"/>
      <c r="BL6" s="178"/>
      <c r="BM6" s="30"/>
      <c r="BN6" s="176" t="s">
        <v>53</v>
      </c>
      <c r="BO6" s="177"/>
      <c r="BP6" s="178"/>
      <c r="BQ6" s="30"/>
      <c r="BR6" s="176" t="s">
        <v>36</v>
      </c>
      <c r="BS6" s="177"/>
      <c r="BT6" s="177"/>
      <c r="BU6" s="177"/>
      <c r="BV6" s="177"/>
      <c r="BW6" s="177"/>
      <c r="BX6" s="178"/>
      <c r="BY6" s="176" t="s">
        <v>37</v>
      </c>
      <c r="BZ6" s="177"/>
      <c r="CA6" s="177"/>
      <c r="CB6" s="177"/>
      <c r="CC6" s="177"/>
      <c r="CD6" s="177"/>
      <c r="CE6" s="178"/>
      <c r="CF6" s="39"/>
      <c r="CG6" s="37"/>
      <c r="CH6" s="30"/>
      <c r="CK6" t="s">
        <v>90</v>
      </c>
      <c r="CL6">
        <v>6</v>
      </c>
    </row>
    <row r="7" spans="1:169"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N7" s="41" t="s">
        <v>190</v>
      </c>
      <c r="AO7" s="40" t="s">
        <v>54</v>
      </c>
      <c r="AP7" s="38" t="s">
        <v>55</v>
      </c>
      <c r="AQ7" s="41" t="s">
        <v>56</v>
      </c>
      <c r="AR7" s="40" t="s">
        <v>57</v>
      </c>
      <c r="AS7" s="15" t="s">
        <v>58</v>
      </c>
      <c r="AT7" s="15" t="s">
        <v>59</v>
      </c>
      <c r="AU7" s="15" t="s">
        <v>60</v>
      </c>
      <c r="AV7" s="38" t="s">
        <v>61</v>
      </c>
      <c r="AW7" s="40" t="s">
        <v>51</v>
      </c>
      <c r="AX7" s="15" t="s">
        <v>58</v>
      </c>
      <c r="AY7" s="15" t="s">
        <v>59</v>
      </c>
      <c r="AZ7" s="15" t="s">
        <v>60</v>
      </c>
      <c r="BA7" s="38" t="s">
        <v>62</v>
      </c>
      <c r="BB7" s="40" t="s">
        <v>63</v>
      </c>
      <c r="BC7" s="38" t="s">
        <v>64</v>
      </c>
      <c r="BD7" s="15" t="s">
        <v>186</v>
      </c>
      <c r="BE7" s="15" t="s">
        <v>185</v>
      </c>
      <c r="BF7" s="40" t="s">
        <v>52</v>
      </c>
      <c r="BG7" s="15" t="s">
        <v>65</v>
      </c>
      <c r="BH7" s="15" t="s">
        <v>66</v>
      </c>
      <c r="BI7" s="15" t="s">
        <v>29</v>
      </c>
      <c r="BJ7" s="15" t="s">
        <v>67</v>
      </c>
      <c r="BK7" s="15" t="s">
        <v>68</v>
      </c>
      <c r="BL7" s="38" t="s">
        <v>69</v>
      </c>
      <c r="BM7" s="41" t="s">
        <v>70</v>
      </c>
      <c r="BN7" s="40" t="s">
        <v>71</v>
      </c>
      <c r="BO7" s="15" t="s">
        <v>72</v>
      </c>
      <c r="BP7" s="38" t="s">
        <v>73</v>
      </c>
      <c r="BQ7" s="41" t="s">
        <v>74</v>
      </c>
      <c r="BR7" s="40" t="s">
        <v>75</v>
      </c>
      <c r="BS7" s="15" t="s">
        <v>76</v>
      </c>
      <c r="BT7" s="15" t="s">
        <v>77</v>
      </c>
      <c r="BU7" s="15" t="s">
        <v>78</v>
      </c>
      <c r="BV7" s="15" t="s">
        <v>42</v>
      </c>
      <c r="BW7" s="15" t="s">
        <v>79</v>
      </c>
      <c r="BX7" s="38" t="s">
        <v>80</v>
      </c>
      <c r="BY7" s="40" t="s">
        <v>75</v>
      </c>
      <c r="BZ7" s="15" t="s">
        <v>76</v>
      </c>
      <c r="CA7" s="15" t="s">
        <v>77</v>
      </c>
      <c r="CB7" s="15" t="s">
        <v>81</v>
      </c>
      <c r="CC7" s="15" t="s">
        <v>82</v>
      </c>
      <c r="CD7" s="15" t="s">
        <v>79</v>
      </c>
      <c r="CE7" s="38" t="s">
        <v>80</v>
      </c>
      <c r="CF7" s="15" t="s">
        <v>83</v>
      </c>
      <c r="CG7" s="38" t="s">
        <v>84</v>
      </c>
      <c r="CH7" s="41" t="s">
        <v>162</v>
      </c>
    </row>
    <row r="8" spans="1:169"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F8" s="36" t="s">
        <v>21</v>
      </c>
      <c r="AG8" s="39"/>
      <c r="AH8" s="39"/>
      <c r="AI8" s="37"/>
      <c r="AN8" s="44">
        <f t="shared" ref="AN8:AN71" ca="1" si="0">IF(AND(Date_of_birth&lt;&gt;"",Date_of_birth&lt;&gt;"Please enter date of birth"),YEARFRAC(Date_of_birth,AO8),AP8/12)</f>
        <v>54.916666666666664</v>
      </c>
      <c r="AO8" s="53">
        <f ca="1">DATE(YEAR($D$24),MONTH($D$24),1)</f>
        <v>45627</v>
      </c>
      <c r="AP8" s="22">
        <v>1</v>
      </c>
      <c r="AQ8" s="32">
        <v>0</v>
      </c>
      <c r="AR8" s="23">
        <f t="array" aca="1" ref="AR8" ca="1">SUM(IF(lsc_start_date=AO8,lsc_amount,0))</f>
        <v>610000</v>
      </c>
      <c r="AS8" s="24">
        <f ca="1">AR8*$D$34/100</f>
        <v>0</v>
      </c>
      <c r="AT8" s="24">
        <f ca="1">AR8*$D$33/100</f>
        <v>0</v>
      </c>
      <c r="AU8" s="24">
        <f ca="1">AR8*$D$35/100</f>
        <v>0</v>
      </c>
      <c r="AV8" s="25">
        <f ca="1">AR8-AS8-AT8-AU8</f>
        <v>610000</v>
      </c>
      <c r="AW8" s="23">
        <f t="array" aca="1" ref="AW8" ca="1">SUM(IF(rcs_start_date&lt;=AO8,1,0)*IF(rcs_end_date&gt;=AO8,1,0)*rcs_amount*(1+rcs_escalation/100)^(INT((AP8-rcs_months_since_start)/12))*IF(MOD((AP8-rcs_months_since_start),rcs_frequency)=0,1,0)*IF(rcs_frequency=13,0,1))+SUM(IF(rcs_start_date=AO8,rcs_amount,0)*IF(rcs_frequency=13,1,0))</f>
        <v>4500</v>
      </c>
      <c r="AX8" s="24">
        <f ca="1">AW8*$D$34/100</f>
        <v>0</v>
      </c>
      <c r="AY8" s="24">
        <f ca="1">AW8*$D$33/100</f>
        <v>0</v>
      </c>
      <c r="AZ8" s="24">
        <f ca="1">AW8*$D$35/100</f>
        <v>0</v>
      </c>
      <c r="BA8" s="25">
        <f ca="1">AW8-AX8-AY8-AZ8</f>
        <v>4500</v>
      </c>
      <c r="BB8" s="23">
        <f t="array" aca="1" ref="BB8" ca="1">SUM(IF(w_start_date&lt;=AO8,1,0)*IF(w_end_date&gt;=AO8,1,0)*w_amount*(1+w_escalation/100)^(INT((AP8-w_months_since_start)/12))*IF(MOD(AP8-w_months_since_start,w_frequency)=0,1,0)*IF(w_frequency=13,0,1))+SUM(IF(w_start_date=AO8,w_amount,0)*IF(w_frequency=13,1,0))</f>
        <v>0</v>
      </c>
      <c r="BC8" s="25">
        <f ca="1">IF(BB8&gt;AQ8+AV8+BA8,AQ8+AV8+BA8,BB8)</f>
        <v>0</v>
      </c>
      <c r="BD8" s="24" t="b">
        <f ca="1">AND($DV$11&lt;=AO8,$DV$11&lt;&gt;0)</f>
        <v>0</v>
      </c>
      <c r="BE8" s="24" t="b">
        <f ca="1">$DW$11&lt;&gt;""</f>
        <v>1</v>
      </c>
      <c r="BF8" s="23">
        <f t="array" aca="1" ref="BF8" ca="1">SUM(IF(BD8,1,0)*IF(ap_start_date&lt;=AO8,1,0)*IF(ap_end_date&gt;=AO8,1,0)*ap_amount*(1+ap_escalation/100)^(INT((AP8-ap_months_since_start)/12))*IF(MOD(AP8-ap_months_since_start,ap_frequency)=0,1,0))</f>
        <v>0</v>
      </c>
      <c r="BG8" s="29">
        <f ca="1">IF(MOD(YEAR(AO8)*12+MONTH(AO8)-YEAR(Earliest_annuity_payment)*12-MONTH(Earliest_annuity_payment),12)=0,SUM(BF8:BF19),0)</f>
        <v>0</v>
      </c>
      <c r="BH8" s="29">
        <f ca="1">IF(AO8&gt;=Earliest_annuity_payment,IF(MOD(YEAR(AO8)*12+MONTH(AO8)-YEAR(Earliest_annuity_payment)*12-MONTH(Earliest_annuity_payment),12)=0,(AV8+BA8-BC8)*Annuity_min,0),0)</f>
        <v>0</v>
      </c>
      <c r="BI8">
        <f ca="1">IF(AND(BH8&gt;BG8,BD8),1,0)</f>
        <v>0</v>
      </c>
      <c r="BJ8" s="29">
        <f ca="1">IF(AO8&gt;=Earliest_annuity_payment,IF(MOD(YEAR(AO8)*12+MONTH(AO8)-YEAR(Earliest_annuity_payment)*12-MONTH(Earliest_annuity_payment),12)=0,(AV8+BA8-BC8)*Annuity_cap,0),0)</f>
        <v>0</v>
      </c>
      <c r="BK8">
        <f ca="1">IF(BJ8&lt;BG8,1,0)</f>
        <v>0</v>
      </c>
      <c r="BL8" s="25">
        <f ca="1">IF(BJ8&lt;BG8,BF8/BG8*BJ8,IF(AND(BH8&gt;BG8,BG8&lt;&gt;0),BF8/BG8*BH8,BF8))</f>
        <v>0</v>
      </c>
      <c r="BM8" s="32">
        <f t="shared" ref="BM8:BM71" ca="1" si="1">(AQ8+AV8+BA8-BC8-BL8)*(1+NomRetn/100)^(1/12)</f>
        <v>618928.90017776599</v>
      </c>
      <c r="BN8" s="23">
        <f ca="1">BM8*$E$34/1200</f>
        <v>0</v>
      </c>
      <c r="BO8" s="24">
        <f ca="1">BM8*$E$33/1200</f>
        <v>0</v>
      </c>
      <c r="BP8" s="25">
        <f ca="1">BM8*$E$35/1200</f>
        <v>0</v>
      </c>
      <c r="BQ8" s="34">
        <f ca="1">EOMONTH(AO8,0)</f>
        <v>45657</v>
      </c>
      <c r="BR8" s="23">
        <f ca="1">BM8-BN8-BO8-BP8</f>
        <v>618928.90017776599</v>
      </c>
      <c r="BS8" s="24">
        <f ca="1">AV8+BA8</f>
        <v>614500</v>
      </c>
      <c r="BT8" s="24"/>
      <c r="BU8" s="24">
        <f ca="1">-BC8</f>
        <v>0</v>
      </c>
      <c r="BV8" s="24"/>
      <c r="BW8" s="24">
        <f ca="1">-BL8</f>
        <v>0</v>
      </c>
      <c r="BX8" s="25"/>
      <c r="BY8" s="23">
        <f t="shared" ref="BY8:BY71" ca="1" si="2">BR8*(1+inflation/100)^(-$AP8/12)</f>
        <v>616909.29966145579</v>
      </c>
      <c r="BZ8" s="24">
        <f t="shared" ref="BZ8:BZ71" ca="1" si="3">BS8*(1+inflation/100)^(-(AP8-1)/12)</f>
        <v>614500</v>
      </c>
      <c r="CA8" s="24"/>
      <c r="CB8" s="24">
        <f t="shared" ref="CB8:CB71" ca="1" si="4">BU8*(1+inflation/100)^(-($AP8-1)/12)</f>
        <v>0</v>
      </c>
      <c r="CC8" s="24"/>
      <c r="CD8" s="24">
        <f t="shared" ref="CD8:CD71" ca="1" si="5">BW8*(1+inflation/100)^(-($AP8-1)/12)</f>
        <v>0</v>
      </c>
      <c r="CE8" s="25"/>
      <c r="CF8" s="42"/>
      <c r="CG8" s="43"/>
      <c r="CH8" s="111">
        <f ca="1">IFERROR(IF(MOD(AP8-ap_months_since_start,12)=0,ap_drawdown/100*(First_net_investment+First_net_contribution-BC8),0),0)</f>
        <v>0</v>
      </c>
      <c r="EL8" s="36" t="s">
        <v>137</v>
      </c>
      <c r="EM8" s="39"/>
      <c r="EN8" s="39"/>
      <c r="EO8" s="39"/>
      <c r="EP8" s="39"/>
      <c r="EQ8" s="39"/>
      <c r="ER8" s="39"/>
      <c r="ES8" s="39"/>
      <c r="ET8" s="39"/>
      <c r="EU8" s="37"/>
      <c r="EX8" s="36" t="s">
        <v>91</v>
      </c>
      <c r="EY8" s="39"/>
      <c r="EZ8" s="39"/>
      <c r="FA8" s="39"/>
      <c r="FB8" s="39"/>
      <c r="FC8" s="39"/>
      <c r="FD8" s="39"/>
      <c r="FE8" s="39"/>
      <c r="FF8" s="39"/>
      <c r="FG8" s="39"/>
      <c r="FH8" s="39" t="s">
        <v>92</v>
      </c>
      <c r="FI8" s="37"/>
    </row>
    <row r="9" spans="1:169"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F9" s="21" t="s">
        <v>22</v>
      </c>
      <c r="AG9" t="b">
        <f ca="1">AND(COUNTIF(Name_of_flows,AdjVar)=1,IF(AdjVar="Nominal return",TRUE,IF(OR(AdjVarType="Amount",AdjVarType="Escalation"),TRUE,FALSE)),IF(AdjPeriodEnding&lt;&gt;"",TRUE,FALSE))</f>
        <v>0</v>
      </c>
      <c r="AI9" s="22"/>
      <c r="AN9" s="32">
        <f t="shared" ca="1" si="0"/>
        <v>55</v>
      </c>
      <c r="AO9" s="53">
        <f ca="1">DATE(YEAR(AO8),MONTH(AO8)+1,1)</f>
        <v>45658</v>
      </c>
      <c r="AP9" s="22">
        <v>2</v>
      </c>
      <c r="AQ9" s="32">
        <f ca="1">IF(BR8&lt;0,0,BR8)</f>
        <v>618928.90017776599</v>
      </c>
      <c r="AR9" s="23">
        <f t="array" aca="1" ref="AR9" ca="1">SUM(IF(lsc_start_date=AO9,lsc_amount,0))</f>
        <v>0</v>
      </c>
      <c r="AS9" s="24">
        <f t="shared" ref="AS9:AS72" ca="1" si="6">AR9*$D$34/100</f>
        <v>0</v>
      </c>
      <c r="AT9" s="24">
        <f t="shared" ref="AT9:AT72" ca="1" si="7">AR9*$D$33/100</f>
        <v>0</v>
      </c>
      <c r="AU9" s="24">
        <f t="shared" ref="AU9:AU72" ca="1" si="8">AR9*$D$35/100</f>
        <v>0</v>
      </c>
      <c r="AV9" s="25">
        <f t="shared" ref="AV9:AV72" ca="1" si="9">AR9-AS9-AT9-AU9</f>
        <v>0</v>
      </c>
      <c r="AW9" s="23">
        <f t="array" aca="1" ref="AW9" ca="1">SUM(IF(rcs_start_date&lt;=AO9,1,0)*IF(rcs_end_date&gt;=AO9,1,0)*rcs_amount*(1+rcs_escalation/100)^(INT((AP9-rcs_months_since_start)/12))*IF(MOD((AP9-rcs_months_since_start),rcs_frequency)=0,1,0)*IF(rcs_frequency=13,0,1))+SUM(IF(rcs_start_date=AO9,rcs_amount,0)*IF(rcs_frequency=13,1,0))</f>
        <v>4500</v>
      </c>
      <c r="AX9" s="24">
        <f t="shared" ref="AX9:AX72" ca="1" si="10">AW9*$D$34/100</f>
        <v>0</v>
      </c>
      <c r="AY9" s="24">
        <f t="shared" ref="AY9:AY72" ca="1" si="11">AW9*$D$33/100</f>
        <v>0</v>
      </c>
      <c r="AZ9" s="24">
        <f t="shared" ref="AZ9:AZ72" ca="1" si="12">AW9*$D$35/100</f>
        <v>0</v>
      </c>
      <c r="BA9" s="25">
        <f t="shared" ref="BA9:BA72" ca="1" si="13">AW9-AX9-AY9-AZ9</f>
        <v>4500</v>
      </c>
      <c r="BB9" s="23">
        <f t="array" aca="1" ref="BB9" ca="1">SUM(IF(w_start_date&lt;=AO9,1,0)*IF(w_end_date&gt;=AO9,1,0)*w_amount*(1+w_escalation/100)^(INT((AP9-w_months_since_start)/12))*IF(MOD(AP9-w_months_since_start,w_frequency)=0,1,0)*IF(w_frequency=13,0,1))+SUM(IF(w_start_date=AO9,w_amount,0)*IF(w_frequency=13,1,0))</f>
        <v>0</v>
      </c>
      <c r="BC9" s="25">
        <f t="shared" ref="BC9:BC72" ca="1" si="14">IF(BB9&gt;AQ9+AV9+BA9,AQ9+AV9+BA9,BB9)</f>
        <v>0</v>
      </c>
      <c r="BD9" s="24" t="b">
        <f t="shared" ref="BD9:BD72" ca="1" si="15">AND($DV$11&lt;=AO9,$DV$11&lt;&gt;0)</f>
        <v>0</v>
      </c>
      <c r="BE9" s="24" t="b">
        <f t="shared" ref="BE9:BE72" ca="1" si="16">$DW$11&lt;&gt;""</f>
        <v>1</v>
      </c>
      <c r="BF9" s="23">
        <f t="array" aca="1" ref="BF9" ca="1">SUM(IF(BD9,1,0)*IF(ap_start_date&lt;=AO9,1,0)*IF(ap_end_date&gt;=AO9,1,0)*ap_amount*(1+ap_escalation/100)^(INT((AP9-ap_months_since_start)/12))*IF(MOD(AP9-ap_months_since_start,ap_frequency)=0,1,0))</f>
        <v>0</v>
      </c>
      <c r="BG9" s="24">
        <f t="shared" ref="BG9:BG72" ca="1" si="17">IF(MOD(YEAR(AO9)*12+MONTH(AO9)-YEAR(Earliest_annuity_payment)*12-MONTH(Earliest_annuity_payment),12)=0,SUM(BF9:BF20),BG8)</f>
        <v>0</v>
      </c>
      <c r="BH9" s="24">
        <f t="shared" ref="BH9:BH72" ca="1" si="18">IF(AO9&gt;=Earliest_annuity_payment,IF(MOD(YEAR(AO9)*12+MONTH(AO9)-YEAR(Earliest_annuity_payment)*12-MONTH(Earliest_annuity_payment),12)=0,(AQ9+AV9+BA9-BC9)*Annuity_min,BH8),0)</f>
        <v>0</v>
      </c>
      <c r="BI9">
        <f t="shared" ref="BI9:BI72" ca="1" si="19">IF(AND(BH9&gt;BG9,BD9),1,0)</f>
        <v>0</v>
      </c>
      <c r="BJ9" s="24">
        <f t="shared" ref="BJ9:BJ72" ca="1" si="20">IF(AO9&gt;=Earliest_annuity_payment,IF(MOD(YEAR(AO9)*12+MONTH(AO9)-YEAR(Earliest_annuity_payment)*12-MONTH(Earliest_annuity_payment),12)=0,(AQ9+AV9+BA9-BC9)*Annuity_cap,BJ8),0)</f>
        <v>0</v>
      </c>
      <c r="BK9">
        <f t="shared" ref="BK9:BK72" ca="1" si="21">IF(BJ9&lt;BG9,1,0)</f>
        <v>0</v>
      </c>
      <c r="BL9" s="25">
        <f t="shared" ref="BL9:BL72" ca="1" si="22">IF(BJ9&lt;BG9,BF9/BG9*BJ9,IF(AND(BH9&gt;BG9,BG9&lt;&gt;0),BF9/BG9*BH9,BF9))</f>
        <v>0</v>
      </c>
      <c r="BM9" s="32">
        <f t="shared" ca="1" si="1"/>
        <v>627922.15382597072</v>
      </c>
      <c r="BN9" s="23">
        <f t="shared" ref="BN9:BN72" ca="1" si="23">BM9*$E$34/1200</f>
        <v>0</v>
      </c>
      <c r="BO9" s="24">
        <f t="shared" ref="BO9:BO72" ca="1" si="24">BM9*$E$33/1200</f>
        <v>0</v>
      </c>
      <c r="BP9" s="25">
        <f t="shared" ref="BP9:BP72" ca="1" si="25">BM9*$E$35/1200</f>
        <v>0</v>
      </c>
      <c r="BQ9" s="34">
        <f t="shared" ref="BQ9:BQ72" ca="1" si="26">EOMONTH(AO9,0)</f>
        <v>45688</v>
      </c>
      <c r="BR9" s="23">
        <f t="shared" ref="BR9:BR72" ca="1" si="27">BM9-BN9-BO9-BP9</f>
        <v>627922.15382597072</v>
      </c>
      <c r="BS9" s="24">
        <f t="shared" ref="BS9:BS72" ca="1" si="28">AV9+BA9</f>
        <v>4500</v>
      </c>
      <c r="BT9" s="24"/>
      <c r="BU9" s="24">
        <f t="shared" ref="BU9:BU72" ca="1" si="29">-BC9</f>
        <v>0</v>
      </c>
      <c r="BV9" s="24"/>
      <c r="BW9" s="24">
        <f t="shared" ref="BW9:BW72" ca="1" si="30">-BL9</f>
        <v>0</v>
      </c>
      <c r="BX9" s="25"/>
      <c r="BY9" s="23">
        <f t="shared" ca="1" si="2"/>
        <v>623830.94761638204</v>
      </c>
      <c r="BZ9" s="24">
        <f t="shared" ca="1" si="3"/>
        <v>4485.3162417835301</v>
      </c>
      <c r="CA9" s="24"/>
      <c r="CB9" s="24">
        <f t="shared" ca="1" si="4"/>
        <v>0</v>
      </c>
      <c r="CC9" s="24"/>
      <c r="CD9" s="24">
        <f t="shared" ca="1" si="5"/>
        <v>0</v>
      </c>
      <c r="CE9" s="25"/>
      <c r="CF9" s="23"/>
      <c r="CG9" s="25"/>
      <c r="CH9" s="32">
        <f ca="1">IFERROR(IF(MOD(AP9-ap_months_since_start,12)=0,ap_drawdown/100*(AQ9+AV9+BA9-BC9),CH8),0)</f>
        <v>0</v>
      </c>
      <c r="CJ9" s="36"/>
      <c r="CK9" s="39" t="s">
        <v>93</v>
      </c>
      <c r="CL9" s="39">
        <v>2</v>
      </c>
      <c r="CM9" s="39">
        <v>1</v>
      </c>
      <c r="CN9" s="39">
        <v>0</v>
      </c>
      <c r="CO9" s="39"/>
      <c r="CP9" s="37"/>
      <c r="CR9" s="36"/>
      <c r="CS9" s="39" t="s">
        <v>93</v>
      </c>
      <c r="CT9" s="39">
        <v>5</v>
      </c>
      <c r="CU9" s="39">
        <v>4</v>
      </c>
      <c r="CV9" s="39">
        <v>3</v>
      </c>
      <c r="CW9" s="39">
        <v>2</v>
      </c>
      <c r="CX9" s="39">
        <v>1</v>
      </c>
      <c r="CY9" s="39">
        <v>0</v>
      </c>
      <c r="CZ9" s="39"/>
      <c r="DA9" s="39"/>
      <c r="DB9" s="37"/>
      <c r="DD9" s="36"/>
      <c r="DE9" s="39" t="s">
        <v>93</v>
      </c>
      <c r="DF9" s="39">
        <v>5</v>
      </c>
      <c r="DG9" s="39">
        <v>4</v>
      </c>
      <c r="DH9" s="39">
        <v>3</v>
      </c>
      <c r="DI9" s="39">
        <v>2</v>
      </c>
      <c r="DJ9" s="39">
        <v>1</v>
      </c>
      <c r="DK9" s="39">
        <v>0</v>
      </c>
      <c r="DL9" s="39"/>
      <c r="DM9" s="39"/>
      <c r="DN9" s="37"/>
      <c r="DP9" s="36"/>
      <c r="DQ9" s="39" t="s">
        <v>93</v>
      </c>
      <c r="DR9" s="39">
        <v>5</v>
      </c>
      <c r="DS9" s="39">
        <v>4</v>
      </c>
      <c r="DT9" s="39">
        <v>3</v>
      </c>
      <c r="DU9" s="39">
        <v>0</v>
      </c>
      <c r="DV9" s="39">
        <v>2</v>
      </c>
      <c r="DW9" s="39">
        <v>1</v>
      </c>
      <c r="DX9" s="39"/>
      <c r="DY9" s="39"/>
      <c r="DZ9" s="39"/>
      <c r="EA9" s="37"/>
      <c r="EC9" s="36" t="s">
        <v>94</v>
      </c>
      <c r="ED9" s="39"/>
      <c r="EE9" s="37"/>
      <c r="EL9" s="21" t="s">
        <v>95</v>
      </c>
      <c r="EM9" t="s">
        <v>96</v>
      </c>
      <c r="EN9" t="s">
        <v>23</v>
      </c>
      <c r="EO9" t="s">
        <v>97</v>
      </c>
      <c r="EP9" t="s">
        <v>98</v>
      </c>
      <c r="EQ9" t="s">
        <v>30</v>
      </c>
      <c r="ER9" t="s">
        <v>99</v>
      </c>
      <c r="ES9" t="s">
        <v>100</v>
      </c>
      <c r="ET9" t="s">
        <v>101</v>
      </c>
      <c r="EU9" s="22" t="s">
        <v>95</v>
      </c>
      <c r="EX9" s="21"/>
      <c r="EY9" t="s">
        <v>96</v>
      </c>
      <c r="EZ9" t="s">
        <v>23</v>
      </c>
      <c r="FA9" t="s">
        <v>102</v>
      </c>
      <c r="FB9" t="s">
        <v>103</v>
      </c>
      <c r="FC9" t="s">
        <v>98</v>
      </c>
      <c r="FD9" t="s">
        <v>30</v>
      </c>
      <c r="FE9" t="s">
        <v>104</v>
      </c>
      <c r="FF9" t="s">
        <v>100</v>
      </c>
      <c r="FG9" t="s">
        <v>101</v>
      </c>
      <c r="FH9" t="s">
        <v>36</v>
      </c>
      <c r="FI9" s="22" t="s">
        <v>37</v>
      </c>
      <c r="FK9" s="36" t="s">
        <v>105</v>
      </c>
      <c r="FL9" s="39"/>
      <c r="FM9" s="37"/>
    </row>
    <row r="10" spans="1:169"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F10" s="21" t="s">
        <v>23</v>
      </c>
      <c r="AG10" t="b">
        <f ca="1">IFERROR(VLOOKUP(AdjVar,$EY$10:$FF$161,2,FALSE),FALSE)</f>
        <v>0</v>
      </c>
      <c r="AI10" s="22"/>
      <c r="AN10" s="32">
        <f t="shared" ca="1" si="0"/>
        <v>55.083333333333336</v>
      </c>
      <c r="AO10" s="53">
        <f t="shared" ref="AO10:AO73" ca="1" si="31">DATE(YEAR(AO9),MONTH(AO9)+1,1)</f>
        <v>45689</v>
      </c>
      <c r="AP10" s="22">
        <v>3</v>
      </c>
      <c r="AQ10" s="32">
        <f t="shared" ref="AQ10:AQ73" ca="1" si="32">IF(BR9&lt;0,0,BR9)</f>
        <v>627922.15382597072</v>
      </c>
      <c r="AR10" s="23">
        <f t="array" aca="1" ref="AR10" ca="1">SUM(IF(lsc_start_date=AO10,lsc_amount,0))</f>
        <v>0</v>
      </c>
      <c r="AS10" s="24">
        <f t="shared" ca="1" si="6"/>
        <v>0</v>
      </c>
      <c r="AT10" s="24">
        <f t="shared" ca="1" si="7"/>
        <v>0</v>
      </c>
      <c r="AU10" s="24">
        <f t="shared" ca="1" si="8"/>
        <v>0</v>
      </c>
      <c r="AV10" s="25">
        <f t="shared" ca="1" si="9"/>
        <v>0</v>
      </c>
      <c r="AW10" s="23">
        <f t="array" aca="1" ref="AW10" ca="1">SUM(IF(rcs_start_date&lt;=AO10,1,0)*IF(rcs_end_date&gt;=AO10,1,0)*rcs_amount*(1+rcs_escalation/100)^(INT((AP10-rcs_months_since_start)/12))*IF(MOD((AP10-rcs_months_since_start),rcs_frequency)=0,1,0)*IF(rcs_frequency=13,0,1))+SUM(IF(rcs_start_date=AO10,rcs_amount,0)*IF(rcs_frequency=13,1,0))</f>
        <v>4500</v>
      </c>
      <c r="AX10" s="24">
        <f t="shared" ca="1" si="10"/>
        <v>0</v>
      </c>
      <c r="AY10" s="24">
        <f t="shared" ca="1" si="11"/>
        <v>0</v>
      </c>
      <c r="AZ10" s="24">
        <f t="shared" ca="1" si="12"/>
        <v>0</v>
      </c>
      <c r="BA10" s="25">
        <f t="shared" ca="1" si="13"/>
        <v>4500</v>
      </c>
      <c r="BB10" s="23">
        <f t="array" aca="1" ref="BB10" ca="1">SUM(IF(w_start_date&lt;=AO10,1,0)*IF(w_end_date&gt;=AO10,1,0)*w_amount*(1+w_escalation/100)^(INT((AP10-w_months_since_start)/12))*IF(MOD(AP10-w_months_since_start,w_frequency)=0,1,0)*IF(w_frequency=13,0,1))+SUM(IF(w_start_date=AO10,w_amount,0)*IF(w_frequency=13,1,0))</f>
        <v>0</v>
      </c>
      <c r="BC10" s="25">
        <f t="shared" ca="1" si="14"/>
        <v>0</v>
      </c>
      <c r="BD10" s="24" t="b">
        <f t="shared" ca="1" si="15"/>
        <v>0</v>
      </c>
      <c r="BE10" s="24" t="b">
        <f t="shared" ca="1" si="16"/>
        <v>1</v>
      </c>
      <c r="BF10" s="23">
        <f t="array" aca="1" ref="BF10" ca="1">SUM(IF(BD10,1,0)*IF(ap_start_date&lt;=AO10,1,0)*IF(ap_end_date&gt;=AO10,1,0)*ap_amount*(1+ap_escalation/100)^(INT((AP10-ap_months_since_start)/12))*IF(MOD(AP10-ap_months_since_start,ap_frequency)=0,1,0))</f>
        <v>0</v>
      </c>
      <c r="BG10" s="24">
        <f t="shared" ca="1" si="17"/>
        <v>0</v>
      </c>
      <c r="BH10" s="24">
        <f t="shared" ca="1" si="18"/>
        <v>0</v>
      </c>
      <c r="BI10">
        <f t="shared" ca="1" si="19"/>
        <v>0</v>
      </c>
      <c r="BJ10" s="24">
        <f t="shared" ca="1" si="20"/>
        <v>0</v>
      </c>
      <c r="BK10">
        <f t="shared" ca="1" si="21"/>
        <v>0</v>
      </c>
      <c r="BL10" s="25">
        <f t="shared" ca="1" si="22"/>
        <v>0</v>
      </c>
      <c r="BM10" s="32">
        <f t="shared" ca="1" si="1"/>
        <v>636980.22476088209</v>
      </c>
      <c r="BN10" s="23">
        <f t="shared" ca="1" si="23"/>
        <v>0</v>
      </c>
      <c r="BO10" s="24">
        <f t="shared" ca="1" si="24"/>
        <v>0</v>
      </c>
      <c r="BP10" s="25">
        <f t="shared" ca="1" si="25"/>
        <v>0</v>
      </c>
      <c r="BQ10" s="34">
        <f t="shared" ca="1" si="26"/>
        <v>45716</v>
      </c>
      <c r="BR10" s="23">
        <f t="shared" ca="1" si="27"/>
        <v>636980.22476088209</v>
      </c>
      <c r="BS10" s="24">
        <f t="shared" ca="1" si="28"/>
        <v>4500</v>
      </c>
      <c r="BT10" s="24"/>
      <c r="BU10" s="24">
        <f t="shared" ca="1" si="29"/>
        <v>0</v>
      </c>
      <c r="BV10" s="24"/>
      <c r="BW10" s="24">
        <f t="shared" ca="1" si="30"/>
        <v>0</v>
      </c>
      <c r="BX10" s="25"/>
      <c r="BY10" s="23">
        <f t="shared" ca="1" si="2"/>
        <v>630765.04038113006</v>
      </c>
      <c r="BZ10" s="24">
        <f t="shared" ca="1" si="3"/>
        <v>4470.6803975126968</v>
      </c>
      <c r="CA10" s="24"/>
      <c r="CB10" s="24">
        <f t="shared" ca="1" si="4"/>
        <v>0</v>
      </c>
      <c r="CC10" s="24"/>
      <c r="CD10" s="24">
        <f t="shared" ca="1" si="5"/>
        <v>0</v>
      </c>
      <c r="CE10" s="25"/>
      <c r="CF10" s="23"/>
      <c r="CG10" s="25"/>
      <c r="CH10" s="32">
        <f ca="1">IFERROR(IF(MOD(AP10-ap_months_since_start,12)=0,ap_drawdown/100*(AQ10+AV10+BA10-BC10),CH9),0)</f>
        <v>0</v>
      </c>
      <c r="CJ10" s="21"/>
      <c r="CK10" t="s">
        <v>106</v>
      </c>
      <c r="CL10" t="s">
        <v>96</v>
      </c>
      <c r="CM10" t="s">
        <v>97</v>
      </c>
      <c r="CN10" t="s">
        <v>98</v>
      </c>
      <c r="CO10" t="s">
        <v>100</v>
      </c>
      <c r="CP10" s="22" t="s">
        <v>107</v>
      </c>
      <c r="CR10" s="21"/>
      <c r="CS10" t="s">
        <v>106</v>
      </c>
      <c r="CT10" t="s">
        <v>96</v>
      </c>
      <c r="CU10" t="s">
        <v>23</v>
      </c>
      <c r="CV10" t="s">
        <v>97</v>
      </c>
      <c r="CW10" t="s">
        <v>98</v>
      </c>
      <c r="CX10" t="s">
        <v>30</v>
      </c>
      <c r="CY10" t="s">
        <v>99</v>
      </c>
      <c r="CZ10" t="s">
        <v>108</v>
      </c>
      <c r="DA10" t="s">
        <v>100</v>
      </c>
      <c r="DB10" s="22" t="s">
        <v>107</v>
      </c>
      <c r="DD10" s="21"/>
      <c r="DE10" t="s">
        <v>106</v>
      </c>
      <c r="DF10" t="s">
        <v>96</v>
      </c>
      <c r="DG10" t="s">
        <v>23</v>
      </c>
      <c r="DH10" t="s">
        <v>97</v>
      </c>
      <c r="DI10" t="s">
        <v>98</v>
      </c>
      <c r="DJ10" t="s">
        <v>30</v>
      </c>
      <c r="DK10" t="s">
        <v>99</v>
      </c>
      <c r="DL10" t="s">
        <v>108</v>
      </c>
      <c r="DM10" t="s">
        <v>100</v>
      </c>
      <c r="DN10" s="22" t="s">
        <v>107</v>
      </c>
      <c r="DP10" s="21"/>
      <c r="DQ10" t="s">
        <v>106</v>
      </c>
      <c r="DR10" t="s">
        <v>96</v>
      </c>
      <c r="DS10" t="s">
        <v>23</v>
      </c>
      <c r="DT10" t="s">
        <v>97</v>
      </c>
      <c r="DU10" t="s">
        <v>101</v>
      </c>
      <c r="DV10" t="s">
        <v>98</v>
      </c>
      <c r="DW10" t="s">
        <v>99</v>
      </c>
      <c r="DX10" t="s">
        <v>108</v>
      </c>
      <c r="DY10" t="s">
        <v>100</v>
      </c>
      <c r="DZ10" t="s">
        <v>107</v>
      </c>
      <c r="EA10" s="22" t="s">
        <v>30</v>
      </c>
      <c r="EC10" s="21" t="s">
        <v>109</v>
      </c>
      <c r="EE10" s="22">
        <v>13</v>
      </c>
      <c r="EL10" s="21">
        <f ca="1">IF(EM10&lt;&gt;"",1,"")</f>
        <v>1</v>
      </c>
      <c r="EM10" t="str">
        <f ca="1">'Financial Planning Tool'!CL11</f>
        <v>Liberty RA</v>
      </c>
      <c r="EN10" t="str">
        <f ca="1">IF(EO10&lt;&gt;"","Once-off","")</f>
        <v>Once-off</v>
      </c>
      <c r="EO10">
        <f ca="1">CM11</f>
        <v>35000</v>
      </c>
      <c r="EP10" s="1">
        <f ca="1">CN11</f>
        <v>45627</v>
      </c>
      <c r="EQ10" s="1" t="str">
        <f ca="1">IF(EO10&lt;&gt;"","Once-off","")</f>
        <v>Once-off</v>
      </c>
      <c r="ER10" t="str">
        <f ca="1">IF(EO10&lt;&gt;"","Once-off","")</f>
        <v>Once-off</v>
      </c>
      <c r="ES10" t="str">
        <f>CO11</f>
        <v>lsc_a_n_1</v>
      </c>
      <c r="ET10">
        <v>0</v>
      </c>
      <c r="EU10" s="22">
        <v>1</v>
      </c>
      <c r="EX10" s="21">
        <v>0</v>
      </c>
      <c r="EY10" t="s">
        <v>110</v>
      </c>
      <c r="FA10">
        <f>NomRetn</f>
        <v>9</v>
      </c>
      <c r="FB10">
        <f>NomRetn-inflation</f>
        <v>5</v>
      </c>
      <c r="FF10" t="s">
        <v>111</v>
      </c>
      <c r="FH10">
        <f>FA10</f>
        <v>9</v>
      </c>
      <c r="FI10" s="22">
        <f>FB10</f>
        <v>5</v>
      </c>
      <c r="FK10" s="21" t="s">
        <v>97</v>
      </c>
      <c r="FL10" t="s">
        <v>112</v>
      </c>
      <c r="FM10" s="22" t="s">
        <v>101</v>
      </c>
    </row>
    <row r="11" spans="1:169" x14ac:dyDescent="0.25">
      <c r="A11" s="74"/>
      <c r="B11" s="188" t="s">
        <v>166</v>
      </c>
      <c r="C11" s="189"/>
      <c r="D11" s="74"/>
      <c r="E11" s="74"/>
      <c r="F11" s="74"/>
      <c r="G11" s="74"/>
      <c r="H11" s="74"/>
      <c r="I11" s="74"/>
      <c r="J11" s="74"/>
      <c r="K11" s="74"/>
      <c r="L11" s="74"/>
      <c r="M11" s="74"/>
      <c r="N11" s="74"/>
      <c r="O11" s="74"/>
      <c r="P11" s="74"/>
      <c r="Q11" s="74"/>
      <c r="R11" s="74"/>
      <c r="S11" s="74"/>
      <c r="T11" s="74"/>
      <c r="U11" s="74"/>
      <c r="V11" s="74"/>
      <c r="W11" s="74"/>
      <c r="X11" s="74"/>
      <c r="Y11" s="74"/>
      <c r="Z11" s="74"/>
      <c r="AA11" s="74"/>
      <c r="AB11" s="74"/>
      <c r="AC11" s="74"/>
      <c r="AD11" s="74"/>
      <c r="AF11" s="21" t="s">
        <v>24</v>
      </c>
      <c r="AG11" t="e">
        <f ca="1">VLOOKUP(AdjPeriodEnding,$BQ$8:$CG$1219,17,FALSE)</f>
        <v>#N/A</v>
      </c>
      <c r="AH11" t="s">
        <v>85</v>
      </c>
      <c r="AI11" s="22"/>
      <c r="AN11" s="32">
        <f t="shared" ca="1" si="0"/>
        <v>55.166666666666664</v>
      </c>
      <c r="AO11" s="53">
        <f t="shared" ca="1" si="31"/>
        <v>45717</v>
      </c>
      <c r="AP11" s="22">
        <v>4</v>
      </c>
      <c r="AQ11" s="32">
        <f t="shared" ca="1" si="32"/>
        <v>636980.22476088209</v>
      </c>
      <c r="AR11" s="23">
        <f t="array" aca="1" ref="AR11" ca="1">SUM(IF(lsc_start_date=AO11,lsc_amount,0))</f>
        <v>0</v>
      </c>
      <c r="AS11" s="24">
        <f t="shared" ca="1" si="6"/>
        <v>0</v>
      </c>
      <c r="AT11" s="24">
        <f t="shared" ca="1" si="7"/>
        <v>0</v>
      </c>
      <c r="AU11" s="24">
        <f t="shared" ca="1" si="8"/>
        <v>0</v>
      </c>
      <c r="AV11" s="25">
        <f t="shared" ca="1" si="9"/>
        <v>0</v>
      </c>
      <c r="AW11" s="23">
        <f t="array" aca="1" ref="AW11" ca="1">SUM(IF(rcs_start_date&lt;=AO11,1,0)*IF(rcs_end_date&gt;=AO11,1,0)*rcs_amount*(1+rcs_escalation/100)^(INT((AP11-rcs_months_since_start)/12))*IF(MOD((AP11-rcs_months_since_start),rcs_frequency)=0,1,0)*IF(rcs_frequency=13,0,1))+SUM(IF(rcs_start_date=AO11,rcs_amount,0)*IF(rcs_frequency=13,1,0))</f>
        <v>4500</v>
      </c>
      <c r="AX11" s="24">
        <f t="shared" ca="1" si="10"/>
        <v>0</v>
      </c>
      <c r="AY11" s="24">
        <f t="shared" ca="1" si="11"/>
        <v>0</v>
      </c>
      <c r="AZ11" s="24">
        <f t="shared" ca="1" si="12"/>
        <v>0</v>
      </c>
      <c r="BA11" s="25">
        <f t="shared" ca="1" si="13"/>
        <v>4500</v>
      </c>
      <c r="BB11" s="23">
        <f t="array" aca="1" ref="BB11" ca="1">SUM(IF(w_start_date&lt;=AO11,1,0)*IF(w_end_date&gt;=AO11,1,0)*w_amount*(1+w_escalation/100)^(INT((AP11-w_months_since_start)/12))*IF(MOD(AP11-w_months_since_start,w_frequency)=0,1,0)*IF(w_frequency=13,0,1))+SUM(IF(w_start_date=AO11,w_amount,0)*IF(w_frequency=13,1,0))</f>
        <v>0</v>
      </c>
      <c r="BC11" s="25">
        <f t="shared" ca="1" si="14"/>
        <v>0</v>
      </c>
      <c r="BD11" s="24" t="b">
        <f t="shared" ca="1" si="15"/>
        <v>0</v>
      </c>
      <c r="BE11" s="24" t="b">
        <f t="shared" ca="1" si="16"/>
        <v>1</v>
      </c>
      <c r="BF11" s="23">
        <f t="array" aca="1" ref="BF11" ca="1">SUM(IF(BD11,1,0)*IF(ap_start_date&lt;=AO11,1,0)*IF(ap_end_date&gt;=AO11,1,0)*ap_amount*(1+ap_escalation/100)^(INT((AP11-ap_months_since_start)/12))*IF(MOD(AP11-ap_months_since_start,ap_frequency)=0,1,0))</f>
        <v>0</v>
      </c>
      <c r="BG11" s="24">
        <f t="shared" ca="1" si="17"/>
        <v>0</v>
      </c>
      <c r="BH11" s="24">
        <f t="shared" ca="1" si="18"/>
        <v>0</v>
      </c>
      <c r="BI11">
        <f t="shared" ca="1" si="19"/>
        <v>0</v>
      </c>
      <c r="BJ11" s="24">
        <f t="shared" ca="1" si="20"/>
        <v>0</v>
      </c>
      <c r="BK11">
        <f t="shared" ca="1" si="21"/>
        <v>0</v>
      </c>
      <c r="BL11" s="25">
        <f t="shared" ca="1" si="22"/>
        <v>0</v>
      </c>
      <c r="BM11" s="32">
        <f t="shared" ca="1" si="1"/>
        <v>646103.58014164178</v>
      </c>
      <c r="BN11" s="23">
        <f t="shared" ca="1" si="23"/>
        <v>0</v>
      </c>
      <c r="BO11" s="24">
        <f t="shared" ca="1" si="24"/>
        <v>0</v>
      </c>
      <c r="BP11" s="25">
        <f t="shared" ca="1" si="25"/>
        <v>0</v>
      </c>
      <c r="BQ11" s="34">
        <f t="shared" ca="1" si="26"/>
        <v>45747</v>
      </c>
      <c r="BR11" s="23">
        <f t="shared" ca="1" si="27"/>
        <v>646103.58014164178</v>
      </c>
      <c r="BS11" s="24">
        <f t="shared" ca="1" si="28"/>
        <v>4500</v>
      </c>
      <c r="BT11" s="24"/>
      <c r="BU11" s="24">
        <f t="shared" ca="1" si="29"/>
        <v>0</v>
      </c>
      <c r="BV11" s="24"/>
      <c r="BW11" s="24">
        <f t="shared" ca="1" si="30"/>
        <v>0</v>
      </c>
      <c r="BX11" s="25"/>
      <c r="BY11" s="23">
        <f t="shared" ca="1" si="2"/>
        <v>637711.67469350842</v>
      </c>
      <c r="BZ11" s="24">
        <f t="shared" ca="1" si="3"/>
        <v>4456.0923108415445</v>
      </c>
      <c r="CA11" s="24"/>
      <c r="CB11" s="24">
        <f t="shared" ca="1" si="4"/>
        <v>0</v>
      </c>
      <c r="CC11" s="24"/>
      <c r="CD11" s="24">
        <f t="shared" ca="1" si="5"/>
        <v>0</v>
      </c>
      <c r="CE11" s="25"/>
      <c r="CF11" s="23"/>
      <c r="CG11" s="25"/>
      <c r="CH11" s="32">
        <f ca="1">IFERROR(IF(MOD(AP11-ap_months_since_start,12)=0,ap_drawdown/100*(AQ11+AV11+BA11-BC11),CH10),0)</f>
        <v>0</v>
      </c>
      <c r="CJ11" s="168" t="s">
        <v>113</v>
      </c>
      <c r="CK11">
        <v>1</v>
      </c>
      <c r="CL11" t="str">
        <f t="shared" ref="CL11:CN30" ca="1" si="33">IF(lsc&gt;=$CK11,OFFSET(lsc,$CK11*$CL$3-CL$9,3),"")</f>
        <v>Liberty RA</v>
      </c>
      <c r="CM11">
        <f t="shared" ca="1" si="33"/>
        <v>35000</v>
      </c>
      <c r="CN11" s="1">
        <f t="shared" ca="1" si="33"/>
        <v>45627</v>
      </c>
      <c r="CO11" t="str">
        <f t="shared" ref="CO11:CO42" si="34">IF(CK11&lt;=lsc,"lsc_a_n_"&amp;CK11,"")</f>
        <v>lsc_a_n_1</v>
      </c>
      <c r="CP11" s="22">
        <f t="shared" ref="CP11:CP42" ca="1" si="35">IFERROR(YEAR(CN11)*12+MONTH(CN11)-YEAR(date_start)*12-MONTH(date_start)+1,0)</f>
        <v>1</v>
      </c>
      <c r="CR11" s="168" t="s">
        <v>51</v>
      </c>
      <c r="CS11">
        <v>1</v>
      </c>
      <c r="CT11" t="str">
        <f t="shared" ref="CT11:CY20" ca="1" si="36">IF(rcs&gt;=$CS11,OFFSET(rcs,$CS11*$CL$4-CT$9,3),"")</f>
        <v>Liberty RA</v>
      </c>
      <c r="CU11" t="str">
        <f t="shared" ca="1" si="36"/>
        <v>Monthly</v>
      </c>
      <c r="CV11">
        <f t="shared" ca="1" si="36"/>
        <v>500</v>
      </c>
      <c r="CW11" s="1">
        <f t="shared" ca="1" si="36"/>
        <v>45627</v>
      </c>
      <c r="CX11" s="1">
        <f t="shared" ca="1" si="36"/>
        <v>49614</v>
      </c>
      <c r="CY11">
        <f t="shared" ca="1" si="36"/>
        <v>4</v>
      </c>
      <c r="CZ11">
        <f t="shared" ref="CZ11:CZ42" ca="1" si="37">IFERROR(VLOOKUP(CU11,freq_options,3,FALSE),1)</f>
        <v>1</v>
      </c>
      <c r="DA11" t="str">
        <f t="shared" ref="DA11:DA42" si="38">IF(CS11&lt;=rcs,"rcs_a_n_"&amp;CS11,"")</f>
        <v>rcs_a_n_1</v>
      </c>
      <c r="DB11" s="22">
        <f t="shared" ref="DB11:DB42" ca="1" si="39">IFERROR(YEAR(CW11)*12+MONTH(CW11)-YEAR(date_start)*12-MONTH(date_start)+1,0)</f>
        <v>1</v>
      </c>
      <c r="DD11" s="168" t="s">
        <v>63</v>
      </c>
      <c r="DE11">
        <v>1</v>
      </c>
      <c r="DF11" t="str">
        <f t="shared" ref="DF11:DK20" ca="1" si="40">IF(w&gt;=$DE11,OFFSET(w,$DE11*$CL$5-DF$9,3),"")</f>
        <v/>
      </c>
      <c r="DG11" t="str">
        <f t="shared" ca="1" si="40"/>
        <v/>
      </c>
      <c r="DH11" t="str">
        <f t="shared" ca="1" si="40"/>
        <v/>
      </c>
      <c r="DI11" s="1" t="str">
        <f t="shared" ca="1" si="40"/>
        <v/>
      </c>
      <c r="DJ11" s="1" t="str">
        <f t="shared" ca="1" si="40"/>
        <v/>
      </c>
      <c r="DK11" t="str">
        <f t="shared" ca="1" si="40"/>
        <v/>
      </c>
      <c r="DL11">
        <f t="shared" ref="DL11:DL42" ca="1" si="41">IFERROR(VLOOKUP(DG11,freq_options,3,FALSE),1)</f>
        <v>1</v>
      </c>
      <c r="DM11" t="str">
        <f t="shared" ref="DM11:DM42" si="42">IF(DE11&lt;=w,"w_a_n_"&amp;DE11,"")</f>
        <v/>
      </c>
      <c r="DN11" s="22">
        <f t="shared" ref="DN11:DN42" ca="1" si="43">IFERROR(YEAR(DI11)*12+MONTH(DI11)-YEAR(date_start)*12-MONTH(date_start)+1,0)</f>
        <v>0</v>
      </c>
      <c r="DP11" s="168" t="s">
        <v>52</v>
      </c>
      <c r="DQ11">
        <v>1</v>
      </c>
      <c r="DR11" t="str">
        <f t="shared" ref="DR11:DW26" ca="1" si="44">IF(ap&gt;=$DQ11,OFFSET(ap,$DQ11*$CL$6-DR$9,3),"")</f>
        <v>Annuity payment 1</v>
      </c>
      <c r="DS11" t="str">
        <f t="shared" ca="1" si="44"/>
        <v>Monthly</v>
      </c>
      <c r="DT11">
        <f t="shared" ca="1" si="44"/>
        <v>35000</v>
      </c>
      <c r="DU11">
        <f t="shared" ca="1" si="44"/>
        <v>15.369412171403061</v>
      </c>
      <c r="DV11" s="1">
        <f t="shared" ca="1" si="44"/>
        <v>49614</v>
      </c>
      <c r="DW11">
        <f ca="1">IF(ap&gt;=$DQ11,OFFSET(ap,$DQ11*$CL$6-DW$9,3),"")</f>
        <v>4</v>
      </c>
      <c r="DX11">
        <f t="shared" ref="DX11" ca="1" si="45">IFERROR(VLOOKUP(DS11,freq_options,3,FALSE),1)</f>
        <v>1</v>
      </c>
      <c r="DY11" t="str">
        <f t="shared" ref="DY11:DY42" si="46">IF(DQ11&lt;=ap,"ap_a_n_"&amp;DQ11,"")</f>
        <v>ap_a_n_1</v>
      </c>
      <c r="DZ11">
        <f t="shared" ref="DZ11" ca="1" si="47">IFERROR(YEAR(DV11)*12+MONTH(DV11)-YEAR(date_start)*12-MONTH(date_start)+1,0)</f>
        <v>132</v>
      </c>
      <c r="EA11" s="122">
        <f ca="1">IF(AND(DV12&lt;&gt;0,DV12&lt;&gt;""),EOMONTH(DV12,-2)+1,$AO$1207)</f>
        <v>82121</v>
      </c>
      <c r="EC11" s="21" t="s">
        <v>121</v>
      </c>
      <c r="ED11" t="s">
        <v>122</v>
      </c>
      <c r="EE11" s="22">
        <v>1</v>
      </c>
      <c r="EL11" s="21">
        <f ca="1">IF(EM11&lt;&gt;"",IF(EL10="",1,EL10+1),EL10)</f>
        <v>2</v>
      </c>
      <c r="EM11" t="str">
        <f ca="1">'Financial Planning Tool'!CL12</f>
        <v>Sanlam RA</v>
      </c>
      <c r="EN11" t="str">
        <f t="shared" ref="EN11:EN59" ca="1" si="48">IF(EO11&lt;&gt;"","Once-off","")</f>
        <v>Once-off</v>
      </c>
      <c r="EO11">
        <f t="shared" ref="EO11:EO59" ca="1" si="49">CM12</f>
        <v>75000</v>
      </c>
      <c r="EP11" s="1">
        <f t="shared" ref="EP11:EP59" ca="1" si="50">CN12</f>
        <v>45627</v>
      </c>
      <c r="EQ11" s="1" t="str">
        <f t="shared" ref="EQ11:EQ59" ca="1" si="51">IF(EO11&lt;&gt;"","Once-off","")</f>
        <v>Once-off</v>
      </c>
      <c r="ER11" t="str">
        <f t="shared" ref="ER11:ER59" ca="1" si="52">IF(EO11&lt;&gt;"","Once-off","")</f>
        <v>Once-off</v>
      </c>
      <c r="ES11" t="str">
        <f t="shared" ref="ES11:ES59" si="53">CO12</f>
        <v>lsc_a_n_2</v>
      </c>
      <c r="ET11">
        <v>0</v>
      </c>
      <c r="EU11" s="22">
        <v>2</v>
      </c>
      <c r="EX11" s="21">
        <f ca="1">IF(EX10="","",IF(EX10+1&lt;=MAX('Financial Planning Tool'!$EL$10:$EL$209),EX10+1,""))</f>
        <v>1</v>
      </c>
      <c r="EY11" t="str">
        <f ca="1">IF(EX11&lt;&gt;"",VLOOKUP(EX11,'Financial Planning Tool'!$EL$10:$ER$209,2,FALSE),"")</f>
        <v>Liberty RA</v>
      </c>
      <c r="EZ11" t="str">
        <f ca="1">IF(EX11&lt;&gt;"",VLOOKUP(EX11,'Financial Planning Tool'!$EL$10:$ER$209,3,FALSE),"")</f>
        <v>Once-off</v>
      </c>
      <c r="FA11">
        <f ca="1">IF(EX11&lt;&gt;"",VLOOKUP(EX11,'Financial Planning Tool'!$EL$10:$ER$209,4,FALSE),"")</f>
        <v>35000</v>
      </c>
      <c r="FB11">
        <f t="shared" ref="FB11" ca="1" si="54">IF(FA11&lt;&gt;"",FA11/(1+inflation/100)^(YEARFRAC(date_start,FC11)),"")</f>
        <v>35000</v>
      </c>
      <c r="FC11" s="1">
        <f ca="1">IF(EX11&lt;&gt;"",VLOOKUP(EX11,'Financial Planning Tool'!$EL$10:$ER$209,5,FALSE),"")</f>
        <v>45627</v>
      </c>
      <c r="FD11" s="1" t="str">
        <f ca="1">IF(EX11&lt;&gt;"",VLOOKUP(EX11,'Financial Planning Tool'!$EL$10:$ER$209,6,FALSE),"")</f>
        <v>Once-off</v>
      </c>
      <c r="FE11" t="str">
        <f ca="1">IF(EX11&lt;&gt;"",VLOOKUP(EX11,'Financial Planning Tool'!$EL$10:$ER$209,7,FALSE),"")</f>
        <v>Once-off</v>
      </c>
      <c r="FF11" t="str">
        <f ca="1">IF(EX11&lt;&gt;"",VLOOKUP(EX11,'Financial Planning Tool'!$EL$10:$ES$209,8,FALSE),"")</f>
        <v>lsc_a_n_1</v>
      </c>
      <c r="FG11">
        <f ca="1">IF(EX11&lt;&gt;"",VLOOKUP(EX11,'Financial Planning Tool'!$EL$10:$ET$209,9,FALSE),"")</f>
        <v>0</v>
      </c>
      <c r="FH11">
        <f t="shared" ref="FH11:FH42" ca="1" si="55">IF(AdjVarType="Escalation",FE11,IF(AdjVarType="Drawdown",FG11,FA11))</f>
        <v>35000</v>
      </c>
      <c r="FI11" s="22">
        <f t="shared" ref="FI11:FI42" ca="1" si="56">IF(AdjVarType="Escalation",IFERROR(FE11-inflation,FE11),IF(AdjVarType="Drawdown",FG11,FB11))</f>
        <v>35000</v>
      </c>
      <c r="FK11" s="40" t="s">
        <v>99</v>
      </c>
      <c r="FL11" s="15"/>
      <c r="FM11" s="38" t="s">
        <v>99</v>
      </c>
    </row>
    <row r="12" spans="1:169" x14ac:dyDescent="0.25">
      <c r="A12" s="74"/>
      <c r="B12" s="189"/>
      <c r="C12" s="189"/>
      <c r="D12" s="74"/>
      <c r="E12" s="74"/>
      <c r="F12" s="74"/>
      <c r="G12" s="74"/>
      <c r="H12" s="74"/>
      <c r="I12" s="74"/>
      <c r="J12" s="74"/>
      <c r="K12" s="74"/>
      <c r="L12" s="74"/>
      <c r="M12" s="74"/>
      <c r="N12" s="74"/>
      <c r="O12" s="74"/>
      <c r="P12" s="74"/>
      <c r="Q12" s="74"/>
      <c r="R12" s="74"/>
      <c r="S12" s="74"/>
      <c r="T12" s="74"/>
      <c r="U12" s="74"/>
      <c r="V12" s="74"/>
      <c r="W12" s="74"/>
      <c r="X12" s="74"/>
      <c r="Y12" s="74"/>
      <c r="Z12" s="74"/>
      <c r="AA12" s="74"/>
      <c r="AB12" s="74"/>
      <c r="AC12" s="74"/>
      <c r="AD12" s="74"/>
      <c r="AF12" s="21" t="s">
        <v>25</v>
      </c>
      <c r="AG12" t="e">
        <f ca="1">VLOOKUP(AdjPeriodEnding,$BQ$8:$CG$1219,16,FALSE)</f>
        <v>#N/A</v>
      </c>
      <c r="AH12" s="50">
        <v>2</v>
      </c>
      <c r="AI12" s="22">
        <f>IF(AH12=1,1,-1)</f>
        <v>-1</v>
      </c>
      <c r="AN12" s="32">
        <f t="shared" ca="1" si="0"/>
        <v>55.25</v>
      </c>
      <c r="AO12" s="53">
        <f t="shared" ca="1" si="31"/>
        <v>45748</v>
      </c>
      <c r="AP12" s="22">
        <v>5</v>
      </c>
      <c r="AQ12" s="32">
        <f t="shared" ca="1" si="32"/>
        <v>646103.58014164178</v>
      </c>
      <c r="AR12" s="23">
        <f t="array" aca="1" ref="AR12" ca="1">SUM(IF(lsc_start_date=AO12,lsc_amount,0))</f>
        <v>0</v>
      </c>
      <c r="AS12" s="24">
        <f t="shared" ca="1" si="6"/>
        <v>0</v>
      </c>
      <c r="AT12" s="24">
        <f t="shared" ca="1" si="7"/>
        <v>0</v>
      </c>
      <c r="AU12" s="24">
        <f t="shared" ca="1" si="8"/>
        <v>0</v>
      </c>
      <c r="AV12" s="25">
        <f t="shared" ca="1" si="9"/>
        <v>0</v>
      </c>
      <c r="AW12" s="23">
        <f t="array" aca="1" ref="AW12" ca="1">SUM(IF(rcs_start_date&lt;=AO12,1,0)*IF(rcs_end_date&gt;=AO12,1,0)*rcs_amount*(1+rcs_escalation/100)^(INT((AP12-rcs_months_since_start)/12))*IF(MOD((AP12-rcs_months_since_start),rcs_frequency)=0,1,0)*IF(rcs_frequency=13,0,1))+SUM(IF(rcs_start_date=AO12,rcs_amount,0)*IF(rcs_frequency=13,1,0))</f>
        <v>4500</v>
      </c>
      <c r="AX12" s="24">
        <f t="shared" ca="1" si="10"/>
        <v>0</v>
      </c>
      <c r="AY12" s="24">
        <f t="shared" ca="1" si="11"/>
        <v>0</v>
      </c>
      <c r="AZ12" s="24">
        <f t="shared" ca="1" si="12"/>
        <v>0</v>
      </c>
      <c r="BA12" s="25">
        <f t="shared" ca="1" si="13"/>
        <v>4500</v>
      </c>
      <c r="BB12" s="23">
        <f t="array" aca="1" ref="BB12" ca="1">SUM(IF(w_start_date&lt;=AO12,1,0)*IF(w_end_date&gt;=AO12,1,0)*w_amount*(1+w_escalation/100)^(INT((AP12-w_months_since_start)/12))*IF(MOD(AP12-w_months_since_start,w_frequency)=0,1,0)*IF(w_frequency=13,0,1))+SUM(IF(w_start_date=AO12,w_amount,0)*IF(w_frequency=13,1,0))</f>
        <v>0</v>
      </c>
      <c r="BC12" s="25">
        <f t="shared" ca="1" si="14"/>
        <v>0</v>
      </c>
      <c r="BD12" s="24" t="b">
        <f t="shared" ca="1" si="15"/>
        <v>0</v>
      </c>
      <c r="BE12" s="24" t="b">
        <f t="shared" ca="1" si="16"/>
        <v>1</v>
      </c>
      <c r="BF12" s="23">
        <f t="array" aca="1" ref="BF12" ca="1">SUM(IF(BD12,1,0)*IF(ap_start_date&lt;=AO12,1,0)*IF(ap_end_date&gt;=AO12,1,0)*ap_amount*(1+ap_escalation/100)^(INT((AP12-ap_months_since_start)/12))*IF(MOD(AP12-ap_months_since_start,ap_frequency)=0,1,0))</f>
        <v>0</v>
      </c>
      <c r="BG12" s="24">
        <f t="shared" ca="1" si="17"/>
        <v>0</v>
      </c>
      <c r="BH12" s="24">
        <f t="shared" ca="1" si="18"/>
        <v>0</v>
      </c>
      <c r="BI12">
        <f t="shared" ca="1" si="19"/>
        <v>0</v>
      </c>
      <c r="BJ12" s="24">
        <f t="shared" ca="1" si="20"/>
        <v>0</v>
      </c>
      <c r="BK12">
        <f t="shared" ca="1" si="21"/>
        <v>0</v>
      </c>
      <c r="BL12" s="25">
        <f t="shared" ca="1" si="22"/>
        <v>0</v>
      </c>
      <c r="BM12" s="32">
        <f t="shared" ca="1" si="1"/>
        <v>655292.69049435866</v>
      </c>
      <c r="BN12" s="23">
        <f t="shared" ca="1" si="23"/>
        <v>0</v>
      </c>
      <c r="BO12" s="24">
        <f t="shared" ca="1" si="24"/>
        <v>0</v>
      </c>
      <c r="BP12" s="25">
        <f t="shared" ca="1" si="25"/>
        <v>0</v>
      </c>
      <c r="BQ12" s="34">
        <f t="shared" ca="1" si="26"/>
        <v>45777</v>
      </c>
      <c r="BR12" s="23">
        <f t="shared" ca="1" si="27"/>
        <v>655292.69049435866</v>
      </c>
      <c r="BS12" s="24">
        <f t="shared" ca="1" si="28"/>
        <v>4500</v>
      </c>
      <c r="BT12" s="24"/>
      <c r="BU12" s="24">
        <f t="shared" ca="1" si="29"/>
        <v>0</v>
      </c>
      <c r="BV12" s="24"/>
      <c r="BW12" s="24">
        <f t="shared" ca="1" si="30"/>
        <v>0</v>
      </c>
      <c r="BX12" s="25"/>
      <c r="BY12" s="23">
        <f t="shared" ca="1" si="2"/>
        <v>644670.9475141638</v>
      </c>
      <c r="BZ12" s="24">
        <f t="shared" ca="1" si="3"/>
        <v>4441.5518259342853</v>
      </c>
      <c r="CA12" s="24"/>
      <c r="CB12" s="24">
        <f t="shared" ca="1" si="4"/>
        <v>0</v>
      </c>
      <c r="CC12" s="24"/>
      <c r="CD12" s="24">
        <f t="shared" ca="1" si="5"/>
        <v>0</v>
      </c>
      <c r="CE12" s="25"/>
      <c r="CF12" s="23"/>
      <c r="CG12" s="25"/>
      <c r="CH12" s="32">
        <f ca="1">IFERROR(IF(MOD(AP12-ap_months_since_start,12)=0,ap_drawdown/100*(AQ12+AV12+BA12-BC12),CH11),0)</f>
        <v>0</v>
      </c>
      <c r="CJ12" s="168"/>
      <c r="CK12">
        <v>2</v>
      </c>
      <c r="CL12" t="str">
        <f t="shared" ca="1" si="33"/>
        <v>Sanlam RA</v>
      </c>
      <c r="CM12">
        <f t="shared" ca="1" si="33"/>
        <v>75000</v>
      </c>
      <c r="CN12" s="1">
        <f t="shared" ca="1" si="33"/>
        <v>45627</v>
      </c>
      <c r="CO12" t="str">
        <f t="shared" si="34"/>
        <v>lsc_a_n_2</v>
      </c>
      <c r="CP12" s="22">
        <f t="shared" ca="1" si="35"/>
        <v>1</v>
      </c>
      <c r="CR12" s="168"/>
      <c r="CS12">
        <v>2</v>
      </c>
      <c r="CT12" t="str">
        <f t="shared" ca="1" si="36"/>
        <v>Sanlam RA</v>
      </c>
      <c r="CU12" t="str">
        <f t="shared" ca="1" si="36"/>
        <v>Monthly</v>
      </c>
      <c r="CV12">
        <f t="shared" ca="1" si="36"/>
        <v>1000</v>
      </c>
      <c r="CW12" s="1">
        <f t="shared" ca="1" si="36"/>
        <v>45627</v>
      </c>
      <c r="CX12" s="1">
        <f t="shared" ca="1" si="36"/>
        <v>49614</v>
      </c>
      <c r="CY12">
        <f t="shared" ca="1" si="36"/>
        <v>4</v>
      </c>
      <c r="CZ12">
        <f t="shared" ca="1" si="37"/>
        <v>1</v>
      </c>
      <c r="DA12" t="str">
        <f t="shared" si="38"/>
        <v>rcs_a_n_2</v>
      </c>
      <c r="DB12" s="22">
        <f t="shared" ca="1" si="39"/>
        <v>1</v>
      </c>
      <c r="DD12" s="168"/>
      <c r="DE12">
        <v>2</v>
      </c>
      <c r="DF12" t="str">
        <f t="shared" ca="1" si="40"/>
        <v/>
      </c>
      <c r="DG12" t="str">
        <f t="shared" ca="1" si="40"/>
        <v/>
      </c>
      <c r="DH12" t="str">
        <f t="shared" ca="1" si="40"/>
        <v/>
      </c>
      <c r="DI12" s="1" t="str">
        <f t="shared" ca="1" si="40"/>
        <v/>
      </c>
      <c r="DJ12" s="1" t="str">
        <f t="shared" ca="1" si="40"/>
        <v/>
      </c>
      <c r="DK12" t="str">
        <f t="shared" ca="1" si="40"/>
        <v/>
      </c>
      <c r="DL12">
        <f t="shared" ca="1" si="41"/>
        <v>1</v>
      </c>
      <c r="DM12" t="str">
        <f t="shared" si="42"/>
        <v/>
      </c>
      <c r="DN12" s="22">
        <f t="shared" ca="1" si="43"/>
        <v>0</v>
      </c>
      <c r="DP12" s="168"/>
      <c r="DQ12">
        <v>2</v>
      </c>
      <c r="DR12" t="str">
        <f t="shared" ca="1" si="44"/>
        <v/>
      </c>
      <c r="DS12" t="str">
        <f t="shared" ca="1" si="44"/>
        <v/>
      </c>
      <c r="DT12" t="str">
        <f t="shared" ca="1" si="44"/>
        <v/>
      </c>
      <c r="DU12" t="str">
        <f t="shared" ca="1" si="44"/>
        <v/>
      </c>
      <c r="DV12" t="str">
        <f t="shared" ca="1" si="44"/>
        <v/>
      </c>
      <c r="DW12" t="str">
        <f t="shared" ca="1" si="44"/>
        <v/>
      </c>
      <c r="DX12">
        <f t="shared" ref="DX12:DX60" ca="1" si="57">IFERROR(VLOOKUP(DS12,freq_options,3,FALSE),1)</f>
        <v>1</v>
      </c>
      <c r="DY12" t="str">
        <f t="shared" si="46"/>
        <v/>
      </c>
      <c r="DZ12">
        <f t="shared" ref="DZ12:DZ60" ca="1" si="58">IFERROR(YEAR(DV12)*12+MONTH(DV12)-YEAR(date_start)*12-MONTH(date_start)+1,0)</f>
        <v>0</v>
      </c>
      <c r="EA12" s="122">
        <f t="shared" ref="EA12:EA59" ca="1" si="59">IF(AND(DV13&lt;&gt;0,DV13&lt;&gt;""),EOMONTH(DV13,-2)+1,$AO$1207)</f>
        <v>82121</v>
      </c>
      <c r="EC12" s="21" t="s">
        <v>118</v>
      </c>
      <c r="ED12" t="s">
        <v>119</v>
      </c>
      <c r="EE12" s="22">
        <v>3</v>
      </c>
      <c r="EL12" s="21">
        <f t="shared" ref="EL12:EL75" ca="1" si="60">IF(EM12&lt;&gt;"",IF(EL11="",1,EL11+1),EL11)</f>
        <v>3</v>
      </c>
      <c r="EM12" t="str">
        <f ca="1">'Financial Planning Tool'!CL13</f>
        <v>Liberty Corporate</v>
      </c>
      <c r="EN12" t="str">
        <f t="shared" ca="1" si="48"/>
        <v>Once-off</v>
      </c>
      <c r="EO12">
        <f t="shared" ca="1" si="49"/>
        <v>500000</v>
      </c>
      <c r="EP12" s="1">
        <f t="shared" ca="1" si="50"/>
        <v>45627</v>
      </c>
      <c r="EQ12" s="1" t="str">
        <f t="shared" ca="1" si="51"/>
        <v>Once-off</v>
      </c>
      <c r="ER12" t="str">
        <f t="shared" ca="1" si="52"/>
        <v>Once-off</v>
      </c>
      <c r="ES12" t="str">
        <f t="shared" si="53"/>
        <v>lsc_a_n_3</v>
      </c>
      <c r="ET12">
        <v>0</v>
      </c>
      <c r="EU12" s="22">
        <v>3</v>
      </c>
      <c r="EX12" s="21">
        <f ca="1">IF(EX11="","",IF(EX11+1&lt;=MAX('Financial Planning Tool'!$EL$10:$EL$209),EX11+1,""))</f>
        <v>2</v>
      </c>
      <c r="EY12" t="str">
        <f ca="1">IF(EX12&lt;&gt;"",VLOOKUP(EX12,'Financial Planning Tool'!$EL$10:$ER$209,2,FALSE),"")</f>
        <v>Sanlam RA</v>
      </c>
      <c r="EZ12" t="str">
        <f ca="1">IF(EX12&lt;&gt;"",VLOOKUP(EX12,'Financial Planning Tool'!$EL$10:$ER$209,3,FALSE),"")</f>
        <v>Once-off</v>
      </c>
      <c r="FA12">
        <f ca="1">IF(EX12&lt;&gt;"",VLOOKUP(EX12,'Financial Planning Tool'!$EL$10:$ER$209,4,FALSE),"")</f>
        <v>75000</v>
      </c>
      <c r="FB12">
        <f t="shared" ref="FB12:FB75" ca="1" si="61">IF(FA12&lt;&gt;"",FA12/(1+inflation/100)^(YEARFRAC(date_start,FC12)),"")</f>
        <v>75000</v>
      </c>
      <c r="FC12" s="1">
        <f ca="1">IF(EX12&lt;&gt;"",VLOOKUP(EX12,'Financial Planning Tool'!$EL$10:$ER$209,5,FALSE),"")</f>
        <v>45627</v>
      </c>
      <c r="FD12" s="1" t="str">
        <f ca="1">IF(EX12&lt;&gt;"",VLOOKUP(EX12,'Financial Planning Tool'!$EL$10:$ER$209,6,FALSE),"")</f>
        <v>Once-off</v>
      </c>
      <c r="FE12" t="str">
        <f ca="1">IF(EX12&lt;&gt;"",VLOOKUP(EX12,'Financial Planning Tool'!$EL$10:$ER$209,7,FALSE),"")</f>
        <v>Once-off</v>
      </c>
      <c r="FF12" t="str">
        <f ca="1">IF(EX12&lt;&gt;"",VLOOKUP(EX12,'Financial Planning Tool'!$EL$10:$ES$209,8,FALSE),"")</f>
        <v>lsc_a_n_2</v>
      </c>
      <c r="FG12">
        <f ca="1">IF(EX12&lt;&gt;"",VLOOKUP(EX12,'Financial Planning Tool'!$EL$10:$ET$209,9,FALSE),"")</f>
        <v>0</v>
      </c>
      <c r="FH12">
        <f t="shared" ca="1" si="55"/>
        <v>75000</v>
      </c>
      <c r="FI12" s="22">
        <f t="shared" ca="1" si="56"/>
        <v>75000</v>
      </c>
    </row>
    <row r="13" spans="1:169" x14ac:dyDescent="0.25">
      <c r="G13" s="18"/>
      <c r="S13" s="18"/>
      <c r="AF13" s="21" t="s">
        <v>26</v>
      </c>
      <c r="AG13">
        <f ca="1">IFERROR(VLOOKUP(D106,'Financial Planning Tool'!$EY$10:$FF$161,8,FALSE),0)</f>
        <v>0</v>
      </c>
      <c r="AI13" s="22">
        <f>AH12-1</f>
        <v>1</v>
      </c>
      <c r="AN13" s="32">
        <f t="shared" ca="1" si="0"/>
        <v>55.333333333333336</v>
      </c>
      <c r="AO13" s="53">
        <f t="shared" ca="1" si="31"/>
        <v>45778</v>
      </c>
      <c r="AP13" s="22">
        <v>6</v>
      </c>
      <c r="AQ13" s="32">
        <f t="shared" ca="1" si="32"/>
        <v>655292.69049435866</v>
      </c>
      <c r="AR13" s="23">
        <f t="array" aca="1" ref="AR13" ca="1">SUM(IF(lsc_start_date=AO13,lsc_amount,0))</f>
        <v>0</v>
      </c>
      <c r="AS13" s="24">
        <f t="shared" ca="1" si="6"/>
        <v>0</v>
      </c>
      <c r="AT13" s="24">
        <f t="shared" ca="1" si="7"/>
        <v>0</v>
      </c>
      <c r="AU13" s="24">
        <f t="shared" ca="1" si="8"/>
        <v>0</v>
      </c>
      <c r="AV13" s="25">
        <f t="shared" ca="1" si="9"/>
        <v>0</v>
      </c>
      <c r="AW13" s="23">
        <f t="array" aca="1" ref="AW13" ca="1">SUM(IF(rcs_start_date&lt;=AO13,1,0)*IF(rcs_end_date&gt;=AO13,1,0)*rcs_amount*(1+rcs_escalation/100)^(INT((AP13-rcs_months_since_start)/12))*IF(MOD((AP13-rcs_months_since_start),rcs_frequency)=0,1,0)*IF(rcs_frequency=13,0,1))+SUM(IF(rcs_start_date=AO13,rcs_amount,0)*IF(rcs_frequency=13,1,0))</f>
        <v>4500</v>
      </c>
      <c r="AX13" s="24">
        <f t="shared" ca="1" si="10"/>
        <v>0</v>
      </c>
      <c r="AY13" s="24">
        <f t="shared" ca="1" si="11"/>
        <v>0</v>
      </c>
      <c r="AZ13" s="24">
        <f t="shared" ca="1" si="12"/>
        <v>0</v>
      </c>
      <c r="BA13" s="25">
        <f t="shared" ca="1" si="13"/>
        <v>4500</v>
      </c>
      <c r="BB13" s="23">
        <f t="array" aca="1" ref="BB13" ca="1">SUM(IF(w_start_date&lt;=AO13,1,0)*IF(w_end_date&gt;=AO13,1,0)*w_amount*(1+w_escalation/100)^(INT((AP13-w_months_since_start)/12))*IF(MOD(AP13-w_months_since_start,w_frequency)=0,1,0)*IF(w_frequency=13,0,1))+SUM(IF(w_start_date=AO13,w_amount,0)*IF(w_frequency=13,1,0))</f>
        <v>0</v>
      </c>
      <c r="BC13" s="25">
        <f t="shared" ca="1" si="14"/>
        <v>0</v>
      </c>
      <c r="BD13" s="24" t="b">
        <f t="shared" ca="1" si="15"/>
        <v>0</v>
      </c>
      <c r="BE13" s="24" t="b">
        <f t="shared" ca="1" si="16"/>
        <v>1</v>
      </c>
      <c r="BF13" s="23">
        <f t="array" aca="1" ref="BF13" ca="1">SUM(IF(BD13,1,0)*IF(ap_start_date&lt;=AO13,1,0)*IF(ap_end_date&gt;=AO13,1,0)*ap_amount*(1+ap_escalation/100)^(INT((AP13-ap_months_since_start)/12))*IF(MOD(AP13-ap_months_since_start,ap_frequency)=0,1,0))</f>
        <v>0</v>
      </c>
      <c r="BG13" s="24">
        <f t="shared" ca="1" si="17"/>
        <v>0</v>
      </c>
      <c r="BH13" s="24">
        <f t="shared" ca="1" si="18"/>
        <v>0</v>
      </c>
      <c r="BI13">
        <f t="shared" ca="1" si="19"/>
        <v>0</v>
      </c>
      <c r="BJ13" s="24">
        <f t="shared" ca="1" si="20"/>
        <v>0</v>
      </c>
      <c r="BK13">
        <f t="shared" ca="1" si="21"/>
        <v>0</v>
      </c>
      <c r="BL13" s="25">
        <f t="shared" ca="1" si="22"/>
        <v>0</v>
      </c>
      <c r="BM13" s="32">
        <f t="shared" ca="1" si="1"/>
        <v>664548.0297363752</v>
      </c>
      <c r="BN13" s="23">
        <f t="shared" ca="1" si="23"/>
        <v>0</v>
      </c>
      <c r="BO13" s="24">
        <f t="shared" ca="1" si="24"/>
        <v>0</v>
      </c>
      <c r="BP13" s="25">
        <f t="shared" ca="1" si="25"/>
        <v>0</v>
      </c>
      <c r="BQ13" s="34">
        <f t="shared" ca="1" si="26"/>
        <v>45808</v>
      </c>
      <c r="BR13" s="23">
        <f t="shared" ca="1" si="27"/>
        <v>664548.0297363752</v>
      </c>
      <c r="BS13" s="24">
        <f t="shared" ca="1" si="28"/>
        <v>4500</v>
      </c>
      <c r="BT13" s="24"/>
      <c r="BU13" s="24">
        <f t="shared" ca="1" si="29"/>
        <v>0</v>
      </c>
      <c r="BV13" s="24"/>
      <c r="BW13" s="24">
        <f t="shared" ca="1" si="30"/>
        <v>0</v>
      </c>
      <c r="BX13" s="25"/>
      <c r="BY13" s="23">
        <f t="shared" ca="1" si="2"/>
        <v>651642.95602796448</v>
      </c>
      <c r="BZ13" s="24">
        <f t="shared" ca="1" si="3"/>
        <v>4427.0587874636321</v>
      </c>
      <c r="CA13" s="24"/>
      <c r="CB13" s="24">
        <f t="shared" ca="1" si="4"/>
        <v>0</v>
      </c>
      <c r="CC13" s="24"/>
      <c r="CD13" s="24">
        <f t="shared" ca="1" si="5"/>
        <v>0</v>
      </c>
      <c r="CE13" s="25"/>
      <c r="CF13" s="23"/>
      <c r="CG13" s="25"/>
      <c r="CH13" s="32">
        <f ca="1">IFERROR(IF(MOD(AP13-ap_months_since_start,12)=0,ap_drawdown/100*(AQ13+AV13+BA13-BC13),CH12),0)</f>
        <v>0</v>
      </c>
      <c r="CJ13" s="168"/>
      <c r="CK13">
        <v>3</v>
      </c>
      <c r="CL13" t="str">
        <f t="shared" ca="1" si="33"/>
        <v>Liberty Corporate</v>
      </c>
      <c r="CM13">
        <f t="shared" ca="1" si="33"/>
        <v>500000</v>
      </c>
      <c r="CN13" s="1">
        <f t="shared" ca="1" si="33"/>
        <v>45627</v>
      </c>
      <c r="CO13" t="str">
        <f t="shared" si="34"/>
        <v>lsc_a_n_3</v>
      </c>
      <c r="CP13" s="22">
        <f t="shared" ca="1" si="35"/>
        <v>1</v>
      </c>
      <c r="CR13" s="168"/>
      <c r="CS13">
        <v>3</v>
      </c>
      <c r="CT13" t="str">
        <f t="shared" ca="1" si="36"/>
        <v>Liberty Corporate Employer/Employee</v>
      </c>
      <c r="CU13" t="str">
        <f t="shared" ca="1" si="36"/>
        <v>Monthly</v>
      </c>
      <c r="CV13">
        <f t="shared" ca="1" si="36"/>
        <v>3000</v>
      </c>
      <c r="CW13" s="1">
        <f t="shared" ca="1" si="36"/>
        <v>45627</v>
      </c>
      <c r="CX13" s="1">
        <f t="shared" ca="1" si="36"/>
        <v>49614</v>
      </c>
      <c r="CY13">
        <f t="shared" ca="1" si="36"/>
        <v>4</v>
      </c>
      <c r="CZ13">
        <f t="shared" ca="1" si="37"/>
        <v>1</v>
      </c>
      <c r="DA13" t="str">
        <f t="shared" si="38"/>
        <v>rcs_a_n_3</v>
      </c>
      <c r="DB13" s="22">
        <f t="shared" ca="1" si="39"/>
        <v>1</v>
      </c>
      <c r="DD13" s="168"/>
      <c r="DE13">
        <v>3</v>
      </c>
      <c r="DF13" t="str">
        <f t="shared" ca="1" si="40"/>
        <v/>
      </c>
      <c r="DG13" t="str">
        <f t="shared" ca="1" si="40"/>
        <v/>
      </c>
      <c r="DH13" t="str">
        <f t="shared" ca="1" si="40"/>
        <v/>
      </c>
      <c r="DI13" s="1" t="str">
        <f t="shared" ca="1" si="40"/>
        <v/>
      </c>
      <c r="DJ13" s="1" t="str">
        <f t="shared" ca="1" si="40"/>
        <v/>
      </c>
      <c r="DK13" t="str">
        <f t="shared" ca="1" si="40"/>
        <v/>
      </c>
      <c r="DL13">
        <f t="shared" ca="1" si="41"/>
        <v>1</v>
      </c>
      <c r="DM13" t="str">
        <f t="shared" si="42"/>
        <v/>
      </c>
      <c r="DN13" s="22">
        <f t="shared" ca="1" si="43"/>
        <v>0</v>
      </c>
      <c r="DP13" s="168"/>
      <c r="DQ13">
        <v>3</v>
      </c>
      <c r="DR13" t="str">
        <f t="shared" ca="1" si="44"/>
        <v/>
      </c>
      <c r="DS13" t="str">
        <f t="shared" ca="1" si="44"/>
        <v/>
      </c>
      <c r="DT13" t="str">
        <f t="shared" ca="1" si="44"/>
        <v/>
      </c>
      <c r="DU13" t="str">
        <f t="shared" ca="1" si="44"/>
        <v/>
      </c>
      <c r="DV13" t="str">
        <f t="shared" ca="1" si="44"/>
        <v/>
      </c>
      <c r="DW13" t="str">
        <f t="shared" ca="1" si="44"/>
        <v/>
      </c>
      <c r="DX13">
        <f t="shared" ca="1" si="57"/>
        <v>1</v>
      </c>
      <c r="DY13" t="str">
        <f t="shared" si="46"/>
        <v/>
      </c>
      <c r="DZ13">
        <f t="shared" ca="1" si="58"/>
        <v>0</v>
      </c>
      <c r="EA13" s="122">
        <f t="shared" ca="1" si="59"/>
        <v>82121</v>
      </c>
      <c r="EC13" s="21" t="s">
        <v>116</v>
      </c>
      <c r="ED13" t="s">
        <v>117</v>
      </c>
      <c r="EE13" s="22">
        <v>6</v>
      </c>
      <c r="EL13" s="21">
        <f t="shared" ca="1" si="60"/>
        <v>3</v>
      </c>
      <c r="EM13" t="str">
        <f ca="1">'Financial Planning Tool'!CL14</f>
        <v/>
      </c>
      <c r="EN13" t="str">
        <f t="shared" ca="1" si="48"/>
        <v/>
      </c>
      <c r="EO13" t="str">
        <f t="shared" ca="1" si="49"/>
        <v/>
      </c>
      <c r="EP13" s="1" t="str">
        <f t="shared" ca="1" si="50"/>
        <v/>
      </c>
      <c r="EQ13" s="1" t="str">
        <f t="shared" ca="1" si="51"/>
        <v/>
      </c>
      <c r="ER13" t="str">
        <f t="shared" ca="1" si="52"/>
        <v/>
      </c>
      <c r="ES13" t="str">
        <f t="shared" si="53"/>
        <v/>
      </c>
      <c r="ET13">
        <v>0</v>
      </c>
      <c r="EU13" s="22">
        <v>4</v>
      </c>
      <c r="EX13" s="21">
        <f ca="1">IF(EX12="","",IF(EX12+1&lt;=MAX('Financial Planning Tool'!$EL$10:$EL$209),EX12+1,""))</f>
        <v>3</v>
      </c>
      <c r="EY13" t="str">
        <f ca="1">IF(EX13&lt;&gt;"",VLOOKUP(EX13,'Financial Planning Tool'!$EL$10:$ER$209,2,FALSE),"")</f>
        <v>Liberty Corporate</v>
      </c>
      <c r="EZ13" t="str">
        <f ca="1">IF(EX13&lt;&gt;"",VLOOKUP(EX13,'Financial Planning Tool'!$EL$10:$ER$209,3,FALSE),"")</f>
        <v>Once-off</v>
      </c>
      <c r="FA13">
        <f ca="1">IF(EX13&lt;&gt;"",VLOOKUP(EX13,'Financial Planning Tool'!$EL$10:$ER$209,4,FALSE),"")</f>
        <v>500000</v>
      </c>
      <c r="FB13">
        <f t="shared" ca="1" si="61"/>
        <v>500000</v>
      </c>
      <c r="FC13" s="1">
        <f ca="1">IF(EX13&lt;&gt;"",VLOOKUP(EX13,'Financial Planning Tool'!$EL$10:$ER$209,5,FALSE),"")</f>
        <v>45627</v>
      </c>
      <c r="FD13" s="1" t="str">
        <f ca="1">IF(EX13&lt;&gt;"",VLOOKUP(EX13,'Financial Planning Tool'!$EL$10:$ER$209,6,FALSE),"")</f>
        <v>Once-off</v>
      </c>
      <c r="FE13" t="str">
        <f ca="1">IF(EX13&lt;&gt;"",VLOOKUP(EX13,'Financial Planning Tool'!$EL$10:$ER$209,7,FALSE),"")</f>
        <v>Once-off</v>
      </c>
      <c r="FF13" t="str">
        <f ca="1">IF(EX13&lt;&gt;"",VLOOKUP(EX13,'Financial Planning Tool'!$EL$10:$ES$209,8,FALSE),"")</f>
        <v>lsc_a_n_3</v>
      </c>
      <c r="FG13">
        <f ca="1">IF(EX13&lt;&gt;"",VLOOKUP(EX13,'Financial Planning Tool'!$EL$10:$ET$209,9,FALSE),"")</f>
        <v>0</v>
      </c>
      <c r="FH13">
        <f t="shared" ca="1" si="55"/>
        <v>500000</v>
      </c>
      <c r="FI13" s="22">
        <f t="shared" ca="1" si="56"/>
        <v>500000</v>
      </c>
      <c r="FK13" s="36" t="s">
        <v>120</v>
      </c>
      <c r="FL13" s="37"/>
    </row>
    <row r="14" spans="1:169" x14ac:dyDescent="0.25">
      <c r="B14" s="190" t="s">
        <v>180</v>
      </c>
      <c r="G14" s="18"/>
      <c r="S14" s="18"/>
      <c r="AF14" s="21" t="s">
        <v>27</v>
      </c>
      <c r="AG14" t="str">
        <f ca="1">IFERROR(MATCH(AdjPeriodEnding,$H$55:$H$154,0),"")</f>
        <v/>
      </c>
      <c r="AI14" s="22"/>
      <c r="AN14" s="32">
        <f t="shared" ca="1" si="0"/>
        <v>55.416666666666664</v>
      </c>
      <c r="AO14" s="53">
        <f t="shared" ca="1" si="31"/>
        <v>45809</v>
      </c>
      <c r="AP14" s="22">
        <v>7</v>
      </c>
      <c r="AQ14" s="32">
        <f t="shared" ca="1" si="32"/>
        <v>664548.0297363752</v>
      </c>
      <c r="AR14" s="23">
        <f t="array" aca="1" ref="AR14" ca="1">SUM(IF(lsc_start_date=AO14,lsc_amount,0))</f>
        <v>0</v>
      </c>
      <c r="AS14" s="24">
        <f t="shared" ca="1" si="6"/>
        <v>0</v>
      </c>
      <c r="AT14" s="24">
        <f t="shared" ca="1" si="7"/>
        <v>0</v>
      </c>
      <c r="AU14" s="24">
        <f t="shared" ca="1" si="8"/>
        <v>0</v>
      </c>
      <c r="AV14" s="25">
        <f t="shared" ca="1" si="9"/>
        <v>0</v>
      </c>
      <c r="AW14" s="23">
        <f t="array" aca="1" ref="AW14" ca="1">SUM(IF(rcs_start_date&lt;=AO14,1,0)*IF(rcs_end_date&gt;=AO14,1,0)*rcs_amount*(1+rcs_escalation/100)^(INT((AP14-rcs_months_since_start)/12))*IF(MOD((AP14-rcs_months_since_start),rcs_frequency)=0,1,0)*IF(rcs_frequency=13,0,1))+SUM(IF(rcs_start_date=AO14,rcs_amount,0)*IF(rcs_frequency=13,1,0))</f>
        <v>4500</v>
      </c>
      <c r="AX14" s="24">
        <f t="shared" ca="1" si="10"/>
        <v>0</v>
      </c>
      <c r="AY14" s="24">
        <f t="shared" ca="1" si="11"/>
        <v>0</v>
      </c>
      <c r="AZ14" s="24">
        <f t="shared" ca="1" si="12"/>
        <v>0</v>
      </c>
      <c r="BA14" s="25">
        <f t="shared" ca="1" si="13"/>
        <v>4500</v>
      </c>
      <c r="BB14" s="23">
        <f t="array" aca="1" ref="BB14" ca="1">SUM(IF(w_start_date&lt;=AO14,1,0)*IF(w_end_date&gt;=AO14,1,0)*w_amount*(1+w_escalation/100)^(INT((AP14-w_months_since_start)/12))*IF(MOD(AP14-w_months_since_start,w_frequency)=0,1,0)*IF(w_frequency=13,0,1))+SUM(IF(w_start_date=AO14,w_amount,0)*IF(w_frequency=13,1,0))</f>
        <v>0</v>
      </c>
      <c r="BC14" s="25">
        <f t="shared" ca="1" si="14"/>
        <v>0</v>
      </c>
      <c r="BD14" s="24" t="b">
        <f t="shared" ca="1" si="15"/>
        <v>0</v>
      </c>
      <c r="BE14" s="24" t="b">
        <f t="shared" ca="1" si="16"/>
        <v>1</v>
      </c>
      <c r="BF14" s="23">
        <f t="array" aca="1" ref="BF14" ca="1">SUM(IF(BD14,1,0)*IF(ap_start_date&lt;=AO14,1,0)*IF(ap_end_date&gt;=AO14,1,0)*ap_amount*(1+ap_escalation/100)^(INT((AP14-ap_months_since_start)/12))*IF(MOD(AP14-ap_months_since_start,ap_frequency)=0,1,0))</f>
        <v>0</v>
      </c>
      <c r="BG14" s="24">
        <f t="shared" ca="1" si="17"/>
        <v>0</v>
      </c>
      <c r="BH14" s="24">
        <f t="shared" ca="1" si="18"/>
        <v>0</v>
      </c>
      <c r="BI14">
        <f t="shared" ca="1" si="19"/>
        <v>0</v>
      </c>
      <c r="BJ14" s="24">
        <f t="shared" ca="1" si="20"/>
        <v>0</v>
      </c>
      <c r="BK14">
        <f t="shared" ca="1" si="21"/>
        <v>0</v>
      </c>
      <c r="BL14" s="25">
        <f t="shared" ca="1" si="22"/>
        <v>0</v>
      </c>
      <c r="BM14" s="32">
        <f t="shared" ca="1" si="1"/>
        <v>673870.07520070951</v>
      </c>
      <c r="BN14" s="23">
        <f t="shared" ca="1" si="23"/>
        <v>0</v>
      </c>
      <c r="BO14" s="24">
        <f t="shared" ca="1" si="24"/>
        <v>0</v>
      </c>
      <c r="BP14" s="25">
        <f t="shared" ca="1" si="25"/>
        <v>0</v>
      </c>
      <c r="BQ14" s="34">
        <f t="shared" ca="1" si="26"/>
        <v>45838</v>
      </c>
      <c r="BR14" s="23">
        <f t="shared" ca="1" si="27"/>
        <v>673870.07520070951</v>
      </c>
      <c r="BS14" s="24">
        <f t="shared" ca="1" si="28"/>
        <v>4500</v>
      </c>
      <c r="BT14" s="24"/>
      <c r="BU14" s="24">
        <f t="shared" ca="1" si="29"/>
        <v>0</v>
      </c>
      <c r="BV14" s="24"/>
      <c r="BW14" s="24">
        <f t="shared" ca="1" si="30"/>
        <v>0</v>
      </c>
      <c r="BX14" s="25"/>
      <c r="BY14" s="23">
        <f t="shared" ca="1" si="2"/>
        <v>658627.79764538922</v>
      </c>
      <c r="BZ14" s="24">
        <f t="shared" ca="1" si="3"/>
        <v>4412.6130406091406</v>
      </c>
      <c r="CA14" s="24"/>
      <c r="CB14" s="24">
        <f t="shared" ca="1" si="4"/>
        <v>0</v>
      </c>
      <c r="CC14" s="24"/>
      <c r="CD14" s="24">
        <f t="shared" ca="1" si="5"/>
        <v>0</v>
      </c>
      <c r="CE14" s="25"/>
      <c r="CF14" s="23"/>
      <c r="CG14" s="25"/>
      <c r="CH14" s="32">
        <f ca="1">IFERROR(IF(MOD(AP14-ap_months_since_start,12)=0,ap_drawdown/100*(AQ14+AV14+BA14-BC14),CH13),0)</f>
        <v>0</v>
      </c>
      <c r="CJ14" s="168"/>
      <c r="CK14">
        <v>4</v>
      </c>
      <c r="CL14" t="str">
        <f t="shared" ca="1" si="33"/>
        <v/>
      </c>
      <c r="CM14" t="str">
        <f t="shared" ca="1" si="33"/>
        <v/>
      </c>
      <c r="CN14" s="1" t="str">
        <f t="shared" ca="1" si="33"/>
        <v/>
      </c>
      <c r="CO14" t="str">
        <f t="shared" si="34"/>
        <v/>
      </c>
      <c r="CP14" s="22">
        <f t="shared" ca="1" si="35"/>
        <v>0</v>
      </c>
      <c r="CR14" s="168"/>
      <c r="CS14">
        <v>4</v>
      </c>
      <c r="CT14" t="str">
        <f t="shared" ca="1" si="36"/>
        <v/>
      </c>
      <c r="CU14" t="str">
        <f t="shared" ca="1" si="36"/>
        <v/>
      </c>
      <c r="CV14" t="str">
        <f t="shared" ca="1" si="36"/>
        <v/>
      </c>
      <c r="CW14" s="1" t="str">
        <f t="shared" ca="1" si="36"/>
        <v/>
      </c>
      <c r="CX14" s="1" t="str">
        <f t="shared" ca="1" si="36"/>
        <v/>
      </c>
      <c r="CY14" t="str">
        <f t="shared" ca="1" si="36"/>
        <v/>
      </c>
      <c r="CZ14">
        <f t="shared" ca="1" si="37"/>
        <v>1</v>
      </c>
      <c r="DA14" t="str">
        <f t="shared" si="38"/>
        <v/>
      </c>
      <c r="DB14" s="22">
        <f t="shared" ca="1" si="39"/>
        <v>0</v>
      </c>
      <c r="DD14" s="168"/>
      <c r="DE14">
        <v>4</v>
      </c>
      <c r="DF14" t="str">
        <f t="shared" ca="1" si="40"/>
        <v/>
      </c>
      <c r="DG14" t="str">
        <f t="shared" ca="1" si="40"/>
        <v/>
      </c>
      <c r="DH14" t="str">
        <f t="shared" ca="1" si="40"/>
        <v/>
      </c>
      <c r="DI14" s="1" t="str">
        <f t="shared" ca="1" si="40"/>
        <v/>
      </c>
      <c r="DJ14" s="1" t="str">
        <f t="shared" ca="1" si="40"/>
        <v/>
      </c>
      <c r="DK14" t="str">
        <f t="shared" ca="1" si="40"/>
        <v/>
      </c>
      <c r="DL14">
        <f t="shared" ca="1" si="41"/>
        <v>1</v>
      </c>
      <c r="DM14" t="str">
        <f t="shared" si="42"/>
        <v/>
      </c>
      <c r="DN14" s="22">
        <f t="shared" ca="1" si="43"/>
        <v>0</v>
      </c>
      <c r="DP14" s="168"/>
      <c r="DQ14">
        <v>4</v>
      </c>
      <c r="DR14" t="str">
        <f t="shared" ca="1" si="44"/>
        <v/>
      </c>
      <c r="DS14" t="str">
        <f t="shared" ca="1" si="44"/>
        <v/>
      </c>
      <c r="DT14" t="str">
        <f t="shared" ca="1" si="44"/>
        <v/>
      </c>
      <c r="DU14" t="str">
        <f t="shared" ca="1" si="44"/>
        <v/>
      </c>
      <c r="DV14" t="str">
        <f t="shared" ca="1" si="44"/>
        <v/>
      </c>
      <c r="DW14" t="str">
        <f t="shared" ca="1" si="44"/>
        <v/>
      </c>
      <c r="DX14">
        <f t="shared" ca="1" si="57"/>
        <v>1</v>
      </c>
      <c r="DY14" t="str">
        <f t="shared" si="46"/>
        <v/>
      </c>
      <c r="DZ14">
        <f t="shared" ca="1" si="58"/>
        <v>0</v>
      </c>
      <c r="EA14" s="122">
        <f t="shared" ca="1" si="59"/>
        <v>82121</v>
      </c>
      <c r="EC14" s="40" t="s">
        <v>114</v>
      </c>
      <c r="ED14" s="15" t="s">
        <v>115</v>
      </c>
      <c r="EE14" s="38">
        <v>12</v>
      </c>
      <c r="EL14" s="21">
        <f t="shared" ca="1" si="60"/>
        <v>3</v>
      </c>
      <c r="EM14" t="str">
        <f ca="1">'Financial Planning Tool'!CL15</f>
        <v/>
      </c>
      <c r="EN14" t="str">
        <f t="shared" ca="1" si="48"/>
        <v/>
      </c>
      <c r="EO14" t="str">
        <f t="shared" ca="1" si="49"/>
        <v/>
      </c>
      <c r="EP14" s="1" t="str">
        <f t="shared" ca="1" si="50"/>
        <v/>
      </c>
      <c r="EQ14" s="1" t="str">
        <f t="shared" ca="1" si="51"/>
        <v/>
      </c>
      <c r="ER14" t="str">
        <f t="shared" ca="1" si="52"/>
        <v/>
      </c>
      <c r="ES14" t="str">
        <f t="shared" si="53"/>
        <v/>
      </c>
      <c r="ET14">
        <v>0</v>
      </c>
      <c r="EU14" s="22">
        <v>5</v>
      </c>
      <c r="EX14" s="21">
        <f ca="1">IF(EX13="","",IF(EX13+1&lt;=MAX('Financial Planning Tool'!$EL$10:$EL$209),EX13+1,""))</f>
        <v>4</v>
      </c>
      <c r="EY14" t="str">
        <f ca="1">IF(EX14&lt;&gt;"",VLOOKUP(EX14,'Financial Planning Tool'!$EL$10:$ER$209,2,FALSE),"")</f>
        <v>Liberty RA</v>
      </c>
      <c r="EZ14" t="str">
        <f ca="1">IF(EX14&lt;&gt;"",VLOOKUP(EX14,'Financial Planning Tool'!$EL$10:$ER$209,3,FALSE),"")</f>
        <v>Monthly</v>
      </c>
      <c r="FA14">
        <f ca="1">IF(EX14&lt;&gt;"",VLOOKUP(EX14,'Financial Planning Tool'!$EL$10:$ER$209,4,FALSE),"")</f>
        <v>500</v>
      </c>
      <c r="FB14">
        <f t="shared" ca="1" si="61"/>
        <v>500</v>
      </c>
      <c r="FC14" s="1">
        <f ca="1">IF(EX14&lt;&gt;"",VLOOKUP(EX14,'Financial Planning Tool'!$EL$10:$ER$209,5,FALSE),"")</f>
        <v>45627</v>
      </c>
      <c r="FD14" s="1">
        <f ca="1">IF(EX14&lt;&gt;"",VLOOKUP(EX14,'Financial Planning Tool'!$EL$10:$ER$209,6,FALSE),"")</f>
        <v>49614</v>
      </c>
      <c r="FE14">
        <f ca="1">IF(EX14&lt;&gt;"",VLOOKUP(EX14,'Financial Planning Tool'!$EL$10:$ER$209,7,FALSE),"")</f>
        <v>4</v>
      </c>
      <c r="FF14" t="str">
        <f ca="1">IF(EX14&lt;&gt;"",VLOOKUP(EX14,'Financial Planning Tool'!$EL$10:$ES$209,8,FALSE),"")</f>
        <v>rcs_a_n_1</v>
      </c>
      <c r="FG14">
        <f ca="1">IF(EX14&lt;&gt;"",VLOOKUP(EX14,'Financial Planning Tool'!$EL$10:$ET$209,9,FALSE),"")</f>
        <v>0</v>
      </c>
      <c r="FH14">
        <f t="shared" ca="1" si="55"/>
        <v>500</v>
      </c>
      <c r="FI14" s="22">
        <f t="shared" ca="1" si="56"/>
        <v>500</v>
      </c>
      <c r="FK14" s="40" t="s">
        <v>54</v>
      </c>
      <c r="FL14" s="38">
        <f ca="1">IF(ap&gt;0,MIN(OFFSET(DV11,0,0,ap)),0)</f>
        <v>49614</v>
      </c>
    </row>
    <row r="15" spans="1:169" x14ac:dyDescent="0.25">
      <c r="B15" s="190"/>
      <c r="G15" s="18"/>
      <c r="H15" s="3" t="str">
        <f>"Output (in "&amp;IF(real_nominal = 1,"Real","Nominal")&amp;" terms)"</f>
        <v>Output (in Nominal terms)</v>
      </c>
      <c r="Q15" s="10" t="s">
        <v>38</v>
      </c>
      <c r="S15" s="18"/>
      <c r="T15" s="191" t="s">
        <v>167</v>
      </c>
      <c r="U15" s="191"/>
      <c r="V15" s="191"/>
      <c r="W15" s="191"/>
      <c r="X15" s="191"/>
      <c r="Y15" s="191"/>
      <c r="Z15" s="191"/>
      <c r="AA15" s="191"/>
      <c r="AF15" s="21" t="s">
        <v>28</v>
      </c>
      <c r="AG15" t="e">
        <f>EF24</f>
        <v>#NUM!</v>
      </c>
      <c r="AI15" s="22"/>
      <c r="AN15" s="32">
        <f t="shared" ca="1" si="0"/>
        <v>55.5</v>
      </c>
      <c r="AO15" s="53">
        <f t="shared" ca="1" si="31"/>
        <v>45839</v>
      </c>
      <c r="AP15" s="22">
        <v>8</v>
      </c>
      <c r="AQ15" s="32">
        <f t="shared" ca="1" si="32"/>
        <v>673870.07520070951</v>
      </c>
      <c r="AR15" s="23">
        <f t="array" aca="1" ref="AR15" ca="1">SUM(IF(lsc_start_date=AO15,lsc_amount,0))</f>
        <v>0</v>
      </c>
      <c r="AS15" s="24">
        <f t="shared" ca="1" si="6"/>
        <v>0</v>
      </c>
      <c r="AT15" s="24">
        <f t="shared" ca="1" si="7"/>
        <v>0</v>
      </c>
      <c r="AU15" s="24">
        <f t="shared" ca="1" si="8"/>
        <v>0</v>
      </c>
      <c r="AV15" s="25">
        <f t="shared" ca="1" si="9"/>
        <v>0</v>
      </c>
      <c r="AW15" s="23">
        <f t="array" aca="1" ref="AW15" ca="1">SUM(IF(rcs_start_date&lt;=AO15,1,0)*IF(rcs_end_date&gt;=AO15,1,0)*rcs_amount*(1+rcs_escalation/100)^(INT((AP15-rcs_months_since_start)/12))*IF(MOD((AP15-rcs_months_since_start),rcs_frequency)=0,1,0)*IF(rcs_frequency=13,0,1))+SUM(IF(rcs_start_date=AO15,rcs_amount,0)*IF(rcs_frequency=13,1,0))</f>
        <v>4500</v>
      </c>
      <c r="AX15" s="24">
        <f t="shared" ca="1" si="10"/>
        <v>0</v>
      </c>
      <c r="AY15" s="24">
        <f t="shared" ca="1" si="11"/>
        <v>0</v>
      </c>
      <c r="AZ15" s="24">
        <f t="shared" ca="1" si="12"/>
        <v>0</v>
      </c>
      <c r="BA15" s="25">
        <f t="shared" ca="1" si="13"/>
        <v>4500</v>
      </c>
      <c r="BB15" s="23">
        <f t="array" aca="1" ref="BB15" ca="1">SUM(IF(w_start_date&lt;=AO15,1,0)*IF(w_end_date&gt;=AO15,1,0)*w_amount*(1+w_escalation/100)^(INT((AP15-w_months_since_start)/12))*IF(MOD(AP15-w_months_since_start,w_frequency)=0,1,0)*IF(w_frequency=13,0,1))+SUM(IF(w_start_date=AO15,w_amount,0)*IF(w_frequency=13,1,0))</f>
        <v>0</v>
      </c>
      <c r="BC15" s="25">
        <f t="shared" ca="1" si="14"/>
        <v>0</v>
      </c>
      <c r="BD15" s="24" t="b">
        <f t="shared" ca="1" si="15"/>
        <v>0</v>
      </c>
      <c r="BE15" s="24" t="b">
        <f t="shared" ca="1" si="16"/>
        <v>1</v>
      </c>
      <c r="BF15" s="23">
        <f t="array" aca="1" ref="BF15" ca="1">SUM(IF(BD15,1,0)*IF(ap_start_date&lt;=AO15,1,0)*IF(ap_end_date&gt;=AO15,1,0)*ap_amount*(1+ap_escalation/100)^(INT((AP15-ap_months_since_start)/12))*IF(MOD(AP15-ap_months_since_start,ap_frequency)=0,1,0))</f>
        <v>0</v>
      </c>
      <c r="BG15" s="24">
        <f t="shared" ca="1" si="17"/>
        <v>0</v>
      </c>
      <c r="BH15" s="24">
        <f t="shared" ca="1" si="18"/>
        <v>0</v>
      </c>
      <c r="BI15">
        <f t="shared" ca="1" si="19"/>
        <v>0</v>
      </c>
      <c r="BJ15" s="24">
        <f t="shared" ca="1" si="20"/>
        <v>0</v>
      </c>
      <c r="BK15">
        <f t="shared" ca="1" si="21"/>
        <v>0</v>
      </c>
      <c r="BL15" s="25">
        <f t="shared" ca="1" si="22"/>
        <v>0</v>
      </c>
      <c r="BM15" s="32">
        <f t="shared" ca="1" si="1"/>
        <v>683259.30766067305</v>
      </c>
      <c r="BN15" s="23">
        <f t="shared" ca="1" si="23"/>
        <v>0</v>
      </c>
      <c r="BO15" s="24">
        <f t="shared" ca="1" si="24"/>
        <v>0</v>
      </c>
      <c r="BP15" s="25">
        <f t="shared" ca="1" si="25"/>
        <v>0</v>
      </c>
      <c r="BQ15" s="34">
        <f t="shared" ca="1" si="26"/>
        <v>45869</v>
      </c>
      <c r="BR15" s="23">
        <f t="shared" ca="1" si="27"/>
        <v>683259.30766067305</v>
      </c>
      <c r="BS15" s="24">
        <f t="shared" ca="1" si="28"/>
        <v>4500</v>
      </c>
      <c r="BT15" s="24"/>
      <c r="BU15" s="24">
        <f t="shared" ca="1" si="29"/>
        <v>0</v>
      </c>
      <c r="BV15" s="24"/>
      <c r="BW15" s="24">
        <f t="shared" ca="1" si="30"/>
        <v>0</v>
      </c>
      <c r="BX15" s="25"/>
      <c r="BY15" s="23">
        <f t="shared" ca="1" si="2"/>
        <v>665625.57000391791</v>
      </c>
      <c r="BZ15" s="24">
        <f t="shared" ca="1" si="3"/>
        <v>4398.2144310555532</v>
      </c>
      <c r="CA15" s="24"/>
      <c r="CB15" s="24">
        <f t="shared" ca="1" si="4"/>
        <v>0</v>
      </c>
      <c r="CC15" s="24"/>
      <c r="CD15" s="24">
        <f t="shared" ca="1" si="5"/>
        <v>0</v>
      </c>
      <c r="CE15" s="25"/>
      <c r="CF15" s="23"/>
      <c r="CG15" s="25"/>
      <c r="CH15" s="32">
        <f ca="1">IFERROR(IF(MOD(AP15-ap_months_since_start,12)=0,ap_drawdown/100*(AQ15+AV15+BA15-BC15),CH14),0)</f>
        <v>0</v>
      </c>
      <c r="CJ15" s="168"/>
      <c r="CK15">
        <v>5</v>
      </c>
      <c r="CL15" t="str">
        <f t="shared" ca="1" si="33"/>
        <v/>
      </c>
      <c r="CM15" t="str">
        <f t="shared" ca="1" si="33"/>
        <v/>
      </c>
      <c r="CN15" s="1" t="str">
        <f t="shared" ca="1" si="33"/>
        <v/>
      </c>
      <c r="CO15" t="str">
        <f t="shared" si="34"/>
        <v/>
      </c>
      <c r="CP15" s="22">
        <f t="shared" ca="1" si="35"/>
        <v>0</v>
      </c>
      <c r="CR15" s="168"/>
      <c r="CS15">
        <v>5</v>
      </c>
      <c r="CT15" t="str">
        <f t="shared" ca="1" si="36"/>
        <v/>
      </c>
      <c r="CU15" t="str">
        <f t="shared" ca="1" si="36"/>
        <v/>
      </c>
      <c r="CV15" t="str">
        <f t="shared" ca="1" si="36"/>
        <v/>
      </c>
      <c r="CW15" s="1" t="str">
        <f t="shared" ca="1" si="36"/>
        <v/>
      </c>
      <c r="CX15" s="1" t="str">
        <f t="shared" ca="1" si="36"/>
        <v/>
      </c>
      <c r="CY15" t="str">
        <f t="shared" ca="1" si="36"/>
        <v/>
      </c>
      <c r="CZ15">
        <f t="shared" ca="1" si="37"/>
        <v>1</v>
      </c>
      <c r="DA15" t="str">
        <f t="shared" si="38"/>
        <v/>
      </c>
      <c r="DB15" s="22">
        <f t="shared" ca="1" si="39"/>
        <v>0</v>
      </c>
      <c r="DD15" s="168"/>
      <c r="DE15">
        <v>5</v>
      </c>
      <c r="DF15" t="str">
        <f t="shared" ca="1" si="40"/>
        <v/>
      </c>
      <c r="DG15" t="str">
        <f t="shared" ca="1" si="40"/>
        <v/>
      </c>
      <c r="DH15" t="str">
        <f t="shared" ca="1" si="40"/>
        <v/>
      </c>
      <c r="DI15" s="1" t="str">
        <f t="shared" ca="1" si="40"/>
        <v/>
      </c>
      <c r="DJ15" s="1" t="str">
        <f t="shared" ca="1" si="40"/>
        <v/>
      </c>
      <c r="DK15" t="str">
        <f t="shared" ca="1" si="40"/>
        <v/>
      </c>
      <c r="DL15">
        <f t="shared" ca="1" si="41"/>
        <v>1</v>
      </c>
      <c r="DM15" t="str">
        <f t="shared" si="42"/>
        <v/>
      </c>
      <c r="DN15" s="22">
        <f t="shared" ca="1" si="43"/>
        <v>0</v>
      </c>
      <c r="DP15" s="168"/>
      <c r="DQ15">
        <v>5</v>
      </c>
      <c r="DR15" t="str">
        <f t="shared" ca="1" si="44"/>
        <v/>
      </c>
      <c r="DS15" t="str">
        <f t="shared" ca="1" si="44"/>
        <v/>
      </c>
      <c r="DT15" t="str">
        <f t="shared" ca="1" si="44"/>
        <v/>
      </c>
      <c r="DU15" t="str">
        <f t="shared" ca="1" si="44"/>
        <v/>
      </c>
      <c r="DV15" t="str">
        <f t="shared" ca="1" si="44"/>
        <v/>
      </c>
      <c r="DW15" t="str">
        <f t="shared" ca="1" si="44"/>
        <v/>
      </c>
      <c r="DX15">
        <f t="shared" ca="1" si="57"/>
        <v>1</v>
      </c>
      <c r="DY15" t="str">
        <f t="shared" si="46"/>
        <v/>
      </c>
      <c r="DZ15">
        <f t="shared" ca="1" si="58"/>
        <v>0</v>
      </c>
      <c r="EA15" s="122">
        <f t="shared" ca="1" si="59"/>
        <v>82121</v>
      </c>
      <c r="EL15" s="21">
        <f t="shared" ca="1" si="60"/>
        <v>3</v>
      </c>
      <c r="EM15" t="str">
        <f ca="1">'Financial Planning Tool'!CL16</f>
        <v/>
      </c>
      <c r="EN15" t="str">
        <f t="shared" ca="1" si="48"/>
        <v/>
      </c>
      <c r="EO15" t="str">
        <f t="shared" ca="1" si="49"/>
        <v/>
      </c>
      <c r="EP15" s="1" t="str">
        <f t="shared" ca="1" si="50"/>
        <v/>
      </c>
      <c r="EQ15" s="1" t="str">
        <f t="shared" ca="1" si="51"/>
        <v/>
      </c>
      <c r="ER15" t="str">
        <f t="shared" ca="1" si="52"/>
        <v/>
      </c>
      <c r="ES15" t="str">
        <f t="shared" si="53"/>
        <v/>
      </c>
      <c r="ET15">
        <v>0</v>
      </c>
      <c r="EU15" s="22">
        <v>6</v>
      </c>
      <c r="EX15" s="21">
        <f ca="1">IF(EX14="","",IF(EX14+1&lt;=MAX('Financial Planning Tool'!$EL$10:$EL$209),EX14+1,""))</f>
        <v>5</v>
      </c>
      <c r="EY15" t="str">
        <f ca="1">IF(EX15&lt;&gt;"",VLOOKUP(EX15,'Financial Planning Tool'!$EL$10:$ER$209,2,FALSE),"")</f>
        <v>Sanlam RA</v>
      </c>
      <c r="EZ15" t="str">
        <f ca="1">IF(EX15&lt;&gt;"",VLOOKUP(EX15,'Financial Planning Tool'!$EL$10:$ER$209,3,FALSE),"")</f>
        <v>Monthly</v>
      </c>
      <c r="FA15">
        <f ca="1">IF(EX15&lt;&gt;"",VLOOKUP(EX15,'Financial Planning Tool'!$EL$10:$ER$209,4,FALSE),"")</f>
        <v>1000</v>
      </c>
      <c r="FB15">
        <f t="shared" ca="1" si="61"/>
        <v>1000</v>
      </c>
      <c r="FC15" s="1">
        <f ca="1">IF(EX15&lt;&gt;"",VLOOKUP(EX15,'Financial Planning Tool'!$EL$10:$ER$209,5,FALSE),"")</f>
        <v>45627</v>
      </c>
      <c r="FD15" s="1">
        <f ca="1">IF(EX15&lt;&gt;"",VLOOKUP(EX15,'Financial Planning Tool'!$EL$10:$ER$209,6,FALSE),"")</f>
        <v>49614</v>
      </c>
      <c r="FE15">
        <f ca="1">IF(EX15&lt;&gt;"",VLOOKUP(EX15,'Financial Planning Tool'!$EL$10:$ER$209,7,FALSE),"")</f>
        <v>4</v>
      </c>
      <c r="FF15" t="str">
        <f ca="1">IF(EX15&lt;&gt;"",VLOOKUP(EX15,'Financial Planning Tool'!$EL$10:$ES$209,8,FALSE),"")</f>
        <v>rcs_a_n_2</v>
      </c>
      <c r="FG15">
        <f ca="1">IF(EX15&lt;&gt;"",VLOOKUP(EX15,'Financial Planning Tool'!$EL$10:$ET$209,9,FALSE),"")</f>
        <v>0</v>
      </c>
      <c r="FH15">
        <f t="shared" ca="1" si="55"/>
        <v>1000</v>
      </c>
      <c r="FI15" s="22">
        <f t="shared" ca="1" si="56"/>
        <v>1000</v>
      </c>
    </row>
    <row r="16" spans="1:169" x14ac:dyDescent="0.25">
      <c r="G16" s="18"/>
      <c r="S16" s="18"/>
      <c r="T16" s="171" t="s">
        <v>96</v>
      </c>
      <c r="U16" s="172"/>
      <c r="V16" s="61" t="s">
        <v>23</v>
      </c>
      <c r="W16" s="62" t="s">
        <v>152</v>
      </c>
      <c r="X16" s="61" t="s">
        <v>153</v>
      </c>
      <c r="Y16" s="62" t="s">
        <v>98</v>
      </c>
      <c r="Z16" s="61" t="s">
        <v>30</v>
      </c>
      <c r="AA16" s="63" t="s">
        <v>99</v>
      </c>
      <c r="AB16" s="18"/>
      <c r="AE16">
        <v>2</v>
      </c>
      <c r="AF16" s="21" t="s">
        <v>29</v>
      </c>
      <c r="AG16" t="e">
        <f>EG24</f>
        <v>#NUM!</v>
      </c>
      <c r="AI16" s="22"/>
      <c r="AN16" s="32">
        <f t="shared" ca="1" si="0"/>
        <v>55.583333333333336</v>
      </c>
      <c r="AO16" s="53">
        <f t="shared" ca="1" si="31"/>
        <v>45870</v>
      </c>
      <c r="AP16" s="22">
        <v>9</v>
      </c>
      <c r="AQ16" s="32">
        <f t="shared" ca="1" si="32"/>
        <v>683259.30766067305</v>
      </c>
      <c r="AR16" s="23">
        <f t="array" aca="1" ref="AR16" ca="1">SUM(IF(lsc_start_date=AO16,lsc_amount,0))</f>
        <v>0</v>
      </c>
      <c r="AS16" s="24">
        <f t="shared" ca="1" si="6"/>
        <v>0</v>
      </c>
      <c r="AT16" s="24">
        <f t="shared" ca="1" si="7"/>
        <v>0</v>
      </c>
      <c r="AU16" s="24">
        <f t="shared" ca="1" si="8"/>
        <v>0</v>
      </c>
      <c r="AV16" s="25">
        <f t="shared" ca="1" si="9"/>
        <v>0</v>
      </c>
      <c r="AW16" s="23">
        <f t="array" aca="1" ref="AW16" ca="1">SUM(IF(rcs_start_date&lt;=AO16,1,0)*IF(rcs_end_date&gt;=AO16,1,0)*rcs_amount*(1+rcs_escalation/100)^(INT((AP16-rcs_months_since_start)/12))*IF(MOD((AP16-rcs_months_since_start),rcs_frequency)=0,1,0)*IF(rcs_frequency=13,0,1))+SUM(IF(rcs_start_date=AO16,rcs_amount,0)*IF(rcs_frequency=13,1,0))</f>
        <v>4500</v>
      </c>
      <c r="AX16" s="24">
        <f t="shared" ca="1" si="10"/>
        <v>0</v>
      </c>
      <c r="AY16" s="24">
        <f t="shared" ca="1" si="11"/>
        <v>0</v>
      </c>
      <c r="AZ16" s="24">
        <f t="shared" ca="1" si="12"/>
        <v>0</v>
      </c>
      <c r="BA16" s="25">
        <f t="shared" ca="1" si="13"/>
        <v>4500</v>
      </c>
      <c r="BB16" s="23">
        <f t="array" aca="1" ref="BB16" ca="1">SUM(IF(w_start_date&lt;=AO16,1,0)*IF(w_end_date&gt;=AO16,1,0)*w_amount*(1+w_escalation/100)^(INT((AP16-w_months_since_start)/12))*IF(MOD(AP16-w_months_since_start,w_frequency)=0,1,0)*IF(w_frequency=13,0,1))+SUM(IF(w_start_date=AO16,w_amount,0)*IF(w_frequency=13,1,0))</f>
        <v>0</v>
      </c>
      <c r="BC16" s="25">
        <f t="shared" ca="1" si="14"/>
        <v>0</v>
      </c>
      <c r="BD16" s="24" t="b">
        <f t="shared" ca="1" si="15"/>
        <v>0</v>
      </c>
      <c r="BE16" s="24" t="b">
        <f t="shared" ca="1" si="16"/>
        <v>1</v>
      </c>
      <c r="BF16" s="23">
        <f t="array" aca="1" ref="BF16" ca="1">SUM(IF(BD16,1,0)*IF(ap_start_date&lt;=AO16,1,0)*IF(ap_end_date&gt;=AO16,1,0)*ap_amount*(1+ap_escalation/100)^(INT((AP16-ap_months_since_start)/12))*IF(MOD(AP16-ap_months_since_start,ap_frequency)=0,1,0))</f>
        <v>0</v>
      </c>
      <c r="BG16" s="24">
        <f t="shared" ca="1" si="17"/>
        <v>0</v>
      </c>
      <c r="BH16" s="24">
        <f t="shared" ca="1" si="18"/>
        <v>0</v>
      </c>
      <c r="BI16">
        <f t="shared" ca="1" si="19"/>
        <v>0</v>
      </c>
      <c r="BJ16" s="24">
        <f t="shared" ca="1" si="20"/>
        <v>0</v>
      </c>
      <c r="BK16">
        <f t="shared" ca="1" si="21"/>
        <v>0</v>
      </c>
      <c r="BL16" s="25">
        <f t="shared" ca="1" si="22"/>
        <v>0</v>
      </c>
      <c r="BM16" s="32">
        <f t="shared" ca="1" si="1"/>
        <v>692716.21135466581</v>
      </c>
      <c r="BN16" s="23">
        <f t="shared" ca="1" si="23"/>
        <v>0</v>
      </c>
      <c r="BO16" s="24">
        <f t="shared" ca="1" si="24"/>
        <v>0</v>
      </c>
      <c r="BP16" s="25">
        <f t="shared" ca="1" si="25"/>
        <v>0</v>
      </c>
      <c r="BQ16" s="34">
        <f t="shared" ca="1" si="26"/>
        <v>45900</v>
      </c>
      <c r="BR16" s="23">
        <f t="shared" ca="1" si="27"/>
        <v>692716.21135466581</v>
      </c>
      <c r="BS16" s="24">
        <f t="shared" ca="1" si="28"/>
        <v>4500</v>
      </c>
      <c r="BT16" s="24"/>
      <c r="BU16" s="24">
        <f t="shared" ca="1" si="29"/>
        <v>0</v>
      </c>
      <c r="BV16" s="24"/>
      <c r="BW16" s="24">
        <f t="shared" ca="1" si="30"/>
        <v>0</v>
      </c>
      <c r="BX16" s="25"/>
      <c r="BY16" s="23">
        <f t="shared" ca="1" si="2"/>
        <v>672636.37096942775</v>
      </c>
      <c r="BZ16" s="24">
        <f t="shared" ca="1" si="3"/>
        <v>4383.8628049911522</v>
      </c>
      <c r="CA16" s="24"/>
      <c r="CB16" s="24">
        <f t="shared" ca="1" si="4"/>
        <v>0</v>
      </c>
      <c r="CC16" s="24"/>
      <c r="CD16" s="24">
        <f t="shared" ca="1" si="5"/>
        <v>0</v>
      </c>
      <c r="CE16" s="25"/>
      <c r="CF16" s="23"/>
      <c r="CG16" s="25"/>
      <c r="CH16" s="32">
        <f ca="1">IFERROR(IF(MOD(AP16-ap_months_since_start,12)=0,ap_drawdown/100*(AQ16+AV16+BA16-BC16),CH15),0)</f>
        <v>0</v>
      </c>
      <c r="CJ16" s="168"/>
      <c r="CK16">
        <v>6</v>
      </c>
      <c r="CL16" t="str">
        <f t="shared" ca="1" si="33"/>
        <v/>
      </c>
      <c r="CM16" t="str">
        <f t="shared" ca="1" si="33"/>
        <v/>
      </c>
      <c r="CN16" s="1" t="str">
        <f t="shared" ca="1" si="33"/>
        <v/>
      </c>
      <c r="CO16" t="str">
        <f t="shared" si="34"/>
        <v/>
      </c>
      <c r="CP16" s="22">
        <f t="shared" ca="1" si="35"/>
        <v>0</v>
      </c>
      <c r="CR16" s="168"/>
      <c r="CS16">
        <v>6</v>
      </c>
      <c r="CT16" t="str">
        <f t="shared" ca="1" si="36"/>
        <v/>
      </c>
      <c r="CU16" t="str">
        <f t="shared" ca="1" si="36"/>
        <v/>
      </c>
      <c r="CV16" t="str">
        <f t="shared" ca="1" si="36"/>
        <v/>
      </c>
      <c r="CW16" s="1" t="str">
        <f t="shared" ca="1" si="36"/>
        <v/>
      </c>
      <c r="CX16" s="1" t="str">
        <f t="shared" ca="1" si="36"/>
        <v/>
      </c>
      <c r="CY16" t="str">
        <f t="shared" ca="1" si="36"/>
        <v/>
      </c>
      <c r="CZ16">
        <f t="shared" ca="1" si="37"/>
        <v>1</v>
      </c>
      <c r="DA16" t="str">
        <f t="shared" si="38"/>
        <v/>
      </c>
      <c r="DB16" s="22">
        <f t="shared" ca="1" si="39"/>
        <v>0</v>
      </c>
      <c r="DD16" s="168"/>
      <c r="DE16">
        <v>6</v>
      </c>
      <c r="DF16" t="str">
        <f t="shared" ca="1" si="40"/>
        <v/>
      </c>
      <c r="DG16" t="str">
        <f t="shared" ca="1" si="40"/>
        <v/>
      </c>
      <c r="DH16" t="str">
        <f t="shared" ca="1" si="40"/>
        <v/>
      </c>
      <c r="DI16" s="1" t="str">
        <f t="shared" ca="1" si="40"/>
        <v/>
      </c>
      <c r="DJ16" s="1" t="str">
        <f t="shared" ca="1" si="40"/>
        <v/>
      </c>
      <c r="DK16" t="str">
        <f t="shared" ca="1" si="40"/>
        <v/>
      </c>
      <c r="DL16">
        <f t="shared" ca="1" si="41"/>
        <v>1</v>
      </c>
      <c r="DM16" t="str">
        <f t="shared" si="42"/>
        <v/>
      </c>
      <c r="DN16" s="22">
        <f t="shared" ca="1" si="43"/>
        <v>0</v>
      </c>
      <c r="DP16" s="168"/>
      <c r="DQ16">
        <v>6</v>
      </c>
      <c r="DR16" t="str">
        <f t="shared" ca="1" si="44"/>
        <v/>
      </c>
      <c r="DS16" t="str">
        <f t="shared" ca="1" si="44"/>
        <v/>
      </c>
      <c r="DT16" t="str">
        <f t="shared" ca="1" si="44"/>
        <v/>
      </c>
      <c r="DU16" t="str">
        <f t="shared" ca="1" si="44"/>
        <v/>
      </c>
      <c r="DV16" t="str">
        <f t="shared" ca="1" si="44"/>
        <v/>
      </c>
      <c r="DW16" t="str">
        <f t="shared" ca="1" si="44"/>
        <v/>
      </c>
      <c r="DX16">
        <f t="shared" ca="1" si="57"/>
        <v>1</v>
      </c>
      <c r="DY16" t="str">
        <f t="shared" si="46"/>
        <v/>
      </c>
      <c r="DZ16">
        <f t="shared" ca="1" si="58"/>
        <v>0</v>
      </c>
      <c r="EA16" s="122">
        <f t="shared" ca="1" si="59"/>
        <v>82121</v>
      </c>
      <c r="EC16" s="30" t="s">
        <v>123</v>
      </c>
      <c r="EL16" s="21">
        <f t="shared" ca="1" si="60"/>
        <v>3</v>
      </c>
      <c r="EM16" t="str">
        <f ca="1">'Financial Planning Tool'!CL17</f>
        <v/>
      </c>
      <c r="EN16" t="str">
        <f t="shared" ca="1" si="48"/>
        <v/>
      </c>
      <c r="EO16" t="str">
        <f t="shared" ca="1" si="49"/>
        <v/>
      </c>
      <c r="EP16" s="1" t="str">
        <f t="shared" ca="1" si="50"/>
        <v/>
      </c>
      <c r="EQ16" s="1" t="str">
        <f t="shared" ca="1" si="51"/>
        <v/>
      </c>
      <c r="ER16" t="str">
        <f t="shared" ca="1" si="52"/>
        <v/>
      </c>
      <c r="ES16" t="str">
        <f t="shared" si="53"/>
        <v/>
      </c>
      <c r="ET16">
        <v>0</v>
      </c>
      <c r="EU16" s="22">
        <v>7</v>
      </c>
      <c r="EX16" s="21">
        <f ca="1">IF(EX15="","",IF(EX15+1&lt;=MAX('Financial Planning Tool'!$EL$10:$EL$209),EX15+1,""))</f>
        <v>6</v>
      </c>
      <c r="EY16" t="str">
        <f ca="1">IF(EX16&lt;&gt;"",VLOOKUP(EX16,'Financial Planning Tool'!$EL$10:$ER$209,2,FALSE),"")</f>
        <v>Liberty Corporate Employer/Employee</v>
      </c>
      <c r="EZ16" t="str">
        <f ca="1">IF(EX16&lt;&gt;"",VLOOKUP(EX16,'Financial Planning Tool'!$EL$10:$ER$209,3,FALSE),"")</f>
        <v>Monthly</v>
      </c>
      <c r="FA16">
        <f ca="1">IF(EX16&lt;&gt;"",VLOOKUP(EX16,'Financial Planning Tool'!$EL$10:$ER$209,4,FALSE),"")</f>
        <v>3000</v>
      </c>
      <c r="FB16">
        <f t="shared" ca="1" si="61"/>
        <v>3000</v>
      </c>
      <c r="FC16" s="1">
        <f ca="1">IF(EX16&lt;&gt;"",VLOOKUP(EX16,'Financial Planning Tool'!$EL$10:$ER$209,5,FALSE),"")</f>
        <v>45627</v>
      </c>
      <c r="FD16" s="1">
        <f ca="1">IF(EX16&lt;&gt;"",VLOOKUP(EX16,'Financial Planning Tool'!$EL$10:$ER$209,6,FALSE),"")</f>
        <v>49614</v>
      </c>
      <c r="FE16">
        <f ca="1">IF(EX16&lt;&gt;"",VLOOKUP(EX16,'Financial Planning Tool'!$EL$10:$ER$209,7,FALSE),"")</f>
        <v>4</v>
      </c>
      <c r="FF16" t="str">
        <f ca="1">IF(EX16&lt;&gt;"",VLOOKUP(EX16,'Financial Planning Tool'!$EL$10:$ES$209,8,FALSE),"")</f>
        <v>rcs_a_n_3</v>
      </c>
      <c r="FG16">
        <f ca="1">IF(EX16&lt;&gt;"",VLOOKUP(EX16,'Financial Planning Tool'!$EL$10:$ET$209,9,FALSE),"")</f>
        <v>0</v>
      </c>
      <c r="FH16">
        <f t="shared" ca="1" si="55"/>
        <v>3000</v>
      </c>
      <c r="FI16" s="22">
        <f t="shared" ca="1" si="56"/>
        <v>3000</v>
      </c>
      <c r="FK16" s="36" t="s">
        <v>67</v>
      </c>
      <c r="FL16" s="48">
        <v>0.17499999999999999</v>
      </c>
    </row>
    <row r="17" spans="2:168" x14ac:dyDescent="0.25">
      <c r="B17" s="97" t="s">
        <v>0</v>
      </c>
      <c r="C17" s="98"/>
      <c r="D17" s="98"/>
      <c r="E17" s="98"/>
      <c r="F17" s="99"/>
      <c r="O17" s="10" t="s">
        <v>36</v>
      </c>
      <c r="Q17" s="10" t="s">
        <v>37</v>
      </c>
      <c r="S17" s="18"/>
      <c r="T17" s="173" t="s">
        <v>202</v>
      </c>
      <c r="U17" s="174"/>
      <c r="V17" s="7" t="s">
        <v>109</v>
      </c>
      <c r="W17" s="67">
        <v>500000</v>
      </c>
      <c r="X17" s="67">
        <v>500000</v>
      </c>
      <c r="Y17" s="70">
        <v>43739</v>
      </c>
      <c r="Z17" s="70" t="s">
        <v>109</v>
      </c>
      <c r="AA17" s="64" t="s">
        <v>109</v>
      </c>
      <c r="AE17">
        <v>1</v>
      </c>
      <c r="AF17" s="40" t="s">
        <v>30</v>
      </c>
      <c r="AG17" s="47">
        <f ca="1">DATE(YEAR(D24)+C25,MONTH(D24),DAY(D24))</f>
        <v>58796</v>
      </c>
      <c r="AH17" s="15"/>
      <c r="AI17" s="38"/>
      <c r="AN17" s="32">
        <f t="shared" ca="1" si="0"/>
        <v>55.666666666666664</v>
      </c>
      <c r="AO17" s="53">
        <f t="shared" ca="1" si="31"/>
        <v>45901</v>
      </c>
      <c r="AP17" s="22">
        <v>10</v>
      </c>
      <c r="AQ17" s="32">
        <f t="shared" ca="1" si="32"/>
        <v>692716.21135466581</v>
      </c>
      <c r="AR17" s="23">
        <f t="array" aca="1" ref="AR17" ca="1">SUM(IF(lsc_start_date=AO17,lsc_amount,0))</f>
        <v>0</v>
      </c>
      <c r="AS17" s="24">
        <f t="shared" ca="1" si="6"/>
        <v>0</v>
      </c>
      <c r="AT17" s="24">
        <f t="shared" ca="1" si="7"/>
        <v>0</v>
      </c>
      <c r="AU17" s="24">
        <f t="shared" ca="1" si="8"/>
        <v>0</v>
      </c>
      <c r="AV17" s="25">
        <f t="shared" ca="1" si="9"/>
        <v>0</v>
      </c>
      <c r="AW17" s="23">
        <f t="array" aca="1" ref="AW17" ca="1">SUM(IF(rcs_start_date&lt;=AO17,1,0)*IF(rcs_end_date&gt;=AO17,1,0)*rcs_amount*(1+rcs_escalation/100)^(INT((AP17-rcs_months_since_start)/12))*IF(MOD((AP17-rcs_months_since_start),rcs_frequency)=0,1,0)*IF(rcs_frequency=13,0,1))+SUM(IF(rcs_start_date=AO17,rcs_amount,0)*IF(rcs_frequency=13,1,0))</f>
        <v>4500</v>
      </c>
      <c r="AX17" s="24">
        <f t="shared" ca="1" si="10"/>
        <v>0</v>
      </c>
      <c r="AY17" s="24">
        <f t="shared" ca="1" si="11"/>
        <v>0</v>
      </c>
      <c r="AZ17" s="24">
        <f t="shared" ca="1" si="12"/>
        <v>0</v>
      </c>
      <c r="BA17" s="25">
        <f t="shared" ca="1" si="13"/>
        <v>4500</v>
      </c>
      <c r="BB17" s="23">
        <f t="array" aca="1" ref="BB17" ca="1">SUM(IF(w_start_date&lt;=AO17,1,0)*IF(w_end_date&gt;=AO17,1,0)*w_amount*(1+w_escalation/100)^(INT((AP17-w_months_since_start)/12))*IF(MOD(AP17-w_months_since_start,w_frequency)=0,1,0)*IF(w_frequency=13,0,1))+SUM(IF(w_start_date=AO17,w_amount,0)*IF(w_frequency=13,1,0))</f>
        <v>0</v>
      </c>
      <c r="BC17" s="25">
        <f t="shared" ca="1" si="14"/>
        <v>0</v>
      </c>
      <c r="BD17" s="24" t="b">
        <f t="shared" ca="1" si="15"/>
        <v>0</v>
      </c>
      <c r="BE17" s="24" t="b">
        <f t="shared" ca="1" si="16"/>
        <v>1</v>
      </c>
      <c r="BF17" s="23">
        <f t="array" aca="1" ref="BF17" ca="1">SUM(IF(BD17,1,0)*IF(ap_start_date&lt;=AO17,1,0)*IF(ap_end_date&gt;=AO17,1,0)*ap_amount*(1+ap_escalation/100)^(INT((AP17-ap_months_since_start)/12))*IF(MOD(AP17-ap_months_since_start,ap_frequency)=0,1,0))</f>
        <v>0</v>
      </c>
      <c r="BG17" s="24">
        <f t="shared" ca="1" si="17"/>
        <v>0</v>
      </c>
      <c r="BH17" s="24">
        <f t="shared" ca="1" si="18"/>
        <v>0</v>
      </c>
      <c r="BI17">
        <f t="shared" ca="1" si="19"/>
        <v>0</v>
      </c>
      <c r="BJ17" s="24">
        <f t="shared" ca="1" si="20"/>
        <v>0</v>
      </c>
      <c r="BK17">
        <f t="shared" ca="1" si="21"/>
        <v>0</v>
      </c>
      <c r="BL17" s="25">
        <f t="shared" ca="1" si="22"/>
        <v>0</v>
      </c>
      <c r="BM17" s="32">
        <f t="shared" ca="1" si="1"/>
        <v>702241.27401115082</v>
      </c>
      <c r="BN17" s="23">
        <f t="shared" ca="1" si="23"/>
        <v>0</v>
      </c>
      <c r="BO17" s="24">
        <f t="shared" ca="1" si="24"/>
        <v>0</v>
      </c>
      <c r="BP17" s="25">
        <f t="shared" ca="1" si="25"/>
        <v>0</v>
      </c>
      <c r="BQ17" s="34">
        <f t="shared" ca="1" si="26"/>
        <v>45930</v>
      </c>
      <c r="BR17" s="23">
        <f t="shared" ca="1" si="27"/>
        <v>702241.27401115082</v>
      </c>
      <c r="BS17" s="24">
        <f t="shared" ca="1" si="28"/>
        <v>4500</v>
      </c>
      <c r="BT17" s="24"/>
      <c r="BU17" s="24">
        <f t="shared" ca="1" si="29"/>
        <v>0</v>
      </c>
      <c r="BV17" s="24"/>
      <c r="BW17" s="24">
        <f t="shared" ca="1" si="30"/>
        <v>0</v>
      </c>
      <c r="BX17" s="25"/>
      <c r="BY17" s="23">
        <f t="shared" ca="1" si="2"/>
        <v>679660.29863759247</v>
      </c>
      <c r="BZ17" s="24">
        <f t="shared" ca="1" si="3"/>
        <v>4369.5580091061156</v>
      </c>
      <c r="CA17" s="24"/>
      <c r="CB17" s="24">
        <f t="shared" ca="1" si="4"/>
        <v>0</v>
      </c>
      <c r="CC17" s="24"/>
      <c r="CD17" s="24">
        <f t="shared" ca="1" si="5"/>
        <v>0</v>
      </c>
      <c r="CE17" s="25"/>
      <c r="CF17" s="23"/>
      <c r="CG17" s="25"/>
      <c r="CH17" s="32">
        <f ca="1">IFERROR(IF(MOD(AP17-ap_months_since_start,12)=0,ap_drawdown/100*(AQ17+AV17+BA17-BC17),CH16),0)</f>
        <v>0</v>
      </c>
      <c r="CJ17" s="168"/>
      <c r="CK17">
        <v>7</v>
      </c>
      <c r="CL17" t="str">
        <f t="shared" ca="1" si="33"/>
        <v/>
      </c>
      <c r="CM17" t="str">
        <f t="shared" ca="1" si="33"/>
        <v/>
      </c>
      <c r="CN17" s="1" t="str">
        <f t="shared" ca="1" si="33"/>
        <v/>
      </c>
      <c r="CO17" t="str">
        <f t="shared" si="34"/>
        <v/>
      </c>
      <c r="CP17" s="22">
        <f t="shared" ca="1" si="35"/>
        <v>0</v>
      </c>
      <c r="CR17" s="168"/>
      <c r="CS17">
        <v>7</v>
      </c>
      <c r="CT17" t="str">
        <f t="shared" ca="1" si="36"/>
        <v/>
      </c>
      <c r="CU17" t="str">
        <f t="shared" ca="1" si="36"/>
        <v/>
      </c>
      <c r="CV17" t="str">
        <f t="shared" ca="1" si="36"/>
        <v/>
      </c>
      <c r="CW17" s="1" t="str">
        <f t="shared" ca="1" si="36"/>
        <v/>
      </c>
      <c r="CX17" s="1" t="str">
        <f t="shared" ca="1" si="36"/>
        <v/>
      </c>
      <c r="CY17" t="str">
        <f t="shared" ca="1" si="36"/>
        <v/>
      </c>
      <c r="CZ17">
        <f t="shared" ca="1" si="37"/>
        <v>1</v>
      </c>
      <c r="DA17" t="str">
        <f t="shared" si="38"/>
        <v/>
      </c>
      <c r="DB17" s="22">
        <f t="shared" ca="1" si="39"/>
        <v>0</v>
      </c>
      <c r="DD17" s="168"/>
      <c r="DE17">
        <v>7</v>
      </c>
      <c r="DF17" t="str">
        <f t="shared" ca="1" si="40"/>
        <v/>
      </c>
      <c r="DG17" t="str">
        <f t="shared" ca="1" si="40"/>
        <v/>
      </c>
      <c r="DH17" t="str">
        <f t="shared" ca="1" si="40"/>
        <v/>
      </c>
      <c r="DI17" s="1" t="str">
        <f t="shared" ca="1" si="40"/>
        <v/>
      </c>
      <c r="DJ17" s="1" t="str">
        <f t="shared" ca="1" si="40"/>
        <v/>
      </c>
      <c r="DK17" t="str">
        <f t="shared" ca="1" si="40"/>
        <v/>
      </c>
      <c r="DL17">
        <f t="shared" ca="1" si="41"/>
        <v>1</v>
      </c>
      <c r="DM17" t="str">
        <f t="shared" si="42"/>
        <v/>
      </c>
      <c r="DN17" s="22">
        <f t="shared" ca="1" si="43"/>
        <v>0</v>
      </c>
      <c r="DP17" s="168"/>
      <c r="DQ17">
        <v>7</v>
      </c>
      <c r="DR17" t="str">
        <f t="shared" ca="1" si="44"/>
        <v/>
      </c>
      <c r="DS17" t="str">
        <f t="shared" ca="1" si="44"/>
        <v/>
      </c>
      <c r="DT17" t="str">
        <f t="shared" ca="1" si="44"/>
        <v/>
      </c>
      <c r="DU17" t="str">
        <f t="shared" ca="1" si="44"/>
        <v/>
      </c>
      <c r="DV17" t="str">
        <f t="shared" ca="1" si="44"/>
        <v/>
      </c>
      <c r="DW17" t="str">
        <f t="shared" ca="1" si="44"/>
        <v/>
      </c>
      <c r="DX17">
        <f t="shared" ca="1" si="57"/>
        <v>1</v>
      </c>
      <c r="DY17" t="str">
        <f t="shared" si="46"/>
        <v/>
      </c>
      <c r="DZ17">
        <f t="shared" ca="1" si="58"/>
        <v>0</v>
      </c>
      <c r="EA17" s="122">
        <f t="shared" ca="1" si="59"/>
        <v>82121</v>
      </c>
      <c r="EC17" s="31" t="s">
        <v>124</v>
      </c>
      <c r="EL17" s="21">
        <f t="shared" ca="1" si="60"/>
        <v>3</v>
      </c>
      <c r="EM17" t="str">
        <f ca="1">'Financial Planning Tool'!CL18</f>
        <v/>
      </c>
      <c r="EN17" t="str">
        <f t="shared" ca="1" si="48"/>
        <v/>
      </c>
      <c r="EO17" t="str">
        <f t="shared" ca="1" si="49"/>
        <v/>
      </c>
      <c r="EP17" s="1" t="str">
        <f t="shared" ca="1" si="50"/>
        <v/>
      </c>
      <c r="EQ17" s="1" t="str">
        <f t="shared" ca="1" si="51"/>
        <v/>
      </c>
      <c r="ER17" t="str">
        <f t="shared" ca="1" si="52"/>
        <v/>
      </c>
      <c r="ES17" t="str">
        <f t="shared" si="53"/>
        <v/>
      </c>
      <c r="ET17">
        <v>0</v>
      </c>
      <c r="EU17" s="22">
        <v>8</v>
      </c>
      <c r="EX17" s="21">
        <f ca="1">IF(EX16="","",IF(EX16+1&lt;=MAX('Financial Planning Tool'!$EL$10:$EL$209),EX16+1,""))</f>
        <v>7</v>
      </c>
      <c r="EY17" t="str">
        <f ca="1">IF(EX17&lt;&gt;"",VLOOKUP(EX17,'Financial Planning Tool'!$EL$10:$ER$209,2,FALSE),"")</f>
        <v>Annuity payment 1</v>
      </c>
      <c r="EZ17" t="str">
        <f ca="1">IF(EX17&lt;&gt;"",VLOOKUP(EX17,'Financial Planning Tool'!$EL$10:$ER$209,3,FALSE),"")</f>
        <v>Monthly</v>
      </c>
      <c r="FA17">
        <f ca="1">IF(EX17&lt;&gt;"",VLOOKUP(EX17,'Financial Planning Tool'!$EL$10:$ER$209,4,FALSE),"")</f>
        <v>35000</v>
      </c>
      <c r="FB17">
        <f t="shared" ca="1" si="61"/>
        <v>22809.762167523953</v>
      </c>
      <c r="FC17" s="1">
        <f ca="1">IF(EX17&lt;&gt;"",VLOOKUP(EX17,'Financial Planning Tool'!$EL$10:$ER$209,5,FALSE),"")</f>
        <v>49614</v>
      </c>
      <c r="FD17" s="1">
        <f ca="1">IF(EX17&lt;&gt;"",VLOOKUP(EX17,'Financial Planning Tool'!$EL$10:$ER$209,6,FALSE),"")</f>
        <v>82121</v>
      </c>
      <c r="FE17">
        <f ca="1">IF(EX17&lt;&gt;"",VLOOKUP(EX17,'Financial Planning Tool'!$EL$10:$ER$209,7,FALSE),"")</f>
        <v>4</v>
      </c>
      <c r="FF17" t="str">
        <f ca="1">IF(EX17&lt;&gt;"",VLOOKUP(EX17,'Financial Planning Tool'!$EL$10:$ES$209,8,FALSE),"")</f>
        <v>ap_a_n_1</v>
      </c>
      <c r="FG17">
        <f ca="1">IF(EX17&lt;&gt;"",VLOOKUP(EX17,'Financial Planning Tool'!$EL$10:$ET$209,9,FALSE),"")</f>
        <v>15.369412171403061</v>
      </c>
      <c r="FH17">
        <f t="shared" ca="1" si="55"/>
        <v>35000</v>
      </c>
      <c r="FI17" s="22">
        <f t="shared" ca="1" si="56"/>
        <v>22809.762167523953</v>
      </c>
      <c r="FK17" s="40" t="s">
        <v>66</v>
      </c>
      <c r="FL17" s="49">
        <v>2.5000000000000001E-2</v>
      </c>
    </row>
    <row r="18" spans="2:168" x14ac:dyDescent="0.25">
      <c r="B18" s="78"/>
      <c r="C18" s="76"/>
      <c r="D18" s="76"/>
      <c r="E18" s="76"/>
      <c r="F18" s="77"/>
      <c r="H18" t="str">
        <f>"End market value"&amp;IF(D25&lt;&gt;"",IF(D25=1," after "&amp;D25&amp;" year"," after "&amp;D25&amp;" years"),"")</f>
        <v>End market value after 36 years</v>
      </c>
      <c r="N18" s="194">
        <f ca="1">OFFSET($P$54,$C$25,0,1,1)</f>
        <v>240176.89</v>
      </c>
      <c r="O18" s="194"/>
      <c r="P18" s="194">
        <f ca="1">OFFSET($Q$54,$C$25,0,1,1)</f>
        <v>58523.6</v>
      </c>
      <c r="Q18" s="194"/>
      <c r="S18" s="18"/>
      <c r="T18" s="160">
        <v>2.5000000000000001E-2</v>
      </c>
      <c r="U18" s="161"/>
      <c r="V18" s="8" t="s">
        <v>121</v>
      </c>
      <c r="W18" s="68">
        <v>0</v>
      </c>
      <c r="X18" s="68">
        <v>0</v>
      </c>
      <c r="Y18" s="71">
        <v>43739</v>
      </c>
      <c r="Z18" s="71">
        <v>80233</v>
      </c>
      <c r="AA18" s="65">
        <v>0</v>
      </c>
      <c r="AE18">
        <v>2</v>
      </c>
      <c r="AN18" s="32">
        <f t="shared" ca="1" si="0"/>
        <v>55.75</v>
      </c>
      <c r="AO18" s="53">
        <f t="shared" ca="1" si="31"/>
        <v>45931</v>
      </c>
      <c r="AP18" s="22">
        <v>11</v>
      </c>
      <c r="AQ18" s="32">
        <f t="shared" ca="1" si="32"/>
        <v>702241.27401115082</v>
      </c>
      <c r="AR18" s="23">
        <f t="array" aca="1" ref="AR18" ca="1">SUM(IF(lsc_start_date=AO18,lsc_amount,0))</f>
        <v>0</v>
      </c>
      <c r="AS18" s="24">
        <f t="shared" ca="1" si="6"/>
        <v>0</v>
      </c>
      <c r="AT18" s="24">
        <f t="shared" ca="1" si="7"/>
        <v>0</v>
      </c>
      <c r="AU18" s="24">
        <f t="shared" ca="1" si="8"/>
        <v>0</v>
      </c>
      <c r="AV18" s="25">
        <f t="shared" ca="1" si="9"/>
        <v>0</v>
      </c>
      <c r="AW18" s="23">
        <f t="array" aca="1" ref="AW18" ca="1">SUM(IF(rcs_start_date&lt;=AO18,1,0)*IF(rcs_end_date&gt;=AO18,1,0)*rcs_amount*(1+rcs_escalation/100)^(INT((AP18-rcs_months_since_start)/12))*IF(MOD((AP18-rcs_months_since_start),rcs_frequency)=0,1,0)*IF(rcs_frequency=13,0,1))+SUM(IF(rcs_start_date=AO18,rcs_amount,0)*IF(rcs_frequency=13,1,0))</f>
        <v>4500</v>
      </c>
      <c r="AX18" s="24">
        <f t="shared" ca="1" si="10"/>
        <v>0</v>
      </c>
      <c r="AY18" s="24">
        <f t="shared" ca="1" si="11"/>
        <v>0</v>
      </c>
      <c r="AZ18" s="24">
        <f t="shared" ca="1" si="12"/>
        <v>0</v>
      </c>
      <c r="BA18" s="25">
        <f t="shared" ca="1" si="13"/>
        <v>4500</v>
      </c>
      <c r="BB18" s="23">
        <f t="array" aca="1" ref="BB18" ca="1">SUM(IF(w_start_date&lt;=AO18,1,0)*IF(w_end_date&gt;=AO18,1,0)*w_amount*(1+w_escalation/100)^(INT((AP18-w_months_since_start)/12))*IF(MOD(AP18-w_months_since_start,w_frequency)=0,1,0)*IF(w_frequency=13,0,1))+SUM(IF(w_start_date=AO18,w_amount,0)*IF(w_frequency=13,1,0))</f>
        <v>0</v>
      </c>
      <c r="BC18" s="25">
        <f t="shared" ca="1" si="14"/>
        <v>0</v>
      </c>
      <c r="BD18" s="24" t="b">
        <f t="shared" ca="1" si="15"/>
        <v>0</v>
      </c>
      <c r="BE18" s="24" t="b">
        <f t="shared" ca="1" si="16"/>
        <v>1</v>
      </c>
      <c r="BF18" s="23">
        <f t="array" aca="1" ref="BF18" ca="1">SUM(IF(BD18,1,0)*IF(ap_start_date&lt;=AO18,1,0)*IF(ap_end_date&gt;=AO18,1,0)*ap_amount*(1+ap_escalation/100)^(INT((AP18-ap_months_since_start)/12))*IF(MOD(AP18-ap_months_since_start,ap_frequency)=0,1,0))</f>
        <v>0</v>
      </c>
      <c r="BG18" s="24">
        <f t="shared" ca="1" si="17"/>
        <v>0</v>
      </c>
      <c r="BH18" s="24">
        <f t="shared" ca="1" si="18"/>
        <v>0</v>
      </c>
      <c r="BI18">
        <f t="shared" ca="1" si="19"/>
        <v>0</v>
      </c>
      <c r="BJ18" s="24">
        <f t="shared" ca="1" si="20"/>
        <v>0</v>
      </c>
      <c r="BK18">
        <f t="shared" ca="1" si="21"/>
        <v>0</v>
      </c>
      <c r="BL18" s="25">
        <f t="shared" ca="1" si="22"/>
        <v>0</v>
      </c>
      <c r="BM18" s="32">
        <f t="shared" ca="1" si="1"/>
        <v>711834.9868738075</v>
      </c>
      <c r="BN18" s="23">
        <f t="shared" ca="1" si="23"/>
        <v>0</v>
      </c>
      <c r="BO18" s="24">
        <f t="shared" ca="1" si="24"/>
        <v>0</v>
      </c>
      <c r="BP18" s="25">
        <f t="shared" ca="1" si="25"/>
        <v>0</v>
      </c>
      <c r="BQ18" s="34">
        <f t="shared" ca="1" si="26"/>
        <v>45961</v>
      </c>
      <c r="BR18" s="23">
        <f t="shared" ca="1" si="27"/>
        <v>711834.9868738075</v>
      </c>
      <c r="BS18" s="24">
        <f t="shared" ca="1" si="28"/>
        <v>4500</v>
      </c>
      <c r="BT18" s="24"/>
      <c r="BU18" s="24">
        <f t="shared" ca="1" si="29"/>
        <v>0</v>
      </c>
      <c r="BV18" s="24"/>
      <c r="BW18" s="24">
        <f t="shared" ca="1" si="30"/>
        <v>0</v>
      </c>
      <c r="BX18" s="25"/>
      <c r="BY18" s="23">
        <f t="shared" ca="1" si="2"/>
        <v>686697.45133528579</v>
      </c>
      <c r="BZ18" s="24">
        <f t="shared" ca="1" si="3"/>
        <v>4355.2998905908808</v>
      </c>
      <c r="CA18" s="24"/>
      <c r="CB18" s="24">
        <f t="shared" ca="1" si="4"/>
        <v>0</v>
      </c>
      <c r="CC18" s="24"/>
      <c r="CD18" s="24">
        <f t="shared" ca="1" si="5"/>
        <v>0</v>
      </c>
      <c r="CE18" s="25"/>
      <c r="CF18" s="23"/>
      <c r="CG18" s="25"/>
      <c r="CH18" s="32">
        <f ca="1">IFERROR(IF(MOD(AP18-ap_months_since_start,12)=0,ap_drawdown/100*(AQ18+AV18+BA18-BC18),CH17),0)</f>
        <v>0</v>
      </c>
      <c r="CJ18" s="168"/>
      <c r="CK18">
        <v>8</v>
      </c>
      <c r="CL18" t="str">
        <f t="shared" ca="1" si="33"/>
        <v/>
      </c>
      <c r="CM18" t="str">
        <f t="shared" ca="1" si="33"/>
        <v/>
      </c>
      <c r="CN18" s="1" t="str">
        <f t="shared" ca="1" si="33"/>
        <v/>
      </c>
      <c r="CO18" t="str">
        <f t="shared" si="34"/>
        <v/>
      </c>
      <c r="CP18" s="22">
        <f t="shared" ca="1" si="35"/>
        <v>0</v>
      </c>
      <c r="CR18" s="168"/>
      <c r="CS18">
        <v>8</v>
      </c>
      <c r="CT18" t="str">
        <f t="shared" ca="1" si="36"/>
        <v/>
      </c>
      <c r="CU18" t="str">
        <f t="shared" ca="1" si="36"/>
        <v/>
      </c>
      <c r="CV18" t="str">
        <f t="shared" ca="1" si="36"/>
        <v/>
      </c>
      <c r="CW18" s="1" t="str">
        <f t="shared" ca="1" si="36"/>
        <v/>
      </c>
      <c r="CX18" s="1" t="str">
        <f t="shared" ca="1" si="36"/>
        <v/>
      </c>
      <c r="CY18" t="str">
        <f t="shared" ca="1" si="36"/>
        <v/>
      </c>
      <c r="CZ18">
        <f t="shared" ca="1" si="37"/>
        <v>1</v>
      </c>
      <c r="DA18" t="str">
        <f t="shared" si="38"/>
        <v/>
      </c>
      <c r="DB18" s="22">
        <f t="shared" ca="1" si="39"/>
        <v>0</v>
      </c>
      <c r="DD18" s="168"/>
      <c r="DE18">
        <v>8</v>
      </c>
      <c r="DF18" t="str">
        <f t="shared" ca="1" si="40"/>
        <v/>
      </c>
      <c r="DG18" t="str">
        <f t="shared" ca="1" si="40"/>
        <v/>
      </c>
      <c r="DH18" t="str">
        <f t="shared" ca="1" si="40"/>
        <v/>
      </c>
      <c r="DI18" s="1" t="str">
        <f t="shared" ca="1" si="40"/>
        <v/>
      </c>
      <c r="DJ18" s="1" t="str">
        <f t="shared" ca="1" si="40"/>
        <v/>
      </c>
      <c r="DK18" t="str">
        <f t="shared" ca="1" si="40"/>
        <v/>
      </c>
      <c r="DL18">
        <f t="shared" ca="1" si="41"/>
        <v>1</v>
      </c>
      <c r="DM18" t="str">
        <f t="shared" si="42"/>
        <v/>
      </c>
      <c r="DN18" s="22">
        <f t="shared" ca="1" si="43"/>
        <v>0</v>
      </c>
      <c r="DP18" s="168"/>
      <c r="DQ18">
        <v>8</v>
      </c>
      <c r="DR18" t="str">
        <f t="shared" ca="1" si="44"/>
        <v/>
      </c>
      <c r="DS18" t="str">
        <f t="shared" ca="1" si="44"/>
        <v/>
      </c>
      <c r="DT18" t="str">
        <f t="shared" ca="1" si="44"/>
        <v/>
      </c>
      <c r="DU18" t="str">
        <f t="shared" ca="1" si="44"/>
        <v/>
      </c>
      <c r="DV18" t="str">
        <f t="shared" ca="1" si="44"/>
        <v/>
      </c>
      <c r="DW18" t="str">
        <f t="shared" ca="1" si="44"/>
        <v/>
      </c>
      <c r="DX18">
        <f t="shared" ca="1" si="57"/>
        <v>1</v>
      </c>
      <c r="DY18" t="str">
        <f t="shared" si="46"/>
        <v/>
      </c>
      <c r="DZ18">
        <f t="shared" ca="1" si="58"/>
        <v>0</v>
      </c>
      <c r="EA18" s="122">
        <f t="shared" ca="1" si="59"/>
        <v>82121</v>
      </c>
      <c r="EC18" s="41" t="s">
        <v>179</v>
      </c>
      <c r="EL18" s="21">
        <f t="shared" ca="1" si="60"/>
        <v>3</v>
      </c>
      <c r="EM18" t="str">
        <f ca="1">'Financial Planning Tool'!CL19</f>
        <v/>
      </c>
      <c r="EN18" t="str">
        <f t="shared" ca="1" si="48"/>
        <v/>
      </c>
      <c r="EO18" t="str">
        <f t="shared" ca="1" si="49"/>
        <v/>
      </c>
      <c r="EP18" s="1" t="str">
        <f t="shared" ca="1" si="50"/>
        <v/>
      </c>
      <c r="EQ18" s="1" t="str">
        <f t="shared" ca="1" si="51"/>
        <v/>
      </c>
      <c r="ER18" t="str">
        <f t="shared" ca="1" si="52"/>
        <v/>
      </c>
      <c r="ES18" t="str">
        <f t="shared" si="53"/>
        <v/>
      </c>
      <c r="ET18">
        <v>0</v>
      </c>
      <c r="EU18" s="22">
        <v>9</v>
      </c>
      <c r="EX18" s="21" t="str">
        <f ca="1">IF(EX17="","",IF(EX17+1&lt;=MAX('Financial Planning Tool'!$EL$10:$EL$209),EX17+1,""))</f>
        <v/>
      </c>
      <c r="EY18" t="str">
        <f ca="1">IF(EX18&lt;&gt;"",VLOOKUP(EX18,'Financial Planning Tool'!$EL$10:$ER$209,2,FALSE),"")</f>
        <v/>
      </c>
      <c r="EZ18" t="str">
        <f ca="1">IF(EX18&lt;&gt;"",VLOOKUP(EX18,'Financial Planning Tool'!$EL$10:$ER$209,3,FALSE),"")</f>
        <v/>
      </c>
      <c r="FA18" t="str">
        <f ca="1">IF(EX18&lt;&gt;"",VLOOKUP(EX18,'Financial Planning Tool'!$EL$10:$ER$209,4,FALSE),"")</f>
        <v/>
      </c>
      <c r="FB18" t="str">
        <f t="shared" ca="1" si="61"/>
        <v/>
      </c>
      <c r="FC18" s="1" t="str">
        <f ca="1">IF(EX18&lt;&gt;"",VLOOKUP(EX18,'Financial Planning Tool'!$EL$10:$ER$209,5,FALSE),"")</f>
        <v/>
      </c>
      <c r="FD18" s="1" t="str">
        <f ca="1">IF(EX18&lt;&gt;"",VLOOKUP(EX18,'Financial Planning Tool'!$EL$10:$ER$209,6,FALSE),"")</f>
        <v/>
      </c>
      <c r="FE18" t="str">
        <f ca="1">IF(EX18&lt;&gt;"",VLOOKUP(EX18,'Financial Planning Tool'!$EL$10:$ER$209,7,FALSE),"")</f>
        <v/>
      </c>
      <c r="FF18" t="str">
        <f ca="1">IF(EX18&lt;&gt;"",VLOOKUP(EX18,'Financial Planning Tool'!$EL$10:$ES$209,8,FALSE),"")</f>
        <v/>
      </c>
      <c r="FG18" t="str">
        <f ca="1">IF(EX18&lt;&gt;"",VLOOKUP(EX18,'Financial Planning Tool'!$EL$10:$ET$209,9,FALSE),"")</f>
        <v/>
      </c>
      <c r="FH18" t="str">
        <f t="shared" ca="1" si="55"/>
        <v/>
      </c>
      <c r="FI18" s="22" t="str">
        <f t="shared" ca="1" si="56"/>
        <v/>
      </c>
    </row>
    <row r="19" spans="2:168" x14ac:dyDescent="0.25">
      <c r="B19" s="78" t="s">
        <v>1</v>
      </c>
      <c r="C19" s="182" t="s">
        <v>209</v>
      </c>
      <c r="D19" s="192"/>
      <c r="E19" s="183"/>
      <c r="F19" s="77"/>
      <c r="S19" s="18"/>
      <c r="T19" s="160"/>
      <c r="U19" s="161"/>
      <c r="V19" s="8"/>
      <c r="W19" s="68"/>
      <c r="X19" s="68"/>
      <c r="Y19" s="71"/>
      <c r="Z19" s="71"/>
      <c r="AA19" s="65"/>
      <c r="AE19">
        <v>3</v>
      </c>
      <c r="AN19" s="32">
        <f t="shared" ca="1" si="0"/>
        <v>55.833333333333336</v>
      </c>
      <c r="AO19" s="53">
        <f t="shared" ca="1" si="31"/>
        <v>45962</v>
      </c>
      <c r="AP19" s="22">
        <v>12</v>
      </c>
      <c r="AQ19" s="32">
        <f t="shared" ca="1" si="32"/>
        <v>711834.9868738075</v>
      </c>
      <c r="AR19" s="23">
        <f t="array" aca="1" ref="AR19" ca="1">SUM(IF(lsc_start_date=AO19,lsc_amount,0))</f>
        <v>0</v>
      </c>
      <c r="AS19" s="24">
        <f t="shared" ca="1" si="6"/>
        <v>0</v>
      </c>
      <c r="AT19" s="24">
        <f t="shared" ca="1" si="7"/>
        <v>0</v>
      </c>
      <c r="AU19" s="24">
        <f t="shared" ca="1" si="8"/>
        <v>0</v>
      </c>
      <c r="AV19" s="25">
        <f t="shared" ca="1" si="9"/>
        <v>0</v>
      </c>
      <c r="AW19" s="23">
        <f t="array" aca="1" ref="AW19" ca="1">SUM(IF(rcs_start_date&lt;=AO19,1,0)*IF(rcs_end_date&gt;=AO19,1,0)*rcs_amount*(1+rcs_escalation/100)^(INT((AP19-rcs_months_since_start)/12))*IF(MOD((AP19-rcs_months_since_start),rcs_frequency)=0,1,0)*IF(rcs_frequency=13,0,1))+SUM(IF(rcs_start_date=AO19,rcs_amount,0)*IF(rcs_frequency=13,1,0))</f>
        <v>4500</v>
      </c>
      <c r="AX19" s="24">
        <f t="shared" ca="1" si="10"/>
        <v>0</v>
      </c>
      <c r="AY19" s="24">
        <f t="shared" ca="1" si="11"/>
        <v>0</v>
      </c>
      <c r="AZ19" s="24">
        <f t="shared" ca="1" si="12"/>
        <v>0</v>
      </c>
      <c r="BA19" s="25">
        <f t="shared" ca="1" si="13"/>
        <v>4500</v>
      </c>
      <c r="BB19" s="23">
        <f t="array" aca="1" ref="BB19" ca="1">SUM(IF(w_start_date&lt;=AO19,1,0)*IF(w_end_date&gt;=AO19,1,0)*w_amount*(1+w_escalation/100)^(INT((AP19-w_months_since_start)/12))*IF(MOD(AP19-w_months_since_start,w_frequency)=0,1,0)*IF(w_frequency=13,0,1))+SUM(IF(w_start_date=AO19,w_amount,0)*IF(w_frequency=13,1,0))</f>
        <v>0</v>
      </c>
      <c r="BC19" s="25">
        <f t="shared" ca="1" si="14"/>
        <v>0</v>
      </c>
      <c r="BD19" s="24" t="b">
        <f t="shared" ca="1" si="15"/>
        <v>0</v>
      </c>
      <c r="BE19" s="24" t="b">
        <f t="shared" ca="1" si="16"/>
        <v>1</v>
      </c>
      <c r="BF19" s="23">
        <f t="array" aca="1" ref="BF19" ca="1">SUM(IF(BD19,1,0)*IF(ap_start_date&lt;=AO19,1,0)*IF(ap_end_date&gt;=AO19,1,0)*ap_amount*(1+ap_escalation/100)^(INT((AP19-ap_months_since_start)/12))*IF(MOD(AP19-ap_months_since_start,ap_frequency)=0,1,0))</f>
        <v>0</v>
      </c>
      <c r="BG19" s="24">
        <f t="shared" ca="1" si="17"/>
        <v>0</v>
      </c>
      <c r="BH19" s="24">
        <f t="shared" ca="1" si="18"/>
        <v>0</v>
      </c>
      <c r="BI19">
        <f t="shared" ca="1" si="19"/>
        <v>0</v>
      </c>
      <c r="BJ19" s="24">
        <f t="shared" ca="1" si="20"/>
        <v>0</v>
      </c>
      <c r="BK19">
        <f t="shared" ca="1" si="21"/>
        <v>0</v>
      </c>
      <c r="BL19" s="25">
        <f t="shared" ca="1" si="22"/>
        <v>0</v>
      </c>
      <c r="BM19" s="32">
        <f t="shared" ca="1" si="1"/>
        <v>721497.84472686762</v>
      </c>
      <c r="BN19" s="23">
        <f t="shared" ca="1" si="23"/>
        <v>0</v>
      </c>
      <c r="BO19" s="24">
        <f t="shared" ca="1" si="24"/>
        <v>0</v>
      </c>
      <c r="BP19" s="25">
        <f t="shared" ca="1" si="25"/>
        <v>0</v>
      </c>
      <c r="BQ19" s="34">
        <f t="shared" ca="1" si="26"/>
        <v>45991</v>
      </c>
      <c r="BR19" s="23">
        <f t="shared" ca="1" si="27"/>
        <v>721497.84472686762</v>
      </c>
      <c r="BS19" s="24">
        <f t="shared" ca="1" si="28"/>
        <v>4500</v>
      </c>
      <c r="BT19" s="24">
        <f ca="1">SUM(BS8:BS19)</f>
        <v>664000</v>
      </c>
      <c r="BU19" s="24">
        <f t="shared" ca="1" si="29"/>
        <v>0</v>
      </c>
      <c r="BV19" s="24">
        <f ca="1">SUM(BU8:BU19)</f>
        <v>0</v>
      </c>
      <c r="BW19" s="24">
        <f t="shared" ca="1" si="30"/>
        <v>0</v>
      </c>
      <c r="BX19" s="25">
        <f ca="1">SUM(BW8:BW19)</f>
        <v>0</v>
      </c>
      <c r="BY19" s="23">
        <f t="shared" ca="1" si="2"/>
        <v>693747.927621988</v>
      </c>
      <c r="BZ19" s="24">
        <f t="shared" ca="1" si="3"/>
        <v>4341.0882971345136</v>
      </c>
      <c r="CA19" s="24">
        <f ca="1">SUM(BZ8:BZ19)</f>
        <v>663041.33603702311</v>
      </c>
      <c r="CB19" s="24">
        <f t="shared" ca="1" si="4"/>
        <v>0</v>
      </c>
      <c r="CC19" s="24">
        <f ca="1">SUM(CB8:CB19)</f>
        <v>0</v>
      </c>
      <c r="CD19" s="24">
        <f t="shared" ca="1" si="5"/>
        <v>0</v>
      </c>
      <c r="CE19" s="25">
        <f ca="1">SUM(CD8:CD19)</f>
        <v>0</v>
      </c>
      <c r="CF19" s="23">
        <f ca="1">SUM(BF8:BF19)</f>
        <v>0</v>
      </c>
      <c r="CG19" s="25">
        <f t="array" aca="1" ref="CG19" ca="1">SUM(BF8:BF19/(1+inflation/100)^(AP8:AP19/12))</f>
        <v>0</v>
      </c>
      <c r="CH19" s="32">
        <f ca="1">IFERROR(IF(MOD(AP19-ap_months_since_start,12)=0,ap_drawdown/100*(AQ19+AV19+BA19-BC19),CH18),0)</f>
        <v>110096.47666060149</v>
      </c>
      <c r="CJ19" s="168"/>
      <c r="CK19">
        <v>9</v>
      </c>
      <c r="CL19" t="str">
        <f t="shared" ca="1" si="33"/>
        <v/>
      </c>
      <c r="CM19" t="str">
        <f t="shared" ca="1" si="33"/>
        <v/>
      </c>
      <c r="CN19" s="1" t="str">
        <f t="shared" ca="1" si="33"/>
        <v/>
      </c>
      <c r="CO19" t="str">
        <f t="shared" si="34"/>
        <v/>
      </c>
      <c r="CP19" s="22">
        <f t="shared" ca="1" si="35"/>
        <v>0</v>
      </c>
      <c r="CR19" s="168"/>
      <c r="CS19">
        <v>9</v>
      </c>
      <c r="CT19" t="str">
        <f t="shared" ca="1" si="36"/>
        <v/>
      </c>
      <c r="CU19" t="str">
        <f t="shared" ca="1" si="36"/>
        <v/>
      </c>
      <c r="CV19" t="str">
        <f t="shared" ca="1" si="36"/>
        <v/>
      </c>
      <c r="CW19" s="1" t="str">
        <f t="shared" ca="1" si="36"/>
        <v/>
      </c>
      <c r="CX19" s="1" t="str">
        <f t="shared" ca="1" si="36"/>
        <v/>
      </c>
      <c r="CY19" t="str">
        <f t="shared" ca="1" si="36"/>
        <v/>
      </c>
      <c r="CZ19">
        <f t="shared" ca="1" si="37"/>
        <v>1</v>
      </c>
      <c r="DA19" t="str">
        <f t="shared" si="38"/>
        <v/>
      </c>
      <c r="DB19" s="22">
        <f t="shared" ca="1" si="39"/>
        <v>0</v>
      </c>
      <c r="DD19" s="168"/>
      <c r="DE19">
        <v>9</v>
      </c>
      <c r="DF19" t="str">
        <f t="shared" ca="1" si="40"/>
        <v/>
      </c>
      <c r="DG19" t="str">
        <f t="shared" ca="1" si="40"/>
        <v/>
      </c>
      <c r="DH19" t="str">
        <f t="shared" ca="1" si="40"/>
        <v/>
      </c>
      <c r="DI19" s="1" t="str">
        <f t="shared" ca="1" si="40"/>
        <v/>
      </c>
      <c r="DJ19" s="1" t="str">
        <f t="shared" ca="1" si="40"/>
        <v/>
      </c>
      <c r="DK19" t="str">
        <f t="shared" ca="1" si="40"/>
        <v/>
      </c>
      <c r="DL19">
        <f t="shared" ca="1" si="41"/>
        <v>1</v>
      </c>
      <c r="DM19" t="str">
        <f t="shared" si="42"/>
        <v/>
      </c>
      <c r="DN19" s="22">
        <f t="shared" ca="1" si="43"/>
        <v>0</v>
      </c>
      <c r="DP19" s="168"/>
      <c r="DQ19">
        <v>9</v>
      </c>
      <c r="DR19" t="str">
        <f t="shared" ca="1" si="44"/>
        <v/>
      </c>
      <c r="DS19" t="str">
        <f t="shared" ca="1" si="44"/>
        <v/>
      </c>
      <c r="DT19" t="str">
        <f t="shared" ca="1" si="44"/>
        <v/>
      </c>
      <c r="DU19" t="str">
        <f t="shared" ca="1" si="44"/>
        <v/>
      </c>
      <c r="DV19" t="str">
        <f t="shared" ca="1" si="44"/>
        <v/>
      </c>
      <c r="DW19" t="str">
        <f t="shared" ca="1" si="44"/>
        <v/>
      </c>
      <c r="DX19">
        <f t="shared" ca="1" si="57"/>
        <v>1</v>
      </c>
      <c r="DY19" t="str">
        <f t="shared" si="46"/>
        <v/>
      </c>
      <c r="DZ19">
        <f t="shared" ca="1" si="58"/>
        <v>0</v>
      </c>
      <c r="EA19" s="122">
        <f t="shared" ca="1" si="59"/>
        <v>82121</v>
      </c>
      <c r="EL19" s="21">
        <f t="shared" ca="1" si="60"/>
        <v>3</v>
      </c>
      <c r="EM19" t="str">
        <f ca="1">'Financial Planning Tool'!CL20</f>
        <v/>
      </c>
      <c r="EN19" t="str">
        <f t="shared" ca="1" si="48"/>
        <v/>
      </c>
      <c r="EO19" t="str">
        <f t="shared" ca="1" si="49"/>
        <v/>
      </c>
      <c r="EP19" s="1" t="str">
        <f t="shared" ca="1" si="50"/>
        <v/>
      </c>
      <c r="EQ19" s="1" t="str">
        <f t="shared" ca="1" si="51"/>
        <v/>
      </c>
      <c r="ER19" t="str">
        <f t="shared" ca="1" si="52"/>
        <v/>
      </c>
      <c r="ES19" t="str">
        <f t="shared" si="53"/>
        <v/>
      </c>
      <c r="ET19">
        <v>0</v>
      </c>
      <c r="EU19" s="22">
        <v>10</v>
      </c>
      <c r="EX19" s="21" t="str">
        <f ca="1">IF(EX18="","",IF(EX18+1&lt;=MAX('Financial Planning Tool'!$EL$10:$EL$209),EX18+1,""))</f>
        <v/>
      </c>
      <c r="EY19" t="str">
        <f ca="1">IF(EX19&lt;&gt;"",VLOOKUP(EX19,'Financial Planning Tool'!$EL$10:$ER$209,2,FALSE),"")</f>
        <v/>
      </c>
      <c r="EZ19" t="str">
        <f ca="1">IF(EX19&lt;&gt;"",VLOOKUP(EX19,'Financial Planning Tool'!$EL$10:$ER$209,3,FALSE),"")</f>
        <v/>
      </c>
      <c r="FA19" t="str">
        <f ca="1">IF(EX19&lt;&gt;"",VLOOKUP(EX19,'Financial Planning Tool'!$EL$10:$ER$209,4,FALSE),"")</f>
        <v/>
      </c>
      <c r="FB19" t="str">
        <f t="shared" ca="1" si="61"/>
        <v/>
      </c>
      <c r="FC19" s="1" t="str">
        <f ca="1">IF(EX19&lt;&gt;"",VLOOKUP(EX19,'Financial Planning Tool'!$EL$10:$ER$209,5,FALSE),"")</f>
        <v/>
      </c>
      <c r="FD19" s="1" t="str">
        <f ca="1">IF(EX19&lt;&gt;"",VLOOKUP(EX19,'Financial Planning Tool'!$EL$10:$ER$209,6,FALSE),"")</f>
        <v/>
      </c>
      <c r="FE19" t="str">
        <f ca="1">IF(EX19&lt;&gt;"",VLOOKUP(EX19,'Financial Planning Tool'!$EL$10:$ER$209,7,FALSE),"")</f>
        <v/>
      </c>
      <c r="FF19" t="str">
        <f ca="1">IF(EX19&lt;&gt;"",VLOOKUP(EX19,'Financial Planning Tool'!$EL$10:$ES$209,8,FALSE),"")</f>
        <v/>
      </c>
      <c r="FG19" t="str">
        <f ca="1">IF(EX19&lt;&gt;"",VLOOKUP(EX19,'Financial Planning Tool'!$EL$10:$ET$209,9,FALSE),"")</f>
        <v/>
      </c>
      <c r="FH19" t="str">
        <f t="shared" ca="1" si="55"/>
        <v/>
      </c>
      <c r="FI19" s="22" t="str">
        <f t="shared" ca="1" si="56"/>
        <v/>
      </c>
      <c r="FK19" s="30" t="s">
        <v>125</v>
      </c>
    </row>
    <row r="20" spans="2:168" x14ac:dyDescent="0.25">
      <c r="B20" s="78" t="s">
        <v>146</v>
      </c>
      <c r="C20" s="193">
        <v>25569</v>
      </c>
      <c r="D20" s="192"/>
      <c r="E20" s="183"/>
      <c r="F20" s="77"/>
      <c r="S20" s="18"/>
      <c r="T20" s="160"/>
      <c r="U20" s="161"/>
      <c r="V20" s="8"/>
      <c r="W20" s="68"/>
      <c r="X20" s="68"/>
      <c r="Y20" s="71"/>
      <c r="Z20" s="71"/>
      <c r="AA20" s="65"/>
      <c r="AE20">
        <v>4</v>
      </c>
      <c r="AF20" s="36"/>
      <c r="AG20" s="39"/>
      <c r="AH20" s="39"/>
      <c r="AI20" s="39" t="s">
        <v>31</v>
      </c>
      <c r="AJ20" s="51" t="b">
        <v>1</v>
      </c>
      <c r="AN20" s="32">
        <f t="shared" ca="1" si="0"/>
        <v>55.916666666666664</v>
      </c>
      <c r="AO20" s="53">
        <f t="shared" ca="1" si="31"/>
        <v>45992</v>
      </c>
      <c r="AP20" s="22">
        <v>13</v>
      </c>
      <c r="AQ20" s="32">
        <f t="shared" ca="1" si="32"/>
        <v>721497.84472686762</v>
      </c>
      <c r="AR20" s="23">
        <f t="array" aca="1" ref="AR20" ca="1">SUM(IF(lsc_start_date=AO20,lsc_amount,0))</f>
        <v>0</v>
      </c>
      <c r="AS20" s="24">
        <f t="shared" ca="1" si="6"/>
        <v>0</v>
      </c>
      <c r="AT20" s="24">
        <f t="shared" ca="1" si="7"/>
        <v>0</v>
      </c>
      <c r="AU20" s="24">
        <f t="shared" ca="1" si="8"/>
        <v>0</v>
      </c>
      <c r="AV20" s="25">
        <f t="shared" ca="1" si="9"/>
        <v>0</v>
      </c>
      <c r="AW20" s="23">
        <f t="array" aca="1" ref="AW20" ca="1">SUM(IF(rcs_start_date&lt;=AO20,1,0)*IF(rcs_end_date&gt;=AO20,1,0)*rcs_amount*(1+rcs_escalation/100)^(INT((AP20-rcs_months_since_start)/12))*IF(MOD((AP20-rcs_months_since_start),rcs_frequency)=0,1,0)*IF(rcs_frequency=13,0,1))+SUM(IF(rcs_start_date=AO20,rcs_amount,0)*IF(rcs_frequency=13,1,0))</f>
        <v>4680</v>
      </c>
      <c r="AX20" s="24">
        <f t="shared" ca="1" si="10"/>
        <v>0</v>
      </c>
      <c r="AY20" s="24">
        <f t="shared" ca="1" si="11"/>
        <v>0</v>
      </c>
      <c r="AZ20" s="24">
        <f t="shared" ca="1" si="12"/>
        <v>0</v>
      </c>
      <c r="BA20" s="25">
        <f t="shared" ca="1" si="13"/>
        <v>4680</v>
      </c>
      <c r="BB20" s="23">
        <f t="array" aca="1" ref="BB20" ca="1">SUM(IF(w_start_date&lt;=AO20,1,0)*IF(w_end_date&gt;=AO20,1,0)*w_amount*(1+w_escalation/100)^(INT((AP20-w_months_since_start)/12))*IF(MOD(AP20-w_months_since_start,w_frequency)=0,1,0)*IF(w_frequency=13,0,1))+SUM(IF(w_start_date=AO20,w_amount,0)*IF(w_frequency=13,1,0))</f>
        <v>0</v>
      </c>
      <c r="BC20" s="25">
        <f t="shared" ca="1" si="14"/>
        <v>0</v>
      </c>
      <c r="BD20" s="24" t="b">
        <f t="shared" ca="1" si="15"/>
        <v>0</v>
      </c>
      <c r="BE20" s="24" t="b">
        <f t="shared" ca="1" si="16"/>
        <v>1</v>
      </c>
      <c r="BF20" s="23">
        <f t="array" aca="1" ref="BF20" ca="1">SUM(IF(BD20,1,0)*IF(ap_start_date&lt;=AO20,1,0)*IF(ap_end_date&gt;=AO20,1,0)*ap_amount*(1+ap_escalation/100)^(INT((AP20-ap_months_since_start)/12))*IF(MOD(AP20-ap_months_since_start,ap_frequency)=0,1,0))</f>
        <v>0</v>
      </c>
      <c r="BG20" s="24">
        <f t="shared" ca="1" si="17"/>
        <v>0</v>
      </c>
      <c r="BH20" s="24">
        <f t="shared" ca="1" si="18"/>
        <v>0</v>
      </c>
      <c r="BI20">
        <f t="shared" ca="1" si="19"/>
        <v>0</v>
      </c>
      <c r="BJ20" s="24">
        <f t="shared" ca="1" si="20"/>
        <v>0</v>
      </c>
      <c r="BK20">
        <f t="shared" ca="1" si="21"/>
        <v>0</v>
      </c>
      <c r="BL20" s="25">
        <f t="shared" ca="1" si="22"/>
        <v>0</v>
      </c>
      <c r="BM20" s="32">
        <f t="shared" ca="1" si="1"/>
        <v>731411.64323882945</v>
      </c>
      <c r="BN20" s="23">
        <f t="shared" ca="1" si="23"/>
        <v>0</v>
      </c>
      <c r="BO20" s="24">
        <f t="shared" ca="1" si="24"/>
        <v>0</v>
      </c>
      <c r="BP20" s="25">
        <f t="shared" ca="1" si="25"/>
        <v>0</v>
      </c>
      <c r="BQ20" s="34">
        <f t="shared" ca="1" si="26"/>
        <v>46022</v>
      </c>
      <c r="BR20" s="23">
        <f t="shared" ca="1" si="27"/>
        <v>731411.64323882945</v>
      </c>
      <c r="BS20" s="24">
        <f t="shared" ca="1" si="28"/>
        <v>4680</v>
      </c>
      <c r="BT20" s="24">
        <f t="shared" ref="BT20:BT83" ca="1" si="62">SUM(BS9:BS20)</f>
        <v>54180</v>
      </c>
      <c r="BU20" s="24">
        <f t="shared" ca="1" si="29"/>
        <v>0</v>
      </c>
      <c r="BV20" s="24">
        <f t="shared" ref="BV20:BV83" ca="1" si="63">SUM(BU9:BU20)</f>
        <v>0</v>
      </c>
      <c r="BW20" s="24">
        <f t="shared" ca="1" si="30"/>
        <v>0</v>
      </c>
      <c r="BX20" s="25">
        <f t="shared" ref="BX20:BX83" ca="1" si="64">SUM(BW9:BW20)</f>
        <v>0</v>
      </c>
      <c r="BY20" s="23">
        <f t="shared" ca="1" si="2"/>
        <v>700985.58180527831</v>
      </c>
      <c r="BZ20" s="24">
        <f t="shared" ca="1" si="3"/>
        <v>4500</v>
      </c>
      <c r="CA20" s="24">
        <f t="shared" ref="CA20:CA83" ca="1" si="65">SUM(BZ9:BZ20)</f>
        <v>53041.336037023044</v>
      </c>
      <c r="CB20" s="24">
        <f t="shared" ca="1" si="4"/>
        <v>0</v>
      </c>
      <c r="CC20" s="24">
        <f t="shared" ref="CC20:CC83" ca="1" si="66">SUM(CB9:CB20)</f>
        <v>0</v>
      </c>
      <c r="CD20" s="24">
        <f t="shared" ca="1" si="5"/>
        <v>0</v>
      </c>
      <c r="CE20" s="25">
        <f t="shared" ref="CE20:CE83" ca="1" si="67">SUM(CD9:CD20)</f>
        <v>0</v>
      </c>
      <c r="CF20" s="23">
        <f t="shared" ref="CF20:CF83" ca="1" si="68">SUM(BF9:BF20)</f>
        <v>0</v>
      </c>
      <c r="CG20" s="25">
        <f t="array" aca="1" ref="CG20" ca="1">SUM(BF9:BF20/(1+inflation/100)^(AP9:AP20/12))</f>
        <v>0</v>
      </c>
      <c r="CH20" s="32">
        <f ca="1">IFERROR(IF(MOD(AP20-ap_months_since_start,12)=0,ap_drawdown/100*(AQ20+AV20+BA20-BC20),CH19),0)</f>
        <v>110096.47666060149</v>
      </c>
      <c r="CJ20" s="168"/>
      <c r="CK20">
        <v>10</v>
      </c>
      <c r="CL20" t="str">
        <f t="shared" ca="1" si="33"/>
        <v/>
      </c>
      <c r="CM20" t="str">
        <f t="shared" ca="1" si="33"/>
        <v/>
      </c>
      <c r="CN20" s="1" t="str">
        <f t="shared" ca="1" si="33"/>
        <v/>
      </c>
      <c r="CO20" t="str">
        <f t="shared" si="34"/>
        <v/>
      </c>
      <c r="CP20" s="22">
        <f t="shared" ca="1" si="35"/>
        <v>0</v>
      </c>
      <c r="CR20" s="168"/>
      <c r="CS20">
        <v>10</v>
      </c>
      <c r="CT20" t="str">
        <f t="shared" ca="1" si="36"/>
        <v/>
      </c>
      <c r="CU20" t="str">
        <f t="shared" ca="1" si="36"/>
        <v/>
      </c>
      <c r="CV20" t="str">
        <f t="shared" ca="1" si="36"/>
        <v/>
      </c>
      <c r="CW20" s="1" t="str">
        <f t="shared" ca="1" si="36"/>
        <v/>
      </c>
      <c r="CX20" s="1" t="str">
        <f t="shared" ca="1" si="36"/>
        <v/>
      </c>
      <c r="CY20" t="str">
        <f t="shared" ca="1" si="36"/>
        <v/>
      </c>
      <c r="CZ20">
        <f t="shared" ca="1" si="37"/>
        <v>1</v>
      </c>
      <c r="DA20" t="str">
        <f t="shared" si="38"/>
        <v/>
      </c>
      <c r="DB20" s="22">
        <f t="shared" ca="1" si="39"/>
        <v>0</v>
      </c>
      <c r="DD20" s="168"/>
      <c r="DE20">
        <v>10</v>
      </c>
      <c r="DF20" t="str">
        <f t="shared" ca="1" si="40"/>
        <v/>
      </c>
      <c r="DG20" t="str">
        <f t="shared" ca="1" si="40"/>
        <v/>
      </c>
      <c r="DH20" t="str">
        <f t="shared" ca="1" si="40"/>
        <v/>
      </c>
      <c r="DI20" s="1" t="str">
        <f t="shared" ca="1" si="40"/>
        <v/>
      </c>
      <c r="DJ20" s="1" t="str">
        <f t="shared" ca="1" si="40"/>
        <v/>
      </c>
      <c r="DK20" t="str">
        <f t="shared" ca="1" si="40"/>
        <v/>
      </c>
      <c r="DL20">
        <f t="shared" ca="1" si="41"/>
        <v>1</v>
      </c>
      <c r="DM20" t="str">
        <f t="shared" si="42"/>
        <v/>
      </c>
      <c r="DN20" s="22">
        <f t="shared" ca="1" si="43"/>
        <v>0</v>
      </c>
      <c r="DP20" s="168"/>
      <c r="DQ20">
        <v>10</v>
      </c>
      <c r="DR20" t="str">
        <f t="shared" ca="1" si="44"/>
        <v/>
      </c>
      <c r="DS20" t="str">
        <f t="shared" ca="1" si="44"/>
        <v/>
      </c>
      <c r="DT20" t="str">
        <f t="shared" ca="1" si="44"/>
        <v/>
      </c>
      <c r="DU20" t="str">
        <f t="shared" ca="1" si="44"/>
        <v/>
      </c>
      <c r="DV20" t="str">
        <f t="shared" ca="1" si="44"/>
        <v/>
      </c>
      <c r="DW20" t="str">
        <f t="shared" ca="1" si="44"/>
        <v/>
      </c>
      <c r="DX20">
        <f t="shared" ca="1" si="57"/>
        <v>1</v>
      </c>
      <c r="DY20" t="str">
        <f t="shared" si="46"/>
        <v/>
      </c>
      <c r="DZ20">
        <f t="shared" ca="1" si="58"/>
        <v>0</v>
      </c>
      <c r="EA20" s="122">
        <f t="shared" ca="1" si="59"/>
        <v>82121</v>
      </c>
      <c r="EC20" s="121" t="s">
        <v>65</v>
      </c>
      <c r="EL20" s="21">
        <f t="shared" ca="1" si="60"/>
        <v>3</v>
      </c>
      <c r="EM20" t="str">
        <f ca="1">'Financial Planning Tool'!CL21</f>
        <v/>
      </c>
      <c r="EN20" t="str">
        <f t="shared" ca="1" si="48"/>
        <v/>
      </c>
      <c r="EO20" t="str">
        <f t="shared" ca="1" si="49"/>
        <v/>
      </c>
      <c r="EP20" s="1" t="str">
        <f t="shared" ca="1" si="50"/>
        <v/>
      </c>
      <c r="EQ20" s="1" t="str">
        <f t="shared" ca="1" si="51"/>
        <v/>
      </c>
      <c r="ER20" t="str">
        <f t="shared" ca="1" si="52"/>
        <v/>
      </c>
      <c r="ES20" t="str">
        <f t="shared" si="53"/>
        <v/>
      </c>
      <c r="ET20">
        <v>0</v>
      </c>
      <c r="EU20" s="22">
        <v>11</v>
      </c>
      <c r="EX20" s="21" t="str">
        <f ca="1">IF(EX19="","",IF(EX19+1&lt;=MAX('Financial Planning Tool'!$EL$10:$EL$209),EX19+1,""))</f>
        <v/>
      </c>
      <c r="EY20" t="str">
        <f ca="1">IF(EX20&lt;&gt;"",VLOOKUP(EX20,'Financial Planning Tool'!$EL$10:$ER$209,2,FALSE),"")</f>
        <v/>
      </c>
      <c r="EZ20" t="str">
        <f ca="1">IF(EX20&lt;&gt;"",VLOOKUP(EX20,'Financial Planning Tool'!$EL$10:$ER$209,3,FALSE),"")</f>
        <v/>
      </c>
      <c r="FA20" t="str">
        <f ca="1">IF(EX20&lt;&gt;"",VLOOKUP(EX20,'Financial Planning Tool'!$EL$10:$ER$209,4,FALSE),"")</f>
        <v/>
      </c>
      <c r="FB20" t="str">
        <f t="shared" ca="1" si="61"/>
        <v/>
      </c>
      <c r="FC20" s="1" t="str">
        <f ca="1">IF(EX20&lt;&gt;"",VLOOKUP(EX20,'Financial Planning Tool'!$EL$10:$ER$209,5,FALSE),"")</f>
        <v/>
      </c>
      <c r="FD20" s="1" t="str">
        <f ca="1">IF(EX20&lt;&gt;"",VLOOKUP(EX20,'Financial Planning Tool'!$EL$10:$ER$209,6,FALSE),"")</f>
        <v/>
      </c>
      <c r="FE20" t="str">
        <f ca="1">IF(EX20&lt;&gt;"",VLOOKUP(EX20,'Financial Planning Tool'!$EL$10:$ER$209,7,FALSE),"")</f>
        <v/>
      </c>
      <c r="FF20" t="str">
        <f ca="1">IF(EX20&lt;&gt;"",VLOOKUP(EX20,'Financial Planning Tool'!$EL$10:$ES$209,8,FALSE),"")</f>
        <v/>
      </c>
      <c r="FG20" t="str">
        <f ca="1">IF(EX20&lt;&gt;"",VLOOKUP(EX20,'Financial Planning Tool'!$EL$10:$ET$209,9,FALSE),"")</f>
        <v/>
      </c>
      <c r="FH20" t="str">
        <f t="shared" ca="1" si="55"/>
        <v/>
      </c>
      <c r="FI20" s="22" t="str">
        <f t="shared" ca="1" si="56"/>
        <v/>
      </c>
      <c r="FK20" s="31" t="s">
        <v>126</v>
      </c>
    </row>
    <row r="21" spans="2:168" x14ac:dyDescent="0.25">
      <c r="B21" s="78"/>
      <c r="C21" s="76"/>
      <c r="D21" s="76"/>
      <c r="E21" s="76"/>
      <c r="F21" s="77"/>
      <c r="S21" s="18"/>
      <c r="T21" s="160"/>
      <c r="U21" s="161"/>
      <c r="V21" s="8"/>
      <c r="W21" s="68"/>
      <c r="X21" s="68"/>
      <c r="Y21" s="71"/>
      <c r="Z21" s="71"/>
      <c r="AA21" s="65"/>
      <c r="AE21">
        <v>5</v>
      </c>
      <c r="AF21" s="21"/>
      <c r="AG21" s="186" t="s">
        <v>32</v>
      </c>
      <c r="AH21" s="186"/>
      <c r="AI21" s="186"/>
      <c r="AJ21" s="187"/>
      <c r="AN21" s="32">
        <f t="shared" ca="1" si="0"/>
        <v>56</v>
      </c>
      <c r="AO21" s="53">
        <f t="shared" ca="1" si="31"/>
        <v>46023</v>
      </c>
      <c r="AP21" s="22">
        <v>14</v>
      </c>
      <c r="AQ21" s="32">
        <f t="shared" ca="1" si="32"/>
        <v>731411.64323882945</v>
      </c>
      <c r="AR21" s="23">
        <f t="array" aca="1" ref="AR21" ca="1">SUM(IF(lsc_start_date=AO21,lsc_amount,0))</f>
        <v>0</v>
      </c>
      <c r="AS21" s="24">
        <f t="shared" ca="1" si="6"/>
        <v>0</v>
      </c>
      <c r="AT21" s="24">
        <f t="shared" ca="1" si="7"/>
        <v>0</v>
      </c>
      <c r="AU21" s="24">
        <f t="shared" ca="1" si="8"/>
        <v>0</v>
      </c>
      <c r="AV21" s="25">
        <f t="shared" ca="1" si="9"/>
        <v>0</v>
      </c>
      <c r="AW21" s="23">
        <f t="array" aca="1" ref="AW21" ca="1">SUM(IF(rcs_start_date&lt;=AO21,1,0)*IF(rcs_end_date&gt;=AO21,1,0)*rcs_amount*(1+rcs_escalation/100)^(INT((AP21-rcs_months_since_start)/12))*IF(MOD((AP21-rcs_months_since_start),rcs_frequency)=0,1,0)*IF(rcs_frequency=13,0,1))+SUM(IF(rcs_start_date=AO21,rcs_amount,0)*IF(rcs_frequency=13,1,0))</f>
        <v>4680</v>
      </c>
      <c r="AX21" s="24">
        <f t="shared" ca="1" si="10"/>
        <v>0</v>
      </c>
      <c r="AY21" s="24">
        <f t="shared" ca="1" si="11"/>
        <v>0</v>
      </c>
      <c r="AZ21" s="24">
        <f t="shared" ca="1" si="12"/>
        <v>0</v>
      </c>
      <c r="BA21" s="25">
        <f t="shared" ca="1" si="13"/>
        <v>4680</v>
      </c>
      <c r="BB21" s="23">
        <f t="array" aca="1" ref="BB21" ca="1">SUM(IF(w_start_date&lt;=AO21,1,0)*IF(w_end_date&gt;=AO21,1,0)*w_amount*(1+w_escalation/100)^(INT((AP21-w_months_since_start)/12))*IF(MOD(AP21-w_months_since_start,w_frequency)=0,1,0)*IF(w_frequency=13,0,1))+SUM(IF(w_start_date=AO21,w_amount,0)*IF(w_frequency=13,1,0))</f>
        <v>0</v>
      </c>
      <c r="BC21" s="25">
        <f t="shared" ca="1" si="14"/>
        <v>0</v>
      </c>
      <c r="BD21" s="24" t="b">
        <f t="shared" ca="1" si="15"/>
        <v>0</v>
      </c>
      <c r="BE21" s="24" t="b">
        <f t="shared" ca="1" si="16"/>
        <v>1</v>
      </c>
      <c r="BF21" s="23">
        <f t="array" aca="1" ref="BF21" ca="1">SUM(IF(BD21,1,0)*IF(ap_start_date&lt;=AO21,1,0)*IF(ap_end_date&gt;=AO21,1,0)*ap_amount*(1+ap_escalation/100)^(INT((AP21-ap_months_since_start)/12))*IF(MOD(AP21-ap_months_since_start,ap_frequency)=0,1,0))</f>
        <v>0</v>
      </c>
      <c r="BG21" s="24">
        <f t="shared" ca="1" si="17"/>
        <v>0</v>
      </c>
      <c r="BH21" s="24">
        <f t="shared" ca="1" si="18"/>
        <v>0</v>
      </c>
      <c r="BI21">
        <f t="shared" ca="1" si="19"/>
        <v>0</v>
      </c>
      <c r="BJ21" s="24">
        <f t="shared" ca="1" si="20"/>
        <v>0</v>
      </c>
      <c r="BK21">
        <f t="shared" ca="1" si="21"/>
        <v>0</v>
      </c>
      <c r="BL21" s="25">
        <f t="shared" ca="1" si="22"/>
        <v>0</v>
      </c>
      <c r="BM21" s="32">
        <f t="shared" ca="1" si="1"/>
        <v>741396.893701958</v>
      </c>
      <c r="BN21" s="23">
        <f t="shared" ca="1" si="23"/>
        <v>0</v>
      </c>
      <c r="BO21" s="24">
        <f t="shared" ca="1" si="24"/>
        <v>0</v>
      </c>
      <c r="BP21" s="25">
        <f t="shared" ca="1" si="25"/>
        <v>0</v>
      </c>
      <c r="BQ21" s="34">
        <f t="shared" ca="1" si="26"/>
        <v>46053</v>
      </c>
      <c r="BR21" s="23">
        <f t="shared" ca="1" si="27"/>
        <v>741396.893701958</v>
      </c>
      <c r="BS21" s="24">
        <f t="shared" ca="1" si="28"/>
        <v>4680</v>
      </c>
      <c r="BT21" s="24">
        <f t="shared" ca="1" si="62"/>
        <v>54360</v>
      </c>
      <c r="BU21" s="24">
        <f t="shared" ca="1" si="29"/>
        <v>0</v>
      </c>
      <c r="BV21" s="24">
        <f t="shared" ca="1" si="63"/>
        <v>0</v>
      </c>
      <c r="BW21" s="24">
        <f t="shared" ca="1" si="30"/>
        <v>0</v>
      </c>
      <c r="BX21" s="25">
        <f t="shared" ca="1" si="64"/>
        <v>0</v>
      </c>
      <c r="BY21" s="23">
        <f t="shared" ca="1" si="2"/>
        <v>708236.87167738215</v>
      </c>
      <c r="BZ21" s="24">
        <f t="shared" ca="1" si="3"/>
        <v>4485.3162417835301</v>
      </c>
      <c r="CA21" s="24">
        <f t="shared" ca="1" si="65"/>
        <v>53041.336037023051</v>
      </c>
      <c r="CB21" s="24">
        <f t="shared" ca="1" si="4"/>
        <v>0</v>
      </c>
      <c r="CC21" s="24">
        <f t="shared" ca="1" si="66"/>
        <v>0</v>
      </c>
      <c r="CD21" s="24">
        <f t="shared" ca="1" si="5"/>
        <v>0</v>
      </c>
      <c r="CE21" s="25">
        <f t="shared" ca="1" si="67"/>
        <v>0</v>
      </c>
      <c r="CF21" s="23">
        <f t="shared" ca="1" si="68"/>
        <v>0</v>
      </c>
      <c r="CG21" s="25">
        <f t="array" aca="1" ref="CG21" ca="1">SUM(BF10:BF21/(1+inflation/100)^(AP10:AP21/12))</f>
        <v>0</v>
      </c>
      <c r="CH21" s="32">
        <f ca="1">IFERROR(IF(MOD(AP21-ap_months_since_start,12)=0,ap_drawdown/100*(AQ21+AV21+BA21-BC21),CH20),0)</f>
        <v>110096.47666060149</v>
      </c>
      <c r="CJ21" s="168"/>
      <c r="CK21">
        <v>11</v>
      </c>
      <c r="CL21" t="str">
        <f t="shared" ca="1" si="33"/>
        <v/>
      </c>
      <c r="CM21" t="str">
        <f t="shared" ca="1" si="33"/>
        <v/>
      </c>
      <c r="CN21" s="1" t="str">
        <f t="shared" ca="1" si="33"/>
        <v/>
      </c>
      <c r="CO21" t="str">
        <f t="shared" si="34"/>
        <v/>
      </c>
      <c r="CP21" s="22">
        <f t="shared" ca="1" si="35"/>
        <v>0</v>
      </c>
      <c r="CR21" s="168"/>
      <c r="CS21">
        <v>11</v>
      </c>
      <c r="CT21" t="str">
        <f t="shared" ref="CT21:CY30" ca="1" si="69">IF(rcs&gt;=$CS21,OFFSET(rcs,$CS21*$CL$4-CT$9,3),"")</f>
        <v/>
      </c>
      <c r="CU21" t="str">
        <f t="shared" ca="1" si="69"/>
        <v/>
      </c>
      <c r="CV21" t="str">
        <f t="shared" ca="1" si="69"/>
        <v/>
      </c>
      <c r="CW21" s="1" t="str">
        <f t="shared" ca="1" si="69"/>
        <v/>
      </c>
      <c r="CX21" s="1" t="str">
        <f t="shared" ca="1" si="69"/>
        <v/>
      </c>
      <c r="CY21" t="str">
        <f t="shared" ca="1" si="69"/>
        <v/>
      </c>
      <c r="CZ21">
        <f t="shared" ca="1" si="37"/>
        <v>1</v>
      </c>
      <c r="DA21" t="str">
        <f t="shared" si="38"/>
        <v/>
      </c>
      <c r="DB21" s="22">
        <f t="shared" ca="1" si="39"/>
        <v>0</v>
      </c>
      <c r="DD21" s="168"/>
      <c r="DE21">
        <v>11</v>
      </c>
      <c r="DF21" t="str">
        <f t="shared" ref="DF21:DK30" ca="1" si="70">IF(w&gt;=$DE21,OFFSET(w,$DE21*$CL$5-DF$9,3),"")</f>
        <v/>
      </c>
      <c r="DG21" t="str">
        <f t="shared" ca="1" si="70"/>
        <v/>
      </c>
      <c r="DH21" t="str">
        <f t="shared" ca="1" si="70"/>
        <v/>
      </c>
      <c r="DI21" s="1" t="str">
        <f t="shared" ca="1" si="70"/>
        <v/>
      </c>
      <c r="DJ21" s="1" t="str">
        <f t="shared" ca="1" si="70"/>
        <v/>
      </c>
      <c r="DK21" t="str">
        <f t="shared" ca="1" si="70"/>
        <v/>
      </c>
      <c r="DL21">
        <f t="shared" ca="1" si="41"/>
        <v>1</v>
      </c>
      <c r="DM21" t="str">
        <f t="shared" si="42"/>
        <v/>
      </c>
      <c r="DN21" s="22">
        <f t="shared" ca="1" si="43"/>
        <v>0</v>
      </c>
      <c r="DP21" s="168"/>
      <c r="DQ21">
        <v>11</v>
      </c>
      <c r="DR21" t="str">
        <f t="shared" ca="1" si="44"/>
        <v/>
      </c>
      <c r="DS21" t="str">
        <f t="shared" ca="1" si="44"/>
        <v/>
      </c>
      <c r="DT21" t="str">
        <f t="shared" ca="1" si="44"/>
        <v/>
      </c>
      <c r="DU21" t="str">
        <f t="shared" ca="1" si="44"/>
        <v/>
      </c>
      <c r="DV21" t="str">
        <f t="shared" ca="1" si="44"/>
        <v/>
      </c>
      <c r="DW21" t="str">
        <f t="shared" ca="1" si="44"/>
        <v/>
      </c>
      <c r="DX21">
        <f t="shared" ca="1" si="57"/>
        <v>1</v>
      </c>
      <c r="DY21" t="str">
        <f t="shared" si="46"/>
        <v/>
      </c>
      <c r="DZ21">
        <f t="shared" ca="1" si="58"/>
        <v>0</v>
      </c>
      <c r="EA21" s="122">
        <f t="shared" ca="1" si="59"/>
        <v>82121</v>
      </c>
      <c r="EL21" s="21">
        <f t="shared" ca="1" si="60"/>
        <v>3</v>
      </c>
      <c r="EM21" t="str">
        <f ca="1">'Financial Planning Tool'!CL22</f>
        <v/>
      </c>
      <c r="EN21" t="str">
        <f t="shared" ca="1" si="48"/>
        <v/>
      </c>
      <c r="EO21" t="str">
        <f t="shared" ca="1" si="49"/>
        <v/>
      </c>
      <c r="EP21" s="1" t="str">
        <f t="shared" ca="1" si="50"/>
        <v/>
      </c>
      <c r="EQ21" s="1" t="str">
        <f t="shared" ca="1" si="51"/>
        <v/>
      </c>
      <c r="ER21" t="str">
        <f t="shared" ca="1" si="52"/>
        <v/>
      </c>
      <c r="ES21" t="str">
        <f t="shared" si="53"/>
        <v/>
      </c>
      <c r="ET21">
        <v>0</v>
      </c>
      <c r="EU21" s="22">
        <v>12</v>
      </c>
      <c r="EX21" s="21" t="str">
        <f ca="1">IF(EX20="","",IF(EX20+1&lt;=MAX('Financial Planning Tool'!$EL$10:$EL$209),EX20+1,""))</f>
        <v/>
      </c>
      <c r="EY21" t="str">
        <f ca="1">IF(EX21&lt;&gt;"",VLOOKUP(EX21,'Financial Planning Tool'!$EL$10:$ER$209,2,FALSE),"")</f>
        <v/>
      </c>
      <c r="EZ21" t="str">
        <f ca="1">IF(EX21&lt;&gt;"",VLOOKUP(EX21,'Financial Planning Tool'!$EL$10:$ER$209,3,FALSE),"")</f>
        <v/>
      </c>
      <c r="FA21" t="str">
        <f ca="1">IF(EX21&lt;&gt;"",VLOOKUP(EX21,'Financial Planning Tool'!$EL$10:$ER$209,4,FALSE),"")</f>
        <v/>
      </c>
      <c r="FB21" t="str">
        <f t="shared" ca="1" si="61"/>
        <v/>
      </c>
      <c r="FC21" s="1" t="str">
        <f ca="1">IF(EX21&lt;&gt;"",VLOOKUP(EX21,'Financial Planning Tool'!$EL$10:$ER$209,5,FALSE),"")</f>
        <v/>
      </c>
      <c r="FD21" s="1" t="str">
        <f ca="1">IF(EX21&lt;&gt;"",VLOOKUP(EX21,'Financial Planning Tool'!$EL$10:$ER$209,6,FALSE),"")</f>
        <v/>
      </c>
      <c r="FE21" t="str">
        <f ca="1">IF(EX21&lt;&gt;"",VLOOKUP(EX21,'Financial Planning Tool'!$EL$10:$ER$209,7,FALSE),"")</f>
        <v/>
      </c>
      <c r="FF21" t="str">
        <f ca="1">IF(EX21&lt;&gt;"",VLOOKUP(EX21,'Financial Planning Tool'!$EL$10:$ES$209,8,FALSE),"")</f>
        <v/>
      </c>
      <c r="FG21" t="str">
        <f ca="1">IF(EX21&lt;&gt;"",VLOOKUP(EX21,'Financial Planning Tool'!$EL$10:$ET$209,9,FALSE),"")</f>
        <v/>
      </c>
      <c r="FH21" t="str">
        <f t="shared" ca="1" si="55"/>
        <v/>
      </c>
      <c r="FI21" s="22" t="str">
        <f t="shared" ca="1" si="56"/>
        <v/>
      </c>
      <c r="FK21" s="31" t="s">
        <v>127</v>
      </c>
    </row>
    <row r="22" spans="2:168" x14ac:dyDescent="0.25">
      <c r="B22" s="75" t="s">
        <v>2</v>
      </c>
      <c r="C22" s="76"/>
      <c r="D22" s="76"/>
      <c r="E22" s="76"/>
      <c r="F22" s="77"/>
      <c r="S22" s="18"/>
      <c r="T22" s="160"/>
      <c r="U22" s="161"/>
      <c r="V22" s="8"/>
      <c r="W22" s="68"/>
      <c r="X22" s="68"/>
      <c r="Y22" s="71"/>
      <c r="Z22" s="71"/>
      <c r="AA22" s="65"/>
      <c r="AE22">
        <v>6</v>
      </c>
      <c r="AF22" s="21"/>
      <c r="AG22" s="50" t="b">
        <v>0</v>
      </c>
      <c r="AH22" s="50" t="b">
        <v>1</v>
      </c>
      <c r="AI22" s="50" t="b">
        <v>0</v>
      </c>
      <c r="AJ22" s="52" t="b">
        <v>1</v>
      </c>
      <c r="AN22" s="32">
        <f t="shared" ca="1" si="0"/>
        <v>56.083333333333336</v>
      </c>
      <c r="AO22" s="53">
        <f t="shared" ca="1" si="31"/>
        <v>46054</v>
      </c>
      <c r="AP22" s="22">
        <v>15</v>
      </c>
      <c r="AQ22" s="32">
        <f t="shared" ca="1" si="32"/>
        <v>741396.893701958</v>
      </c>
      <c r="AR22" s="23">
        <f t="array" aca="1" ref="AR22" ca="1">SUM(IF(lsc_start_date=AO22,lsc_amount,0))</f>
        <v>0</v>
      </c>
      <c r="AS22" s="24">
        <f t="shared" ca="1" si="6"/>
        <v>0</v>
      </c>
      <c r="AT22" s="24">
        <f t="shared" ca="1" si="7"/>
        <v>0</v>
      </c>
      <c r="AU22" s="24">
        <f t="shared" ca="1" si="8"/>
        <v>0</v>
      </c>
      <c r="AV22" s="25">
        <f t="shared" ca="1" si="9"/>
        <v>0</v>
      </c>
      <c r="AW22" s="23">
        <f t="array" aca="1" ref="AW22" ca="1">SUM(IF(rcs_start_date&lt;=AO22,1,0)*IF(rcs_end_date&gt;=AO22,1,0)*rcs_amount*(1+rcs_escalation/100)^(INT((AP22-rcs_months_since_start)/12))*IF(MOD((AP22-rcs_months_since_start),rcs_frequency)=0,1,0)*IF(rcs_frequency=13,0,1))+SUM(IF(rcs_start_date=AO22,rcs_amount,0)*IF(rcs_frequency=13,1,0))</f>
        <v>4680</v>
      </c>
      <c r="AX22" s="24">
        <f t="shared" ca="1" si="10"/>
        <v>0</v>
      </c>
      <c r="AY22" s="24">
        <f t="shared" ca="1" si="11"/>
        <v>0</v>
      </c>
      <c r="AZ22" s="24">
        <f t="shared" ca="1" si="12"/>
        <v>0</v>
      </c>
      <c r="BA22" s="25">
        <f t="shared" ca="1" si="13"/>
        <v>4680</v>
      </c>
      <c r="BB22" s="23">
        <f t="array" aca="1" ref="BB22" ca="1">SUM(IF(w_start_date&lt;=AO22,1,0)*IF(w_end_date&gt;=AO22,1,0)*w_amount*(1+w_escalation/100)^(INT((AP22-w_months_since_start)/12))*IF(MOD(AP22-w_months_since_start,w_frequency)=0,1,0)*IF(w_frequency=13,0,1))+SUM(IF(w_start_date=AO22,w_amount,0)*IF(w_frequency=13,1,0))</f>
        <v>0</v>
      </c>
      <c r="BC22" s="25">
        <f t="shared" ca="1" si="14"/>
        <v>0</v>
      </c>
      <c r="BD22" s="24" t="b">
        <f t="shared" ca="1" si="15"/>
        <v>0</v>
      </c>
      <c r="BE22" s="24" t="b">
        <f t="shared" ca="1" si="16"/>
        <v>1</v>
      </c>
      <c r="BF22" s="23">
        <f t="array" aca="1" ref="BF22" ca="1">SUM(IF(BD22,1,0)*IF(ap_start_date&lt;=AO22,1,0)*IF(ap_end_date&gt;=AO22,1,0)*ap_amount*(1+ap_escalation/100)^(INT((AP22-ap_months_since_start)/12))*IF(MOD(AP22-ap_months_since_start,ap_frequency)=0,1,0))</f>
        <v>0</v>
      </c>
      <c r="BG22" s="24">
        <f t="shared" ca="1" si="17"/>
        <v>0</v>
      </c>
      <c r="BH22" s="24">
        <f t="shared" ca="1" si="18"/>
        <v>0</v>
      </c>
      <c r="BI22">
        <f t="shared" ca="1" si="19"/>
        <v>0</v>
      </c>
      <c r="BJ22" s="24">
        <f t="shared" ca="1" si="20"/>
        <v>0</v>
      </c>
      <c r="BK22">
        <f t="shared" ca="1" si="21"/>
        <v>0</v>
      </c>
      <c r="BL22" s="25">
        <f t="shared" ca="1" si="22"/>
        <v>0</v>
      </c>
      <c r="BM22" s="32">
        <f t="shared" ca="1" si="1"/>
        <v>751454.11109356699</v>
      </c>
      <c r="BN22" s="23">
        <f t="shared" ca="1" si="23"/>
        <v>0</v>
      </c>
      <c r="BO22" s="24">
        <f t="shared" ca="1" si="24"/>
        <v>0</v>
      </c>
      <c r="BP22" s="25">
        <f t="shared" ca="1" si="25"/>
        <v>0</v>
      </c>
      <c r="BQ22" s="34">
        <f t="shared" ca="1" si="26"/>
        <v>46081</v>
      </c>
      <c r="BR22" s="23">
        <f t="shared" ca="1" si="27"/>
        <v>751454.11109356699</v>
      </c>
      <c r="BS22" s="24">
        <f t="shared" ca="1" si="28"/>
        <v>4680</v>
      </c>
      <c r="BT22" s="24">
        <f t="shared" ca="1" si="62"/>
        <v>54540</v>
      </c>
      <c r="BU22" s="24">
        <f t="shared" ca="1" si="29"/>
        <v>0</v>
      </c>
      <c r="BV22" s="24">
        <f t="shared" ca="1" si="63"/>
        <v>0</v>
      </c>
      <c r="BW22" s="24">
        <f t="shared" ca="1" si="30"/>
        <v>0</v>
      </c>
      <c r="BX22" s="25">
        <f t="shared" ca="1" si="64"/>
        <v>0</v>
      </c>
      <c r="BY22" s="23">
        <f t="shared" ca="1" si="2"/>
        <v>715501.89880220324</v>
      </c>
      <c r="BZ22" s="24">
        <f t="shared" ca="1" si="3"/>
        <v>4470.6803975126968</v>
      </c>
      <c r="CA22" s="24">
        <f t="shared" ca="1" si="65"/>
        <v>53041.336037023051</v>
      </c>
      <c r="CB22" s="24">
        <f t="shared" ca="1" si="4"/>
        <v>0</v>
      </c>
      <c r="CC22" s="24">
        <f t="shared" ca="1" si="66"/>
        <v>0</v>
      </c>
      <c r="CD22" s="24">
        <f t="shared" ca="1" si="5"/>
        <v>0</v>
      </c>
      <c r="CE22" s="25">
        <f t="shared" ca="1" si="67"/>
        <v>0</v>
      </c>
      <c r="CF22" s="23">
        <f t="shared" ca="1" si="68"/>
        <v>0</v>
      </c>
      <c r="CG22" s="25">
        <f t="array" aca="1" ref="CG22" ca="1">SUM(BF11:BF22/(1+inflation/100)^(AP11:AP22/12))</f>
        <v>0</v>
      </c>
      <c r="CH22" s="32">
        <f ca="1">IFERROR(IF(MOD(AP22-ap_months_since_start,12)=0,ap_drawdown/100*(AQ22+AV22+BA22-BC22),CH21),0)</f>
        <v>110096.47666060149</v>
      </c>
      <c r="CJ22" s="168"/>
      <c r="CK22">
        <v>12</v>
      </c>
      <c r="CL22" t="str">
        <f t="shared" ca="1" si="33"/>
        <v/>
      </c>
      <c r="CM22" t="str">
        <f t="shared" ca="1" si="33"/>
        <v/>
      </c>
      <c r="CN22" s="1" t="str">
        <f t="shared" ca="1" si="33"/>
        <v/>
      </c>
      <c r="CO22" t="str">
        <f t="shared" si="34"/>
        <v/>
      </c>
      <c r="CP22" s="22">
        <f t="shared" ca="1" si="35"/>
        <v>0</v>
      </c>
      <c r="CR22" s="168"/>
      <c r="CS22">
        <v>12</v>
      </c>
      <c r="CT22" t="str">
        <f t="shared" ca="1" si="69"/>
        <v/>
      </c>
      <c r="CU22" t="str">
        <f t="shared" ca="1" si="69"/>
        <v/>
      </c>
      <c r="CV22" t="str">
        <f t="shared" ca="1" si="69"/>
        <v/>
      </c>
      <c r="CW22" s="1" t="str">
        <f t="shared" ca="1" si="69"/>
        <v/>
      </c>
      <c r="CX22" s="1" t="str">
        <f t="shared" ca="1" si="69"/>
        <v/>
      </c>
      <c r="CY22" t="str">
        <f t="shared" ca="1" si="69"/>
        <v/>
      </c>
      <c r="CZ22">
        <f t="shared" ca="1" si="37"/>
        <v>1</v>
      </c>
      <c r="DA22" t="str">
        <f t="shared" si="38"/>
        <v/>
      </c>
      <c r="DB22" s="22">
        <f t="shared" ca="1" si="39"/>
        <v>0</v>
      </c>
      <c r="DD22" s="168"/>
      <c r="DE22">
        <v>12</v>
      </c>
      <c r="DF22" t="str">
        <f t="shared" ca="1" si="70"/>
        <v/>
      </c>
      <c r="DG22" t="str">
        <f t="shared" ca="1" si="70"/>
        <v/>
      </c>
      <c r="DH22" t="str">
        <f t="shared" ca="1" si="70"/>
        <v/>
      </c>
      <c r="DI22" s="1" t="str">
        <f t="shared" ca="1" si="70"/>
        <v/>
      </c>
      <c r="DJ22" s="1" t="str">
        <f t="shared" ca="1" si="70"/>
        <v/>
      </c>
      <c r="DK22" t="str">
        <f t="shared" ca="1" si="70"/>
        <v/>
      </c>
      <c r="DL22">
        <f t="shared" ca="1" si="41"/>
        <v>1</v>
      </c>
      <c r="DM22" t="str">
        <f t="shared" si="42"/>
        <v/>
      </c>
      <c r="DN22" s="22">
        <f t="shared" ca="1" si="43"/>
        <v>0</v>
      </c>
      <c r="DP22" s="168"/>
      <c r="DQ22">
        <v>12</v>
      </c>
      <c r="DR22" t="str">
        <f t="shared" ca="1" si="44"/>
        <v/>
      </c>
      <c r="DS22" t="str">
        <f t="shared" ca="1" si="44"/>
        <v/>
      </c>
      <c r="DT22" t="str">
        <f t="shared" ca="1" si="44"/>
        <v/>
      </c>
      <c r="DU22" t="str">
        <f t="shared" ca="1" si="44"/>
        <v/>
      </c>
      <c r="DV22" t="str">
        <f t="shared" ca="1" si="44"/>
        <v/>
      </c>
      <c r="DW22" t="str">
        <f t="shared" ca="1" si="44"/>
        <v/>
      </c>
      <c r="DX22">
        <f t="shared" ca="1" si="57"/>
        <v>1</v>
      </c>
      <c r="DY22" t="str">
        <f t="shared" si="46"/>
        <v/>
      </c>
      <c r="DZ22">
        <f t="shared" ca="1" si="58"/>
        <v>0</v>
      </c>
      <c r="EA22" s="122">
        <f t="shared" ca="1" si="59"/>
        <v>82121</v>
      </c>
      <c r="EC22" s="36" t="s">
        <v>128</v>
      </c>
      <c r="ED22" s="39" t="s">
        <v>129</v>
      </c>
      <c r="EE22" s="39" t="s">
        <v>130</v>
      </c>
      <c r="EF22" s="39" t="s">
        <v>68</v>
      </c>
      <c r="EG22" s="39" t="s">
        <v>29</v>
      </c>
      <c r="EH22" s="39" t="s">
        <v>131</v>
      </c>
      <c r="EI22" s="39" t="s">
        <v>132</v>
      </c>
      <c r="EJ22" s="37" t="s">
        <v>133</v>
      </c>
      <c r="EL22" s="21">
        <f t="shared" ca="1" si="60"/>
        <v>3</v>
      </c>
      <c r="EM22" t="str">
        <f ca="1">'Financial Planning Tool'!CL23</f>
        <v/>
      </c>
      <c r="EN22" t="str">
        <f t="shared" ca="1" si="48"/>
        <v/>
      </c>
      <c r="EO22" t="str">
        <f t="shared" ca="1" si="49"/>
        <v/>
      </c>
      <c r="EP22" s="1" t="str">
        <f t="shared" ca="1" si="50"/>
        <v/>
      </c>
      <c r="EQ22" s="1" t="str">
        <f t="shared" ca="1" si="51"/>
        <v/>
      </c>
      <c r="ER22" t="str">
        <f t="shared" ca="1" si="52"/>
        <v/>
      </c>
      <c r="ES22" t="str">
        <f t="shared" si="53"/>
        <v/>
      </c>
      <c r="ET22">
        <v>0</v>
      </c>
      <c r="EU22" s="22">
        <v>13</v>
      </c>
      <c r="EX22" s="21" t="str">
        <f ca="1">IF(EX21="","",IF(EX21+1&lt;=MAX('Financial Planning Tool'!$EL$10:$EL$209),EX21+1,""))</f>
        <v/>
      </c>
      <c r="EY22" t="str">
        <f ca="1">IF(EX22&lt;&gt;"",VLOOKUP(EX22,'Financial Planning Tool'!$EL$10:$ER$209,2,FALSE),"")</f>
        <v/>
      </c>
      <c r="EZ22" t="str">
        <f ca="1">IF(EX22&lt;&gt;"",VLOOKUP(EX22,'Financial Planning Tool'!$EL$10:$ER$209,3,FALSE),"")</f>
        <v/>
      </c>
      <c r="FA22" t="str">
        <f ca="1">IF(EX22&lt;&gt;"",VLOOKUP(EX22,'Financial Planning Tool'!$EL$10:$ER$209,4,FALSE),"")</f>
        <v/>
      </c>
      <c r="FB22" t="str">
        <f t="shared" ca="1" si="61"/>
        <v/>
      </c>
      <c r="FC22" s="1" t="str">
        <f ca="1">IF(EX22&lt;&gt;"",VLOOKUP(EX22,'Financial Planning Tool'!$EL$10:$ER$209,5,FALSE),"")</f>
        <v/>
      </c>
      <c r="FD22" s="1" t="str">
        <f ca="1">IF(EX22&lt;&gt;"",VLOOKUP(EX22,'Financial Planning Tool'!$EL$10:$ER$209,6,FALSE),"")</f>
        <v/>
      </c>
      <c r="FE22" t="str">
        <f ca="1">IF(EX22&lt;&gt;"",VLOOKUP(EX22,'Financial Planning Tool'!$EL$10:$ER$209,7,FALSE),"")</f>
        <v/>
      </c>
      <c r="FF22" t="str">
        <f ca="1">IF(EX22&lt;&gt;"",VLOOKUP(EX22,'Financial Planning Tool'!$EL$10:$ES$209,8,FALSE),"")</f>
        <v/>
      </c>
      <c r="FG22" t="str">
        <f ca="1">IF(EX22&lt;&gt;"",VLOOKUP(EX22,'Financial Planning Tool'!$EL$10:$ET$209,9,FALSE),"")</f>
        <v/>
      </c>
      <c r="FH22" t="str">
        <f t="shared" ca="1" si="55"/>
        <v/>
      </c>
      <c r="FI22" s="22" t="str">
        <f t="shared" ca="1" si="56"/>
        <v/>
      </c>
      <c r="FK22" s="31" t="s">
        <v>134</v>
      </c>
    </row>
    <row r="23" spans="2:168" x14ac:dyDescent="0.25">
      <c r="B23" s="78"/>
      <c r="C23" s="76"/>
      <c r="D23" s="76"/>
      <c r="E23" s="76"/>
      <c r="F23" s="77"/>
      <c r="S23" s="18"/>
      <c r="T23" s="160"/>
      <c r="U23" s="161"/>
      <c r="V23" s="8"/>
      <c r="W23" s="68"/>
      <c r="X23" s="68"/>
      <c r="Y23" s="71"/>
      <c r="Z23" s="71"/>
      <c r="AA23" s="65"/>
      <c r="AE23">
        <v>7</v>
      </c>
      <c r="AF23" s="21"/>
      <c r="AG23" s="50" t="b">
        <v>0</v>
      </c>
      <c r="AH23" s="50" t="b">
        <v>0</v>
      </c>
      <c r="AI23" s="50" t="b">
        <v>0</v>
      </c>
      <c r="AJ23" s="52" t="b">
        <v>0</v>
      </c>
      <c r="AN23" s="32">
        <f t="shared" ca="1" si="0"/>
        <v>56.166666666666664</v>
      </c>
      <c r="AO23" s="53">
        <f t="shared" ca="1" si="31"/>
        <v>46082</v>
      </c>
      <c r="AP23" s="22">
        <v>16</v>
      </c>
      <c r="AQ23" s="32">
        <f t="shared" ca="1" si="32"/>
        <v>751454.11109356699</v>
      </c>
      <c r="AR23" s="23">
        <f t="array" aca="1" ref="AR23" ca="1">SUM(IF(lsc_start_date=AO23,lsc_amount,0))</f>
        <v>0</v>
      </c>
      <c r="AS23" s="24">
        <f t="shared" ca="1" si="6"/>
        <v>0</v>
      </c>
      <c r="AT23" s="24">
        <f t="shared" ca="1" si="7"/>
        <v>0</v>
      </c>
      <c r="AU23" s="24">
        <f t="shared" ca="1" si="8"/>
        <v>0</v>
      </c>
      <c r="AV23" s="25">
        <f t="shared" ca="1" si="9"/>
        <v>0</v>
      </c>
      <c r="AW23" s="23">
        <f t="array" aca="1" ref="AW23" ca="1">SUM(IF(rcs_start_date&lt;=AO23,1,0)*IF(rcs_end_date&gt;=AO23,1,0)*rcs_amount*(1+rcs_escalation/100)^(INT((AP23-rcs_months_since_start)/12))*IF(MOD((AP23-rcs_months_since_start),rcs_frequency)=0,1,0)*IF(rcs_frequency=13,0,1))+SUM(IF(rcs_start_date=AO23,rcs_amount,0)*IF(rcs_frequency=13,1,0))</f>
        <v>4680</v>
      </c>
      <c r="AX23" s="24">
        <f t="shared" ca="1" si="10"/>
        <v>0</v>
      </c>
      <c r="AY23" s="24">
        <f t="shared" ca="1" si="11"/>
        <v>0</v>
      </c>
      <c r="AZ23" s="24">
        <f t="shared" ca="1" si="12"/>
        <v>0</v>
      </c>
      <c r="BA23" s="25">
        <f t="shared" ca="1" si="13"/>
        <v>4680</v>
      </c>
      <c r="BB23" s="23">
        <f t="array" aca="1" ref="BB23" ca="1">SUM(IF(w_start_date&lt;=AO23,1,0)*IF(w_end_date&gt;=AO23,1,0)*w_amount*(1+w_escalation/100)^(INT((AP23-w_months_since_start)/12))*IF(MOD(AP23-w_months_since_start,w_frequency)=0,1,0)*IF(w_frequency=13,0,1))+SUM(IF(w_start_date=AO23,w_amount,0)*IF(w_frequency=13,1,0))</f>
        <v>0</v>
      </c>
      <c r="BC23" s="25">
        <f t="shared" ca="1" si="14"/>
        <v>0</v>
      </c>
      <c r="BD23" s="24" t="b">
        <f t="shared" ca="1" si="15"/>
        <v>0</v>
      </c>
      <c r="BE23" s="24" t="b">
        <f t="shared" ca="1" si="16"/>
        <v>1</v>
      </c>
      <c r="BF23" s="23">
        <f t="array" aca="1" ref="BF23" ca="1">SUM(IF(BD23,1,0)*IF(ap_start_date&lt;=AO23,1,0)*IF(ap_end_date&gt;=AO23,1,0)*ap_amount*(1+ap_escalation/100)^(INT((AP23-ap_months_since_start)/12))*IF(MOD(AP23-ap_months_since_start,ap_frequency)=0,1,0))</f>
        <v>0</v>
      </c>
      <c r="BG23" s="24">
        <f t="shared" ca="1" si="17"/>
        <v>0</v>
      </c>
      <c r="BH23" s="24">
        <f t="shared" ca="1" si="18"/>
        <v>0</v>
      </c>
      <c r="BI23">
        <f t="shared" ca="1" si="19"/>
        <v>0</v>
      </c>
      <c r="BJ23" s="24">
        <f t="shared" ca="1" si="20"/>
        <v>0</v>
      </c>
      <c r="BK23">
        <f t="shared" ca="1" si="21"/>
        <v>0</v>
      </c>
      <c r="BL23" s="25">
        <f t="shared" ca="1" si="22"/>
        <v>0</v>
      </c>
      <c r="BM23" s="32">
        <f t="shared" ca="1" si="1"/>
        <v>761583.81410257798</v>
      </c>
      <c r="BN23" s="23">
        <f t="shared" ca="1" si="23"/>
        <v>0</v>
      </c>
      <c r="BO23" s="24">
        <f t="shared" ca="1" si="24"/>
        <v>0</v>
      </c>
      <c r="BP23" s="25">
        <f t="shared" ca="1" si="25"/>
        <v>0</v>
      </c>
      <c r="BQ23" s="34">
        <f t="shared" ca="1" si="26"/>
        <v>46112</v>
      </c>
      <c r="BR23" s="23">
        <f t="shared" ca="1" si="27"/>
        <v>761583.81410257798</v>
      </c>
      <c r="BS23" s="24">
        <f t="shared" ca="1" si="28"/>
        <v>4680</v>
      </c>
      <c r="BT23" s="24">
        <f t="shared" ca="1" si="62"/>
        <v>54720</v>
      </c>
      <c r="BU23" s="24">
        <f t="shared" ca="1" si="29"/>
        <v>0</v>
      </c>
      <c r="BV23" s="24">
        <f t="shared" ca="1" si="63"/>
        <v>0</v>
      </c>
      <c r="BW23" s="24">
        <f t="shared" ca="1" si="30"/>
        <v>0</v>
      </c>
      <c r="BX23" s="25">
        <f t="shared" ca="1" si="64"/>
        <v>0</v>
      </c>
      <c r="BY23" s="23">
        <f t="shared" ca="1" si="2"/>
        <v>722780.76498489361</v>
      </c>
      <c r="BZ23" s="24">
        <f t="shared" ca="1" si="3"/>
        <v>4456.0923108415436</v>
      </c>
      <c r="CA23" s="24">
        <f t="shared" ca="1" si="65"/>
        <v>53041.336037023051</v>
      </c>
      <c r="CB23" s="24">
        <f t="shared" ca="1" si="4"/>
        <v>0</v>
      </c>
      <c r="CC23" s="24">
        <f t="shared" ca="1" si="66"/>
        <v>0</v>
      </c>
      <c r="CD23" s="24">
        <f t="shared" ca="1" si="5"/>
        <v>0</v>
      </c>
      <c r="CE23" s="25">
        <f t="shared" ca="1" si="67"/>
        <v>0</v>
      </c>
      <c r="CF23" s="23">
        <f t="shared" ca="1" si="68"/>
        <v>0</v>
      </c>
      <c r="CG23" s="25">
        <f t="array" aca="1" ref="CG23" ca="1">SUM(BF12:BF23/(1+inflation/100)^(AP12:AP23/12))</f>
        <v>0</v>
      </c>
      <c r="CH23" s="32">
        <f ca="1">IFERROR(IF(MOD(AP23-ap_months_since_start,12)=0,ap_drawdown/100*(AQ23+AV23+BA23-BC23),CH22),0)</f>
        <v>110096.47666060149</v>
      </c>
      <c r="CJ23" s="168"/>
      <c r="CK23">
        <v>13</v>
      </c>
      <c r="CL23" t="str">
        <f t="shared" ca="1" si="33"/>
        <v/>
      </c>
      <c r="CM23" t="str">
        <f t="shared" ca="1" si="33"/>
        <v/>
      </c>
      <c r="CN23" s="1" t="str">
        <f t="shared" ca="1" si="33"/>
        <v/>
      </c>
      <c r="CO23" t="str">
        <f t="shared" si="34"/>
        <v/>
      </c>
      <c r="CP23" s="22">
        <f t="shared" ca="1" si="35"/>
        <v>0</v>
      </c>
      <c r="CR23" s="168"/>
      <c r="CS23">
        <v>13</v>
      </c>
      <c r="CT23" t="str">
        <f t="shared" ca="1" si="69"/>
        <v/>
      </c>
      <c r="CU23" t="str">
        <f t="shared" ca="1" si="69"/>
        <v/>
      </c>
      <c r="CV23" t="str">
        <f t="shared" ca="1" si="69"/>
        <v/>
      </c>
      <c r="CW23" s="1" t="str">
        <f t="shared" ca="1" si="69"/>
        <v/>
      </c>
      <c r="CX23" s="1" t="str">
        <f t="shared" ca="1" si="69"/>
        <v/>
      </c>
      <c r="CY23" t="str">
        <f t="shared" ca="1" si="69"/>
        <v/>
      </c>
      <c r="CZ23">
        <f t="shared" ca="1" si="37"/>
        <v>1</v>
      </c>
      <c r="DA23" t="str">
        <f t="shared" si="38"/>
        <v/>
      </c>
      <c r="DB23" s="22">
        <f t="shared" ca="1" si="39"/>
        <v>0</v>
      </c>
      <c r="DD23" s="168"/>
      <c r="DE23">
        <v>13</v>
      </c>
      <c r="DF23" t="str">
        <f t="shared" ca="1" si="70"/>
        <v/>
      </c>
      <c r="DG23" t="str">
        <f t="shared" ca="1" si="70"/>
        <v/>
      </c>
      <c r="DH23" t="str">
        <f t="shared" ca="1" si="70"/>
        <v/>
      </c>
      <c r="DI23" s="1" t="str">
        <f t="shared" ca="1" si="70"/>
        <v/>
      </c>
      <c r="DJ23" s="1" t="str">
        <f t="shared" ca="1" si="70"/>
        <v/>
      </c>
      <c r="DK23" t="str">
        <f t="shared" ca="1" si="70"/>
        <v/>
      </c>
      <c r="DL23">
        <f t="shared" ca="1" si="41"/>
        <v>1</v>
      </c>
      <c r="DM23" t="str">
        <f t="shared" si="42"/>
        <v/>
      </c>
      <c r="DN23" s="22">
        <f t="shared" ca="1" si="43"/>
        <v>0</v>
      </c>
      <c r="DP23" s="168"/>
      <c r="DQ23">
        <v>13</v>
      </c>
      <c r="DR23" t="str">
        <f t="shared" ca="1" si="44"/>
        <v/>
      </c>
      <c r="DS23" t="str">
        <f t="shared" ca="1" si="44"/>
        <v/>
      </c>
      <c r="DT23" t="str">
        <f t="shared" ca="1" si="44"/>
        <v/>
      </c>
      <c r="DU23" t="str">
        <f t="shared" ca="1" si="44"/>
        <v/>
      </c>
      <c r="DV23" t="str">
        <f t="shared" ca="1" si="44"/>
        <v/>
      </c>
      <c r="DW23" t="str">
        <f t="shared" ca="1" si="44"/>
        <v/>
      </c>
      <c r="DX23">
        <f t="shared" ca="1" si="57"/>
        <v>1</v>
      </c>
      <c r="DY23" t="str">
        <f t="shared" si="46"/>
        <v/>
      </c>
      <c r="DZ23">
        <f t="shared" ca="1" si="58"/>
        <v>0</v>
      </c>
      <c r="EA23" s="122">
        <f t="shared" ca="1" si="59"/>
        <v>82121</v>
      </c>
      <c r="EC23" s="21" t="s">
        <v>20</v>
      </c>
      <c r="ED23" t="e">
        <f ca="1">VLOOKUP(D103,$BQ$8:$CD$1207,2,FALSE)</f>
        <v>#N/A</v>
      </c>
      <c r="EE23" t="e">
        <f ca="1">VLOOKUP(D103,$BQ$8:$CD$1207,9,FALSE)</f>
        <v>#N/A</v>
      </c>
      <c r="EJ23" s="22"/>
      <c r="EL23" s="21">
        <f t="shared" ca="1" si="60"/>
        <v>3</v>
      </c>
      <c r="EM23" t="str">
        <f ca="1">'Financial Planning Tool'!CL24</f>
        <v/>
      </c>
      <c r="EN23" t="str">
        <f t="shared" ca="1" si="48"/>
        <v/>
      </c>
      <c r="EO23" t="str">
        <f t="shared" ca="1" si="49"/>
        <v/>
      </c>
      <c r="EP23" s="1" t="str">
        <f t="shared" ca="1" si="50"/>
        <v/>
      </c>
      <c r="EQ23" s="1" t="str">
        <f t="shared" ca="1" si="51"/>
        <v/>
      </c>
      <c r="ER23" t="str">
        <f t="shared" ca="1" si="52"/>
        <v/>
      </c>
      <c r="ES23" t="str">
        <f t="shared" si="53"/>
        <v/>
      </c>
      <c r="ET23">
        <v>0</v>
      </c>
      <c r="EU23" s="22">
        <v>14</v>
      </c>
      <c r="EX23" s="21" t="str">
        <f ca="1">IF(EX22="","",IF(EX22+1&lt;=MAX('Financial Planning Tool'!$EL$10:$EL$209),EX22+1,""))</f>
        <v/>
      </c>
      <c r="EY23" t="str">
        <f ca="1">IF(EX23&lt;&gt;"",VLOOKUP(EX23,'Financial Planning Tool'!$EL$10:$ER$209,2,FALSE),"")</f>
        <v/>
      </c>
      <c r="EZ23" t="str">
        <f ca="1">IF(EX23&lt;&gt;"",VLOOKUP(EX23,'Financial Planning Tool'!$EL$10:$ER$209,3,FALSE),"")</f>
        <v/>
      </c>
      <c r="FA23" t="str">
        <f ca="1">IF(EX23&lt;&gt;"",VLOOKUP(EX23,'Financial Planning Tool'!$EL$10:$ER$209,4,FALSE),"")</f>
        <v/>
      </c>
      <c r="FB23" t="str">
        <f t="shared" ca="1" si="61"/>
        <v/>
      </c>
      <c r="FC23" s="1" t="str">
        <f ca="1">IF(EX23&lt;&gt;"",VLOOKUP(EX23,'Financial Planning Tool'!$EL$10:$ER$209,5,FALSE),"")</f>
        <v/>
      </c>
      <c r="FD23" s="1" t="str">
        <f ca="1">IF(EX23&lt;&gt;"",VLOOKUP(EX23,'Financial Planning Tool'!$EL$10:$ER$209,6,FALSE),"")</f>
        <v/>
      </c>
      <c r="FE23" t="str">
        <f ca="1">IF(EX23&lt;&gt;"",VLOOKUP(EX23,'Financial Planning Tool'!$EL$10:$ER$209,7,FALSE),"")</f>
        <v/>
      </c>
      <c r="FF23" t="str">
        <f ca="1">IF(EX23&lt;&gt;"",VLOOKUP(EX23,'Financial Planning Tool'!$EL$10:$ES$209,8,FALSE),"")</f>
        <v/>
      </c>
      <c r="FG23" t="str">
        <f ca="1">IF(EX23&lt;&gt;"",VLOOKUP(EX23,'Financial Planning Tool'!$EL$10:$ET$209,9,FALSE),"")</f>
        <v/>
      </c>
      <c r="FH23" t="str">
        <f t="shared" ca="1" si="55"/>
        <v/>
      </c>
      <c r="FI23" s="22" t="str">
        <f t="shared" ca="1" si="56"/>
        <v/>
      </c>
      <c r="FK23" s="41" t="s">
        <v>135</v>
      </c>
    </row>
    <row r="24" spans="2:168" x14ac:dyDescent="0.25">
      <c r="B24" s="78" t="s">
        <v>98</v>
      </c>
      <c r="C24" s="76"/>
      <c r="D24" s="184">
        <f ca="1">TODAY()</f>
        <v>45647</v>
      </c>
      <c r="E24" s="185"/>
      <c r="F24" s="77"/>
      <c r="S24" s="18"/>
      <c r="T24" s="160"/>
      <c r="U24" s="161"/>
      <c r="V24" s="8"/>
      <c r="W24" s="68"/>
      <c r="X24" s="68"/>
      <c r="Y24" s="71"/>
      <c r="Z24" s="71"/>
      <c r="AA24" s="65"/>
      <c r="AE24">
        <v>8</v>
      </c>
      <c r="AF24" s="21"/>
      <c r="AH24" t="s">
        <v>33</v>
      </c>
      <c r="AI24">
        <f>graph_contributions_r_tick+graph_withdrawals_r_tick+graph_income_r_tick+graph_mv_r_tick</f>
        <v>2</v>
      </c>
      <c r="AJ24" s="22"/>
      <c r="AN24" s="32">
        <f t="shared" ca="1" si="0"/>
        <v>56.25</v>
      </c>
      <c r="AO24" s="53">
        <f t="shared" ca="1" si="31"/>
        <v>46113</v>
      </c>
      <c r="AP24" s="22">
        <v>17</v>
      </c>
      <c r="AQ24" s="32">
        <f t="shared" ca="1" si="32"/>
        <v>761583.81410257798</v>
      </c>
      <c r="AR24" s="23">
        <f t="array" aca="1" ref="AR24" ca="1">SUM(IF(lsc_start_date=AO24,lsc_amount,0))</f>
        <v>0</v>
      </c>
      <c r="AS24" s="24">
        <f t="shared" ca="1" si="6"/>
        <v>0</v>
      </c>
      <c r="AT24" s="24">
        <f t="shared" ca="1" si="7"/>
        <v>0</v>
      </c>
      <c r="AU24" s="24">
        <f t="shared" ca="1" si="8"/>
        <v>0</v>
      </c>
      <c r="AV24" s="25">
        <f t="shared" ca="1" si="9"/>
        <v>0</v>
      </c>
      <c r="AW24" s="23">
        <f t="array" aca="1" ref="AW24" ca="1">SUM(IF(rcs_start_date&lt;=AO24,1,0)*IF(rcs_end_date&gt;=AO24,1,0)*rcs_amount*(1+rcs_escalation/100)^(INT((AP24-rcs_months_since_start)/12))*IF(MOD((AP24-rcs_months_since_start),rcs_frequency)=0,1,0)*IF(rcs_frequency=13,0,1))+SUM(IF(rcs_start_date=AO24,rcs_amount,0)*IF(rcs_frequency=13,1,0))</f>
        <v>4680</v>
      </c>
      <c r="AX24" s="24">
        <f t="shared" ca="1" si="10"/>
        <v>0</v>
      </c>
      <c r="AY24" s="24">
        <f t="shared" ca="1" si="11"/>
        <v>0</v>
      </c>
      <c r="AZ24" s="24">
        <f t="shared" ca="1" si="12"/>
        <v>0</v>
      </c>
      <c r="BA24" s="25">
        <f t="shared" ca="1" si="13"/>
        <v>4680</v>
      </c>
      <c r="BB24" s="23">
        <f t="array" aca="1" ref="BB24" ca="1">SUM(IF(w_start_date&lt;=AO24,1,0)*IF(w_end_date&gt;=AO24,1,0)*w_amount*(1+w_escalation/100)^(INT((AP24-w_months_since_start)/12))*IF(MOD(AP24-w_months_since_start,w_frequency)=0,1,0)*IF(w_frequency=13,0,1))+SUM(IF(w_start_date=AO24,w_amount,0)*IF(w_frequency=13,1,0))</f>
        <v>0</v>
      </c>
      <c r="BC24" s="25">
        <f t="shared" ca="1" si="14"/>
        <v>0</v>
      </c>
      <c r="BD24" s="24" t="b">
        <f t="shared" ca="1" si="15"/>
        <v>0</v>
      </c>
      <c r="BE24" s="24" t="b">
        <f t="shared" ca="1" si="16"/>
        <v>1</v>
      </c>
      <c r="BF24" s="23">
        <f t="array" aca="1" ref="BF24" ca="1">SUM(IF(BD24,1,0)*IF(ap_start_date&lt;=AO24,1,0)*IF(ap_end_date&gt;=AO24,1,0)*ap_amount*(1+ap_escalation/100)^(INT((AP24-ap_months_since_start)/12))*IF(MOD(AP24-ap_months_since_start,ap_frequency)=0,1,0))</f>
        <v>0</v>
      </c>
      <c r="BG24" s="24">
        <f t="shared" ca="1" si="17"/>
        <v>0</v>
      </c>
      <c r="BH24" s="24">
        <f t="shared" ca="1" si="18"/>
        <v>0</v>
      </c>
      <c r="BI24">
        <f t="shared" ca="1" si="19"/>
        <v>0</v>
      </c>
      <c r="BJ24" s="24">
        <f t="shared" ca="1" si="20"/>
        <v>0</v>
      </c>
      <c r="BK24">
        <f t="shared" ca="1" si="21"/>
        <v>0</v>
      </c>
      <c r="BL24" s="25">
        <f t="shared" ca="1" si="22"/>
        <v>0</v>
      </c>
      <c r="BM24" s="32">
        <f t="shared" ca="1" si="1"/>
        <v>771786.52515627129</v>
      </c>
      <c r="BN24" s="23">
        <f t="shared" ca="1" si="23"/>
        <v>0</v>
      </c>
      <c r="BO24" s="24">
        <f t="shared" ca="1" si="24"/>
        <v>0</v>
      </c>
      <c r="BP24" s="25">
        <f t="shared" ca="1" si="25"/>
        <v>0</v>
      </c>
      <c r="BQ24" s="34">
        <f t="shared" ca="1" si="26"/>
        <v>46142</v>
      </c>
      <c r="BR24" s="23">
        <f t="shared" ca="1" si="27"/>
        <v>771786.52515627129</v>
      </c>
      <c r="BS24" s="24">
        <f t="shared" ca="1" si="28"/>
        <v>4680</v>
      </c>
      <c r="BT24" s="24">
        <f t="shared" ca="1" si="62"/>
        <v>54900</v>
      </c>
      <c r="BU24" s="24">
        <f t="shared" ca="1" si="29"/>
        <v>0</v>
      </c>
      <c r="BV24" s="24">
        <f t="shared" ca="1" si="63"/>
        <v>0</v>
      </c>
      <c r="BW24" s="24">
        <f t="shared" ca="1" si="30"/>
        <v>0</v>
      </c>
      <c r="BX24" s="25">
        <f t="shared" ca="1" si="64"/>
        <v>0</v>
      </c>
      <c r="BY24" s="23">
        <f t="shared" ca="1" si="2"/>
        <v>730073.57227331027</v>
      </c>
      <c r="BZ24" s="24">
        <f t="shared" ca="1" si="3"/>
        <v>4441.5518259342844</v>
      </c>
      <c r="CA24" s="24">
        <f t="shared" ca="1" si="65"/>
        <v>53041.336037023044</v>
      </c>
      <c r="CB24" s="24">
        <f t="shared" ca="1" si="4"/>
        <v>0</v>
      </c>
      <c r="CC24" s="24">
        <f t="shared" ca="1" si="66"/>
        <v>0</v>
      </c>
      <c r="CD24" s="24">
        <f t="shared" ca="1" si="5"/>
        <v>0</v>
      </c>
      <c r="CE24" s="25">
        <f t="shared" ca="1" si="67"/>
        <v>0</v>
      </c>
      <c r="CF24" s="23">
        <f t="shared" ca="1" si="68"/>
        <v>0</v>
      </c>
      <c r="CG24" s="25">
        <f t="array" aca="1" ref="CG24" ca="1">SUM(BF13:BF24/(1+inflation/100)^(AP13:AP24/12))</f>
        <v>0</v>
      </c>
      <c r="CH24" s="32">
        <f ca="1">IFERROR(IF(MOD(AP24-ap_months_since_start,12)=0,ap_drawdown/100*(AQ24+AV24+BA24-BC24),CH23),0)</f>
        <v>110096.47666060149</v>
      </c>
      <c r="CJ24" s="168"/>
      <c r="CK24">
        <v>14</v>
      </c>
      <c r="CL24" t="str">
        <f t="shared" ca="1" si="33"/>
        <v/>
      </c>
      <c r="CM24" t="str">
        <f t="shared" ca="1" si="33"/>
        <v/>
      </c>
      <c r="CN24" s="1" t="str">
        <f t="shared" ca="1" si="33"/>
        <v/>
      </c>
      <c r="CO24" t="str">
        <f t="shared" si="34"/>
        <v/>
      </c>
      <c r="CP24" s="22">
        <f t="shared" ca="1" si="35"/>
        <v>0</v>
      </c>
      <c r="CR24" s="168"/>
      <c r="CS24">
        <v>14</v>
      </c>
      <c r="CT24" t="str">
        <f t="shared" ca="1" si="69"/>
        <v/>
      </c>
      <c r="CU24" t="str">
        <f t="shared" ca="1" si="69"/>
        <v/>
      </c>
      <c r="CV24" t="str">
        <f t="shared" ca="1" si="69"/>
        <v/>
      </c>
      <c r="CW24" s="1" t="str">
        <f t="shared" ca="1" si="69"/>
        <v/>
      </c>
      <c r="CX24" s="1" t="str">
        <f t="shared" ca="1" si="69"/>
        <v/>
      </c>
      <c r="CY24" t="str">
        <f t="shared" ca="1" si="69"/>
        <v/>
      </c>
      <c r="CZ24">
        <f t="shared" ca="1" si="37"/>
        <v>1</v>
      </c>
      <c r="DA24" t="str">
        <f t="shared" si="38"/>
        <v/>
      </c>
      <c r="DB24" s="22">
        <f t="shared" ca="1" si="39"/>
        <v>0</v>
      </c>
      <c r="DD24" s="168"/>
      <c r="DE24">
        <v>14</v>
      </c>
      <c r="DF24" t="str">
        <f t="shared" ca="1" si="70"/>
        <v/>
      </c>
      <c r="DG24" t="str">
        <f t="shared" ca="1" si="70"/>
        <v/>
      </c>
      <c r="DH24" t="str">
        <f t="shared" ca="1" si="70"/>
        <v/>
      </c>
      <c r="DI24" s="1" t="str">
        <f t="shared" ca="1" si="70"/>
        <v/>
      </c>
      <c r="DJ24" s="1" t="str">
        <f t="shared" ca="1" si="70"/>
        <v/>
      </c>
      <c r="DK24" t="str">
        <f t="shared" ca="1" si="70"/>
        <v/>
      </c>
      <c r="DL24">
        <f t="shared" ca="1" si="41"/>
        <v>1</v>
      </c>
      <c r="DM24" t="str">
        <f t="shared" si="42"/>
        <v/>
      </c>
      <c r="DN24" s="22">
        <f t="shared" ca="1" si="43"/>
        <v>0</v>
      </c>
      <c r="DP24" s="168"/>
      <c r="DQ24">
        <v>14</v>
      </c>
      <c r="DR24" t="str">
        <f t="shared" ca="1" si="44"/>
        <v/>
      </c>
      <c r="DS24" t="str">
        <f t="shared" ca="1" si="44"/>
        <v/>
      </c>
      <c r="DT24" t="str">
        <f t="shared" ca="1" si="44"/>
        <v/>
      </c>
      <c r="DU24" t="str">
        <f t="shared" ca="1" si="44"/>
        <v/>
      </c>
      <c r="DV24" t="str">
        <f t="shared" ca="1" si="44"/>
        <v/>
      </c>
      <c r="DW24" t="str">
        <f t="shared" ca="1" si="44"/>
        <v/>
      </c>
      <c r="DX24">
        <f t="shared" ca="1" si="57"/>
        <v>1</v>
      </c>
      <c r="DY24" t="str">
        <f t="shared" si="46"/>
        <v/>
      </c>
      <c r="DZ24">
        <f t="shared" ca="1" si="58"/>
        <v>0</v>
      </c>
      <c r="EA24" s="122">
        <f t="shared" ca="1" si="59"/>
        <v>82121</v>
      </c>
      <c r="EC24" s="40" t="str">
        <f>IF(ap&gt;=1,EC20,"")</f>
        <v>Annual annuity payment</v>
      </c>
      <c r="ED24" s="15" t="e">
        <f ca="1">-VLOOKUP(D103,$BQ$8:$CD$1207,8,FALSE)</f>
        <v>#N/A</v>
      </c>
      <c r="EE24" s="15" t="e">
        <f ca="1">-VLOOKUP(D103,$BQ$8:$CE$1207,15,FALSE)</f>
        <v>#N/A</v>
      </c>
      <c r="EF24" s="15" t="e">
        <f>IF(EC24&lt;&gt;"",VLOOKUP(EOMONTH(D103,-2)+1,$AO$8:$BL$1207,21,FALSE),"")</f>
        <v>#NUM!</v>
      </c>
      <c r="EG24" s="15" t="e">
        <f>IF(EC24&lt;&gt;"",VLOOKUP(EOMONTH(D103,-2)+1,$AO$8:$BL$1207,19,FALSE),"")</f>
        <v>#NUM!</v>
      </c>
      <c r="EH24" s="15" t="e">
        <f>IF(EC24&lt;&gt;"",VLOOKUP(EOMONTH(D103,-1)+1,$AO$8:$BL$1207,17,FALSE),"")</f>
        <v>#NUM!</v>
      </c>
      <c r="EI24" s="15" t="e">
        <f>IF(EC24&lt;&gt;"",VLOOKUP(EOMONTH(D103,-1)+1,$AO$8:$BL$1207,20,FALSE),"")</f>
        <v>#NUM!</v>
      </c>
      <c r="EJ24" s="38" t="e">
        <f>IF(EF24=1,EH24-EI24,0)</f>
        <v>#NUM!</v>
      </c>
      <c r="EL24" s="21">
        <f t="shared" ca="1" si="60"/>
        <v>3</v>
      </c>
      <c r="EM24" t="str">
        <f ca="1">'Financial Planning Tool'!CL25</f>
        <v/>
      </c>
      <c r="EN24" t="str">
        <f t="shared" ca="1" si="48"/>
        <v/>
      </c>
      <c r="EO24" t="str">
        <f t="shared" ca="1" si="49"/>
        <v/>
      </c>
      <c r="EP24" s="1" t="str">
        <f t="shared" ca="1" si="50"/>
        <v/>
      </c>
      <c r="EQ24" s="1" t="str">
        <f t="shared" ca="1" si="51"/>
        <v/>
      </c>
      <c r="ER24" t="str">
        <f t="shared" ca="1" si="52"/>
        <v/>
      </c>
      <c r="ES24" t="str">
        <f t="shared" si="53"/>
        <v/>
      </c>
      <c r="ET24">
        <v>0</v>
      </c>
      <c r="EU24" s="22">
        <v>15</v>
      </c>
      <c r="EX24" s="21" t="str">
        <f ca="1">IF(EX23="","",IF(EX23+1&lt;=MAX('Financial Planning Tool'!$EL$10:$EL$209),EX23+1,""))</f>
        <v/>
      </c>
      <c r="EY24" t="str">
        <f ca="1">IF(EX24&lt;&gt;"",VLOOKUP(EX24,'Financial Planning Tool'!$EL$10:$ER$209,2,FALSE),"")</f>
        <v/>
      </c>
      <c r="EZ24" t="str">
        <f ca="1">IF(EX24&lt;&gt;"",VLOOKUP(EX24,'Financial Planning Tool'!$EL$10:$ER$209,3,FALSE),"")</f>
        <v/>
      </c>
      <c r="FA24" t="str">
        <f ca="1">IF(EX24&lt;&gt;"",VLOOKUP(EX24,'Financial Planning Tool'!$EL$10:$ER$209,4,FALSE),"")</f>
        <v/>
      </c>
      <c r="FB24" t="str">
        <f t="shared" ca="1" si="61"/>
        <v/>
      </c>
      <c r="FC24" s="1" t="str">
        <f ca="1">IF(EX24&lt;&gt;"",VLOOKUP(EX24,'Financial Planning Tool'!$EL$10:$ER$209,5,FALSE),"")</f>
        <v/>
      </c>
      <c r="FD24" s="1" t="str">
        <f ca="1">IF(EX24&lt;&gt;"",VLOOKUP(EX24,'Financial Planning Tool'!$EL$10:$ER$209,6,FALSE),"")</f>
        <v/>
      </c>
      <c r="FE24" t="str">
        <f ca="1">IF(EX24&lt;&gt;"",VLOOKUP(EX24,'Financial Planning Tool'!$EL$10:$ER$209,7,FALSE),"")</f>
        <v/>
      </c>
      <c r="FF24" t="str">
        <f ca="1">IF(EX24&lt;&gt;"",VLOOKUP(EX24,'Financial Planning Tool'!$EL$10:$ES$209,8,FALSE),"")</f>
        <v/>
      </c>
      <c r="FG24" t="str">
        <f ca="1">IF(EX24&lt;&gt;"",VLOOKUP(EX24,'Financial Planning Tool'!$EL$10:$ET$209,9,FALSE),"")</f>
        <v/>
      </c>
      <c r="FH24" t="str">
        <f t="shared" ca="1" si="55"/>
        <v/>
      </c>
      <c r="FI24" s="22" t="str">
        <f t="shared" ca="1" si="56"/>
        <v/>
      </c>
    </row>
    <row r="25" spans="2:168" x14ac:dyDescent="0.25">
      <c r="B25" s="78" t="s">
        <v>191</v>
      </c>
      <c r="C25" s="100">
        <f>IF(OR($D$25=0,$D$25=""),1,$D$25)</f>
        <v>36</v>
      </c>
      <c r="D25" s="182">
        <v>36</v>
      </c>
      <c r="E25" s="183"/>
      <c r="F25" s="77"/>
      <c r="S25" s="18"/>
      <c r="T25" s="160"/>
      <c r="U25" s="161"/>
      <c r="V25" s="8"/>
      <c r="W25" s="68"/>
      <c r="X25" s="68"/>
      <c r="Y25" s="71"/>
      <c r="Z25" s="71"/>
      <c r="AA25" s="65"/>
      <c r="AE25">
        <v>9</v>
      </c>
      <c r="AF25" s="21"/>
      <c r="AH25" t="s">
        <v>34</v>
      </c>
      <c r="AI25">
        <f>graph_contributions_compare_tick+graph_withdrawals_compare_tick+graph_income_compare_tick+graph_mv_compare_tick</f>
        <v>0</v>
      </c>
      <c r="AJ25" s="22"/>
      <c r="AN25" s="32">
        <f t="shared" ca="1" si="0"/>
        <v>56.333333333333336</v>
      </c>
      <c r="AO25" s="53">
        <f t="shared" ca="1" si="31"/>
        <v>46143</v>
      </c>
      <c r="AP25" s="22">
        <v>18</v>
      </c>
      <c r="AQ25" s="32">
        <f t="shared" ca="1" si="32"/>
        <v>771786.52515627129</v>
      </c>
      <c r="AR25" s="23">
        <f t="array" aca="1" ref="AR25" ca="1">SUM(IF(lsc_start_date=AO25,lsc_amount,0))</f>
        <v>0</v>
      </c>
      <c r="AS25" s="24">
        <f t="shared" ca="1" si="6"/>
        <v>0</v>
      </c>
      <c r="AT25" s="24">
        <f t="shared" ca="1" si="7"/>
        <v>0</v>
      </c>
      <c r="AU25" s="24">
        <f t="shared" ca="1" si="8"/>
        <v>0</v>
      </c>
      <c r="AV25" s="25">
        <f t="shared" ca="1" si="9"/>
        <v>0</v>
      </c>
      <c r="AW25" s="23">
        <f t="array" aca="1" ref="AW25" ca="1">SUM(IF(rcs_start_date&lt;=AO25,1,0)*IF(rcs_end_date&gt;=AO25,1,0)*rcs_amount*(1+rcs_escalation/100)^(INT((AP25-rcs_months_since_start)/12))*IF(MOD((AP25-rcs_months_since_start),rcs_frequency)=0,1,0)*IF(rcs_frequency=13,0,1))+SUM(IF(rcs_start_date=AO25,rcs_amount,0)*IF(rcs_frequency=13,1,0))</f>
        <v>4680</v>
      </c>
      <c r="AX25" s="24">
        <f t="shared" ca="1" si="10"/>
        <v>0</v>
      </c>
      <c r="AY25" s="24">
        <f t="shared" ca="1" si="11"/>
        <v>0</v>
      </c>
      <c r="AZ25" s="24">
        <f t="shared" ca="1" si="12"/>
        <v>0</v>
      </c>
      <c r="BA25" s="25">
        <f t="shared" ca="1" si="13"/>
        <v>4680</v>
      </c>
      <c r="BB25" s="23">
        <f t="array" aca="1" ref="BB25" ca="1">SUM(IF(w_start_date&lt;=AO25,1,0)*IF(w_end_date&gt;=AO25,1,0)*w_amount*(1+w_escalation/100)^(INT((AP25-w_months_since_start)/12))*IF(MOD(AP25-w_months_since_start,w_frequency)=0,1,0)*IF(w_frequency=13,0,1))+SUM(IF(w_start_date=AO25,w_amount,0)*IF(w_frequency=13,1,0))</f>
        <v>0</v>
      </c>
      <c r="BC25" s="25">
        <f t="shared" ca="1" si="14"/>
        <v>0</v>
      </c>
      <c r="BD25" s="24" t="b">
        <f t="shared" ca="1" si="15"/>
        <v>0</v>
      </c>
      <c r="BE25" s="24" t="b">
        <f t="shared" ca="1" si="16"/>
        <v>1</v>
      </c>
      <c r="BF25" s="23">
        <f t="array" aca="1" ref="BF25" ca="1">SUM(IF(BD25,1,0)*IF(ap_start_date&lt;=AO25,1,0)*IF(ap_end_date&gt;=AO25,1,0)*ap_amount*(1+ap_escalation/100)^(INT((AP25-ap_months_since_start)/12))*IF(MOD(AP25-ap_months_since_start,ap_frequency)=0,1,0))</f>
        <v>0</v>
      </c>
      <c r="BG25" s="24">
        <f t="shared" ca="1" si="17"/>
        <v>0</v>
      </c>
      <c r="BH25" s="24">
        <f t="shared" ca="1" si="18"/>
        <v>0</v>
      </c>
      <c r="BI25">
        <f t="shared" ca="1" si="19"/>
        <v>0</v>
      </c>
      <c r="BJ25" s="24">
        <f t="shared" ca="1" si="20"/>
        <v>0</v>
      </c>
      <c r="BK25">
        <f t="shared" ca="1" si="21"/>
        <v>0</v>
      </c>
      <c r="BL25" s="25">
        <f t="shared" ca="1" si="22"/>
        <v>0</v>
      </c>
      <c r="BM25" s="32">
        <f t="shared" ca="1" si="1"/>
        <v>782062.77044722973</v>
      </c>
      <c r="BN25" s="23">
        <f t="shared" ca="1" si="23"/>
        <v>0</v>
      </c>
      <c r="BO25" s="24">
        <f t="shared" ca="1" si="24"/>
        <v>0</v>
      </c>
      <c r="BP25" s="25">
        <f t="shared" ca="1" si="25"/>
        <v>0</v>
      </c>
      <c r="BQ25" s="34">
        <f t="shared" ca="1" si="26"/>
        <v>46173</v>
      </c>
      <c r="BR25" s="23">
        <f t="shared" ca="1" si="27"/>
        <v>782062.77044722973</v>
      </c>
      <c r="BS25" s="24">
        <f t="shared" ca="1" si="28"/>
        <v>4680</v>
      </c>
      <c r="BT25" s="24">
        <f t="shared" ca="1" si="62"/>
        <v>55080</v>
      </c>
      <c r="BU25" s="24">
        <f t="shared" ca="1" si="29"/>
        <v>0</v>
      </c>
      <c r="BV25" s="24">
        <f t="shared" ca="1" si="63"/>
        <v>0</v>
      </c>
      <c r="BW25" s="24">
        <f t="shared" ca="1" si="30"/>
        <v>0</v>
      </c>
      <c r="BX25" s="25">
        <f t="shared" ca="1" si="64"/>
        <v>0</v>
      </c>
      <c r="BY25" s="23">
        <f t="shared" ca="1" si="2"/>
        <v>737380.42295947834</v>
      </c>
      <c r="BZ25" s="24">
        <f t="shared" ca="1" si="3"/>
        <v>4427.0587874636321</v>
      </c>
      <c r="CA25" s="24">
        <f t="shared" ca="1" si="65"/>
        <v>53041.336037023051</v>
      </c>
      <c r="CB25" s="24">
        <f t="shared" ca="1" si="4"/>
        <v>0</v>
      </c>
      <c r="CC25" s="24">
        <f t="shared" ca="1" si="66"/>
        <v>0</v>
      </c>
      <c r="CD25" s="24">
        <f t="shared" ca="1" si="5"/>
        <v>0</v>
      </c>
      <c r="CE25" s="25">
        <f t="shared" ca="1" si="67"/>
        <v>0</v>
      </c>
      <c r="CF25" s="23">
        <f t="shared" ca="1" si="68"/>
        <v>0</v>
      </c>
      <c r="CG25" s="25">
        <f t="array" aca="1" ref="CG25" ca="1">SUM(BF14:BF25/(1+inflation/100)^(AP14:AP25/12))</f>
        <v>0</v>
      </c>
      <c r="CH25" s="32">
        <f ca="1">IFERROR(IF(MOD(AP25-ap_months_since_start,12)=0,ap_drawdown/100*(AQ25+AV25+BA25-BC25),CH24),0)</f>
        <v>110096.47666060149</v>
      </c>
      <c r="CJ25" s="168"/>
      <c r="CK25">
        <v>15</v>
      </c>
      <c r="CL25" t="str">
        <f t="shared" ca="1" si="33"/>
        <v/>
      </c>
      <c r="CM25" t="str">
        <f t="shared" ca="1" si="33"/>
        <v/>
      </c>
      <c r="CN25" s="1" t="str">
        <f t="shared" ca="1" si="33"/>
        <v/>
      </c>
      <c r="CO25" t="str">
        <f t="shared" si="34"/>
        <v/>
      </c>
      <c r="CP25" s="22">
        <f t="shared" ca="1" si="35"/>
        <v>0</v>
      </c>
      <c r="CR25" s="168"/>
      <c r="CS25">
        <v>15</v>
      </c>
      <c r="CT25" t="str">
        <f t="shared" ca="1" si="69"/>
        <v/>
      </c>
      <c r="CU25" t="str">
        <f t="shared" ca="1" si="69"/>
        <v/>
      </c>
      <c r="CV25" t="str">
        <f t="shared" ca="1" si="69"/>
        <v/>
      </c>
      <c r="CW25" s="1" t="str">
        <f t="shared" ca="1" si="69"/>
        <v/>
      </c>
      <c r="CX25" s="1" t="str">
        <f t="shared" ca="1" si="69"/>
        <v/>
      </c>
      <c r="CY25" t="str">
        <f t="shared" ca="1" si="69"/>
        <v/>
      </c>
      <c r="CZ25">
        <f t="shared" ca="1" si="37"/>
        <v>1</v>
      </c>
      <c r="DA25" t="str">
        <f t="shared" si="38"/>
        <v/>
      </c>
      <c r="DB25" s="22">
        <f t="shared" ca="1" si="39"/>
        <v>0</v>
      </c>
      <c r="DD25" s="168"/>
      <c r="DE25">
        <v>15</v>
      </c>
      <c r="DF25" t="str">
        <f t="shared" ca="1" si="70"/>
        <v/>
      </c>
      <c r="DG25" t="str">
        <f t="shared" ca="1" si="70"/>
        <v/>
      </c>
      <c r="DH25" t="str">
        <f t="shared" ca="1" si="70"/>
        <v/>
      </c>
      <c r="DI25" s="1" t="str">
        <f t="shared" ca="1" si="70"/>
        <v/>
      </c>
      <c r="DJ25" s="1" t="str">
        <f t="shared" ca="1" si="70"/>
        <v/>
      </c>
      <c r="DK25" t="str">
        <f t="shared" ca="1" si="70"/>
        <v/>
      </c>
      <c r="DL25">
        <f t="shared" ca="1" si="41"/>
        <v>1</v>
      </c>
      <c r="DM25" t="str">
        <f t="shared" si="42"/>
        <v/>
      </c>
      <c r="DN25" s="22">
        <f t="shared" ca="1" si="43"/>
        <v>0</v>
      </c>
      <c r="DP25" s="168"/>
      <c r="DQ25">
        <v>15</v>
      </c>
      <c r="DR25" t="str">
        <f t="shared" ca="1" si="44"/>
        <v/>
      </c>
      <c r="DS25" t="str">
        <f t="shared" ca="1" si="44"/>
        <v/>
      </c>
      <c r="DT25" t="str">
        <f t="shared" ca="1" si="44"/>
        <v/>
      </c>
      <c r="DU25" t="str">
        <f t="shared" ca="1" si="44"/>
        <v/>
      </c>
      <c r="DV25" t="str">
        <f t="shared" ca="1" si="44"/>
        <v/>
      </c>
      <c r="DW25" t="str">
        <f t="shared" ca="1" si="44"/>
        <v/>
      </c>
      <c r="DX25">
        <f t="shared" ca="1" si="57"/>
        <v>1</v>
      </c>
      <c r="DY25" t="str">
        <f t="shared" si="46"/>
        <v/>
      </c>
      <c r="DZ25">
        <f t="shared" ca="1" si="58"/>
        <v>0</v>
      </c>
      <c r="EA25" s="122">
        <f t="shared" ca="1" si="59"/>
        <v>82121</v>
      </c>
      <c r="EL25" s="21">
        <f t="shared" ca="1" si="60"/>
        <v>3</v>
      </c>
      <c r="EM25" t="str">
        <f ca="1">'Financial Planning Tool'!CL26</f>
        <v/>
      </c>
      <c r="EN25" t="str">
        <f t="shared" ca="1" si="48"/>
        <v/>
      </c>
      <c r="EO25" t="str">
        <f t="shared" ca="1" si="49"/>
        <v/>
      </c>
      <c r="EP25" s="1" t="str">
        <f t="shared" ca="1" si="50"/>
        <v/>
      </c>
      <c r="EQ25" s="1" t="str">
        <f t="shared" ca="1" si="51"/>
        <v/>
      </c>
      <c r="ER25" t="str">
        <f t="shared" ca="1" si="52"/>
        <v/>
      </c>
      <c r="ES25" t="str">
        <f t="shared" si="53"/>
        <v/>
      </c>
      <c r="ET25">
        <v>0</v>
      </c>
      <c r="EU25" s="22">
        <v>16</v>
      </c>
      <c r="EX25" s="21" t="str">
        <f ca="1">IF(EX24="","",IF(EX24+1&lt;=MAX('Financial Planning Tool'!$EL$10:$EL$209),EX24+1,""))</f>
        <v/>
      </c>
      <c r="EY25" t="str">
        <f ca="1">IF(EX25&lt;&gt;"",VLOOKUP(EX25,'Financial Planning Tool'!$EL$10:$ER$209,2,FALSE),"")</f>
        <v/>
      </c>
      <c r="EZ25" t="str">
        <f ca="1">IF(EX25&lt;&gt;"",VLOOKUP(EX25,'Financial Planning Tool'!$EL$10:$ER$209,3,FALSE),"")</f>
        <v/>
      </c>
      <c r="FA25" t="str">
        <f ca="1">IF(EX25&lt;&gt;"",VLOOKUP(EX25,'Financial Planning Tool'!$EL$10:$ER$209,4,FALSE),"")</f>
        <v/>
      </c>
      <c r="FB25" t="str">
        <f t="shared" ca="1" si="61"/>
        <v/>
      </c>
      <c r="FC25" s="1" t="str">
        <f ca="1">IF(EX25&lt;&gt;"",VLOOKUP(EX25,'Financial Planning Tool'!$EL$10:$ER$209,5,FALSE),"")</f>
        <v/>
      </c>
      <c r="FD25" s="1" t="str">
        <f ca="1">IF(EX25&lt;&gt;"",VLOOKUP(EX25,'Financial Planning Tool'!$EL$10:$ER$209,6,FALSE),"")</f>
        <v/>
      </c>
      <c r="FE25" t="str">
        <f ca="1">IF(EX25&lt;&gt;"",VLOOKUP(EX25,'Financial Planning Tool'!$EL$10:$ER$209,7,FALSE),"")</f>
        <v/>
      </c>
      <c r="FF25" t="str">
        <f ca="1">IF(EX25&lt;&gt;"",VLOOKUP(EX25,'Financial Planning Tool'!$EL$10:$ES$209,8,FALSE),"")</f>
        <v/>
      </c>
      <c r="FG25" t="str">
        <f ca="1">IF(EX25&lt;&gt;"",VLOOKUP(EX25,'Financial Planning Tool'!$EL$10:$ET$209,9,FALSE),"")</f>
        <v/>
      </c>
      <c r="FH25" t="str">
        <f t="shared" ca="1" si="55"/>
        <v/>
      </c>
      <c r="FI25" s="22" t="str">
        <f t="shared" ca="1" si="56"/>
        <v/>
      </c>
      <c r="FK25" t="s">
        <v>136</v>
      </c>
    </row>
    <row r="26" spans="2:168" x14ac:dyDescent="0.25">
      <c r="B26" s="78" t="s">
        <v>192</v>
      </c>
      <c r="C26" s="76"/>
      <c r="D26" s="182">
        <v>90</v>
      </c>
      <c r="E26" s="183"/>
      <c r="F26" s="77"/>
      <c r="S26" s="18"/>
      <c r="T26" s="160"/>
      <c r="U26" s="161"/>
      <c r="V26" s="8"/>
      <c r="W26" s="68"/>
      <c r="X26" s="68"/>
      <c r="Y26" s="71"/>
      <c r="Z26" s="71"/>
      <c r="AA26" s="65"/>
      <c r="AE26">
        <v>10</v>
      </c>
      <c r="AF26" s="21" t="s">
        <v>35</v>
      </c>
      <c r="AG26" s="50" t="b">
        <v>0</v>
      </c>
      <c r="AJ26" s="22"/>
      <c r="AN26" s="32">
        <f t="shared" ca="1" si="0"/>
        <v>56.416666666666664</v>
      </c>
      <c r="AO26" s="53">
        <f t="shared" ca="1" si="31"/>
        <v>46174</v>
      </c>
      <c r="AP26" s="22">
        <v>19</v>
      </c>
      <c r="AQ26" s="32">
        <f t="shared" ca="1" si="32"/>
        <v>782062.77044722973</v>
      </c>
      <c r="AR26" s="23">
        <f t="array" aca="1" ref="AR26" ca="1">SUM(IF(lsc_start_date=AO26,lsc_amount,0))</f>
        <v>0</v>
      </c>
      <c r="AS26" s="24">
        <f t="shared" ca="1" si="6"/>
        <v>0</v>
      </c>
      <c r="AT26" s="24">
        <f t="shared" ca="1" si="7"/>
        <v>0</v>
      </c>
      <c r="AU26" s="24">
        <f t="shared" ca="1" si="8"/>
        <v>0</v>
      </c>
      <c r="AV26" s="25">
        <f t="shared" ca="1" si="9"/>
        <v>0</v>
      </c>
      <c r="AW26" s="23">
        <f t="array" aca="1" ref="AW26" ca="1">SUM(IF(rcs_start_date&lt;=AO26,1,0)*IF(rcs_end_date&gt;=AO26,1,0)*rcs_amount*(1+rcs_escalation/100)^(INT((AP26-rcs_months_since_start)/12))*IF(MOD((AP26-rcs_months_since_start),rcs_frequency)=0,1,0)*IF(rcs_frequency=13,0,1))+SUM(IF(rcs_start_date=AO26,rcs_amount,0)*IF(rcs_frequency=13,1,0))</f>
        <v>4680</v>
      </c>
      <c r="AX26" s="24">
        <f t="shared" ca="1" si="10"/>
        <v>0</v>
      </c>
      <c r="AY26" s="24">
        <f t="shared" ca="1" si="11"/>
        <v>0</v>
      </c>
      <c r="AZ26" s="24">
        <f t="shared" ca="1" si="12"/>
        <v>0</v>
      </c>
      <c r="BA26" s="25">
        <f t="shared" ca="1" si="13"/>
        <v>4680</v>
      </c>
      <c r="BB26" s="23">
        <f t="array" aca="1" ref="BB26" ca="1">SUM(IF(w_start_date&lt;=AO26,1,0)*IF(w_end_date&gt;=AO26,1,0)*w_amount*(1+w_escalation/100)^(INT((AP26-w_months_since_start)/12))*IF(MOD(AP26-w_months_since_start,w_frequency)=0,1,0)*IF(w_frequency=13,0,1))+SUM(IF(w_start_date=AO26,w_amount,0)*IF(w_frequency=13,1,0))</f>
        <v>0</v>
      </c>
      <c r="BC26" s="25">
        <f t="shared" ca="1" si="14"/>
        <v>0</v>
      </c>
      <c r="BD26" s="24" t="b">
        <f t="shared" ca="1" si="15"/>
        <v>0</v>
      </c>
      <c r="BE26" s="24" t="b">
        <f t="shared" ca="1" si="16"/>
        <v>1</v>
      </c>
      <c r="BF26" s="23">
        <f t="array" aca="1" ref="BF26" ca="1">SUM(IF(BD26,1,0)*IF(ap_start_date&lt;=AO26,1,0)*IF(ap_end_date&gt;=AO26,1,0)*ap_amount*(1+ap_escalation/100)^(INT((AP26-ap_months_since_start)/12))*IF(MOD(AP26-ap_months_since_start,ap_frequency)=0,1,0))</f>
        <v>0</v>
      </c>
      <c r="BG26" s="24">
        <f t="shared" ca="1" si="17"/>
        <v>0</v>
      </c>
      <c r="BH26" s="24">
        <f t="shared" ca="1" si="18"/>
        <v>0</v>
      </c>
      <c r="BI26">
        <f t="shared" ca="1" si="19"/>
        <v>0</v>
      </c>
      <c r="BJ26" s="24">
        <f t="shared" ca="1" si="20"/>
        <v>0</v>
      </c>
      <c r="BK26">
        <f t="shared" ca="1" si="21"/>
        <v>0</v>
      </c>
      <c r="BL26" s="25">
        <f t="shared" ca="1" si="22"/>
        <v>0</v>
      </c>
      <c r="BM26" s="32">
        <f t="shared" ca="1" si="1"/>
        <v>792413.07996047603</v>
      </c>
      <c r="BN26" s="23">
        <f t="shared" ca="1" si="23"/>
        <v>0</v>
      </c>
      <c r="BO26" s="24">
        <f t="shared" ca="1" si="24"/>
        <v>0</v>
      </c>
      <c r="BP26" s="25">
        <f t="shared" ca="1" si="25"/>
        <v>0</v>
      </c>
      <c r="BQ26" s="34">
        <f t="shared" ca="1" si="26"/>
        <v>46203</v>
      </c>
      <c r="BR26" s="23">
        <f t="shared" ca="1" si="27"/>
        <v>792413.07996047603</v>
      </c>
      <c r="BS26" s="24">
        <f t="shared" ca="1" si="28"/>
        <v>4680</v>
      </c>
      <c r="BT26" s="24">
        <f t="shared" ca="1" si="62"/>
        <v>55260</v>
      </c>
      <c r="BU26" s="24">
        <f t="shared" ca="1" si="29"/>
        <v>0</v>
      </c>
      <c r="BV26" s="24">
        <f t="shared" ca="1" si="63"/>
        <v>0</v>
      </c>
      <c r="BW26" s="24">
        <f t="shared" ca="1" si="30"/>
        <v>0</v>
      </c>
      <c r="BX26" s="25">
        <f t="shared" ca="1" si="64"/>
        <v>0</v>
      </c>
      <c r="BY26" s="23">
        <f t="shared" ca="1" si="2"/>
        <v>744701.41958105634</v>
      </c>
      <c r="BZ26" s="24">
        <f t="shared" ca="1" si="3"/>
        <v>4412.6130406091406</v>
      </c>
      <c r="CA26" s="24">
        <f t="shared" ca="1" si="65"/>
        <v>53041.336037023051</v>
      </c>
      <c r="CB26" s="24">
        <f t="shared" ca="1" si="4"/>
        <v>0</v>
      </c>
      <c r="CC26" s="24">
        <f t="shared" ca="1" si="66"/>
        <v>0</v>
      </c>
      <c r="CD26" s="24">
        <f t="shared" ca="1" si="5"/>
        <v>0</v>
      </c>
      <c r="CE26" s="25">
        <f t="shared" ca="1" si="67"/>
        <v>0</v>
      </c>
      <c r="CF26" s="23">
        <f t="shared" ca="1" si="68"/>
        <v>0</v>
      </c>
      <c r="CG26" s="25">
        <f t="array" aca="1" ref="CG26" ca="1">SUM(BF15:BF26/(1+inflation/100)^(AP15:AP26/12))</f>
        <v>0</v>
      </c>
      <c r="CH26" s="32">
        <f ca="1">IFERROR(IF(MOD(AP26-ap_months_since_start,12)=0,ap_drawdown/100*(AQ26+AV26+BA26-BC26),CH25),0)</f>
        <v>110096.47666060149</v>
      </c>
      <c r="CJ26" s="168"/>
      <c r="CK26">
        <v>16</v>
      </c>
      <c r="CL26" t="str">
        <f t="shared" ca="1" si="33"/>
        <v/>
      </c>
      <c r="CM26" t="str">
        <f t="shared" ca="1" si="33"/>
        <v/>
      </c>
      <c r="CN26" s="1" t="str">
        <f t="shared" ca="1" si="33"/>
        <v/>
      </c>
      <c r="CO26" t="str">
        <f t="shared" si="34"/>
        <v/>
      </c>
      <c r="CP26" s="22">
        <f t="shared" ca="1" si="35"/>
        <v>0</v>
      </c>
      <c r="CR26" s="168"/>
      <c r="CS26">
        <v>16</v>
      </c>
      <c r="CT26" t="str">
        <f t="shared" ca="1" si="69"/>
        <v/>
      </c>
      <c r="CU26" t="str">
        <f t="shared" ca="1" si="69"/>
        <v/>
      </c>
      <c r="CV26" t="str">
        <f t="shared" ca="1" si="69"/>
        <v/>
      </c>
      <c r="CW26" s="1" t="str">
        <f t="shared" ca="1" si="69"/>
        <v/>
      </c>
      <c r="CX26" s="1" t="str">
        <f t="shared" ca="1" si="69"/>
        <v/>
      </c>
      <c r="CY26" t="str">
        <f t="shared" ca="1" si="69"/>
        <v/>
      </c>
      <c r="CZ26">
        <f t="shared" ca="1" si="37"/>
        <v>1</v>
      </c>
      <c r="DA26" t="str">
        <f t="shared" si="38"/>
        <v/>
      </c>
      <c r="DB26" s="22">
        <f t="shared" ca="1" si="39"/>
        <v>0</v>
      </c>
      <c r="DD26" s="168"/>
      <c r="DE26">
        <v>16</v>
      </c>
      <c r="DF26" t="str">
        <f t="shared" ca="1" si="70"/>
        <v/>
      </c>
      <c r="DG26" t="str">
        <f t="shared" ca="1" si="70"/>
        <v/>
      </c>
      <c r="DH26" t="str">
        <f t="shared" ca="1" si="70"/>
        <v/>
      </c>
      <c r="DI26" s="1" t="str">
        <f t="shared" ca="1" si="70"/>
        <v/>
      </c>
      <c r="DJ26" s="1" t="str">
        <f t="shared" ca="1" si="70"/>
        <v/>
      </c>
      <c r="DK26" t="str">
        <f t="shared" ca="1" si="70"/>
        <v/>
      </c>
      <c r="DL26">
        <f t="shared" ca="1" si="41"/>
        <v>1</v>
      </c>
      <c r="DM26" t="str">
        <f t="shared" si="42"/>
        <v/>
      </c>
      <c r="DN26" s="22">
        <f t="shared" ca="1" si="43"/>
        <v>0</v>
      </c>
      <c r="DP26" s="168"/>
      <c r="DQ26">
        <v>16</v>
      </c>
      <c r="DR26" t="str">
        <f t="shared" ca="1" si="44"/>
        <v/>
      </c>
      <c r="DS26" t="str">
        <f t="shared" ca="1" si="44"/>
        <v/>
      </c>
      <c r="DT26" t="str">
        <f t="shared" ca="1" si="44"/>
        <v/>
      </c>
      <c r="DU26" t="str">
        <f t="shared" ca="1" si="44"/>
        <v/>
      </c>
      <c r="DV26" t="str">
        <f t="shared" ca="1" si="44"/>
        <v/>
      </c>
      <c r="DW26" t="str">
        <f t="shared" ca="1" si="44"/>
        <v/>
      </c>
      <c r="DX26">
        <f t="shared" ca="1" si="57"/>
        <v>1</v>
      </c>
      <c r="DY26" t="str">
        <f t="shared" si="46"/>
        <v/>
      </c>
      <c r="DZ26">
        <f t="shared" ca="1" si="58"/>
        <v>0</v>
      </c>
      <c r="EA26" s="122">
        <f t="shared" ca="1" si="59"/>
        <v>82121</v>
      </c>
      <c r="EL26" s="21">
        <f t="shared" ca="1" si="60"/>
        <v>3</v>
      </c>
      <c r="EM26" t="str">
        <f ca="1">'Financial Planning Tool'!CL27</f>
        <v/>
      </c>
      <c r="EN26" t="str">
        <f t="shared" ca="1" si="48"/>
        <v/>
      </c>
      <c r="EO26" t="str">
        <f t="shared" ca="1" si="49"/>
        <v/>
      </c>
      <c r="EP26" s="1" t="str">
        <f t="shared" ca="1" si="50"/>
        <v/>
      </c>
      <c r="EQ26" s="1" t="str">
        <f t="shared" ca="1" si="51"/>
        <v/>
      </c>
      <c r="ER26" t="str">
        <f t="shared" ca="1" si="52"/>
        <v/>
      </c>
      <c r="ES26" t="str">
        <f t="shared" si="53"/>
        <v/>
      </c>
      <c r="ET26">
        <v>0</v>
      </c>
      <c r="EU26" s="22">
        <v>17</v>
      </c>
      <c r="EX26" s="21" t="str">
        <f ca="1">IF(EX25="","",IF(EX25+1&lt;=MAX('Financial Planning Tool'!$EL$10:$EL$209),EX25+1,""))</f>
        <v/>
      </c>
      <c r="EY26" t="str">
        <f ca="1">IF(EX26&lt;&gt;"",VLOOKUP(EX26,'Financial Planning Tool'!$EL$10:$ER$209,2,FALSE),"")</f>
        <v/>
      </c>
      <c r="EZ26" t="str">
        <f ca="1">IF(EX26&lt;&gt;"",VLOOKUP(EX26,'Financial Planning Tool'!$EL$10:$ER$209,3,FALSE),"")</f>
        <v/>
      </c>
      <c r="FA26" t="str">
        <f ca="1">IF(EX26&lt;&gt;"",VLOOKUP(EX26,'Financial Planning Tool'!$EL$10:$ER$209,4,FALSE),"")</f>
        <v/>
      </c>
      <c r="FB26" t="str">
        <f t="shared" ca="1" si="61"/>
        <v/>
      </c>
      <c r="FC26" s="1" t="str">
        <f ca="1">IF(EX26&lt;&gt;"",VLOOKUP(EX26,'Financial Planning Tool'!$EL$10:$ER$209,5,FALSE),"")</f>
        <v/>
      </c>
      <c r="FD26" s="1" t="str">
        <f ca="1">IF(EX26&lt;&gt;"",VLOOKUP(EX26,'Financial Planning Tool'!$EL$10:$ER$209,6,FALSE),"")</f>
        <v/>
      </c>
      <c r="FE26" t="str">
        <f ca="1">IF(EX26&lt;&gt;"",VLOOKUP(EX26,'Financial Planning Tool'!$EL$10:$ER$209,7,FALSE),"")</f>
        <v/>
      </c>
      <c r="FF26" t="str">
        <f ca="1">IF(EX26&lt;&gt;"",VLOOKUP(EX26,'Financial Planning Tool'!$EL$10:$ES$209,8,FALSE),"")</f>
        <v/>
      </c>
      <c r="FG26" t="str">
        <f ca="1">IF(EX26&lt;&gt;"",VLOOKUP(EX26,'Financial Planning Tool'!$EL$10:$ET$209,9,FALSE),"")</f>
        <v/>
      </c>
      <c r="FH26" t="str">
        <f t="shared" ca="1" si="55"/>
        <v/>
      </c>
      <c r="FI26" s="22" t="str">
        <f t="shared" ca="1" si="56"/>
        <v/>
      </c>
    </row>
    <row r="27" spans="2:168" x14ac:dyDescent="0.25">
      <c r="B27" s="78"/>
      <c r="C27" s="76"/>
      <c r="D27" s="76"/>
      <c r="E27" s="76"/>
      <c r="F27" s="77"/>
      <c r="S27" s="18"/>
      <c r="T27" s="160"/>
      <c r="U27" s="161"/>
      <c r="V27" s="8"/>
      <c r="W27" s="68"/>
      <c r="X27" s="68"/>
      <c r="Y27" s="71"/>
      <c r="Z27" s="71"/>
      <c r="AA27" s="65"/>
      <c r="AE27">
        <v>11</v>
      </c>
      <c r="AF27" s="21" t="s">
        <v>169</v>
      </c>
      <c r="AG27" s="50" t="b">
        <v>0</v>
      </c>
      <c r="AJ27" s="22"/>
      <c r="AN27" s="32">
        <f t="shared" ca="1" si="0"/>
        <v>56.5</v>
      </c>
      <c r="AO27" s="53">
        <f t="shared" ca="1" si="31"/>
        <v>46204</v>
      </c>
      <c r="AP27" s="22">
        <v>20</v>
      </c>
      <c r="AQ27" s="32">
        <f t="shared" ca="1" si="32"/>
        <v>792413.07996047603</v>
      </c>
      <c r="AR27" s="23">
        <f t="array" aca="1" ref="AR27" ca="1">SUM(IF(lsc_start_date=AO27,lsc_amount,0))</f>
        <v>0</v>
      </c>
      <c r="AS27" s="24">
        <f t="shared" ca="1" si="6"/>
        <v>0</v>
      </c>
      <c r="AT27" s="24">
        <f t="shared" ca="1" si="7"/>
        <v>0</v>
      </c>
      <c r="AU27" s="24">
        <f t="shared" ca="1" si="8"/>
        <v>0</v>
      </c>
      <c r="AV27" s="25">
        <f t="shared" ca="1" si="9"/>
        <v>0</v>
      </c>
      <c r="AW27" s="23">
        <f t="array" aca="1" ref="AW27" ca="1">SUM(IF(rcs_start_date&lt;=AO27,1,0)*IF(rcs_end_date&gt;=AO27,1,0)*rcs_amount*(1+rcs_escalation/100)^(INT((AP27-rcs_months_since_start)/12))*IF(MOD((AP27-rcs_months_since_start),rcs_frequency)=0,1,0)*IF(rcs_frequency=13,0,1))+SUM(IF(rcs_start_date=AO27,rcs_amount,0)*IF(rcs_frequency=13,1,0))</f>
        <v>4680</v>
      </c>
      <c r="AX27" s="24">
        <f t="shared" ca="1" si="10"/>
        <v>0</v>
      </c>
      <c r="AY27" s="24">
        <f t="shared" ca="1" si="11"/>
        <v>0</v>
      </c>
      <c r="AZ27" s="24">
        <f t="shared" ca="1" si="12"/>
        <v>0</v>
      </c>
      <c r="BA27" s="25">
        <f t="shared" ca="1" si="13"/>
        <v>4680</v>
      </c>
      <c r="BB27" s="23">
        <f t="array" aca="1" ref="BB27" ca="1">SUM(IF(w_start_date&lt;=AO27,1,0)*IF(w_end_date&gt;=AO27,1,0)*w_amount*(1+w_escalation/100)^(INT((AP27-w_months_since_start)/12))*IF(MOD(AP27-w_months_since_start,w_frequency)=0,1,0)*IF(w_frequency=13,0,1))+SUM(IF(w_start_date=AO27,w_amount,0)*IF(w_frequency=13,1,0))</f>
        <v>0</v>
      </c>
      <c r="BC27" s="25">
        <f t="shared" ca="1" si="14"/>
        <v>0</v>
      </c>
      <c r="BD27" s="24" t="b">
        <f t="shared" ca="1" si="15"/>
        <v>0</v>
      </c>
      <c r="BE27" s="24" t="b">
        <f t="shared" ca="1" si="16"/>
        <v>1</v>
      </c>
      <c r="BF27" s="23">
        <f t="array" aca="1" ref="BF27" ca="1">SUM(IF(BD27,1,0)*IF(ap_start_date&lt;=AO27,1,0)*IF(ap_end_date&gt;=AO27,1,0)*ap_amount*(1+ap_escalation/100)^(INT((AP27-ap_months_since_start)/12))*IF(MOD(AP27-ap_months_since_start,ap_frequency)=0,1,0))</f>
        <v>0</v>
      </c>
      <c r="BG27" s="24">
        <f t="shared" ca="1" si="17"/>
        <v>0</v>
      </c>
      <c r="BH27" s="24">
        <f t="shared" ca="1" si="18"/>
        <v>0</v>
      </c>
      <c r="BI27">
        <f t="shared" ca="1" si="19"/>
        <v>0</v>
      </c>
      <c r="BJ27" s="24">
        <f t="shared" ca="1" si="20"/>
        <v>0</v>
      </c>
      <c r="BK27">
        <f t="shared" ca="1" si="21"/>
        <v>0</v>
      </c>
      <c r="BL27" s="25">
        <f t="shared" ca="1" si="22"/>
        <v>0</v>
      </c>
      <c r="BM27" s="32">
        <f t="shared" ca="1" si="1"/>
        <v>802837.98750080634</v>
      </c>
      <c r="BN27" s="23">
        <f t="shared" ca="1" si="23"/>
        <v>0</v>
      </c>
      <c r="BO27" s="24">
        <f t="shared" ca="1" si="24"/>
        <v>0</v>
      </c>
      <c r="BP27" s="25">
        <f t="shared" ca="1" si="25"/>
        <v>0</v>
      </c>
      <c r="BQ27" s="34">
        <f t="shared" ca="1" si="26"/>
        <v>46234</v>
      </c>
      <c r="BR27" s="23">
        <f t="shared" ca="1" si="27"/>
        <v>802837.98750080634</v>
      </c>
      <c r="BS27" s="24">
        <f t="shared" ca="1" si="28"/>
        <v>4680</v>
      </c>
      <c r="BT27" s="24">
        <f t="shared" ca="1" si="62"/>
        <v>55440</v>
      </c>
      <c r="BU27" s="24">
        <f t="shared" ca="1" si="29"/>
        <v>0</v>
      </c>
      <c r="BV27" s="24">
        <f t="shared" ca="1" si="63"/>
        <v>0</v>
      </c>
      <c r="BW27" s="24">
        <f t="shared" ca="1" si="30"/>
        <v>0</v>
      </c>
      <c r="BX27" s="25">
        <f t="shared" ca="1" si="64"/>
        <v>0</v>
      </c>
      <c r="BY27" s="23">
        <f t="shared" ca="1" si="2"/>
        <v>752036.66492280678</v>
      </c>
      <c r="BZ27" s="24">
        <f t="shared" ca="1" si="3"/>
        <v>4398.2144310555532</v>
      </c>
      <c r="CA27" s="24">
        <f t="shared" ca="1" si="65"/>
        <v>53041.336037023044</v>
      </c>
      <c r="CB27" s="24">
        <f t="shared" ca="1" si="4"/>
        <v>0</v>
      </c>
      <c r="CC27" s="24">
        <f t="shared" ca="1" si="66"/>
        <v>0</v>
      </c>
      <c r="CD27" s="24">
        <f t="shared" ca="1" si="5"/>
        <v>0</v>
      </c>
      <c r="CE27" s="25">
        <f t="shared" ca="1" si="67"/>
        <v>0</v>
      </c>
      <c r="CF27" s="23">
        <f t="shared" ca="1" si="68"/>
        <v>0</v>
      </c>
      <c r="CG27" s="25">
        <f t="array" aca="1" ref="CG27" ca="1">SUM(BF16:BF27/(1+inflation/100)^(AP16:AP27/12))</f>
        <v>0</v>
      </c>
      <c r="CH27" s="32">
        <f ca="1">IFERROR(IF(MOD(AP27-ap_months_since_start,12)=0,ap_drawdown/100*(AQ27+AV27+BA27-BC27),CH26),0)</f>
        <v>110096.47666060149</v>
      </c>
      <c r="CJ27" s="168"/>
      <c r="CK27">
        <v>17</v>
      </c>
      <c r="CL27" t="str">
        <f t="shared" ca="1" si="33"/>
        <v/>
      </c>
      <c r="CM27" t="str">
        <f t="shared" ca="1" si="33"/>
        <v/>
      </c>
      <c r="CN27" s="1" t="str">
        <f t="shared" ca="1" si="33"/>
        <v/>
      </c>
      <c r="CO27" t="str">
        <f t="shared" si="34"/>
        <v/>
      </c>
      <c r="CP27" s="22">
        <f t="shared" ca="1" si="35"/>
        <v>0</v>
      </c>
      <c r="CR27" s="168"/>
      <c r="CS27">
        <v>17</v>
      </c>
      <c r="CT27" t="str">
        <f t="shared" ca="1" si="69"/>
        <v/>
      </c>
      <c r="CU27" t="str">
        <f t="shared" ca="1" si="69"/>
        <v/>
      </c>
      <c r="CV27" t="str">
        <f t="shared" ca="1" si="69"/>
        <v/>
      </c>
      <c r="CW27" s="1" t="str">
        <f t="shared" ca="1" si="69"/>
        <v/>
      </c>
      <c r="CX27" s="1" t="str">
        <f t="shared" ca="1" si="69"/>
        <v/>
      </c>
      <c r="CY27" t="str">
        <f t="shared" ca="1" si="69"/>
        <v/>
      </c>
      <c r="CZ27">
        <f t="shared" ca="1" si="37"/>
        <v>1</v>
      </c>
      <c r="DA27" t="str">
        <f t="shared" si="38"/>
        <v/>
      </c>
      <c r="DB27" s="22">
        <f t="shared" ca="1" si="39"/>
        <v>0</v>
      </c>
      <c r="DD27" s="168"/>
      <c r="DE27">
        <v>17</v>
      </c>
      <c r="DF27" t="str">
        <f t="shared" ca="1" si="70"/>
        <v/>
      </c>
      <c r="DG27" t="str">
        <f t="shared" ca="1" si="70"/>
        <v/>
      </c>
      <c r="DH27" t="str">
        <f t="shared" ca="1" si="70"/>
        <v/>
      </c>
      <c r="DI27" s="1" t="str">
        <f t="shared" ca="1" si="70"/>
        <v/>
      </c>
      <c r="DJ27" s="1" t="str">
        <f t="shared" ca="1" si="70"/>
        <v/>
      </c>
      <c r="DK27" t="str">
        <f t="shared" ca="1" si="70"/>
        <v/>
      </c>
      <c r="DL27">
        <f t="shared" ca="1" si="41"/>
        <v>1</v>
      </c>
      <c r="DM27" t="str">
        <f t="shared" si="42"/>
        <v/>
      </c>
      <c r="DN27" s="22">
        <f t="shared" ca="1" si="43"/>
        <v>0</v>
      </c>
      <c r="DP27" s="168"/>
      <c r="DQ27">
        <v>17</v>
      </c>
      <c r="DR27" t="str">
        <f t="shared" ref="DR27:DW60" ca="1" si="71">IF(ap&gt;=$DQ27,OFFSET(ap,$DQ27*$CL$6-DR$9,3),"")</f>
        <v/>
      </c>
      <c r="DS27" t="str">
        <f t="shared" ca="1" si="71"/>
        <v/>
      </c>
      <c r="DT27" t="str">
        <f t="shared" ca="1" si="71"/>
        <v/>
      </c>
      <c r="DU27" t="str">
        <f t="shared" ca="1" si="71"/>
        <v/>
      </c>
      <c r="DV27" t="str">
        <f t="shared" ca="1" si="71"/>
        <v/>
      </c>
      <c r="DW27" t="str">
        <f t="shared" ca="1" si="71"/>
        <v/>
      </c>
      <c r="DX27">
        <f t="shared" ca="1" si="57"/>
        <v>1</v>
      </c>
      <c r="DY27" t="str">
        <f t="shared" si="46"/>
        <v/>
      </c>
      <c r="DZ27">
        <f t="shared" ca="1" si="58"/>
        <v>0</v>
      </c>
      <c r="EA27" s="122">
        <f t="shared" ca="1" si="59"/>
        <v>82121</v>
      </c>
      <c r="EL27" s="21">
        <f t="shared" ca="1" si="60"/>
        <v>3</v>
      </c>
      <c r="EM27" t="str">
        <f ca="1">'Financial Planning Tool'!CL28</f>
        <v/>
      </c>
      <c r="EN27" t="str">
        <f t="shared" ca="1" si="48"/>
        <v/>
      </c>
      <c r="EO27" t="str">
        <f t="shared" ca="1" si="49"/>
        <v/>
      </c>
      <c r="EP27" s="1" t="str">
        <f t="shared" ca="1" si="50"/>
        <v/>
      </c>
      <c r="EQ27" s="1" t="str">
        <f t="shared" ca="1" si="51"/>
        <v/>
      </c>
      <c r="ER27" t="str">
        <f t="shared" ca="1" si="52"/>
        <v/>
      </c>
      <c r="ES27" t="str">
        <f t="shared" si="53"/>
        <v/>
      </c>
      <c r="ET27">
        <v>0</v>
      </c>
      <c r="EU27" s="22">
        <v>18</v>
      </c>
      <c r="EX27" s="21" t="str">
        <f ca="1">IF(EX26="","",IF(EX26+1&lt;=MAX('Financial Planning Tool'!$EL$10:$EL$209),EX26+1,""))</f>
        <v/>
      </c>
      <c r="EY27" t="str">
        <f ca="1">IF(EX27&lt;&gt;"",VLOOKUP(EX27,'Financial Planning Tool'!$EL$10:$ER$209,2,FALSE),"")</f>
        <v/>
      </c>
      <c r="EZ27" t="str">
        <f ca="1">IF(EX27&lt;&gt;"",VLOOKUP(EX27,'Financial Planning Tool'!$EL$10:$ER$209,3,FALSE),"")</f>
        <v/>
      </c>
      <c r="FA27" t="str">
        <f ca="1">IF(EX27&lt;&gt;"",VLOOKUP(EX27,'Financial Planning Tool'!$EL$10:$ER$209,4,FALSE),"")</f>
        <v/>
      </c>
      <c r="FB27" t="str">
        <f t="shared" ca="1" si="61"/>
        <v/>
      </c>
      <c r="FC27" s="1" t="str">
        <f ca="1">IF(EX27&lt;&gt;"",VLOOKUP(EX27,'Financial Planning Tool'!$EL$10:$ER$209,5,FALSE),"")</f>
        <v/>
      </c>
      <c r="FD27" s="1" t="str">
        <f ca="1">IF(EX27&lt;&gt;"",VLOOKUP(EX27,'Financial Planning Tool'!$EL$10:$ER$209,6,FALSE),"")</f>
        <v/>
      </c>
      <c r="FE27" t="str">
        <f ca="1">IF(EX27&lt;&gt;"",VLOOKUP(EX27,'Financial Planning Tool'!$EL$10:$ER$209,7,FALSE),"")</f>
        <v/>
      </c>
      <c r="FF27" t="str">
        <f ca="1">IF(EX27&lt;&gt;"",VLOOKUP(EX27,'Financial Planning Tool'!$EL$10:$ES$209,8,FALSE),"")</f>
        <v/>
      </c>
      <c r="FG27" t="str">
        <f ca="1">IF(EX27&lt;&gt;"",VLOOKUP(EX27,'Financial Planning Tool'!$EL$10:$ET$209,9,FALSE),"")</f>
        <v/>
      </c>
      <c r="FH27" t="str">
        <f t="shared" ca="1" si="55"/>
        <v/>
      </c>
      <c r="FI27" s="22" t="str">
        <f t="shared" ca="1" si="56"/>
        <v/>
      </c>
    </row>
    <row r="28" spans="2:168" x14ac:dyDescent="0.25">
      <c r="B28" s="101" t="s">
        <v>5</v>
      </c>
      <c r="C28" s="76"/>
      <c r="D28" s="76"/>
      <c r="E28" s="76"/>
      <c r="F28" s="77"/>
      <c r="S28" s="18"/>
      <c r="T28" s="160"/>
      <c r="U28" s="161"/>
      <c r="V28" s="8"/>
      <c r="W28" s="68"/>
      <c r="X28" s="68"/>
      <c r="Y28" s="71"/>
      <c r="Z28" s="71"/>
      <c r="AA28" s="65"/>
      <c r="AE28">
        <v>12</v>
      </c>
      <c r="AF28" s="21" t="s">
        <v>170</v>
      </c>
      <c r="AG28" s="50"/>
      <c r="AJ28" s="22"/>
      <c r="AN28" s="32">
        <f t="shared" ca="1" si="0"/>
        <v>56.583333333333336</v>
      </c>
      <c r="AO28" s="53">
        <f t="shared" ca="1" si="31"/>
        <v>46235</v>
      </c>
      <c r="AP28" s="22">
        <v>21</v>
      </c>
      <c r="AQ28" s="32">
        <f t="shared" ca="1" si="32"/>
        <v>802837.98750080634</v>
      </c>
      <c r="AR28" s="23">
        <f t="array" aca="1" ref="AR28" ca="1">SUM(IF(lsc_start_date=AO28,lsc_amount,0))</f>
        <v>0</v>
      </c>
      <c r="AS28" s="24">
        <f t="shared" ca="1" si="6"/>
        <v>0</v>
      </c>
      <c r="AT28" s="24">
        <f t="shared" ca="1" si="7"/>
        <v>0</v>
      </c>
      <c r="AU28" s="24">
        <f t="shared" ca="1" si="8"/>
        <v>0</v>
      </c>
      <c r="AV28" s="25">
        <f t="shared" ca="1" si="9"/>
        <v>0</v>
      </c>
      <c r="AW28" s="23">
        <f t="array" aca="1" ref="AW28" ca="1">SUM(IF(rcs_start_date&lt;=AO28,1,0)*IF(rcs_end_date&gt;=AO28,1,0)*rcs_amount*(1+rcs_escalation/100)^(INT((AP28-rcs_months_since_start)/12))*IF(MOD((AP28-rcs_months_since_start),rcs_frequency)=0,1,0)*IF(rcs_frequency=13,0,1))+SUM(IF(rcs_start_date=AO28,rcs_amount,0)*IF(rcs_frequency=13,1,0))</f>
        <v>4680</v>
      </c>
      <c r="AX28" s="24">
        <f t="shared" ca="1" si="10"/>
        <v>0</v>
      </c>
      <c r="AY28" s="24">
        <f t="shared" ca="1" si="11"/>
        <v>0</v>
      </c>
      <c r="AZ28" s="24">
        <f t="shared" ca="1" si="12"/>
        <v>0</v>
      </c>
      <c r="BA28" s="25">
        <f t="shared" ca="1" si="13"/>
        <v>4680</v>
      </c>
      <c r="BB28" s="23">
        <f t="array" aca="1" ref="BB28" ca="1">SUM(IF(w_start_date&lt;=AO28,1,0)*IF(w_end_date&gt;=AO28,1,0)*w_amount*(1+w_escalation/100)^(INT((AP28-w_months_since_start)/12))*IF(MOD(AP28-w_months_since_start,w_frequency)=0,1,0)*IF(w_frequency=13,0,1))+SUM(IF(w_start_date=AO28,w_amount,0)*IF(w_frequency=13,1,0))</f>
        <v>0</v>
      </c>
      <c r="BC28" s="25">
        <f t="shared" ca="1" si="14"/>
        <v>0</v>
      </c>
      <c r="BD28" s="24" t="b">
        <f t="shared" ca="1" si="15"/>
        <v>0</v>
      </c>
      <c r="BE28" s="24" t="b">
        <f t="shared" ca="1" si="16"/>
        <v>1</v>
      </c>
      <c r="BF28" s="23">
        <f t="array" aca="1" ref="BF28" ca="1">SUM(IF(BD28,1,0)*IF(ap_start_date&lt;=AO28,1,0)*IF(ap_end_date&gt;=AO28,1,0)*ap_amount*(1+ap_escalation/100)^(INT((AP28-ap_months_since_start)/12))*IF(MOD(AP28-ap_months_since_start,ap_frequency)=0,1,0))</f>
        <v>0</v>
      </c>
      <c r="BG28" s="24">
        <f t="shared" ca="1" si="17"/>
        <v>0</v>
      </c>
      <c r="BH28" s="24">
        <f t="shared" ca="1" si="18"/>
        <v>0</v>
      </c>
      <c r="BI28">
        <f t="shared" ca="1" si="19"/>
        <v>0</v>
      </c>
      <c r="BJ28" s="24">
        <f t="shared" ca="1" si="20"/>
        <v>0</v>
      </c>
      <c r="BK28">
        <f t="shared" ca="1" si="21"/>
        <v>0</v>
      </c>
      <c r="BL28" s="25">
        <f t="shared" ca="1" si="22"/>
        <v>0</v>
      </c>
      <c r="BM28" s="32">
        <f t="shared" ca="1" si="1"/>
        <v>813338.03072032065</v>
      </c>
      <c r="BN28" s="23">
        <f t="shared" ca="1" si="23"/>
        <v>0</v>
      </c>
      <c r="BO28" s="24">
        <f t="shared" ca="1" si="24"/>
        <v>0</v>
      </c>
      <c r="BP28" s="25">
        <f t="shared" ca="1" si="25"/>
        <v>0</v>
      </c>
      <c r="BQ28" s="34">
        <f t="shared" ca="1" si="26"/>
        <v>46265</v>
      </c>
      <c r="BR28" s="23">
        <f t="shared" ca="1" si="27"/>
        <v>813338.03072032065</v>
      </c>
      <c r="BS28" s="24">
        <f t="shared" ca="1" si="28"/>
        <v>4680</v>
      </c>
      <c r="BT28" s="24">
        <f t="shared" ca="1" si="62"/>
        <v>55620</v>
      </c>
      <c r="BU28" s="24">
        <f t="shared" ca="1" si="29"/>
        <v>0</v>
      </c>
      <c r="BV28" s="24">
        <f t="shared" ca="1" si="63"/>
        <v>0</v>
      </c>
      <c r="BW28" s="24">
        <f t="shared" ca="1" si="30"/>
        <v>0</v>
      </c>
      <c r="BX28" s="25">
        <f t="shared" ca="1" si="64"/>
        <v>0</v>
      </c>
      <c r="BY28" s="23">
        <f t="shared" ca="1" si="2"/>
        <v>759386.26201807114</v>
      </c>
      <c r="BZ28" s="24">
        <f t="shared" ca="1" si="3"/>
        <v>4383.8628049911513</v>
      </c>
      <c r="CA28" s="24">
        <f t="shared" ca="1" si="65"/>
        <v>53041.336037023037</v>
      </c>
      <c r="CB28" s="24">
        <f t="shared" ca="1" si="4"/>
        <v>0</v>
      </c>
      <c r="CC28" s="24">
        <f t="shared" ca="1" si="66"/>
        <v>0</v>
      </c>
      <c r="CD28" s="24">
        <f t="shared" ca="1" si="5"/>
        <v>0</v>
      </c>
      <c r="CE28" s="25">
        <f t="shared" ca="1" si="67"/>
        <v>0</v>
      </c>
      <c r="CF28" s="23">
        <f t="shared" ca="1" si="68"/>
        <v>0</v>
      </c>
      <c r="CG28" s="25">
        <f t="array" aca="1" ref="CG28" ca="1">SUM(BF17:BF28/(1+inflation/100)^(AP17:AP28/12))</f>
        <v>0</v>
      </c>
      <c r="CH28" s="32">
        <f ca="1">IFERROR(IF(MOD(AP28-ap_months_since_start,12)=0,ap_drawdown/100*(AQ28+AV28+BA28-BC28),CH27),0)</f>
        <v>110096.47666060149</v>
      </c>
      <c r="CJ28" s="168"/>
      <c r="CK28">
        <v>18</v>
      </c>
      <c r="CL28" t="str">
        <f t="shared" ca="1" si="33"/>
        <v/>
      </c>
      <c r="CM28" t="str">
        <f t="shared" ca="1" si="33"/>
        <v/>
      </c>
      <c r="CN28" s="1" t="str">
        <f t="shared" ca="1" si="33"/>
        <v/>
      </c>
      <c r="CO28" t="str">
        <f t="shared" si="34"/>
        <v/>
      </c>
      <c r="CP28" s="22">
        <f t="shared" ca="1" si="35"/>
        <v>0</v>
      </c>
      <c r="CR28" s="168"/>
      <c r="CS28">
        <v>18</v>
      </c>
      <c r="CT28" t="str">
        <f t="shared" ca="1" si="69"/>
        <v/>
      </c>
      <c r="CU28" t="str">
        <f t="shared" ca="1" si="69"/>
        <v/>
      </c>
      <c r="CV28" t="str">
        <f t="shared" ca="1" si="69"/>
        <v/>
      </c>
      <c r="CW28" s="1" t="str">
        <f t="shared" ca="1" si="69"/>
        <v/>
      </c>
      <c r="CX28" s="1" t="str">
        <f t="shared" ca="1" si="69"/>
        <v/>
      </c>
      <c r="CY28" t="str">
        <f t="shared" ca="1" si="69"/>
        <v/>
      </c>
      <c r="CZ28">
        <f t="shared" ca="1" si="37"/>
        <v>1</v>
      </c>
      <c r="DA28" t="str">
        <f t="shared" si="38"/>
        <v/>
      </c>
      <c r="DB28" s="22">
        <f t="shared" ca="1" si="39"/>
        <v>0</v>
      </c>
      <c r="DD28" s="168"/>
      <c r="DE28">
        <v>18</v>
      </c>
      <c r="DF28" t="str">
        <f t="shared" ca="1" si="70"/>
        <v/>
      </c>
      <c r="DG28" t="str">
        <f t="shared" ca="1" si="70"/>
        <v/>
      </c>
      <c r="DH28" t="str">
        <f t="shared" ca="1" si="70"/>
        <v/>
      </c>
      <c r="DI28" s="1" t="str">
        <f t="shared" ca="1" si="70"/>
        <v/>
      </c>
      <c r="DJ28" s="1" t="str">
        <f t="shared" ca="1" si="70"/>
        <v/>
      </c>
      <c r="DK28" t="str">
        <f t="shared" ca="1" si="70"/>
        <v/>
      </c>
      <c r="DL28">
        <f t="shared" ca="1" si="41"/>
        <v>1</v>
      </c>
      <c r="DM28" t="str">
        <f t="shared" si="42"/>
        <v/>
      </c>
      <c r="DN28" s="22">
        <f t="shared" ca="1" si="43"/>
        <v>0</v>
      </c>
      <c r="DP28" s="168"/>
      <c r="DQ28">
        <v>18</v>
      </c>
      <c r="DR28" t="str">
        <f t="shared" ca="1" si="71"/>
        <v/>
      </c>
      <c r="DS28" t="str">
        <f t="shared" ca="1" si="71"/>
        <v/>
      </c>
      <c r="DT28" t="str">
        <f t="shared" ca="1" si="71"/>
        <v/>
      </c>
      <c r="DU28" t="str">
        <f t="shared" ca="1" si="71"/>
        <v/>
      </c>
      <c r="DV28" t="str">
        <f t="shared" ca="1" si="71"/>
        <v/>
      </c>
      <c r="DW28" t="str">
        <f t="shared" ca="1" si="71"/>
        <v/>
      </c>
      <c r="DX28">
        <f t="shared" ca="1" si="57"/>
        <v>1</v>
      </c>
      <c r="DY28" t="str">
        <f t="shared" si="46"/>
        <v/>
      </c>
      <c r="DZ28">
        <f t="shared" ca="1" si="58"/>
        <v>0</v>
      </c>
      <c r="EA28" s="122">
        <f t="shared" ca="1" si="59"/>
        <v>82121</v>
      </c>
      <c r="EL28" s="21">
        <f t="shared" ca="1" si="60"/>
        <v>3</v>
      </c>
      <c r="EM28" t="str">
        <f ca="1">'Financial Planning Tool'!CL29</f>
        <v/>
      </c>
      <c r="EN28" t="str">
        <f t="shared" ca="1" si="48"/>
        <v/>
      </c>
      <c r="EO28" t="str">
        <f t="shared" ca="1" si="49"/>
        <v/>
      </c>
      <c r="EP28" s="1" t="str">
        <f t="shared" ca="1" si="50"/>
        <v/>
      </c>
      <c r="EQ28" s="1" t="str">
        <f t="shared" ca="1" si="51"/>
        <v/>
      </c>
      <c r="ER28" t="str">
        <f t="shared" ca="1" si="52"/>
        <v/>
      </c>
      <c r="ES28" t="str">
        <f t="shared" si="53"/>
        <v/>
      </c>
      <c r="ET28">
        <v>0</v>
      </c>
      <c r="EU28" s="22">
        <v>19</v>
      </c>
      <c r="EX28" s="21" t="str">
        <f ca="1">IF(EX27="","",IF(EX27+1&lt;=MAX('Financial Planning Tool'!$EL$10:$EL$209),EX27+1,""))</f>
        <v/>
      </c>
      <c r="EY28" t="str">
        <f ca="1">IF(EX28&lt;&gt;"",VLOOKUP(EX28,'Financial Planning Tool'!$EL$10:$ER$209,2,FALSE),"")</f>
        <v/>
      </c>
      <c r="EZ28" t="str">
        <f ca="1">IF(EX28&lt;&gt;"",VLOOKUP(EX28,'Financial Planning Tool'!$EL$10:$ER$209,3,FALSE),"")</f>
        <v/>
      </c>
      <c r="FA28" t="str">
        <f ca="1">IF(EX28&lt;&gt;"",VLOOKUP(EX28,'Financial Planning Tool'!$EL$10:$ER$209,4,FALSE),"")</f>
        <v/>
      </c>
      <c r="FB28" t="str">
        <f t="shared" ca="1" si="61"/>
        <v/>
      </c>
      <c r="FC28" s="1" t="str">
        <f ca="1">IF(EX28&lt;&gt;"",VLOOKUP(EX28,'Financial Planning Tool'!$EL$10:$ER$209,5,FALSE),"")</f>
        <v/>
      </c>
      <c r="FD28" s="1" t="str">
        <f ca="1">IF(EX28&lt;&gt;"",VLOOKUP(EX28,'Financial Planning Tool'!$EL$10:$ER$209,6,FALSE),"")</f>
        <v/>
      </c>
      <c r="FE28" t="str">
        <f ca="1">IF(EX28&lt;&gt;"",VLOOKUP(EX28,'Financial Planning Tool'!$EL$10:$ER$209,7,FALSE),"")</f>
        <v/>
      </c>
      <c r="FF28" t="str">
        <f ca="1">IF(EX28&lt;&gt;"",VLOOKUP(EX28,'Financial Planning Tool'!$EL$10:$ES$209,8,FALSE),"")</f>
        <v/>
      </c>
      <c r="FG28" t="str">
        <f ca="1">IF(EX28&lt;&gt;"",VLOOKUP(EX28,'Financial Planning Tool'!$EL$10:$ET$209,9,FALSE),"")</f>
        <v/>
      </c>
      <c r="FH28" t="str">
        <f t="shared" ca="1" si="55"/>
        <v/>
      </c>
      <c r="FI28" s="22" t="str">
        <f t="shared" ca="1" si="56"/>
        <v/>
      </c>
    </row>
    <row r="29" spans="2:168" x14ac:dyDescent="0.25">
      <c r="B29" s="78" t="s">
        <v>6</v>
      </c>
      <c r="C29" s="76"/>
      <c r="D29" s="182">
        <v>9</v>
      </c>
      <c r="E29" s="183"/>
      <c r="F29" s="77"/>
      <c r="S29" s="18"/>
      <c r="T29" s="160"/>
      <c r="U29" s="161"/>
      <c r="V29" s="8"/>
      <c r="W29" s="68"/>
      <c r="X29" s="68"/>
      <c r="Y29" s="71"/>
      <c r="Z29" s="71"/>
      <c r="AA29" s="65"/>
      <c r="AE29">
        <v>13</v>
      </c>
      <c r="AF29" s="21" t="s">
        <v>171</v>
      </c>
      <c r="AG29" s="50"/>
      <c r="AJ29" s="22"/>
      <c r="AN29" s="32">
        <f t="shared" ca="1" si="0"/>
        <v>56.666666666666664</v>
      </c>
      <c r="AO29" s="53">
        <f t="shared" ca="1" si="31"/>
        <v>46266</v>
      </c>
      <c r="AP29" s="22">
        <v>22</v>
      </c>
      <c r="AQ29" s="32">
        <f t="shared" ca="1" si="32"/>
        <v>813338.03072032065</v>
      </c>
      <c r="AR29" s="23">
        <f t="array" aca="1" ref="AR29" ca="1">SUM(IF(lsc_start_date=AO29,lsc_amount,0))</f>
        <v>0</v>
      </c>
      <c r="AS29" s="24">
        <f t="shared" ca="1" si="6"/>
        <v>0</v>
      </c>
      <c r="AT29" s="24">
        <f t="shared" ca="1" si="7"/>
        <v>0</v>
      </c>
      <c r="AU29" s="24">
        <f t="shared" ca="1" si="8"/>
        <v>0</v>
      </c>
      <c r="AV29" s="25">
        <f t="shared" ca="1" si="9"/>
        <v>0</v>
      </c>
      <c r="AW29" s="23">
        <f t="array" aca="1" ref="AW29" ca="1">SUM(IF(rcs_start_date&lt;=AO29,1,0)*IF(rcs_end_date&gt;=AO29,1,0)*rcs_amount*(1+rcs_escalation/100)^(INT((AP29-rcs_months_since_start)/12))*IF(MOD((AP29-rcs_months_since_start),rcs_frequency)=0,1,0)*IF(rcs_frequency=13,0,1))+SUM(IF(rcs_start_date=AO29,rcs_amount,0)*IF(rcs_frequency=13,1,0))</f>
        <v>4680</v>
      </c>
      <c r="AX29" s="24">
        <f t="shared" ca="1" si="10"/>
        <v>0</v>
      </c>
      <c r="AY29" s="24">
        <f t="shared" ca="1" si="11"/>
        <v>0</v>
      </c>
      <c r="AZ29" s="24">
        <f t="shared" ca="1" si="12"/>
        <v>0</v>
      </c>
      <c r="BA29" s="25">
        <f t="shared" ca="1" si="13"/>
        <v>4680</v>
      </c>
      <c r="BB29" s="23">
        <f t="array" aca="1" ref="BB29" ca="1">SUM(IF(w_start_date&lt;=AO29,1,0)*IF(w_end_date&gt;=AO29,1,0)*w_amount*(1+w_escalation/100)^(INT((AP29-w_months_since_start)/12))*IF(MOD(AP29-w_months_since_start,w_frequency)=0,1,0)*IF(w_frequency=13,0,1))+SUM(IF(w_start_date=AO29,w_amount,0)*IF(w_frequency=13,1,0))</f>
        <v>0</v>
      </c>
      <c r="BC29" s="25">
        <f t="shared" ca="1" si="14"/>
        <v>0</v>
      </c>
      <c r="BD29" s="24" t="b">
        <f t="shared" ca="1" si="15"/>
        <v>0</v>
      </c>
      <c r="BE29" s="24" t="b">
        <f t="shared" ca="1" si="16"/>
        <v>1</v>
      </c>
      <c r="BF29" s="23">
        <f t="array" aca="1" ref="BF29" ca="1">SUM(IF(BD29,1,0)*IF(ap_start_date&lt;=AO29,1,0)*IF(ap_end_date&gt;=AO29,1,0)*ap_amount*(1+ap_escalation/100)^(INT((AP29-ap_months_since_start)/12))*IF(MOD(AP29-ap_months_since_start,ap_frequency)=0,1,0))</f>
        <v>0</v>
      </c>
      <c r="BG29" s="24">
        <f t="shared" ca="1" si="17"/>
        <v>0</v>
      </c>
      <c r="BH29" s="24">
        <f t="shared" ca="1" si="18"/>
        <v>0</v>
      </c>
      <c r="BI29">
        <f t="shared" ca="1" si="19"/>
        <v>0</v>
      </c>
      <c r="BJ29" s="24">
        <f t="shared" ca="1" si="20"/>
        <v>0</v>
      </c>
      <c r="BK29">
        <f t="shared" ca="1" si="21"/>
        <v>0</v>
      </c>
      <c r="BL29" s="25">
        <f t="shared" ca="1" si="22"/>
        <v>0</v>
      </c>
      <c r="BM29" s="32">
        <f t="shared" ca="1" si="1"/>
        <v>823913.75114615145</v>
      </c>
      <c r="BN29" s="23">
        <f t="shared" ca="1" si="23"/>
        <v>0</v>
      </c>
      <c r="BO29" s="24">
        <f t="shared" ca="1" si="24"/>
        <v>0</v>
      </c>
      <c r="BP29" s="25">
        <f t="shared" ca="1" si="25"/>
        <v>0</v>
      </c>
      <c r="BQ29" s="34">
        <f t="shared" ca="1" si="26"/>
        <v>46295</v>
      </c>
      <c r="BR29" s="23">
        <f t="shared" ca="1" si="27"/>
        <v>823913.75114615145</v>
      </c>
      <c r="BS29" s="24">
        <f t="shared" ca="1" si="28"/>
        <v>4680</v>
      </c>
      <c r="BT29" s="24">
        <f t="shared" ca="1" si="62"/>
        <v>55800</v>
      </c>
      <c r="BU29" s="24">
        <f t="shared" ca="1" si="29"/>
        <v>0</v>
      </c>
      <c r="BV29" s="24">
        <f t="shared" ca="1" si="63"/>
        <v>0</v>
      </c>
      <c r="BW29" s="24">
        <f t="shared" ca="1" si="30"/>
        <v>0</v>
      </c>
      <c r="BX29" s="25">
        <f t="shared" ca="1" si="64"/>
        <v>0</v>
      </c>
      <c r="BY29" s="23">
        <f t="shared" ca="1" si="2"/>
        <v>766750.31415024691</v>
      </c>
      <c r="BZ29" s="24">
        <f t="shared" ca="1" si="3"/>
        <v>4369.5580091061156</v>
      </c>
      <c r="CA29" s="24">
        <f t="shared" ca="1" si="65"/>
        <v>53041.336037023037</v>
      </c>
      <c r="CB29" s="24">
        <f t="shared" ca="1" si="4"/>
        <v>0</v>
      </c>
      <c r="CC29" s="24">
        <f t="shared" ca="1" si="66"/>
        <v>0</v>
      </c>
      <c r="CD29" s="24">
        <f t="shared" ca="1" si="5"/>
        <v>0</v>
      </c>
      <c r="CE29" s="25">
        <f t="shared" ca="1" si="67"/>
        <v>0</v>
      </c>
      <c r="CF29" s="23">
        <f t="shared" ca="1" si="68"/>
        <v>0</v>
      </c>
      <c r="CG29" s="25">
        <f t="array" aca="1" ref="CG29" ca="1">SUM(BF18:BF29/(1+inflation/100)^(AP18:AP29/12))</f>
        <v>0</v>
      </c>
      <c r="CH29" s="32">
        <f ca="1">IFERROR(IF(MOD(AP29-ap_months_since_start,12)=0,ap_drawdown/100*(AQ29+AV29+BA29-BC29),CH28),0)</f>
        <v>110096.47666060149</v>
      </c>
      <c r="CJ29" s="168"/>
      <c r="CK29">
        <v>19</v>
      </c>
      <c r="CL29" t="str">
        <f t="shared" ca="1" si="33"/>
        <v/>
      </c>
      <c r="CM29" t="str">
        <f t="shared" ca="1" si="33"/>
        <v/>
      </c>
      <c r="CN29" s="1" t="str">
        <f t="shared" ca="1" si="33"/>
        <v/>
      </c>
      <c r="CO29" t="str">
        <f t="shared" si="34"/>
        <v/>
      </c>
      <c r="CP29" s="22">
        <f t="shared" ca="1" si="35"/>
        <v>0</v>
      </c>
      <c r="CR29" s="168"/>
      <c r="CS29">
        <v>19</v>
      </c>
      <c r="CT29" t="str">
        <f t="shared" ca="1" si="69"/>
        <v/>
      </c>
      <c r="CU29" t="str">
        <f t="shared" ca="1" si="69"/>
        <v/>
      </c>
      <c r="CV29" t="str">
        <f t="shared" ca="1" si="69"/>
        <v/>
      </c>
      <c r="CW29" s="1" t="str">
        <f t="shared" ca="1" si="69"/>
        <v/>
      </c>
      <c r="CX29" s="1" t="str">
        <f t="shared" ca="1" si="69"/>
        <v/>
      </c>
      <c r="CY29" t="str">
        <f t="shared" ca="1" si="69"/>
        <v/>
      </c>
      <c r="CZ29">
        <f t="shared" ca="1" si="37"/>
        <v>1</v>
      </c>
      <c r="DA29" t="str">
        <f t="shared" si="38"/>
        <v/>
      </c>
      <c r="DB29" s="22">
        <f t="shared" ca="1" si="39"/>
        <v>0</v>
      </c>
      <c r="DD29" s="168"/>
      <c r="DE29">
        <v>19</v>
      </c>
      <c r="DF29" t="str">
        <f t="shared" ca="1" si="70"/>
        <v/>
      </c>
      <c r="DG29" t="str">
        <f t="shared" ca="1" si="70"/>
        <v/>
      </c>
      <c r="DH29" t="str">
        <f t="shared" ca="1" si="70"/>
        <v/>
      </c>
      <c r="DI29" s="1" t="str">
        <f t="shared" ca="1" si="70"/>
        <v/>
      </c>
      <c r="DJ29" s="1" t="str">
        <f t="shared" ca="1" si="70"/>
        <v/>
      </c>
      <c r="DK29" t="str">
        <f t="shared" ca="1" si="70"/>
        <v/>
      </c>
      <c r="DL29">
        <f t="shared" ca="1" si="41"/>
        <v>1</v>
      </c>
      <c r="DM29" t="str">
        <f t="shared" si="42"/>
        <v/>
      </c>
      <c r="DN29" s="22">
        <f t="shared" ca="1" si="43"/>
        <v>0</v>
      </c>
      <c r="DP29" s="168"/>
      <c r="DQ29">
        <v>19</v>
      </c>
      <c r="DR29" t="str">
        <f t="shared" ca="1" si="71"/>
        <v/>
      </c>
      <c r="DS29" t="str">
        <f t="shared" ca="1" si="71"/>
        <v/>
      </c>
      <c r="DT29" t="str">
        <f t="shared" ca="1" si="71"/>
        <v/>
      </c>
      <c r="DU29" t="str">
        <f t="shared" ca="1" si="71"/>
        <v/>
      </c>
      <c r="DV29" t="str">
        <f t="shared" ca="1" si="71"/>
        <v/>
      </c>
      <c r="DW29" t="str">
        <f t="shared" ca="1" si="71"/>
        <v/>
      </c>
      <c r="DX29">
        <f t="shared" ca="1" si="57"/>
        <v>1</v>
      </c>
      <c r="DY29" t="str">
        <f t="shared" si="46"/>
        <v/>
      </c>
      <c r="DZ29">
        <f t="shared" ca="1" si="58"/>
        <v>0</v>
      </c>
      <c r="EA29" s="122">
        <f t="shared" ca="1" si="59"/>
        <v>82121</v>
      </c>
      <c r="EL29" s="21">
        <f t="shared" ca="1" si="60"/>
        <v>3</v>
      </c>
      <c r="EM29" t="str">
        <f ca="1">'Financial Planning Tool'!CL30</f>
        <v/>
      </c>
      <c r="EN29" t="str">
        <f t="shared" ca="1" si="48"/>
        <v/>
      </c>
      <c r="EO29" t="str">
        <f t="shared" ca="1" si="49"/>
        <v/>
      </c>
      <c r="EP29" s="1" t="str">
        <f t="shared" ca="1" si="50"/>
        <v/>
      </c>
      <c r="EQ29" s="1" t="str">
        <f t="shared" ca="1" si="51"/>
        <v/>
      </c>
      <c r="ER29" t="str">
        <f t="shared" ca="1" si="52"/>
        <v/>
      </c>
      <c r="ES29" t="str">
        <f t="shared" si="53"/>
        <v/>
      </c>
      <c r="ET29">
        <v>0</v>
      </c>
      <c r="EU29" s="22">
        <v>20</v>
      </c>
      <c r="EX29" s="21" t="str">
        <f ca="1">IF(EX28="","",IF(EX28+1&lt;=MAX('Financial Planning Tool'!$EL$10:$EL$209),EX28+1,""))</f>
        <v/>
      </c>
      <c r="EY29" t="str">
        <f ca="1">IF(EX29&lt;&gt;"",VLOOKUP(EX29,'Financial Planning Tool'!$EL$10:$ER$209,2,FALSE),"")</f>
        <v/>
      </c>
      <c r="EZ29" t="str">
        <f ca="1">IF(EX29&lt;&gt;"",VLOOKUP(EX29,'Financial Planning Tool'!$EL$10:$ER$209,3,FALSE),"")</f>
        <v/>
      </c>
      <c r="FA29" t="str">
        <f ca="1">IF(EX29&lt;&gt;"",VLOOKUP(EX29,'Financial Planning Tool'!$EL$10:$ER$209,4,FALSE),"")</f>
        <v/>
      </c>
      <c r="FB29" t="str">
        <f t="shared" ca="1" si="61"/>
        <v/>
      </c>
      <c r="FC29" s="1" t="str">
        <f ca="1">IF(EX29&lt;&gt;"",VLOOKUP(EX29,'Financial Planning Tool'!$EL$10:$ER$209,5,FALSE),"")</f>
        <v/>
      </c>
      <c r="FD29" s="1" t="str">
        <f ca="1">IF(EX29&lt;&gt;"",VLOOKUP(EX29,'Financial Planning Tool'!$EL$10:$ER$209,6,FALSE),"")</f>
        <v/>
      </c>
      <c r="FE29" t="str">
        <f ca="1">IF(EX29&lt;&gt;"",VLOOKUP(EX29,'Financial Planning Tool'!$EL$10:$ER$209,7,FALSE),"")</f>
        <v/>
      </c>
      <c r="FF29" t="str">
        <f ca="1">IF(EX29&lt;&gt;"",VLOOKUP(EX29,'Financial Planning Tool'!$EL$10:$ES$209,8,FALSE),"")</f>
        <v/>
      </c>
      <c r="FG29" t="str">
        <f ca="1">IF(EX29&lt;&gt;"",VLOOKUP(EX29,'Financial Planning Tool'!$EL$10:$ET$209,9,FALSE),"")</f>
        <v/>
      </c>
      <c r="FH29" t="str">
        <f t="shared" ca="1" si="55"/>
        <v/>
      </c>
      <c r="FI29" s="22" t="str">
        <f t="shared" ca="1" si="56"/>
        <v/>
      </c>
    </row>
    <row r="30" spans="2:168" x14ac:dyDescent="0.25">
      <c r="B30" s="78" t="s">
        <v>7</v>
      </c>
      <c r="C30" s="76"/>
      <c r="D30" s="182">
        <v>4</v>
      </c>
      <c r="E30" s="183"/>
      <c r="F30" s="77"/>
      <c r="S30" s="18"/>
      <c r="T30" s="160"/>
      <c r="U30" s="161"/>
      <c r="V30" s="8"/>
      <c r="W30" s="68"/>
      <c r="X30" s="68"/>
      <c r="Y30" s="71"/>
      <c r="Z30" s="71"/>
      <c r="AA30" s="65"/>
      <c r="AE30">
        <v>14</v>
      </c>
      <c r="AF30" s="21" t="s">
        <v>172</v>
      </c>
      <c r="AG30" s="50"/>
      <c r="AJ30" s="22"/>
      <c r="AN30" s="32">
        <f t="shared" ca="1" si="0"/>
        <v>56.75</v>
      </c>
      <c r="AO30" s="53">
        <f t="shared" ca="1" si="31"/>
        <v>46296</v>
      </c>
      <c r="AP30" s="22">
        <v>23</v>
      </c>
      <c r="AQ30" s="32">
        <f t="shared" ca="1" si="32"/>
        <v>823913.75114615145</v>
      </c>
      <c r="AR30" s="23">
        <f t="array" aca="1" ref="AR30" ca="1">SUM(IF(lsc_start_date=AO30,lsc_amount,0))</f>
        <v>0</v>
      </c>
      <c r="AS30" s="24">
        <f t="shared" ca="1" si="6"/>
        <v>0</v>
      </c>
      <c r="AT30" s="24">
        <f t="shared" ca="1" si="7"/>
        <v>0</v>
      </c>
      <c r="AU30" s="24">
        <f t="shared" ca="1" si="8"/>
        <v>0</v>
      </c>
      <c r="AV30" s="25">
        <f t="shared" ca="1" si="9"/>
        <v>0</v>
      </c>
      <c r="AW30" s="23">
        <f t="array" aca="1" ref="AW30" ca="1">SUM(IF(rcs_start_date&lt;=AO30,1,0)*IF(rcs_end_date&gt;=AO30,1,0)*rcs_amount*(1+rcs_escalation/100)^(INT((AP30-rcs_months_since_start)/12))*IF(MOD((AP30-rcs_months_since_start),rcs_frequency)=0,1,0)*IF(rcs_frequency=13,0,1))+SUM(IF(rcs_start_date=AO30,rcs_amount,0)*IF(rcs_frequency=13,1,0))</f>
        <v>4680</v>
      </c>
      <c r="AX30" s="24">
        <f t="shared" ca="1" si="10"/>
        <v>0</v>
      </c>
      <c r="AY30" s="24">
        <f t="shared" ca="1" si="11"/>
        <v>0</v>
      </c>
      <c r="AZ30" s="24">
        <f t="shared" ca="1" si="12"/>
        <v>0</v>
      </c>
      <c r="BA30" s="25">
        <f t="shared" ca="1" si="13"/>
        <v>4680</v>
      </c>
      <c r="BB30" s="23">
        <f t="array" aca="1" ref="BB30" ca="1">SUM(IF(w_start_date&lt;=AO30,1,0)*IF(w_end_date&gt;=AO30,1,0)*w_amount*(1+w_escalation/100)^(INT((AP30-w_months_since_start)/12))*IF(MOD(AP30-w_months_since_start,w_frequency)=0,1,0)*IF(w_frequency=13,0,1))+SUM(IF(w_start_date=AO30,w_amount,0)*IF(w_frequency=13,1,0))</f>
        <v>0</v>
      </c>
      <c r="BC30" s="25">
        <f t="shared" ca="1" si="14"/>
        <v>0</v>
      </c>
      <c r="BD30" s="24" t="b">
        <f t="shared" ca="1" si="15"/>
        <v>0</v>
      </c>
      <c r="BE30" s="24" t="b">
        <f t="shared" ca="1" si="16"/>
        <v>1</v>
      </c>
      <c r="BF30" s="23">
        <f t="array" aca="1" ref="BF30" ca="1">SUM(IF(BD30,1,0)*IF(ap_start_date&lt;=AO30,1,0)*IF(ap_end_date&gt;=AO30,1,0)*ap_amount*(1+ap_escalation/100)^(INT((AP30-ap_months_since_start)/12))*IF(MOD(AP30-ap_months_since_start,ap_frequency)=0,1,0))</f>
        <v>0</v>
      </c>
      <c r="BG30" s="24">
        <f t="shared" ca="1" si="17"/>
        <v>0</v>
      </c>
      <c r="BH30" s="24">
        <f t="shared" ca="1" si="18"/>
        <v>0</v>
      </c>
      <c r="BI30">
        <f t="shared" ca="1" si="19"/>
        <v>0</v>
      </c>
      <c r="BJ30" s="24">
        <f t="shared" ca="1" si="20"/>
        <v>0</v>
      </c>
      <c r="BK30">
        <f t="shared" ca="1" si="21"/>
        <v>0</v>
      </c>
      <c r="BL30" s="25">
        <f t="shared" ca="1" si="22"/>
        <v>0</v>
      </c>
      <c r="BM30" s="32">
        <f t="shared" ca="1" si="1"/>
        <v>834565.69420839229</v>
      </c>
      <c r="BN30" s="23">
        <f t="shared" ca="1" si="23"/>
        <v>0</v>
      </c>
      <c r="BO30" s="24">
        <f t="shared" ca="1" si="24"/>
        <v>0</v>
      </c>
      <c r="BP30" s="25">
        <f t="shared" ca="1" si="25"/>
        <v>0</v>
      </c>
      <c r="BQ30" s="34">
        <f t="shared" ca="1" si="26"/>
        <v>46326</v>
      </c>
      <c r="BR30" s="23">
        <f t="shared" ca="1" si="27"/>
        <v>834565.69420839229</v>
      </c>
      <c r="BS30" s="24">
        <f t="shared" ca="1" si="28"/>
        <v>4680</v>
      </c>
      <c r="BT30" s="24">
        <f t="shared" ca="1" si="62"/>
        <v>55980</v>
      </c>
      <c r="BU30" s="24">
        <f t="shared" ca="1" si="29"/>
        <v>0</v>
      </c>
      <c r="BV30" s="24">
        <f t="shared" ca="1" si="63"/>
        <v>0</v>
      </c>
      <c r="BW30" s="24">
        <f t="shared" ca="1" si="30"/>
        <v>0</v>
      </c>
      <c r="BX30" s="25">
        <f t="shared" ca="1" si="64"/>
        <v>0</v>
      </c>
      <c r="BY30" s="23">
        <f t="shared" ca="1" si="2"/>
        <v>774128.92485427205</v>
      </c>
      <c r="BZ30" s="24">
        <f t="shared" ca="1" si="3"/>
        <v>4355.2998905908808</v>
      </c>
      <c r="CA30" s="24">
        <f t="shared" ca="1" si="65"/>
        <v>53041.336037023037</v>
      </c>
      <c r="CB30" s="24">
        <f t="shared" ca="1" si="4"/>
        <v>0</v>
      </c>
      <c r="CC30" s="24">
        <f t="shared" ca="1" si="66"/>
        <v>0</v>
      </c>
      <c r="CD30" s="24">
        <f t="shared" ca="1" si="5"/>
        <v>0</v>
      </c>
      <c r="CE30" s="25">
        <f t="shared" ca="1" si="67"/>
        <v>0</v>
      </c>
      <c r="CF30" s="23">
        <f t="shared" ca="1" si="68"/>
        <v>0</v>
      </c>
      <c r="CG30" s="25">
        <f t="array" aca="1" ref="CG30" ca="1">SUM(BF19:BF30/(1+inflation/100)^(AP19:AP30/12))</f>
        <v>0</v>
      </c>
      <c r="CH30" s="32">
        <f ca="1">IFERROR(IF(MOD(AP30-ap_months_since_start,12)=0,ap_drawdown/100*(AQ30+AV30+BA30-BC30),CH29),0)</f>
        <v>110096.47666060149</v>
      </c>
      <c r="CJ30" s="168"/>
      <c r="CK30">
        <v>20</v>
      </c>
      <c r="CL30" t="str">
        <f t="shared" ca="1" si="33"/>
        <v/>
      </c>
      <c r="CM30" t="str">
        <f t="shared" ca="1" si="33"/>
        <v/>
      </c>
      <c r="CN30" s="1" t="str">
        <f t="shared" ca="1" si="33"/>
        <v/>
      </c>
      <c r="CO30" t="str">
        <f t="shared" si="34"/>
        <v/>
      </c>
      <c r="CP30" s="22">
        <f t="shared" ca="1" si="35"/>
        <v>0</v>
      </c>
      <c r="CR30" s="168"/>
      <c r="CS30">
        <v>20</v>
      </c>
      <c r="CT30" t="str">
        <f t="shared" ca="1" si="69"/>
        <v/>
      </c>
      <c r="CU30" t="str">
        <f t="shared" ca="1" si="69"/>
        <v/>
      </c>
      <c r="CV30" t="str">
        <f t="shared" ca="1" si="69"/>
        <v/>
      </c>
      <c r="CW30" s="1" t="str">
        <f t="shared" ca="1" si="69"/>
        <v/>
      </c>
      <c r="CX30" s="1" t="str">
        <f t="shared" ca="1" si="69"/>
        <v/>
      </c>
      <c r="CY30" t="str">
        <f t="shared" ca="1" si="69"/>
        <v/>
      </c>
      <c r="CZ30">
        <f t="shared" ca="1" si="37"/>
        <v>1</v>
      </c>
      <c r="DA30" t="str">
        <f t="shared" si="38"/>
        <v/>
      </c>
      <c r="DB30" s="22">
        <f t="shared" ca="1" si="39"/>
        <v>0</v>
      </c>
      <c r="DD30" s="168"/>
      <c r="DE30">
        <v>20</v>
      </c>
      <c r="DF30" t="str">
        <f t="shared" ca="1" si="70"/>
        <v/>
      </c>
      <c r="DG30" t="str">
        <f t="shared" ca="1" si="70"/>
        <v/>
      </c>
      <c r="DH30" t="str">
        <f t="shared" ca="1" si="70"/>
        <v/>
      </c>
      <c r="DI30" s="1" t="str">
        <f t="shared" ca="1" si="70"/>
        <v/>
      </c>
      <c r="DJ30" s="1" t="str">
        <f t="shared" ca="1" si="70"/>
        <v/>
      </c>
      <c r="DK30" t="str">
        <f t="shared" ca="1" si="70"/>
        <v/>
      </c>
      <c r="DL30">
        <f t="shared" ca="1" si="41"/>
        <v>1</v>
      </c>
      <c r="DM30" t="str">
        <f t="shared" si="42"/>
        <v/>
      </c>
      <c r="DN30" s="22">
        <f t="shared" ca="1" si="43"/>
        <v>0</v>
      </c>
      <c r="DP30" s="168"/>
      <c r="DQ30">
        <v>20</v>
      </c>
      <c r="DR30" t="str">
        <f t="shared" ca="1" si="71"/>
        <v/>
      </c>
      <c r="DS30" t="str">
        <f t="shared" ca="1" si="71"/>
        <v/>
      </c>
      <c r="DT30" t="str">
        <f t="shared" ca="1" si="71"/>
        <v/>
      </c>
      <c r="DU30" t="str">
        <f t="shared" ca="1" si="71"/>
        <v/>
      </c>
      <c r="DV30" t="str">
        <f t="shared" ca="1" si="71"/>
        <v/>
      </c>
      <c r="DW30" t="str">
        <f t="shared" ca="1" si="71"/>
        <v/>
      </c>
      <c r="DX30">
        <f t="shared" ca="1" si="57"/>
        <v>1</v>
      </c>
      <c r="DY30" t="str">
        <f t="shared" si="46"/>
        <v/>
      </c>
      <c r="DZ30">
        <f t="shared" ca="1" si="58"/>
        <v>0</v>
      </c>
      <c r="EA30" s="122">
        <f t="shared" ca="1" si="59"/>
        <v>82121</v>
      </c>
      <c r="EL30" s="21">
        <f t="shared" ca="1" si="60"/>
        <v>3</v>
      </c>
      <c r="EM30" t="str">
        <f ca="1">'Financial Planning Tool'!CL31</f>
        <v/>
      </c>
      <c r="EN30" t="str">
        <f t="shared" ca="1" si="48"/>
        <v/>
      </c>
      <c r="EO30" t="str">
        <f t="shared" ca="1" si="49"/>
        <v/>
      </c>
      <c r="EP30" s="1" t="str">
        <f t="shared" ca="1" si="50"/>
        <v/>
      </c>
      <c r="EQ30" s="1" t="str">
        <f t="shared" ca="1" si="51"/>
        <v/>
      </c>
      <c r="ER30" t="str">
        <f t="shared" ca="1" si="52"/>
        <v/>
      </c>
      <c r="ES30" t="str">
        <f t="shared" si="53"/>
        <v/>
      </c>
      <c r="ET30">
        <v>0</v>
      </c>
      <c r="EU30" s="22">
        <v>21</v>
      </c>
      <c r="EX30" s="21" t="str">
        <f ca="1">IF(EX29="","",IF(EX29+1&lt;=MAX('Financial Planning Tool'!$EL$10:$EL$209),EX29+1,""))</f>
        <v/>
      </c>
      <c r="EY30" t="str">
        <f ca="1">IF(EX30&lt;&gt;"",VLOOKUP(EX30,'Financial Planning Tool'!$EL$10:$ER$209,2,FALSE),"")</f>
        <v/>
      </c>
      <c r="EZ30" t="str">
        <f ca="1">IF(EX30&lt;&gt;"",VLOOKUP(EX30,'Financial Planning Tool'!$EL$10:$ER$209,3,FALSE),"")</f>
        <v/>
      </c>
      <c r="FA30" t="str">
        <f ca="1">IF(EX30&lt;&gt;"",VLOOKUP(EX30,'Financial Planning Tool'!$EL$10:$ER$209,4,FALSE),"")</f>
        <v/>
      </c>
      <c r="FB30" t="str">
        <f t="shared" ca="1" si="61"/>
        <v/>
      </c>
      <c r="FC30" s="1" t="str">
        <f ca="1">IF(EX30&lt;&gt;"",VLOOKUP(EX30,'Financial Planning Tool'!$EL$10:$ER$209,5,FALSE),"")</f>
        <v/>
      </c>
      <c r="FD30" s="1" t="str">
        <f ca="1">IF(EX30&lt;&gt;"",VLOOKUP(EX30,'Financial Planning Tool'!$EL$10:$ER$209,6,FALSE),"")</f>
        <v/>
      </c>
      <c r="FE30" t="str">
        <f ca="1">IF(EX30&lt;&gt;"",VLOOKUP(EX30,'Financial Planning Tool'!$EL$10:$ER$209,7,FALSE),"")</f>
        <v/>
      </c>
      <c r="FF30" t="str">
        <f ca="1">IF(EX30&lt;&gt;"",VLOOKUP(EX30,'Financial Planning Tool'!$EL$10:$ES$209,8,FALSE),"")</f>
        <v/>
      </c>
      <c r="FG30" t="str">
        <f ca="1">IF(EX30&lt;&gt;"",VLOOKUP(EX30,'Financial Planning Tool'!$EL$10:$ET$209,9,FALSE),"")</f>
        <v/>
      </c>
      <c r="FH30" t="str">
        <f t="shared" ca="1" si="55"/>
        <v/>
      </c>
      <c r="FI30" s="22" t="str">
        <f t="shared" ca="1" si="56"/>
        <v/>
      </c>
    </row>
    <row r="31" spans="2:168" x14ac:dyDescent="0.25">
      <c r="B31" s="78"/>
      <c r="C31" s="76"/>
      <c r="D31" s="76"/>
      <c r="E31" s="76"/>
      <c r="F31" s="77"/>
      <c r="S31" s="18"/>
      <c r="T31" s="160"/>
      <c r="U31" s="161"/>
      <c r="V31" s="8"/>
      <c r="W31" s="68"/>
      <c r="X31" s="68"/>
      <c r="Y31" s="71"/>
      <c r="Z31" s="71"/>
      <c r="AA31" s="65"/>
      <c r="AE31">
        <v>15</v>
      </c>
      <c r="AF31" s="40" t="s">
        <v>160</v>
      </c>
      <c r="AG31" s="56" t="b">
        <v>0</v>
      </c>
      <c r="AH31" s="15"/>
      <c r="AI31" s="15"/>
      <c r="AJ31" s="38"/>
      <c r="AN31" s="32">
        <f t="shared" ca="1" si="0"/>
        <v>56.833333333333336</v>
      </c>
      <c r="AO31" s="53">
        <f t="shared" ca="1" si="31"/>
        <v>46327</v>
      </c>
      <c r="AP31" s="22">
        <v>24</v>
      </c>
      <c r="AQ31" s="32">
        <f t="shared" ca="1" si="32"/>
        <v>834565.69420839229</v>
      </c>
      <c r="AR31" s="23">
        <f t="array" aca="1" ref="AR31" ca="1">SUM(IF(lsc_start_date=AO31,lsc_amount,0))</f>
        <v>0</v>
      </c>
      <c r="AS31" s="24">
        <f t="shared" ca="1" si="6"/>
        <v>0</v>
      </c>
      <c r="AT31" s="24">
        <f t="shared" ca="1" si="7"/>
        <v>0</v>
      </c>
      <c r="AU31" s="24">
        <f t="shared" ca="1" si="8"/>
        <v>0</v>
      </c>
      <c r="AV31" s="25">
        <f t="shared" ca="1" si="9"/>
        <v>0</v>
      </c>
      <c r="AW31" s="23">
        <f t="array" aca="1" ref="AW31" ca="1">SUM(IF(rcs_start_date&lt;=AO31,1,0)*IF(rcs_end_date&gt;=AO31,1,0)*rcs_amount*(1+rcs_escalation/100)^(INT((AP31-rcs_months_since_start)/12))*IF(MOD((AP31-rcs_months_since_start),rcs_frequency)=0,1,0)*IF(rcs_frequency=13,0,1))+SUM(IF(rcs_start_date=AO31,rcs_amount,0)*IF(rcs_frequency=13,1,0))</f>
        <v>4680</v>
      </c>
      <c r="AX31" s="24">
        <f t="shared" ca="1" si="10"/>
        <v>0</v>
      </c>
      <c r="AY31" s="24">
        <f t="shared" ca="1" si="11"/>
        <v>0</v>
      </c>
      <c r="AZ31" s="24">
        <f t="shared" ca="1" si="12"/>
        <v>0</v>
      </c>
      <c r="BA31" s="25">
        <f t="shared" ca="1" si="13"/>
        <v>4680</v>
      </c>
      <c r="BB31" s="23">
        <f t="array" aca="1" ref="BB31" ca="1">SUM(IF(w_start_date&lt;=AO31,1,0)*IF(w_end_date&gt;=AO31,1,0)*w_amount*(1+w_escalation/100)^(INT((AP31-w_months_since_start)/12))*IF(MOD(AP31-w_months_since_start,w_frequency)=0,1,0)*IF(w_frequency=13,0,1))+SUM(IF(w_start_date=AO31,w_amount,0)*IF(w_frequency=13,1,0))</f>
        <v>0</v>
      </c>
      <c r="BC31" s="25">
        <f t="shared" ca="1" si="14"/>
        <v>0</v>
      </c>
      <c r="BD31" s="24" t="b">
        <f t="shared" ca="1" si="15"/>
        <v>0</v>
      </c>
      <c r="BE31" s="24" t="b">
        <f t="shared" ca="1" si="16"/>
        <v>1</v>
      </c>
      <c r="BF31" s="23">
        <f t="array" aca="1" ref="BF31" ca="1">SUM(IF(BD31,1,0)*IF(ap_start_date&lt;=AO31,1,0)*IF(ap_end_date&gt;=AO31,1,0)*ap_amount*(1+ap_escalation/100)^(INT((AP31-ap_months_since_start)/12))*IF(MOD(AP31-ap_months_since_start,ap_frequency)=0,1,0))</f>
        <v>0</v>
      </c>
      <c r="BG31" s="24">
        <f t="shared" ca="1" si="17"/>
        <v>0</v>
      </c>
      <c r="BH31" s="24">
        <f t="shared" ca="1" si="18"/>
        <v>0</v>
      </c>
      <c r="BI31">
        <f t="shared" ca="1" si="19"/>
        <v>0</v>
      </c>
      <c r="BJ31" s="24">
        <f t="shared" ca="1" si="20"/>
        <v>0</v>
      </c>
      <c r="BK31">
        <f t="shared" ca="1" si="21"/>
        <v>0</v>
      </c>
      <c r="BL31" s="25">
        <f t="shared" ca="1" si="22"/>
        <v>0</v>
      </c>
      <c r="BM31" s="32">
        <f t="shared" ca="1" si="1"/>
        <v>845294.40926822776</v>
      </c>
      <c r="BN31" s="23">
        <f t="shared" ca="1" si="23"/>
        <v>0</v>
      </c>
      <c r="BO31" s="24">
        <f t="shared" ca="1" si="24"/>
        <v>0</v>
      </c>
      <c r="BP31" s="25">
        <f t="shared" ca="1" si="25"/>
        <v>0</v>
      </c>
      <c r="BQ31" s="34">
        <f t="shared" ca="1" si="26"/>
        <v>46356</v>
      </c>
      <c r="BR31" s="23">
        <f t="shared" ca="1" si="27"/>
        <v>845294.40926822776</v>
      </c>
      <c r="BS31" s="24">
        <f t="shared" ca="1" si="28"/>
        <v>4680</v>
      </c>
      <c r="BT31" s="24">
        <f t="shared" ca="1" si="62"/>
        <v>56160</v>
      </c>
      <c r="BU31" s="24">
        <f t="shared" ca="1" si="29"/>
        <v>0</v>
      </c>
      <c r="BV31" s="24">
        <f t="shared" ca="1" si="63"/>
        <v>0</v>
      </c>
      <c r="BW31" s="24">
        <f t="shared" ca="1" si="30"/>
        <v>0</v>
      </c>
      <c r="BX31" s="25">
        <f t="shared" ca="1" si="64"/>
        <v>0</v>
      </c>
      <c r="BY31" s="23">
        <f t="shared" ca="1" si="2"/>
        <v>781522.19791810995</v>
      </c>
      <c r="BZ31" s="24">
        <f t="shared" ca="1" si="3"/>
        <v>4341.0882971345136</v>
      </c>
      <c r="CA31" s="24">
        <f t="shared" ca="1" si="65"/>
        <v>53041.336037023037</v>
      </c>
      <c r="CB31" s="24">
        <f t="shared" ca="1" si="4"/>
        <v>0</v>
      </c>
      <c r="CC31" s="24">
        <f t="shared" ca="1" si="66"/>
        <v>0</v>
      </c>
      <c r="CD31" s="24">
        <f t="shared" ca="1" si="5"/>
        <v>0</v>
      </c>
      <c r="CE31" s="25">
        <f t="shared" ca="1" si="67"/>
        <v>0</v>
      </c>
      <c r="CF31" s="23">
        <f t="shared" ca="1" si="68"/>
        <v>0</v>
      </c>
      <c r="CG31" s="25">
        <f t="array" aca="1" ref="CG31" ca="1">SUM(BF20:BF31/(1+inflation/100)^(AP20:AP31/12))</f>
        <v>0</v>
      </c>
      <c r="CH31" s="32">
        <f ca="1">IFERROR(IF(MOD(AP31-ap_months_since_start,12)=0,ap_drawdown/100*(AQ31+AV31+BA31-BC31),CH30),0)</f>
        <v>128987.12987364075</v>
      </c>
      <c r="CJ31" s="168"/>
      <c r="CK31">
        <v>21</v>
      </c>
      <c r="CL31" t="str">
        <f t="shared" ref="CL31:CN50" ca="1" si="72">IF(lsc&gt;=$CK31,OFFSET(lsc,$CK31*$CL$3-CL$9,3),"")</f>
        <v/>
      </c>
      <c r="CM31" t="str">
        <f t="shared" ca="1" si="72"/>
        <v/>
      </c>
      <c r="CN31" s="1" t="str">
        <f t="shared" ca="1" si="72"/>
        <v/>
      </c>
      <c r="CO31" t="str">
        <f t="shared" si="34"/>
        <v/>
      </c>
      <c r="CP31" s="22">
        <f t="shared" ca="1" si="35"/>
        <v>0</v>
      </c>
      <c r="CR31" s="168"/>
      <c r="CS31">
        <v>21</v>
      </c>
      <c r="CT31" t="str">
        <f t="shared" ref="CT31:CY40" ca="1" si="73">IF(rcs&gt;=$CS31,OFFSET(rcs,$CS31*$CL$4-CT$9,3),"")</f>
        <v/>
      </c>
      <c r="CU31" t="str">
        <f t="shared" ca="1" si="73"/>
        <v/>
      </c>
      <c r="CV31" t="str">
        <f t="shared" ca="1" si="73"/>
        <v/>
      </c>
      <c r="CW31" s="1" t="str">
        <f t="shared" ca="1" si="73"/>
        <v/>
      </c>
      <c r="CX31" s="1" t="str">
        <f t="shared" ca="1" si="73"/>
        <v/>
      </c>
      <c r="CY31" t="str">
        <f t="shared" ca="1" si="73"/>
        <v/>
      </c>
      <c r="CZ31">
        <f t="shared" ca="1" si="37"/>
        <v>1</v>
      </c>
      <c r="DA31" t="str">
        <f t="shared" si="38"/>
        <v/>
      </c>
      <c r="DB31" s="22">
        <f t="shared" ca="1" si="39"/>
        <v>0</v>
      </c>
      <c r="DD31" s="168"/>
      <c r="DE31">
        <v>21</v>
      </c>
      <c r="DF31" t="str">
        <f t="shared" ref="DF31:DK40" ca="1" si="74">IF(w&gt;=$DE31,OFFSET(w,$DE31*$CL$5-DF$9,3),"")</f>
        <v/>
      </c>
      <c r="DG31" t="str">
        <f t="shared" ca="1" si="74"/>
        <v/>
      </c>
      <c r="DH31" t="str">
        <f t="shared" ca="1" si="74"/>
        <v/>
      </c>
      <c r="DI31" s="1" t="str">
        <f t="shared" ca="1" si="74"/>
        <v/>
      </c>
      <c r="DJ31" s="1" t="str">
        <f t="shared" ca="1" si="74"/>
        <v/>
      </c>
      <c r="DK31" t="str">
        <f t="shared" ca="1" si="74"/>
        <v/>
      </c>
      <c r="DL31">
        <f t="shared" ca="1" si="41"/>
        <v>1</v>
      </c>
      <c r="DM31" t="str">
        <f t="shared" si="42"/>
        <v/>
      </c>
      <c r="DN31" s="22">
        <f t="shared" ca="1" si="43"/>
        <v>0</v>
      </c>
      <c r="DP31" s="168"/>
      <c r="DQ31">
        <v>21</v>
      </c>
      <c r="DR31" t="str">
        <f t="shared" ca="1" si="71"/>
        <v/>
      </c>
      <c r="DS31" t="str">
        <f t="shared" ca="1" si="71"/>
        <v/>
      </c>
      <c r="DT31" t="str">
        <f t="shared" ca="1" si="71"/>
        <v/>
      </c>
      <c r="DU31" t="str">
        <f t="shared" ca="1" si="71"/>
        <v/>
      </c>
      <c r="DV31" t="str">
        <f t="shared" ca="1" si="71"/>
        <v/>
      </c>
      <c r="DW31" t="str">
        <f t="shared" ca="1" si="71"/>
        <v/>
      </c>
      <c r="DX31">
        <f t="shared" ca="1" si="57"/>
        <v>1</v>
      </c>
      <c r="DY31" t="str">
        <f t="shared" si="46"/>
        <v/>
      </c>
      <c r="DZ31">
        <f t="shared" ca="1" si="58"/>
        <v>0</v>
      </c>
      <c r="EA31" s="122">
        <f t="shared" ca="1" si="59"/>
        <v>82121</v>
      </c>
      <c r="EL31" s="21">
        <f t="shared" ca="1" si="60"/>
        <v>3</v>
      </c>
      <c r="EM31" t="str">
        <f ca="1">'Financial Planning Tool'!CL32</f>
        <v/>
      </c>
      <c r="EN31" t="str">
        <f t="shared" ca="1" si="48"/>
        <v/>
      </c>
      <c r="EO31" t="str">
        <f t="shared" ca="1" si="49"/>
        <v/>
      </c>
      <c r="EP31" s="1" t="str">
        <f t="shared" ca="1" si="50"/>
        <v/>
      </c>
      <c r="EQ31" s="1" t="str">
        <f t="shared" ca="1" si="51"/>
        <v/>
      </c>
      <c r="ER31" t="str">
        <f t="shared" ca="1" si="52"/>
        <v/>
      </c>
      <c r="ES31" t="str">
        <f t="shared" si="53"/>
        <v/>
      </c>
      <c r="ET31">
        <v>0</v>
      </c>
      <c r="EU31" s="22">
        <v>22</v>
      </c>
      <c r="EX31" s="21" t="str">
        <f ca="1">IF(EX30="","",IF(EX30+1&lt;=MAX('Financial Planning Tool'!$EL$10:$EL$209),EX30+1,""))</f>
        <v/>
      </c>
      <c r="EY31" t="str">
        <f ca="1">IF(EX31&lt;&gt;"",VLOOKUP(EX31,'Financial Planning Tool'!$EL$10:$ER$209,2,FALSE),"")</f>
        <v/>
      </c>
      <c r="EZ31" t="str">
        <f ca="1">IF(EX31&lt;&gt;"",VLOOKUP(EX31,'Financial Planning Tool'!$EL$10:$ER$209,3,FALSE),"")</f>
        <v/>
      </c>
      <c r="FA31" t="str">
        <f ca="1">IF(EX31&lt;&gt;"",VLOOKUP(EX31,'Financial Planning Tool'!$EL$10:$ER$209,4,FALSE),"")</f>
        <v/>
      </c>
      <c r="FB31" t="str">
        <f t="shared" ca="1" si="61"/>
        <v/>
      </c>
      <c r="FC31" s="1" t="str">
        <f ca="1">IF(EX31&lt;&gt;"",VLOOKUP(EX31,'Financial Planning Tool'!$EL$10:$ER$209,5,FALSE),"")</f>
        <v/>
      </c>
      <c r="FD31" s="1" t="str">
        <f ca="1">IF(EX31&lt;&gt;"",VLOOKUP(EX31,'Financial Planning Tool'!$EL$10:$ER$209,6,FALSE),"")</f>
        <v/>
      </c>
      <c r="FE31" t="str">
        <f ca="1">IF(EX31&lt;&gt;"",VLOOKUP(EX31,'Financial Planning Tool'!$EL$10:$ER$209,7,FALSE),"")</f>
        <v/>
      </c>
      <c r="FF31" t="str">
        <f ca="1">IF(EX31&lt;&gt;"",VLOOKUP(EX31,'Financial Planning Tool'!$EL$10:$ES$209,8,FALSE),"")</f>
        <v/>
      </c>
      <c r="FG31" t="str">
        <f ca="1">IF(EX31&lt;&gt;"",VLOOKUP(EX31,'Financial Planning Tool'!$EL$10:$ET$209,9,FALSE),"")</f>
        <v/>
      </c>
      <c r="FH31" t="str">
        <f t="shared" ca="1" si="55"/>
        <v/>
      </c>
      <c r="FI31" s="22" t="str">
        <f t="shared" ca="1" si="56"/>
        <v/>
      </c>
    </row>
    <row r="32" spans="2:168" x14ac:dyDescent="0.25">
      <c r="B32" s="101" t="s">
        <v>193</v>
      </c>
      <c r="C32" s="76"/>
      <c r="D32" s="102" t="s">
        <v>147</v>
      </c>
      <c r="E32" s="102" t="s">
        <v>157</v>
      </c>
      <c r="F32" s="77"/>
      <c r="S32" s="18"/>
      <c r="T32" s="160"/>
      <c r="U32" s="161"/>
      <c r="V32" s="8"/>
      <c r="W32" s="68"/>
      <c r="X32" s="68"/>
      <c r="Y32" s="71"/>
      <c r="Z32" s="71"/>
      <c r="AA32" s="65"/>
      <c r="AE32">
        <v>16</v>
      </c>
      <c r="AN32" s="32">
        <f t="shared" ca="1" si="0"/>
        <v>56.916666666666664</v>
      </c>
      <c r="AO32" s="53">
        <f t="shared" ca="1" si="31"/>
        <v>46357</v>
      </c>
      <c r="AP32" s="22">
        <v>25</v>
      </c>
      <c r="AQ32" s="32">
        <f t="shared" ca="1" si="32"/>
        <v>845294.40926822776</v>
      </c>
      <c r="AR32" s="23">
        <f t="array" aca="1" ref="AR32" ca="1">SUM(IF(lsc_start_date=AO32,lsc_amount,0))</f>
        <v>0</v>
      </c>
      <c r="AS32" s="24">
        <f t="shared" ca="1" si="6"/>
        <v>0</v>
      </c>
      <c r="AT32" s="24">
        <f t="shared" ca="1" si="7"/>
        <v>0</v>
      </c>
      <c r="AU32" s="24">
        <f t="shared" ca="1" si="8"/>
        <v>0</v>
      </c>
      <c r="AV32" s="25">
        <f t="shared" ca="1" si="9"/>
        <v>0</v>
      </c>
      <c r="AW32" s="23">
        <f t="array" aca="1" ref="AW32" ca="1">SUM(IF(rcs_start_date&lt;=AO32,1,0)*IF(rcs_end_date&gt;=AO32,1,0)*rcs_amount*(1+rcs_escalation/100)^(INT((AP32-rcs_months_since_start)/12))*IF(MOD((AP32-rcs_months_since_start),rcs_frequency)=0,1,0)*IF(rcs_frequency=13,0,1))+SUM(IF(rcs_start_date=AO32,rcs_amount,0)*IF(rcs_frequency=13,1,0))</f>
        <v>4867.2000000000007</v>
      </c>
      <c r="AX32" s="24">
        <f t="shared" ca="1" si="10"/>
        <v>0</v>
      </c>
      <c r="AY32" s="24">
        <f t="shared" ca="1" si="11"/>
        <v>0</v>
      </c>
      <c r="AZ32" s="24">
        <f t="shared" ca="1" si="12"/>
        <v>0</v>
      </c>
      <c r="BA32" s="25">
        <f t="shared" ca="1" si="13"/>
        <v>4867.2000000000007</v>
      </c>
      <c r="BB32" s="23">
        <f t="array" aca="1" ref="BB32" ca="1">SUM(IF(w_start_date&lt;=AO32,1,0)*IF(w_end_date&gt;=AO32,1,0)*w_amount*(1+w_escalation/100)^(INT((AP32-w_months_since_start)/12))*IF(MOD(AP32-w_months_since_start,w_frequency)=0,1,0)*IF(w_frequency=13,0,1))+SUM(IF(w_start_date=AO32,w_amount,0)*IF(w_frequency=13,1,0))</f>
        <v>0</v>
      </c>
      <c r="BC32" s="25">
        <f t="shared" ca="1" si="14"/>
        <v>0</v>
      </c>
      <c r="BD32" s="24" t="b">
        <f t="shared" ca="1" si="15"/>
        <v>0</v>
      </c>
      <c r="BE32" s="24" t="b">
        <f t="shared" ca="1" si="16"/>
        <v>1</v>
      </c>
      <c r="BF32" s="23">
        <f t="array" aca="1" ref="BF32" ca="1">SUM(IF(BD32,1,0)*IF(ap_start_date&lt;=AO32,1,0)*IF(ap_end_date&gt;=AO32,1,0)*ap_amount*(1+ap_escalation/100)^(INT((AP32-ap_months_since_start)/12))*IF(MOD(AP32-ap_months_since_start,ap_frequency)=0,1,0))</f>
        <v>0</v>
      </c>
      <c r="BG32" s="24">
        <f t="shared" ca="1" si="17"/>
        <v>0</v>
      </c>
      <c r="BH32" s="24">
        <f t="shared" ca="1" si="18"/>
        <v>0</v>
      </c>
      <c r="BI32">
        <f t="shared" ca="1" si="19"/>
        <v>0</v>
      </c>
      <c r="BJ32" s="24">
        <f t="shared" ca="1" si="20"/>
        <v>0</v>
      </c>
      <c r="BK32">
        <f t="shared" ca="1" si="21"/>
        <v>0</v>
      </c>
      <c r="BL32" s="25">
        <f t="shared" ca="1" si="22"/>
        <v>0</v>
      </c>
      <c r="BM32" s="32">
        <f t="shared" ca="1" si="1"/>
        <v>856288.99885719095</v>
      </c>
      <c r="BN32" s="23">
        <f t="shared" ca="1" si="23"/>
        <v>0</v>
      </c>
      <c r="BO32" s="24">
        <f t="shared" ca="1" si="24"/>
        <v>0</v>
      </c>
      <c r="BP32" s="25">
        <f t="shared" ca="1" si="25"/>
        <v>0</v>
      </c>
      <c r="BQ32" s="34">
        <f t="shared" ca="1" si="26"/>
        <v>46387</v>
      </c>
      <c r="BR32" s="23">
        <f t="shared" ca="1" si="27"/>
        <v>856288.99885719095</v>
      </c>
      <c r="BS32" s="24">
        <f t="shared" ca="1" si="28"/>
        <v>4867.2000000000007</v>
      </c>
      <c r="BT32" s="24">
        <f t="shared" ca="1" si="62"/>
        <v>56347.199999999997</v>
      </c>
      <c r="BU32" s="24">
        <f t="shared" ca="1" si="29"/>
        <v>0</v>
      </c>
      <c r="BV32" s="24">
        <f t="shared" ca="1" si="63"/>
        <v>0</v>
      </c>
      <c r="BW32" s="24">
        <f t="shared" ca="1" si="30"/>
        <v>0</v>
      </c>
      <c r="BX32" s="25">
        <f t="shared" ca="1" si="64"/>
        <v>0</v>
      </c>
      <c r="BY32" s="23">
        <f t="shared" ca="1" si="2"/>
        <v>789103.99289832299</v>
      </c>
      <c r="BZ32" s="24">
        <f t="shared" ca="1" si="3"/>
        <v>4500</v>
      </c>
      <c r="CA32" s="24">
        <f t="shared" ca="1" si="65"/>
        <v>53041.336037023037</v>
      </c>
      <c r="CB32" s="24">
        <f t="shared" ca="1" si="4"/>
        <v>0</v>
      </c>
      <c r="CC32" s="24">
        <f t="shared" ca="1" si="66"/>
        <v>0</v>
      </c>
      <c r="CD32" s="24">
        <f t="shared" ca="1" si="5"/>
        <v>0</v>
      </c>
      <c r="CE32" s="25">
        <f t="shared" ca="1" si="67"/>
        <v>0</v>
      </c>
      <c r="CF32" s="23">
        <f t="shared" ca="1" si="68"/>
        <v>0</v>
      </c>
      <c r="CG32" s="25">
        <f t="array" aca="1" ref="CG32" ca="1">SUM(BF21:BF32/(1+inflation/100)^(AP21:AP32/12))</f>
        <v>0</v>
      </c>
      <c r="CH32" s="32">
        <f ca="1">IFERROR(IF(MOD(AP32-ap_months_since_start,12)=0,ap_drawdown/100*(AQ32+AV32+BA32-BC32),CH31),0)</f>
        <v>128987.12987364075</v>
      </c>
      <c r="CJ32" s="168"/>
      <c r="CK32">
        <v>22</v>
      </c>
      <c r="CL32" t="str">
        <f t="shared" ca="1" si="72"/>
        <v/>
      </c>
      <c r="CM32" t="str">
        <f t="shared" ca="1" si="72"/>
        <v/>
      </c>
      <c r="CN32" s="1" t="str">
        <f t="shared" ca="1" si="72"/>
        <v/>
      </c>
      <c r="CO32" t="str">
        <f t="shared" si="34"/>
        <v/>
      </c>
      <c r="CP32" s="22">
        <f t="shared" ca="1" si="35"/>
        <v>0</v>
      </c>
      <c r="CR32" s="168"/>
      <c r="CS32">
        <v>22</v>
      </c>
      <c r="CT32" t="str">
        <f t="shared" ca="1" si="73"/>
        <v/>
      </c>
      <c r="CU32" t="str">
        <f t="shared" ca="1" si="73"/>
        <v/>
      </c>
      <c r="CV32" t="str">
        <f t="shared" ca="1" si="73"/>
        <v/>
      </c>
      <c r="CW32" s="1" t="str">
        <f t="shared" ca="1" si="73"/>
        <v/>
      </c>
      <c r="CX32" s="1" t="str">
        <f t="shared" ca="1" si="73"/>
        <v/>
      </c>
      <c r="CY32" t="str">
        <f t="shared" ca="1" si="73"/>
        <v/>
      </c>
      <c r="CZ32">
        <f t="shared" ca="1" si="37"/>
        <v>1</v>
      </c>
      <c r="DA32" t="str">
        <f t="shared" si="38"/>
        <v/>
      </c>
      <c r="DB32" s="22">
        <f t="shared" ca="1" si="39"/>
        <v>0</v>
      </c>
      <c r="DD32" s="168"/>
      <c r="DE32">
        <v>22</v>
      </c>
      <c r="DF32" t="str">
        <f t="shared" ca="1" si="74"/>
        <v/>
      </c>
      <c r="DG32" t="str">
        <f t="shared" ca="1" si="74"/>
        <v/>
      </c>
      <c r="DH32" t="str">
        <f t="shared" ca="1" si="74"/>
        <v/>
      </c>
      <c r="DI32" s="1" t="str">
        <f t="shared" ca="1" si="74"/>
        <v/>
      </c>
      <c r="DJ32" s="1" t="str">
        <f t="shared" ca="1" si="74"/>
        <v/>
      </c>
      <c r="DK32" t="str">
        <f t="shared" ca="1" si="74"/>
        <v/>
      </c>
      <c r="DL32">
        <f t="shared" ca="1" si="41"/>
        <v>1</v>
      </c>
      <c r="DM32" t="str">
        <f t="shared" si="42"/>
        <v/>
      </c>
      <c r="DN32" s="22">
        <f t="shared" ca="1" si="43"/>
        <v>0</v>
      </c>
      <c r="DP32" s="168"/>
      <c r="DQ32">
        <v>22</v>
      </c>
      <c r="DR32" t="str">
        <f t="shared" ca="1" si="71"/>
        <v/>
      </c>
      <c r="DS32" t="str">
        <f t="shared" ca="1" si="71"/>
        <v/>
      </c>
      <c r="DT32" t="str">
        <f t="shared" ca="1" si="71"/>
        <v/>
      </c>
      <c r="DU32" t="str">
        <f t="shared" ca="1" si="71"/>
        <v/>
      </c>
      <c r="DV32" t="str">
        <f t="shared" ca="1" si="71"/>
        <v/>
      </c>
      <c r="DW32" t="str">
        <f t="shared" ca="1" si="71"/>
        <v/>
      </c>
      <c r="DX32">
        <f t="shared" ca="1" si="57"/>
        <v>1</v>
      </c>
      <c r="DY32" t="str">
        <f t="shared" si="46"/>
        <v/>
      </c>
      <c r="DZ32">
        <f t="shared" ca="1" si="58"/>
        <v>0</v>
      </c>
      <c r="EA32" s="122">
        <f t="shared" ca="1" si="59"/>
        <v>82121</v>
      </c>
      <c r="EL32" s="21">
        <f t="shared" ca="1" si="60"/>
        <v>3</v>
      </c>
      <c r="EM32" t="str">
        <f ca="1">'Financial Planning Tool'!CL33</f>
        <v/>
      </c>
      <c r="EN32" t="str">
        <f t="shared" ca="1" si="48"/>
        <v/>
      </c>
      <c r="EO32" t="str">
        <f t="shared" ca="1" si="49"/>
        <v/>
      </c>
      <c r="EP32" s="1" t="str">
        <f t="shared" ca="1" si="50"/>
        <v/>
      </c>
      <c r="EQ32" s="1" t="str">
        <f t="shared" ca="1" si="51"/>
        <v/>
      </c>
      <c r="ER32" t="str">
        <f t="shared" ca="1" si="52"/>
        <v/>
      </c>
      <c r="ES32" t="str">
        <f t="shared" si="53"/>
        <v/>
      </c>
      <c r="ET32">
        <v>0</v>
      </c>
      <c r="EU32" s="22">
        <v>23</v>
      </c>
      <c r="EX32" s="21" t="str">
        <f ca="1">IF(EX31="","",IF(EX31+1&lt;=MAX('Financial Planning Tool'!$EL$10:$EL$209),EX31+1,""))</f>
        <v/>
      </c>
      <c r="EY32" t="str">
        <f ca="1">IF(EX32&lt;&gt;"",VLOOKUP(EX32,'Financial Planning Tool'!$EL$10:$ER$209,2,FALSE),"")</f>
        <v/>
      </c>
      <c r="EZ32" t="str">
        <f ca="1">IF(EX32&lt;&gt;"",VLOOKUP(EX32,'Financial Planning Tool'!$EL$10:$ER$209,3,FALSE),"")</f>
        <v/>
      </c>
      <c r="FA32" t="str">
        <f ca="1">IF(EX32&lt;&gt;"",VLOOKUP(EX32,'Financial Planning Tool'!$EL$10:$ER$209,4,FALSE),"")</f>
        <v/>
      </c>
      <c r="FB32" t="str">
        <f t="shared" ca="1" si="61"/>
        <v/>
      </c>
      <c r="FC32" s="1" t="str">
        <f ca="1">IF(EX32&lt;&gt;"",VLOOKUP(EX32,'Financial Planning Tool'!$EL$10:$ER$209,5,FALSE),"")</f>
        <v/>
      </c>
      <c r="FD32" s="1" t="str">
        <f ca="1">IF(EX32&lt;&gt;"",VLOOKUP(EX32,'Financial Planning Tool'!$EL$10:$ER$209,6,FALSE),"")</f>
        <v/>
      </c>
      <c r="FE32" t="str">
        <f ca="1">IF(EX32&lt;&gt;"",VLOOKUP(EX32,'Financial Planning Tool'!$EL$10:$ER$209,7,FALSE),"")</f>
        <v/>
      </c>
      <c r="FF32" t="str">
        <f ca="1">IF(EX32&lt;&gt;"",VLOOKUP(EX32,'Financial Planning Tool'!$EL$10:$ES$209,8,FALSE),"")</f>
        <v/>
      </c>
      <c r="FG32" t="str">
        <f ca="1">IF(EX32&lt;&gt;"",VLOOKUP(EX32,'Financial Planning Tool'!$EL$10:$ET$209,9,FALSE),"")</f>
        <v/>
      </c>
      <c r="FH32" t="str">
        <f t="shared" ca="1" si="55"/>
        <v/>
      </c>
      <c r="FI32" s="22" t="str">
        <f t="shared" ca="1" si="56"/>
        <v/>
      </c>
    </row>
    <row r="33" spans="1:165" x14ac:dyDescent="0.25">
      <c r="B33" s="78" t="s">
        <v>8</v>
      </c>
      <c r="C33" s="76"/>
      <c r="D33" s="106"/>
      <c r="E33" s="107"/>
      <c r="F33" s="77"/>
      <c r="S33" s="18"/>
      <c r="T33" s="160"/>
      <c r="U33" s="161"/>
      <c r="V33" s="8"/>
      <c r="W33" s="68"/>
      <c r="X33" s="68"/>
      <c r="Y33" s="71"/>
      <c r="Z33" s="71"/>
      <c r="AA33" s="65"/>
      <c r="AE33">
        <v>17</v>
      </c>
      <c r="AF33" s="36" t="s">
        <v>173</v>
      </c>
      <c r="AG33" s="39"/>
      <c r="AH33" s="37"/>
      <c r="AI33" s="30" t="s">
        <v>199</v>
      </c>
      <c r="AN33" s="32">
        <f t="shared" ca="1" si="0"/>
        <v>57</v>
      </c>
      <c r="AO33" s="53">
        <f t="shared" ca="1" si="31"/>
        <v>46388</v>
      </c>
      <c r="AP33" s="22">
        <v>26</v>
      </c>
      <c r="AQ33" s="32">
        <f t="shared" ca="1" si="32"/>
        <v>856288.99885719095</v>
      </c>
      <c r="AR33" s="23">
        <f t="array" aca="1" ref="AR33" ca="1">SUM(IF(lsc_start_date=AO33,lsc_amount,0))</f>
        <v>0</v>
      </c>
      <c r="AS33" s="24">
        <f t="shared" ca="1" si="6"/>
        <v>0</v>
      </c>
      <c r="AT33" s="24">
        <f t="shared" ca="1" si="7"/>
        <v>0</v>
      </c>
      <c r="AU33" s="24">
        <f t="shared" ca="1" si="8"/>
        <v>0</v>
      </c>
      <c r="AV33" s="25">
        <f t="shared" ca="1" si="9"/>
        <v>0</v>
      </c>
      <c r="AW33" s="23">
        <f t="array" aca="1" ref="AW33" ca="1">SUM(IF(rcs_start_date&lt;=AO33,1,0)*IF(rcs_end_date&gt;=AO33,1,0)*rcs_amount*(1+rcs_escalation/100)^(INT((AP33-rcs_months_since_start)/12))*IF(MOD((AP33-rcs_months_since_start),rcs_frequency)=0,1,0)*IF(rcs_frequency=13,0,1))+SUM(IF(rcs_start_date=AO33,rcs_amount,0)*IF(rcs_frequency=13,1,0))</f>
        <v>4867.2000000000007</v>
      </c>
      <c r="AX33" s="24">
        <f t="shared" ca="1" si="10"/>
        <v>0</v>
      </c>
      <c r="AY33" s="24">
        <f t="shared" ca="1" si="11"/>
        <v>0</v>
      </c>
      <c r="AZ33" s="24">
        <f t="shared" ca="1" si="12"/>
        <v>0</v>
      </c>
      <c r="BA33" s="25">
        <f t="shared" ca="1" si="13"/>
        <v>4867.2000000000007</v>
      </c>
      <c r="BB33" s="23">
        <f t="array" aca="1" ref="BB33" ca="1">SUM(IF(w_start_date&lt;=AO33,1,0)*IF(w_end_date&gt;=AO33,1,0)*w_amount*(1+w_escalation/100)^(INT((AP33-w_months_since_start)/12))*IF(MOD(AP33-w_months_since_start,w_frequency)=0,1,0)*IF(w_frequency=13,0,1))+SUM(IF(w_start_date=AO33,w_amount,0)*IF(w_frequency=13,1,0))</f>
        <v>0</v>
      </c>
      <c r="BC33" s="25">
        <f t="shared" ca="1" si="14"/>
        <v>0</v>
      </c>
      <c r="BD33" s="24" t="b">
        <f t="shared" ca="1" si="15"/>
        <v>0</v>
      </c>
      <c r="BE33" s="24" t="b">
        <f t="shared" ca="1" si="16"/>
        <v>1</v>
      </c>
      <c r="BF33" s="23">
        <f t="array" aca="1" ref="BF33" ca="1">SUM(IF(BD33,1,0)*IF(ap_start_date&lt;=AO33,1,0)*IF(ap_end_date&gt;=AO33,1,0)*ap_amount*(1+ap_escalation/100)^(INT((AP33-ap_months_since_start)/12))*IF(MOD(AP33-ap_months_since_start,ap_frequency)=0,1,0))</f>
        <v>0</v>
      </c>
      <c r="BG33" s="24">
        <f t="shared" ca="1" si="17"/>
        <v>0</v>
      </c>
      <c r="BH33" s="24">
        <f t="shared" ca="1" si="18"/>
        <v>0</v>
      </c>
      <c r="BI33">
        <f t="shared" ca="1" si="19"/>
        <v>0</v>
      </c>
      <c r="BJ33" s="24">
        <f t="shared" ca="1" si="20"/>
        <v>0</v>
      </c>
      <c r="BK33">
        <f t="shared" ca="1" si="21"/>
        <v>0</v>
      </c>
      <c r="BL33" s="25">
        <f t="shared" ca="1" si="22"/>
        <v>0</v>
      </c>
      <c r="BM33" s="32">
        <f t="shared" ca="1" si="1"/>
        <v>867362.83000804996</v>
      </c>
      <c r="BN33" s="23">
        <f t="shared" ca="1" si="23"/>
        <v>0</v>
      </c>
      <c r="BO33" s="24">
        <f t="shared" ca="1" si="24"/>
        <v>0</v>
      </c>
      <c r="BP33" s="25">
        <f t="shared" ca="1" si="25"/>
        <v>0</v>
      </c>
      <c r="BQ33" s="34">
        <f t="shared" ca="1" si="26"/>
        <v>46418</v>
      </c>
      <c r="BR33" s="23">
        <f t="shared" ca="1" si="27"/>
        <v>867362.83000804996</v>
      </c>
      <c r="BS33" s="24">
        <f t="shared" ca="1" si="28"/>
        <v>4867.2000000000007</v>
      </c>
      <c r="BT33" s="24">
        <f t="shared" ca="1" si="62"/>
        <v>56534.399999999994</v>
      </c>
      <c r="BU33" s="24">
        <f t="shared" ca="1" si="29"/>
        <v>0</v>
      </c>
      <c r="BV33" s="24">
        <f t="shared" ca="1" si="63"/>
        <v>0</v>
      </c>
      <c r="BW33" s="24">
        <f t="shared" ca="1" si="30"/>
        <v>0</v>
      </c>
      <c r="BX33" s="25">
        <f t="shared" ca="1" si="64"/>
        <v>0</v>
      </c>
      <c r="BY33" s="23">
        <f t="shared" ca="1" si="2"/>
        <v>796700.77285669907</v>
      </c>
      <c r="BZ33" s="24">
        <f t="shared" ca="1" si="3"/>
        <v>4485.316241783531</v>
      </c>
      <c r="CA33" s="24">
        <f t="shared" ca="1" si="65"/>
        <v>53041.336037023044</v>
      </c>
      <c r="CB33" s="24">
        <f t="shared" ca="1" si="4"/>
        <v>0</v>
      </c>
      <c r="CC33" s="24">
        <f t="shared" ca="1" si="66"/>
        <v>0</v>
      </c>
      <c r="CD33" s="24">
        <f t="shared" ca="1" si="5"/>
        <v>0</v>
      </c>
      <c r="CE33" s="25">
        <f t="shared" ca="1" si="67"/>
        <v>0</v>
      </c>
      <c r="CF33" s="23">
        <f t="shared" ca="1" si="68"/>
        <v>0</v>
      </c>
      <c r="CG33" s="25">
        <f t="array" aca="1" ref="CG33" ca="1">SUM(BF22:BF33/(1+inflation/100)^(AP22:AP33/12))</f>
        <v>0</v>
      </c>
      <c r="CH33" s="32">
        <f ca="1">IFERROR(IF(MOD(AP33-ap_months_since_start,12)=0,ap_drawdown/100*(AQ33+AV33+BA33-BC33),CH32),0)</f>
        <v>128987.12987364075</v>
      </c>
      <c r="CJ33" s="168"/>
      <c r="CK33">
        <v>23</v>
      </c>
      <c r="CL33" t="str">
        <f t="shared" ca="1" si="72"/>
        <v/>
      </c>
      <c r="CM33" t="str">
        <f t="shared" ca="1" si="72"/>
        <v/>
      </c>
      <c r="CN33" s="1" t="str">
        <f t="shared" ca="1" si="72"/>
        <v/>
      </c>
      <c r="CO33" t="str">
        <f t="shared" si="34"/>
        <v/>
      </c>
      <c r="CP33" s="22">
        <f t="shared" ca="1" si="35"/>
        <v>0</v>
      </c>
      <c r="CR33" s="168"/>
      <c r="CS33">
        <v>23</v>
      </c>
      <c r="CT33" t="str">
        <f t="shared" ca="1" si="73"/>
        <v/>
      </c>
      <c r="CU33" t="str">
        <f t="shared" ca="1" si="73"/>
        <v/>
      </c>
      <c r="CV33" t="str">
        <f t="shared" ca="1" si="73"/>
        <v/>
      </c>
      <c r="CW33" s="1" t="str">
        <f t="shared" ca="1" si="73"/>
        <v/>
      </c>
      <c r="CX33" s="1" t="str">
        <f t="shared" ca="1" si="73"/>
        <v/>
      </c>
      <c r="CY33" t="str">
        <f t="shared" ca="1" si="73"/>
        <v/>
      </c>
      <c r="CZ33">
        <f t="shared" ca="1" si="37"/>
        <v>1</v>
      </c>
      <c r="DA33" t="str">
        <f t="shared" si="38"/>
        <v/>
      </c>
      <c r="DB33" s="22">
        <f t="shared" ca="1" si="39"/>
        <v>0</v>
      </c>
      <c r="DD33" s="168"/>
      <c r="DE33">
        <v>23</v>
      </c>
      <c r="DF33" t="str">
        <f t="shared" ca="1" si="74"/>
        <v/>
      </c>
      <c r="DG33" t="str">
        <f t="shared" ca="1" si="74"/>
        <v/>
      </c>
      <c r="DH33" t="str">
        <f t="shared" ca="1" si="74"/>
        <v/>
      </c>
      <c r="DI33" s="1" t="str">
        <f t="shared" ca="1" si="74"/>
        <v/>
      </c>
      <c r="DJ33" s="1" t="str">
        <f t="shared" ca="1" si="74"/>
        <v/>
      </c>
      <c r="DK33" t="str">
        <f t="shared" ca="1" si="74"/>
        <v/>
      </c>
      <c r="DL33">
        <f t="shared" ca="1" si="41"/>
        <v>1</v>
      </c>
      <c r="DM33" t="str">
        <f t="shared" si="42"/>
        <v/>
      </c>
      <c r="DN33" s="22">
        <f t="shared" ca="1" si="43"/>
        <v>0</v>
      </c>
      <c r="DP33" s="168"/>
      <c r="DQ33">
        <v>23</v>
      </c>
      <c r="DR33" t="str">
        <f t="shared" ca="1" si="71"/>
        <v/>
      </c>
      <c r="DS33" t="str">
        <f t="shared" ca="1" si="71"/>
        <v/>
      </c>
      <c r="DT33" t="str">
        <f t="shared" ca="1" si="71"/>
        <v/>
      </c>
      <c r="DU33" t="str">
        <f t="shared" ca="1" si="71"/>
        <v/>
      </c>
      <c r="DV33" t="str">
        <f t="shared" ca="1" si="71"/>
        <v/>
      </c>
      <c r="DW33" t="str">
        <f t="shared" ca="1" si="71"/>
        <v/>
      </c>
      <c r="DX33">
        <f t="shared" ca="1" si="57"/>
        <v>1</v>
      </c>
      <c r="DY33" t="str">
        <f t="shared" si="46"/>
        <v/>
      </c>
      <c r="DZ33">
        <f t="shared" ca="1" si="58"/>
        <v>0</v>
      </c>
      <c r="EA33" s="122">
        <f t="shared" ca="1" si="59"/>
        <v>82121</v>
      </c>
      <c r="EL33" s="21">
        <f t="shared" ca="1" si="60"/>
        <v>3</v>
      </c>
      <c r="EM33" t="str">
        <f ca="1">'Financial Planning Tool'!CL34</f>
        <v/>
      </c>
      <c r="EN33" t="str">
        <f t="shared" ca="1" si="48"/>
        <v/>
      </c>
      <c r="EO33" t="str">
        <f t="shared" ca="1" si="49"/>
        <v/>
      </c>
      <c r="EP33" s="1" t="str">
        <f t="shared" ca="1" si="50"/>
        <v/>
      </c>
      <c r="EQ33" s="1" t="str">
        <f t="shared" ca="1" si="51"/>
        <v/>
      </c>
      <c r="ER33" t="str">
        <f t="shared" ca="1" si="52"/>
        <v/>
      </c>
      <c r="ES33" t="str">
        <f t="shared" si="53"/>
        <v/>
      </c>
      <c r="ET33">
        <v>0</v>
      </c>
      <c r="EU33" s="22">
        <v>24</v>
      </c>
      <c r="EX33" s="21" t="str">
        <f ca="1">IF(EX32="","",IF(EX32+1&lt;=MAX('Financial Planning Tool'!$EL$10:$EL$209),EX32+1,""))</f>
        <v/>
      </c>
      <c r="EY33" t="str">
        <f ca="1">IF(EX33&lt;&gt;"",VLOOKUP(EX33,'Financial Planning Tool'!$EL$10:$ER$209,2,FALSE),"")</f>
        <v/>
      </c>
      <c r="EZ33" t="str">
        <f ca="1">IF(EX33&lt;&gt;"",VLOOKUP(EX33,'Financial Planning Tool'!$EL$10:$ER$209,3,FALSE),"")</f>
        <v/>
      </c>
      <c r="FA33" t="str">
        <f ca="1">IF(EX33&lt;&gt;"",VLOOKUP(EX33,'Financial Planning Tool'!$EL$10:$ER$209,4,FALSE),"")</f>
        <v/>
      </c>
      <c r="FB33" t="str">
        <f t="shared" ca="1" si="61"/>
        <v/>
      </c>
      <c r="FC33" s="1" t="str">
        <f ca="1">IF(EX33&lt;&gt;"",VLOOKUP(EX33,'Financial Planning Tool'!$EL$10:$ER$209,5,FALSE),"")</f>
        <v/>
      </c>
      <c r="FD33" s="1" t="str">
        <f ca="1">IF(EX33&lt;&gt;"",VLOOKUP(EX33,'Financial Planning Tool'!$EL$10:$ER$209,6,FALSE),"")</f>
        <v/>
      </c>
      <c r="FE33" t="str">
        <f ca="1">IF(EX33&lt;&gt;"",VLOOKUP(EX33,'Financial Planning Tool'!$EL$10:$ER$209,7,FALSE),"")</f>
        <v/>
      </c>
      <c r="FF33" t="str">
        <f ca="1">IF(EX33&lt;&gt;"",VLOOKUP(EX33,'Financial Planning Tool'!$EL$10:$ES$209,8,FALSE),"")</f>
        <v/>
      </c>
      <c r="FG33" t="str">
        <f ca="1">IF(EX33&lt;&gt;"",VLOOKUP(EX33,'Financial Planning Tool'!$EL$10:$ET$209,9,FALSE),"")</f>
        <v/>
      </c>
      <c r="FH33" t="str">
        <f t="shared" ca="1" si="55"/>
        <v/>
      </c>
      <c r="FI33" s="22" t="str">
        <f t="shared" ca="1" si="56"/>
        <v/>
      </c>
    </row>
    <row r="34" spans="1:165" x14ac:dyDescent="0.25">
      <c r="B34" s="78" t="s">
        <v>9</v>
      </c>
      <c r="C34" s="76"/>
      <c r="D34" s="106"/>
      <c r="E34" s="107"/>
      <c r="F34" s="77"/>
      <c r="S34" s="18"/>
      <c r="T34" s="160"/>
      <c r="U34" s="161"/>
      <c r="V34" s="8"/>
      <c r="W34" s="68"/>
      <c r="X34" s="68"/>
      <c r="Y34" s="71"/>
      <c r="Z34" s="71"/>
      <c r="AA34" s="65"/>
      <c r="AE34">
        <v>18</v>
      </c>
      <c r="AF34" s="21" t="s">
        <v>174</v>
      </c>
      <c r="AG34">
        <v>0</v>
      </c>
      <c r="AH34" s="22"/>
      <c r="AI34" s="31"/>
      <c r="AN34" s="32">
        <f t="shared" ca="1" si="0"/>
        <v>57.083333333333336</v>
      </c>
      <c r="AO34" s="53">
        <f t="shared" ca="1" si="31"/>
        <v>46419</v>
      </c>
      <c r="AP34" s="22">
        <v>27</v>
      </c>
      <c r="AQ34" s="32">
        <f t="shared" ca="1" si="32"/>
        <v>867362.83000804996</v>
      </c>
      <c r="AR34" s="23">
        <f t="array" aca="1" ref="AR34" ca="1">SUM(IF(lsc_start_date=AO34,lsc_amount,0))</f>
        <v>0</v>
      </c>
      <c r="AS34" s="24">
        <f t="shared" ca="1" si="6"/>
        <v>0</v>
      </c>
      <c r="AT34" s="24">
        <f t="shared" ca="1" si="7"/>
        <v>0</v>
      </c>
      <c r="AU34" s="24">
        <f t="shared" ca="1" si="8"/>
        <v>0</v>
      </c>
      <c r="AV34" s="25">
        <f t="shared" ca="1" si="9"/>
        <v>0</v>
      </c>
      <c r="AW34" s="23">
        <f t="array" aca="1" ref="AW34" ca="1">SUM(IF(rcs_start_date&lt;=AO34,1,0)*IF(rcs_end_date&gt;=AO34,1,0)*rcs_amount*(1+rcs_escalation/100)^(INT((AP34-rcs_months_since_start)/12))*IF(MOD((AP34-rcs_months_since_start),rcs_frequency)=0,1,0)*IF(rcs_frequency=13,0,1))+SUM(IF(rcs_start_date=AO34,rcs_amount,0)*IF(rcs_frequency=13,1,0))</f>
        <v>4867.2000000000007</v>
      </c>
      <c r="AX34" s="24">
        <f t="shared" ca="1" si="10"/>
        <v>0</v>
      </c>
      <c r="AY34" s="24">
        <f t="shared" ca="1" si="11"/>
        <v>0</v>
      </c>
      <c r="AZ34" s="24">
        <f t="shared" ca="1" si="12"/>
        <v>0</v>
      </c>
      <c r="BA34" s="25">
        <f t="shared" ca="1" si="13"/>
        <v>4867.2000000000007</v>
      </c>
      <c r="BB34" s="23">
        <f t="array" aca="1" ref="BB34" ca="1">SUM(IF(w_start_date&lt;=AO34,1,0)*IF(w_end_date&gt;=AO34,1,0)*w_amount*(1+w_escalation/100)^(INT((AP34-w_months_since_start)/12))*IF(MOD(AP34-w_months_since_start,w_frequency)=0,1,0)*IF(w_frequency=13,0,1))+SUM(IF(w_start_date=AO34,w_amount,0)*IF(w_frequency=13,1,0))</f>
        <v>0</v>
      </c>
      <c r="BC34" s="25">
        <f t="shared" ca="1" si="14"/>
        <v>0</v>
      </c>
      <c r="BD34" s="24" t="b">
        <f t="shared" ca="1" si="15"/>
        <v>0</v>
      </c>
      <c r="BE34" s="24" t="b">
        <f t="shared" ca="1" si="16"/>
        <v>1</v>
      </c>
      <c r="BF34" s="23">
        <f t="array" aca="1" ref="BF34" ca="1">SUM(IF(BD34,1,0)*IF(ap_start_date&lt;=AO34,1,0)*IF(ap_end_date&gt;=AO34,1,0)*ap_amount*(1+ap_escalation/100)^(INT((AP34-ap_months_since_start)/12))*IF(MOD(AP34-ap_months_since_start,ap_frequency)=0,1,0))</f>
        <v>0</v>
      </c>
      <c r="BG34" s="24">
        <f t="shared" ca="1" si="17"/>
        <v>0</v>
      </c>
      <c r="BH34" s="24">
        <f t="shared" ca="1" si="18"/>
        <v>0</v>
      </c>
      <c r="BI34">
        <f t="shared" ca="1" si="19"/>
        <v>0</v>
      </c>
      <c r="BJ34" s="24">
        <f t="shared" ca="1" si="20"/>
        <v>0</v>
      </c>
      <c r="BK34">
        <f t="shared" ca="1" si="21"/>
        <v>0</v>
      </c>
      <c r="BL34" s="25">
        <f t="shared" ca="1" si="22"/>
        <v>0</v>
      </c>
      <c r="BM34" s="32">
        <f t="shared" ca="1" si="1"/>
        <v>878516.47384036158</v>
      </c>
      <c r="BN34" s="23">
        <f t="shared" ca="1" si="23"/>
        <v>0</v>
      </c>
      <c r="BO34" s="24">
        <f t="shared" ca="1" si="24"/>
        <v>0</v>
      </c>
      <c r="BP34" s="25">
        <f t="shared" ca="1" si="25"/>
        <v>0</v>
      </c>
      <c r="BQ34" s="34">
        <f t="shared" ca="1" si="26"/>
        <v>46446</v>
      </c>
      <c r="BR34" s="23">
        <f t="shared" ca="1" si="27"/>
        <v>878516.47384036158</v>
      </c>
      <c r="BS34" s="24">
        <f t="shared" ca="1" si="28"/>
        <v>4867.2000000000007</v>
      </c>
      <c r="BT34" s="24">
        <f t="shared" ca="1" si="62"/>
        <v>56721.599999999991</v>
      </c>
      <c r="BU34" s="24">
        <f t="shared" ca="1" si="29"/>
        <v>0</v>
      </c>
      <c r="BV34" s="24">
        <f t="shared" ca="1" si="63"/>
        <v>0</v>
      </c>
      <c r="BW34" s="24">
        <f t="shared" ca="1" si="30"/>
        <v>0</v>
      </c>
      <c r="BX34" s="25">
        <f t="shared" ca="1" si="64"/>
        <v>0</v>
      </c>
      <c r="BY34" s="23">
        <f t="shared" ca="1" si="2"/>
        <v>804312.64464736625</v>
      </c>
      <c r="BZ34" s="24">
        <f t="shared" ca="1" si="3"/>
        <v>4470.6803975126968</v>
      </c>
      <c r="CA34" s="24">
        <f t="shared" ca="1" si="65"/>
        <v>53041.336037023044</v>
      </c>
      <c r="CB34" s="24">
        <f t="shared" ca="1" si="4"/>
        <v>0</v>
      </c>
      <c r="CC34" s="24">
        <f t="shared" ca="1" si="66"/>
        <v>0</v>
      </c>
      <c r="CD34" s="24">
        <f t="shared" ca="1" si="5"/>
        <v>0</v>
      </c>
      <c r="CE34" s="25">
        <f t="shared" ca="1" si="67"/>
        <v>0</v>
      </c>
      <c r="CF34" s="23">
        <f t="shared" ca="1" si="68"/>
        <v>0</v>
      </c>
      <c r="CG34" s="25">
        <f t="array" aca="1" ref="CG34" ca="1">SUM(BF23:BF34/(1+inflation/100)^(AP23:AP34/12))</f>
        <v>0</v>
      </c>
      <c r="CH34" s="32">
        <f ca="1">IFERROR(IF(MOD(AP34-ap_months_since_start,12)=0,ap_drawdown/100*(AQ34+AV34+BA34-BC34),CH33),0)</f>
        <v>128987.12987364075</v>
      </c>
      <c r="CJ34" s="168"/>
      <c r="CK34">
        <v>24</v>
      </c>
      <c r="CL34" t="str">
        <f t="shared" ca="1" si="72"/>
        <v/>
      </c>
      <c r="CM34" t="str">
        <f t="shared" ca="1" si="72"/>
        <v/>
      </c>
      <c r="CN34" s="1" t="str">
        <f t="shared" ca="1" si="72"/>
        <v/>
      </c>
      <c r="CO34" t="str">
        <f t="shared" si="34"/>
        <v/>
      </c>
      <c r="CP34" s="22">
        <f t="shared" ca="1" si="35"/>
        <v>0</v>
      </c>
      <c r="CR34" s="168"/>
      <c r="CS34">
        <v>24</v>
      </c>
      <c r="CT34" t="str">
        <f t="shared" ca="1" si="73"/>
        <v/>
      </c>
      <c r="CU34" t="str">
        <f t="shared" ca="1" si="73"/>
        <v/>
      </c>
      <c r="CV34" t="str">
        <f t="shared" ca="1" si="73"/>
        <v/>
      </c>
      <c r="CW34" s="1" t="str">
        <f t="shared" ca="1" si="73"/>
        <v/>
      </c>
      <c r="CX34" s="1" t="str">
        <f t="shared" ca="1" si="73"/>
        <v/>
      </c>
      <c r="CY34" t="str">
        <f t="shared" ca="1" si="73"/>
        <v/>
      </c>
      <c r="CZ34">
        <f t="shared" ca="1" si="37"/>
        <v>1</v>
      </c>
      <c r="DA34" t="str">
        <f t="shared" si="38"/>
        <v/>
      </c>
      <c r="DB34" s="22">
        <f t="shared" ca="1" si="39"/>
        <v>0</v>
      </c>
      <c r="DD34" s="168"/>
      <c r="DE34">
        <v>24</v>
      </c>
      <c r="DF34" t="str">
        <f t="shared" ca="1" si="74"/>
        <v/>
      </c>
      <c r="DG34" t="str">
        <f t="shared" ca="1" si="74"/>
        <v/>
      </c>
      <c r="DH34" t="str">
        <f t="shared" ca="1" si="74"/>
        <v/>
      </c>
      <c r="DI34" s="1" t="str">
        <f t="shared" ca="1" si="74"/>
        <v/>
      </c>
      <c r="DJ34" s="1" t="str">
        <f t="shared" ca="1" si="74"/>
        <v/>
      </c>
      <c r="DK34" t="str">
        <f t="shared" ca="1" si="74"/>
        <v/>
      </c>
      <c r="DL34">
        <f t="shared" ca="1" si="41"/>
        <v>1</v>
      </c>
      <c r="DM34" t="str">
        <f t="shared" si="42"/>
        <v/>
      </c>
      <c r="DN34" s="22">
        <f t="shared" ca="1" si="43"/>
        <v>0</v>
      </c>
      <c r="DP34" s="168"/>
      <c r="DQ34">
        <v>24</v>
      </c>
      <c r="DR34" t="str">
        <f t="shared" ca="1" si="71"/>
        <v/>
      </c>
      <c r="DS34" t="str">
        <f t="shared" ca="1" si="71"/>
        <v/>
      </c>
      <c r="DT34" t="str">
        <f t="shared" ca="1" si="71"/>
        <v/>
      </c>
      <c r="DU34" t="str">
        <f t="shared" ca="1" si="71"/>
        <v/>
      </c>
      <c r="DV34" t="str">
        <f t="shared" ca="1" si="71"/>
        <v/>
      </c>
      <c r="DW34" t="str">
        <f t="shared" ca="1" si="71"/>
        <v/>
      </c>
      <c r="DX34">
        <f t="shared" ca="1" si="57"/>
        <v>1</v>
      </c>
      <c r="DY34" t="str">
        <f t="shared" si="46"/>
        <v/>
      </c>
      <c r="DZ34">
        <f t="shared" ca="1" si="58"/>
        <v>0</v>
      </c>
      <c r="EA34" s="122">
        <f t="shared" ca="1" si="59"/>
        <v>82121</v>
      </c>
      <c r="EL34" s="21">
        <f t="shared" ca="1" si="60"/>
        <v>3</v>
      </c>
      <c r="EM34" t="str">
        <f ca="1">'Financial Planning Tool'!CL35</f>
        <v/>
      </c>
      <c r="EN34" t="str">
        <f t="shared" ca="1" si="48"/>
        <v/>
      </c>
      <c r="EO34" t="str">
        <f t="shared" ca="1" si="49"/>
        <v/>
      </c>
      <c r="EP34" s="1" t="str">
        <f t="shared" ca="1" si="50"/>
        <v/>
      </c>
      <c r="EQ34" s="1" t="str">
        <f t="shared" ca="1" si="51"/>
        <v/>
      </c>
      <c r="ER34" t="str">
        <f t="shared" ca="1" si="52"/>
        <v/>
      </c>
      <c r="ES34" t="str">
        <f t="shared" si="53"/>
        <v/>
      </c>
      <c r="ET34">
        <v>0</v>
      </c>
      <c r="EU34" s="22">
        <v>25</v>
      </c>
      <c r="EX34" s="21" t="str">
        <f ca="1">IF(EX33="","",IF(EX33+1&lt;=MAX('Financial Planning Tool'!$EL$10:$EL$209),EX33+1,""))</f>
        <v/>
      </c>
      <c r="EY34" t="str">
        <f ca="1">IF(EX34&lt;&gt;"",VLOOKUP(EX34,'Financial Planning Tool'!$EL$10:$ER$209,2,FALSE),"")</f>
        <v/>
      </c>
      <c r="EZ34" t="str">
        <f ca="1">IF(EX34&lt;&gt;"",VLOOKUP(EX34,'Financial Planning Tool'!$EL$10:$ER$209,3,FALSE),"")</f>
        <v/>
      </c>
      <c r="FA34" t="str">
        <f ca="1">IF(EX34&lt;&gt;"",VLOOKUP(EX34,'Financial Planning Tool'!$EL$10:$ER$209,4,FALSE),"")</f>
        <v/>
      </c>
      <c r="FB34" t="str">
        <f t="shared" ca="1" si="61"/>
        <v/>
      </c>
      <c r="FC34" s="1" t="str">
        <f ca="1">IF(EX34&lt;&gt;"",VLOOKUP(EX34,'Financial Planning Tool'!$EL$10:$ER$209,5,FALSE),"")</f>
        <v/>
      </c>
      <c r="FD34" s="1" t="str">
        <f ca="1">IF(EX34&lt;&gt;"",VLOOKUP(EX34,'Financial Planning Tool'!$EL$10:$ER$209,6,FALSE),"")</f>
        <v/>
      </c>
      <c r="FE34" t="str">
        <f ca="1">IF(EX34&lt;&gt;"",VLOOKUP(EX34,'Financial Planning Tool'!$EL$10:$ER$209,7,FALSE),"")</f>
        <v/>
      </c>
      <c r="FF34" t="str">
        <f ca="1">IF(EX34&lt;&gt;"",VLOOKUP(EX34,'Financial Planning Tool'!$EL$10:$ES$209,8,FALSE),"")</f>
        <v/>
      </c>
      <c r="FG34" t="str">
        <f ca="1">IF(EX34&lt;&gt;"",VLOOKUP(EX34,'Financial Planning Tool'!$EL$10:$ET$209,9,FALSE),"")</f>
        <v/>
      </c>
      <c r="FH34" t="str">
        <f t="shared" ca="1" si="55"/>
        <v/>
      </c>
      <c r="FI34" s="22" t="str">
        <f t="shared" ca="1" si="56"/>
        <v/>
      </c>
    </row>
    <row r="35" spans="1:165" x14ac:dyDescent="0.25">
      <c r="B35" s="78" t="s">
        <v>10</v>
      </c>
      <c r="C35" s="76"/>
      <c r="D35" s="108"/>
      <c r="E35" s="109"/>
      <c r="F35" s="77"/>
      <c r="S35" s="18"/>
      <c r="T35" s="160"/>
      <c r="U35" s="161"/>
      <c r="V35" s="8"/>
      <c r="W35" s="68"/>
      <c r="X35" s="68"/>
      <c r="Y35" s="71"/>
      <c r="Z35" s="71"/>
      <c r="AA35" s="65"/>
      <c r="AE35">
        <v>19</v>
      </c>
      <c r="AF35" s="21" t="s">
        <v>178</v>
      </c>
      <c r="AG35" t="b">
        <f>IFERROR(AND(Optimisation_run=1,AI36,AI37,AI38,AI39,AI40,AI41,AI42),FALSE)</f>
        <v>0</v>
      </c>
      <c r="AH35" s="22"/>
      <c r="AI35" s="31"/>
      <c r="AN35" s="32">
        <f t="shared" ca="1" si="0"/>
        <v>57.166666666666664</v>
      </c>
      <c r="AO35" s="53">
        <f t="shared" ca="1" si="31"/>
        <v>46447</v>
      </c>
      <c r="AP35" s="22">
        <v>28</v>
      </c>
      <c r="AQ35" s="32">
        <f t="shared" ca="1" si="32"/>
        <v>878516.47384036158</v>
      </c>
      <c r="AR35" s="23">
        <f t="array" aca="1" ref="AR35" ca="1">SUM(IF(lsc_start_date=AO35,lsc_amount,0))</f>
        <v>0</v>
      </c>
      <c r="AS35" s="24">
        <f t="shared" ca="1" si="6"/>
        <v>0</v>
      </c>
      <c r="AT35" s="24">
        <f t="shared" ca="1" si="7"/>
        <v>0</v>
      </c>
      <c r="AU35" s="24">
        <f t="shared" ca="1" si="8"/>
        <v>0</v>
      </c>
      <c r="AV35" s="25">
        <f t="shared" ca="1" si="9"/>
        <v>0</v>
      </c>
      <c r="AW35" s="23">
        <f t="array" aca="1" ref="AW35" ca="1">SUM(IF(rcs_start_date&lt;=AO35,1,0)*IF(rcs_end_date&gt;=AO35,1,0)*rcs_amount*(1+rcs_escalation/100)^(INT((AP35-rcs_months_since_start)/12))*IF(MOD((AP35-rcs_months_since_start),rcs_frequency)=0,1,0)*IF(rcs_frequency=13,0,1))+SUM(IF(rcs_start_date=AO35,rcs_amount,0)*IF(rcs_frequency=13,1,0))</f>
        <v>4867.2000000000007</v>
      </c>
      <c r="AX35" s="24">
        <f t="shared" ca="1" si="10"/>
        <v>0</v>
      </c>
      <c r="AY35" s="24">
        <f t="shared" ca="1" si="11"/>
        <v>0</v>
      </c>
      <c r="AZ35" s="24">
        <f t="shared" ca="1" si="12"/>
        <v>0</v>
      </c>
      <c r="BA35" s="25">
        <f t="shared" ca="1" si="13"/>
        <v>4867.2000000000007</v>
      </c>
      <c r="BB35" s="23">
        <f t="array" aca="1" ref="BB35" ca="1">SUM(IF(w_start_date&lt;=AO35,1,0)*IF(w_end_date&gt;=AO35,1,0)*w_amount*(1+w_escalation/100)^(INT((AP35-w_months_since_start)/12))*IF(MOD(AP35-w_months_since_start,w_frequency)=0,1,0)*IF(w_frequency=13,0,1))+SUM(IF(w_start_date=AO35,w_amount,0)*IF(w_frequency=13,1,0))</f>
        <v>0</v>
      </c>
      <c r="BC35" s="25">
        <f t="shared" ca="1" si="14"/>
        <v>0</v>
      </c>
      <c r="BD35" s="24" t="b">
        <f t="shared" ca="1" si="15"/>
        <v>0</v>
      </c>
      <c r="BE35" s="24" t="b">
        <f t="shared" ca="1" si="16"/>
        <v>1</v>
      </c>
      <c r="BF35" s="23">
        <f t="array" aca="1" ref="BF35" ca="1">SUM(IF(BD35,1,0)*IF(ap_start_date&lt;=AO35,1,0)*IF(ap_end_date&gt;=AO35,1,0)*ap_amount*(1+ap_escalation/100)^(INT((AP35-ap_months_since_start)/12))*IF(MOD(AP35-ap_months_since_start,ap_frequency)=0,1,0))</f>
        <v>0</v>
      </c>
      <c r="BG35" s="24">
        <f t="shared" ca="1" si="17"/>
        <v>0</v>
      </c>
      <c r="BH35" s="24">
        <f t="shared" ca="1" si="18"/>
        <v>0</v>
      </c>
      <c r="BI35">
        <f t="shared" ca="1" si="19"/>
        <v>0</v>
      </c>
      <c r="BJ35" s="24">
        <f t="shared" ca="1" si="20"/>
        <v>0</v>
      </c>
      <c r="BK35">
        <f t="shared" ca="1" si="21"/>
        <v>0</v>
      </c>
      <c r="BL35" s="25">
        <f t="shared" ca="1" si="22"/>
        <v>0</v>
      </c>
      <c r="BM35" s="32">
        <f t="shared" ca="1" si="1"/>
        <v>889750.50558992568</v>
      </c>
      <c r="BN35" s="23">
        <f t="shared" ca="1" si="23"/>
        <v>0</v>
      </c>
      <c r="BO35" s="24">
        <f t="shared" ca="1" si="24"/>
        <v>0</v>
      </c>
      <c r="BP35" s="25">
        <f t="shared" ca="1" si="25"/>
        <v>0</v>
      </c>
      <c r="BQ35" s="34">
        <f t="shared" ca="1" si="26"/>
        <v>46477</v>
      </c>
      <c r="BR35" s="23">
        <f t="shared" ca="1" si="27"/>
        <v>889750.50558992568</v>
      </c>
      <c r="BS35" s="24">
        <f t="shared" ca="1" si="28"/>
        <v>4867.2000000000007</v>
      </c>
      <c r="BT35" s="24">
        <f t="shared" ca="1" si="62"/>
        <v>56908.799999999988</v>
      </c>
      <c r="BU35" s="24">
        <f t="shared" ca="1" si="29"/>
        <v>0</v>
      </c>
      <c r="BV35" s="24">
        <f t="shared" ca="1" si="63"/>
        <v>0</v>
      </c>
      <c r="BW35" s="24">
        <f t="shared" ca="1" si="30"/>
        <v>0</v>
      </c>
      <c r="BX35" s="25">
        <f t="shared" ca="1" si="64"/>
        <v>0</v>
      </c>
      <c r="BY35" s="23">
        <f t="shared" ca="1" si="2"/>
        <v>811939.71538644133</v>
      </c>
      <c r="BZ35" s="24">
        <f t="shared" ca="1" si="3"/>
        <v>4456.0923108415445</v>
      </c>
      <c r="CA35" s="24">
        <f t="shared" ca="1" si="65"/>
        <v>53041.336037023044</v>
      </c>
      <c r="CB35" s="24">
        <f t="shared" ca="1" si="4"/>
        <v>0</v>
      </c>
      <c r="CC35" s="24">
        <f t="shared" ca="1" si="66"/>
        <v>0</v>
      </c>
      <c r="CD35" s="24">
        <f t="shared" ca="1" si="5"/>
        <v>0</v>
      </c>
      <c r="CE35" s="25">
        <f t="shared" ca="1" si="67"/>
        <v>0</v>
      </c>
      <c r="CF35" s="23">
        <f t="shared" ca="1" si="68"/>
        <v>0</v>
      </c>
      <c r="CG35" s="25">
        <f t="array" aca="1" ref="CG35" ca="1">SUM(BF24:BF35/(1+inflation/100)^(AP24:AP35/12))</f>
        <v>0</v>
      </c>
      <c r="CH35" s="32">
        <f ca="1">IFERROR(IF(MOD(AP35-ap_months_since_start,12)=0,ap_drawdown/100*(AQ35+AV35+BA35-BC35),CH34),0)</f>
        <v>128987.12987364075</v>
      </c>
      <c r="CJ35" s="168"/>
      <c r="CK35">
        <v>25</v>
      </c>
      <c r="CL35" t="str">
        <f t="shared" ca="1" si="72"/>
        <v/>
      </c>
      <c r="CM35" t="str">
        <f t="shared" ca="1" si="72"/>
        <v/>
      </c>
      <c r="CN35" s="1" t="str">
        <f t="shared" ca="1" si="72"/>
        <v/>
      </c>
      <c r="CO35" t="str">
        <f t="shared" si="34"/>
        <v/>
      </c>
      <c r="CP35" s="22">
        <f t="shared" ca="1" si="35"/>
        <v>0</v>
      </c>
      <c r="CR35" s="168"/>
      <c r="CS35">
        <v>25</v>
      </c>
      <c r="CT35" t="str">
        <f t="shared" ca="1" si="73"/>
        <v/>
      </c>
      <c r="CU35" t="str">
        <f t="shared" ca="1" si="73"/>
        <v/>
      </c>
      <c r="CV35" t="str">
        <f t="shared" ca="1" si="73"/>
        <v/>
      </c>
      <c r="CW35" s="1" t="str">
        <f t="shared" ca="1" si="73"/>
        <v/>
      </c>
      <c r="CX35" s="1" t="str">
        <f t="shared" ca="1" si="73"/>
        <v/>
      </c>
      <c r="CY35" t="str">
        <f t="shared" ca="1" si="73"/>
        <v/>
      </c>
      <c r="CZ35">
        <f t="shared" ca="1" si="37"/>
        <v>1</v>
      </c>
      <c r="DA35" t="str">
        <f t="shared" si="38"/>
        <v/>
      </c>
      <c r="DB35" s="22">
        <f t="shared" ca="1" si="39"/>
        <v>0</v>
      </c>
      <c r="DD35" s="168"/>
      <c r="DE35">
        <v>25</v>
      </c>
      <c r="DF35" t="str">
        <f t="shared" ca="1" si="74"/>
        <v/>
      </c>
      <c r="DG35" t="str">
        <f t="shared" ca="1" si="74"/>
        <v/>
      </c>
      <c r="DH35" t="str">
        <f t="shared" ca="1" si="74"/>
        <v/>
      </c>
      <c r="DI35" s="1" t="str">
        <f t="shared" ca="1" si="74"/>
        <v/>
      </c>
      <c r="DJ35" s="1" t="str">
        <f t="shared" ca="1" si="74"/>
        <v/>
      </c>
      <c r="DK35" t="str">
        <f t="shared" ca="1" si="74"/>
        <v/>
      </c>
      <c r="DL35">
        <f t="shared" ca="1" si="41"/>
        <v>1</v>
      </c>
      <c r="DM35" t="str">
        <f t="shared" si="42"/>
        <v/>
      </c>
      <c r="DN35" s="22">
        <f t="shared" ca="1" si="43"/>
        <v>0</v>
      </c>
      <c r="DP35" s="168"/>
      <c r="DQ35">
        <v>25</v>
      </c>
      <c r="DR35" t="str">
        <f t="shared" ca="1" si="71"/>
        <v/>
      </c>
      <c r="DS35" t="str">
        <f t="shared" ca="1" si="71"/>
        <v/>
      </c>
      <c r="DT35" t="str">
        <f t="shared" ca="1" si="71"/>
        <v/>
      </c>
      <c r="DU35" t="str">
        <f t="shared" ca="1" si="71"/>
        <v/>
      </c>
      <c r="DV35" t="str">
        <f t="shared" ca="1" si="71"/>
        <v/>
      </c>
      <c r="DW35" t="str">
        <f t="shared" ca="1" si="71"/>
        <v/>
      </c>
      <c r="DX35">
        <f t="shared" ca="1" si="57"/>
        <v>1</v>
      </c>
      <c r="DY35" t="str">
        <f t="shared" si="46"/>
        <v/>
      </c>
      <c r="DZ35">
        <f t="shared" ca="1" si="58"/>
        <v>0</v>
      </c>
      <c r="EA35" s="122">
        <f t="shared" ca="1" si="59"/>
        <v>82121</v>
      </c>
      <c r="EL35" s="21">
        <f t="shared" ca="1" si="60"/>
        <v>3</v>
      </c>
      <c r="EM35" t="str">
        <f ca="1">'Financial Planning Tool'!CL36</f>
        <v/>
      </c>
      <c r="EN35" t="str">
        <f t="shared" ca="1" si="48"/>
        <v/>
      </c>
      <c r="EO35" t="str">
        <f t="shared" ca="1" si="49"/>
        <v/>
      </c>
      <c r="EP35" s="1" t="str">
        <f t="shared" ca="1" si="50"/>
        <v/>
      </c>
      <c r="EQ35" s="1" t="str">
        <f t="shared" ca="1" si="51"/>
        <v/>
      </c>
      <c r="ER35" t="str">
        <f t="shared" ca="1" si="52"/>
        <v/>
      </c>
      <c r="ES35" t="str">
        <f t="shared" si="53"/>
        <v/>
      </c>
      <c r="ET35">
        <v>0</v>
      </c>
      <c r="EU35" s="22">
        <v>26</v>
      </c>
      <c r="EX35" s="21" t="str">
        <f ca="1">IF(EX34="","",IF(EX34+1&lt;=MAX('Financial Planning Tool'!$EL$10:$EL$209),EX34+1,""))</f>
        <v/>
      </c>
      <c r="EY35" t="str">
        <f ca="1">IF(EX35&lt;&gt;"",VLOOKUP(EX35,'Financial Planning Tool'!$EL$10:$ER$209,2,FALSE),"")</f>
        <v/>
      </c>
      <c r="EZ35" t="str">
        <f ca="1">IF(EX35&lt;&gt;"",VLOOKUP(EX35,'Financial Planning Tool'!$EL$10:$ER$209,3,FALSE),"")</f>
        <v/>
      </c>
      <c r="FA35" t="str">
        <f ca="1">IF(EX35&lt;&gt;"",VLOOKUP(EX35,'Financial Planning Tool'!$EL$10:$ER$209,4,FALSE),"")</f>
        <v/>
      </c>
      <c r="FB35" t="str">
        <f t="shared" ca="1" si="61"/>
        <v/>
      </c>
      <c r="FC35" s="1" t="str">
        <f ca="1">IF(EX35&lt;&gt;"",VLOOKUP(EX35,'Financial Planning Tool'!$EL$10:$ER$209,5,FALSE),"")</f>
        <v/>
      </c>
      <c r="FD35" s="1" t="str">
        <f ca="1">IF(EX35&lt;&gt;"",VLOOKUP(EX35,'Financial Planning Tool'!$EL$10:$ER$209,6,FALSE),"")</f>
        <v/>
      </c>
      <c r="FE35" t="str">
        <f ca="1">IF(EX35&lt;&gt;"",VLOOKUP(EX35,'Financial Planning Tool'!$EL$10:$ER$209,7,FALSE),"")</f>
        <v/>
      </c>
      <c r="FF35" t="str">
        <f ca="1">IF(EX35&lt;&gt;"",VLOOKUP(EX35,'Financial Planning Tool'!$EL$10:$ES$209,8,FALSE),"")</f>
        <v/>
      </c>
      <c r="FG35" t="str">
        <f ca="1">IF(EX35&lt;&gt;"",VLOOKUP(EX35,'Financial Planning Tool'!$EL$10:$ET$209,9,FALSE),"")</f>
        <v/>
      </c>
      <c r="FH35" t="str">
        <f t="shared" ca="1" si="55"/>
        <v/>
      </c>
      <c r="FI35" s="22" t="str">
        <f t="shared" ca="1" si="56"/>
        <v/>
      </c>
    </row>
    <row r="36" spans="1:165" x14ac:dyDescent="0.25">
      <c r="B36" s="80"/>
      <c r="C36" s="81"/>
      <c r="D36" s="81"/>
      <c r="E36" s="81"/>
      <c r="F36" s="82"/>
      <c r="S36" s="18"/>
      <c r="T36" s="160"/>
      <c r="U36" s="161"/>
      <c r="V36" s="8"/>
      <c r="W36" s="68"/>
      <c r="X36" s="68"/>
      <c r="Y36" s="71"/>
      <c r="Z36" s="71"/>
      <c r="AA36" s="65"/>
      <c r="AE36">
        <v>20</v>
      </c>
      <c r="AF36" s="21" t="s">
        <v>15</v>
      </c>
      <c r="AH36" s="22"/>
      <c r="AI36" s="31" t="b">
        <f>Var_to_optimise_save=VarToOptimise</f>
        <v>1</v>
      </c>
      <c r="AN36" s="32">
        <f t="shared" ca="1" si="0"/>
        <v>57.25</v>
      </c>
      <c r="AO36" s="53">
        <f t="shared" ca="1" si="31"/>
        <v>46478</v>
      </c>
      <c r="AP36" s="22">
        <v>29</v>
      </c>
      <c r="AQ36" s="32">
        <f t="shared" ca="1" si="32"/>
        <v>889750.50558992568</v>
      </c>
      <c r="AR36" s="23">
        <f t="array" aca="1" ref="AR36" ca="1">SUM(IF(lsc_start_date=AO36,lsc_amount,0))</f>
        <v>0</v>
      </c>
      <c r="AS36" s="24">
        <f t="shared" ca="1" si="6"/>
        <v>0</v>
      </c>
      <c r="AT36" s="24">
        <f t="shared" ca="1" si="7"/>
        <v>0</v>
      </c>
      <c r="AU36" s="24">
        <f t="shared" ca="1" si="8"/>
        <v>0</v>
      </c>
      <c r="AV36" s="25">
        <f t="shared" ca="1" si="9"/>
        <v>0</v>
      </c>
      <c r="AW36" s="23">
        <f t="array" aca="1" ref="AW36" ca="1">SUM(IF(rcs_start_date&lt;=AO36,1,0)*IF(rcs_end_date&gt;=AO36,1,0)*rcs_amount*(1+rcs_escalation/100)^(INT((AP36-rcs_months_since_start)/12))*IF(MOD((AP36-rcs_months_since_start),rcs_frequency)=0,1,0)*IF(rcs_frequency=13,0,1))+SUM(IF(rcs_start_date=AO36,rcs_amount,0)*IF(rcs_frequency=13,1,0))</f>
        <v>4867.2000000000007</v>
      </c>
      <c r="AX36" s="24">
        <f t="shared" ca="1" si="10"/>
        <v>0</v>
      </c>
      <c r="AY36" s="24">
        <f t="shared" ca="1" si="11"/>
        <v>0</v>
      </c>
      <c r="AZ36" s="24">
        <f t="shared" ca="1" si="12"/>
        <v>0</v>
      </c>
      <c r="BA36" s="25">
        <f t="shared" ca="1" si="13"/>
        <v>4867.2000000000007</v>
      </c>
      <c r="BB36" s="23">
        <f t="array" aca="1" ref="BB36" ca="1">SUM(IF(w_start_date&lt;=AO36,1,0)*IF(w_end_date&gt;=AO36,1,0)*w_amount*(1+w_escalation/100)^(INT((AP36-w_months_since_start)/12))*IF(MOD(AP36-w_months_since_start,w_frequency)=0,1,0)*IF(w_frequency=13,0,1))+SUM(IF(w_start_date=AO36,w_amount,0)*IF(w_frequency=13,1,0))</f>
        <v>0</v>
      </c>
      <c r="BC36" s="25">
        <f t="shared" ca="1" si="14"/>
        <v>0</v>
      </c>
      <c r="BD36" s="24" t="b">
        <f t="shared" ca="1" si="15"/>
        <v>0</v>
      </c>
      <c r="BE36" s="24" t="b">
        <f t="shared" ca="1" si="16"/>
        <v>1</v>
      </c>
      <c r="BF36" s="23">
        <f t="array" aca="1" ref="BF36" ca="1">SUM(IF(BD36,1,0)*IF(ap_start_date&lt;=AO36,1,0)*IF(ap_end_date&gt;=AO36,1,0)*ap_amount*(1+ap_escalation/100)^(INT((AP36-ap_months_since_start)/12))*IF(MOD(AP36-ap_months_since_start,ap_frequency)=0,1,0))</f>
        <v>0</v>
      </c>
      <c r="BG36" s="24">
        <f t="shared" ca="1" si="17"/>
        <v>0</v>
      </c>
      <c r="BH36" s="24">
        <f t="shared" ca="1" si="18"/>
        <v>0</v>
      </c>
      <c r="BI36">
        <f t="shared" ca="1" si="19"/>
        <v>0</v>
      </c>
      <c r="BJ36" s="24">
        <f t="shared" ca="1" si="20"/>
        <v>0</v>
      </c>
      <c r="BK36">
        <f t="shared" ca="1" si="21"/>
        <v>0</v>
      </c>
      <c r="BL36" s="25">
        <f t="shared" ca="1" si="22"/>
        <v>0</v>
      </c>
      <c r="BM36" s="32">
        <f t="shared" ca="1" si="1"/>
        <v>901065.50463845266</v>
      </c>
      <c r="BN36" s="23">
        <f t="shared" ca="1" si="23"/>
        <v>0</v>
      </c>
      <c r="BO36" s="24">
        <f t="shared" ca="1" si="24"/>
        <v>0</v>
      </c>
      <c r="BP36" s="25">
        <f t="shared" ca="1" si="25"/>
        <v>0</v>
      </c>
      <c r="BQ36" s="34">
        <f t="shared" ca="1" si="26"/>
        <v>46507</v>
      </c>
      <c r="BR36" s="23">
        <f t="shared" ca="1" si="27"/>
        <v>901065.50463845266</v>
      </c>
      <c r="BS36" s="24">
        <f t="shared" ca="1" si="28"/>
        <v>4867.2000000000007</v>
      </c>
      <c r="BT36" s="24">
        <f t="shared" ca="1" si="62"/>
        <v>57095.999999999985</v>
      </c>
      <c r="BU36" s="24">
        <f t="shared" ca="1" si="29"/>
        <v>0</v>
      </c>
      <c r="BV36" s="24">
        <f t="shared" ca="1" si="63"/>
        <v>0</v>
      </c>
      <c r="BW36" s="24">
        <f t="shared" ca="1" si="30"/>
        <v>0</v>
      </c>
      <c r="BX36" s="25">
        <f t="shared" ca="1" si="64"/>
        <v>0</v>
      </c>
      <c r="BY36" s="23">
        <f t="shared" ca="1" si="2"/>
        <v>819582.09245356952</v>
      </c>
      <c r="BZ36" s="24">
        <f t="shared" ca="1" si="3"/>
        <v>4441.5518259342853</v>
      </c>
      <c r="CA36" s="24">
        <f t="shared" ca="1" si="65"/>
        <v>53041.336037023044</v>
      </c>
      <c r="CB36" s="24">
        <f t="shared" ca="1" si="4"/>
        <v>0</v>
      </c>
      <c r="CC36" s="24">
        <f t="shared" ca="1" si="66"/>
        <v>0</v>
      </c>
      <c r="CD36" s="24">
        <f t="shared" ca="1" si="5"/>
        <v>0</v>
      </c>
      <c r="CE36" s="25">
        <f t="shared" ca="1" si="67"/>
        <v>0</v>
      </c>
      <c r="CF36" s="23">
        <f t="shared" ca="1" si="68"/>
        <v>0</v>
      </c>
      <c r="CG36" s="25">
        <f t="array" aca="1" ref="CG36" ca="1">SUM(BF25:BF36/(1+inflation/100)^(AP25:AP36/12))</f>
        <v>0</v>
      </c>
      <c r="CH36" s="32">
        <f ca="1">IFERROR(IF(MOD(AP36-ap_months_since_start,12)=0,ap_drawdown/100*(AQ36+AV36+BA36-BC36),CH35),0)</f>
        <v>128987.12987364075</v>
      </c>
      <c r="CJ36" s="168"/>
      <c r="CK36">
        <v>26</v>
      </c>
      <c r="CL36" t="str">
        <f t="shared" ca="1" si="72"/>
        <v/>
      </c>
      <c r="CM36" t="str">
        <f t="shared" ca="1" si="72"/>
        <v/>
      </c>
      <c r="CN36" s="1" t="str">
        <f t="shared" ca="1" si="72"/>
        <v/>
      </c>
      <c r="CO36" t="str">
        <f t="shared" si="34"/>
        <v/>
      </c>
      <c r="CP36" s="22">
        <f t="shared" ca="1" si="35"/>
        <v>0</v>
      </c>
      <c r="CR36" s="168"/>
      <c r="CS36">
        <v>26</v>
      </c>
      <c r="CT36" t="str">
        <f t="shared" ca="1" si="73"/>
        <v/>
      </c>
      <c r="CU36" t="str">
        <f t="shared" ca="1" si="73"/>
        <v/>
      </c>
      <c r="CV36" t="str">
        <f t="shared" ca="1" si="73"/>
        <v/>
      </c>
      <c r="CW36" s="1" t="str">
        <f t="shared" ca="1" si="73"/>
        <v/>
      </c>
      <c r="CX36" s="1" t="str">
        <f t="shared" ca="1" si="73"/>
        <v/>
      </c>
      <c r="CY36" t="str">
        <f t="shared" ca="1" si="73"/>
        <v/>
      </c>
      <c r="CZ36">
        <f t="shared" ca="1" si="37"/>
        <v>1</v>
      </c>
      <c r="DA36" t="str">
        <f t="shared" si="38"/>
        <v/>
      </c>
      <c r="DB36" s="22">
        <f t="shared" ca="1" si="39"/>
        <v>0</v>
      </c>
      <c r="DD36" s="168"/>
      <c r="DE36">
        <v>26</v>
      </c>
      <c r="DF36" t="str">
        <f t="shared" ca="1" si="74"/>
        <v/>
      </c>
      <c r="DG36" t="str">
        <f t="shared" ca="1" si="74"/>
        <v/>
      </c>
      <c r="DH36" t="str">
        <f t="shared" ca="1" si="74"/>
        <v/>
      </c>
      <c r="DI36" s="1" t="str">
        <f t="shared" ca="1" si="74"/>
        <v/>
      </c>
      <c r="DJ36" s="1" t="str">
        <f t="shared" ca="1" si="74"/>
        <v/>
      </c>
      <c r="DK36" t="str">
        <f t="shared" ca="1" si="74"/>
        <v/>
      </c>
      <c r="DL36">
        <f t="shared" ca="1" si="41"/>
        <v>1</v>
      </c>
      <c r="DM36" t="str">
        <f t="shared" si="42"/>
        <v/>
      </c>
      <c r="DN36" s="22">
        <f t="shared" ca="1" si="43"/>
        <v>0</v>
      </c>
      <c r="DP36" s="168"/>
      <c r="DQ36">
        <v>26</v>
      </c>
      <c r="DR36" t="str">
        <f t="shared" ca="1" si="71"/>
        <v/>
      </c>
      <c r="DS36" t="str">
        <f t="shared" ca="1" si="71"/>
        <v/>
      </c>
      <c r="DT36" t="str">
        <f t="shared" ca="1" si="71"/>
        <v/>
      </c>
      <c r="DU36" t="str">
        <f t="shared" ca="1" si="71"/>
        <v/>
      </c>
      <c r="DV36" t="str">
        <f t="shared" ca="1" si="71"/>
        <v/>
      </c>
      <c r="DW36" t="str">
        <f t="shared" ca="1" si="71"/>
        <v/>
      </c>
      <c r="DX36">
        <f t="shared" ca="1" si="57"/>
        <v>1</v>
      </c>
      <c r="DY36" t="str">
        <f t="shared" si="46"/>
        <v/>
      </c>
      <c r="DZ36">
        <f t="shared" ca="1" si="58"/>
        <v>0</v>
      </c>
      <c r="EA36" s="122">
        <f t="shared" ca="1" si="59"/>
        <v>82121</v>
      </c>
      <c r="EL36" s="21">
        <f t="shared" ca="1" si="60"/>
        <v>3</v>
      </c>
      <c r="EM36" t="str">
        <f ca="1">'Financial Planning Tool'!CL37</f>
        <v/>
      </c>
      <c r="EN36" t="str">
        <f t="shared" ca="1" si="48"/>
        <v/>
      </c>
      <c r="EO36" t="str">
        <f t="shared" ca="1" si="49"/>
        <v/>
      </c>
      <c r="EP36" s="1" t="str">
        <f t="shared" ca="1" si="50"/>
        <v/>
      </c>
      <c r="EQ36" s="1" t="str">
        <f t="shared" ca="1" si="51"/>
        <v/>
      </c>
      <c r="ER36" t="str">
        <f t="shared" ca="1" si="52"/>
        <v/>
      </c>
      <c r="ES36" t="str">
        <f t="shared" si="53"/>
        <v/>
      </c>
      <c r="ET36">
        <v>0</v>
      </c>
      <c r="EU36" s="22">
        <v>27</v>
      </c>
      <c r="EX36" s="21" t="str">
        <f ca="1">IF(EX35="","",IF(EX35+1&lt;=MAX('Financial Planning Tool'!$EL$10:$EL$209),EX35+1,""))</f>
        <v/>
      </c>
      <c r="EY36" t="str">
        <f ca="1">IF(EX36&lt;&gt;"",VLOOKUP(EX36,'Financial Planning Tool'!$EL$10:$ER$209,2,FALSE),"")</f>
        <v/>
      </c>
      <c r="EZ36" t="str">
        <f ca="1">IF(EX36&lt;&gt;"",VLOOKUP(EX36,'Financial Planning Tool'!$EL$10:$ER$209,3,FALSE),"")</f>
        <v/>
      </c>
      <c r="FA36" t="str">
        <f ca="1">IF(EX36&lt;&gt;"",VLOOKUP(EX36,'Financial Planning Tool'!$EL$10:$ER$209,4,FALSE),"")</f>
        <v/>
      </c>
      <c r="FB36" t="str">
        <f t="shared" ca="1" si="61"/>
        <v/>
      </c>
      <c r="FC36" s="1" t="str">
        <f ca="1">IF(EX36&lt;&gt;"",VLOOKUP(EX36,'Financial Planning Tool'!$EL$10:$ER$209,5,FALSE),"")</f>
        <v/>
      </c>
      <c r="FD36" s="1" t="str">
        <f ca="1">IF(EX36&lt;&gt;"",VLOOKUP(EX36,'Financial Planning Tool'!$EL$10:$ER$209,6,FALSE),"")</f>
        <v/>
      </c>
      <c r="FE36" t="str">
        <f ca="1">IF(EX36&lt;&gt;"",VLOOKUP(EX36,'Financial Planning Tool'!$EL$10:$ER$209,7,FALSE),"")</f>
        <v/>
      </c>
      <c r="FF36" t="str">
        <f ca="1">IF(EX36&lt;&gt;"",VLOOKUP(EX36,'Financial Planning Tool'!$EL$10:$ES$209,8,FALSE),"")</f>
        <v/>
      </c>
      <c r="FG36" t="str">
        <f ca="1">IF(EX36&lt;&gt;"",VLOOKUP(EX36,'Financial Planning Tool'!$EL$10:$ET$209,9,FALSE),"")</f>
        <v/>
      </c>
      <c r="FH36" t="str">
        <f t="shared" ca="1" si="55"/>
        <v/>
      </c>
      <c r="FI36" s="22" t="str">
        <f t="shared" ca="1" si="56"/>
        <v/>
      </c>
    </row>
    <row r="37" spans="1:165" x14ac:dyDescent="0.25">
      <c r="B37" s="73"/>
      <c r="F37" s="88"/>
      <c r="S37" s="18"/>
      <c r="T37" s="160"/>
      <c r="U37" s="161"/>
      <c r="V37" s="8"/>
      <c r="W37" s="68"/>
      <c r="X37" s="68"/>
      <c r="Y37" s="71"/>
      <c r="Z37" s="71"/>
      <c r="AA37" s="65"/>
      <c r="AE37">
        <v>21</v>
      </c>
      <c r="AF37" s="21" t="s">
        <v>16</v>
      </c>
      <c r="AH37" s="22"/>
      <c r="AI37" s="31" t="b">
        <f>AdjPeriodEnding_save=AdjPeriodEnding</f>
        <v>1</v>
      </c>
      <c r="AN37" s="32">
        <f t="shared" ca="1" si="0"/>
        <v>57.333333333333336</v>
      </c>
      <c r="AO37" s="53">
        <f t="shared" ca="1" si="31"/>
        <v>46508</v>
      </c>
      <c r="AP37" s="22">
        <v>30</v>
      </c>
      <c r="AQ37" s="32">
        <f t="shared" ca="1" si="32"/>
        <v>901065.50463845266</v>
      </c>
      <c r="AR37" s="23">
        <f t="array" aca="1" ref="AR37" ca="1">SUM(IF(lsc_start_date=AO37,lsc_amount,0))</f>
        <v>0</v>
      </c>
      <c r="AS37" s="24">
        <f t="shared" ca="1" si="6"/>
        <v>0</v>
      </c>
      <c r="AT37" s="24">
        <f t="shared" ca="1" si="7"/>
        <v>0</v>
      </c>
      <c r="AU37" s="24">
        <f t="shared" ca="1" si="8"/>
        <v>0</v>
      </c>
      <c r="AV37" s="25">
        <f t="shared" ca="1" si="9"/>
        <v>0</v>
      </c>
      <c r="AW37" s="23">
        <f t="array" aca="1" ref="AW37" ca="1">SUM(IF(rcs_start_date&lt;=AO37,1,0)*IF(rcs_end_date&gt;=AO37,1,0)*rcs_amount*(1+rcs_escalation/100)^(INT((AP37-rcs_months_since_start)/12))*IF(MOD((AP37-rcs_months_since_start),rcs_frequency)=0,1,0)*IF(rcs_frequency=13,0,1))+SUM(IF(rcs_start_date=AO37,rcs_amount,0)*IF(rcs_frequency=13,1,0))</f>
        <v>4867.2000000000007</v>
      </c>
      <c r="AX37" s="24">
        <f t="shared" ca="1" si="10"/>
        <v>0</v>
      </c>
      <c r="AY37" s="24">
        <f t="shared" ca="1" si="11"/>
        <v>0</v>
      </c>
      <c r="AZ37" s="24">
        <f t="shared" ca="1" si="12"/>
        <v>0</v>
      </c>
      <c r="BA37" s="25">
        <f t="shared" ca="1" si="13"/>
        <v>4867.2000000000007</v>
      </c>
      <c r="BB37" s="23">
        <f t="array" aca="1" ref="BB37" ca="1">SUM(IF(w_start_date&lt;=AO37,1,0)*IF(w_end_date&gt;=AO37,1,0)*w_amount*(1+w_escalation/100)^(INT((AP37-w_months_since_start)/12))*IF(MOD(AP37-w_months_since_start,w_frequency)=0,1,0)*IF(w_frequency=13,0,1))+SUM(IF(w_start_date=AO37,w_amount,0)*IF(w_frequency=13,1,0))</f>
        <v>0</v>
      </c>
      <c r="BC37" s="25">
        <f t="shared" ca="1" si="14"/>
        <v>0</v>
      </c>
      <c r="BD37" s="24" t="b">
        <f t="shared" ca="1" si="15"/>
        <v>0</v>
      </c>
      <c r="BE37" s="24" t="b">
        <f t="shared" ca="1" si="16"/>
        <v>1</v>
      </c>
      <c r="BF37" s="23">
        <f t="array" aca="1" ref="BF37" ca="1">SUM(IF(BD37,1,0)*IF(ap_start_date&lt;=AO37,1,0)*IF(ap_end_date&gt;=AO37,1,0)*ap_amount*(1+ap_escalation/100)^(INT((AP37-ap_months_since_start)/12))*IF(MOD(AP37-ap_months_since_start,ap_frequency)=0,1,0))</f>
        <v>0</v>
      </c>
      <c r="BG37" s="24">
        <f t="shared" ca="1" si="17"/>
        <v>0</v>
      </c>
      <c r="BH37" s="24">
        <f t="shared" ca="1" si="18"/>
        <v>0</v>
      </c>
      <c r="BI37">
        <f t="shared" ca="1" si="19"/>
        <v>0</v>
      </c>
      <c r="BJ37" s="24">
        <f t="shared" ca="1" si="20"/>
        <v>0</v>
      </c>
      <c r="BK37">
        <f t="shared" ca="1" si="21"/>
        <v>0</v>
      </c>
      <c r="BL37" s="25">
        <f t="shared" ca="1" si="22"/>
        <v>0</v>
      </c>
      <c r="BM37" s="32">
        <f t="shared" ca="1" si="1"/>
        <v>912462.05454344419</v>
      </c>
      <c r="BN37" s="23">
        <f t="shared" ca="1" si="23"/>
        <v>0</v>
      </c>
      <c r="BO37" s="24">
        <f t="shared" ca="1" si="24"/>
        <v>0</v>
      </c>
      <c r="BP37" s="25">
        <f t="shared" ca="1" si="25"/>
        <v>0</v>
      </c>
      <c r="BQ37" s="34">
        <f t="shared" ca="1" si="26"/>
        <v>46538</v>
      </c>
      <c r="BR37" s="23">
        <f t="shared" ca="1" si="27"/>
        <v>912462.05454344419</v>
      </c>
      <c r="BS37" s="24">
        <f t="shared" ca="1" si="28"/>
        <v>4867.2000000000007</v>
      </c>
      <c r="BT37" s="24">
        <f t="shared" ca="1" si="62"/>
        <v>57283.199999999983</v>
      </c>
      <c r="BU37" s="24">
        <f t="shared" ca="1" si="29"/>
        <v>0</v>
      </c>
      <c r="BV37" s="24">
        <f t="shared" ca="1" si="63"/>
        <v>0</v>
      </c>
      <c r="BW37" s="24">
        <f t="shared" ca="1" si="30"/>
        <v>0</v>
      </c>
      <c r="BX37" s="25">
        <f t="shared" ca="1" si="64"/>
        <v>0</v>
      </c>
      <c r="BY37" s="23">
        <f t="shared" ca="1" si="2"/>
        <v>827239.88349346851</v>
      </c>
      <c r="BZ37" s="24">
        <f t="shared" ca="1" si="3"/>
        <v>4427.0587874636321</v>
      </c>
      <c r="CA37" s="24">
        <f t="shared" ca="1" si="65"/>
        <v>53041.336037023051</v>
      </c>
      <c r="CB37" s="24">
        <f t="shared" ca="1" si="4"/>
        <v>0</v>
      </c>
      <c r="CC37" s="24">
        <f t="shared" ca="1" si="66"/>
        <v>0</v>
      </c>
      <c r="CD37" s="24">
        <f t="shared" ca="1" si="5"/>
        <v>0</v>
      </c>
      <c r="CE37" s="25">
        <f t="shared" ca="1" si="67"/>
        <v>0</v>
      </c>
      <c r="CF37" s="23">
        <f t="shared" ca="1" si="68"/>
        <v>0</v>
      </c>
      <c r="CG37" s="25">
        <f t="array" aca="1" ref="CG37" ca="1">SUM(BF26:BF37/(1+inflation/100)^(AP26:AP37/12))</f>
        <v>0</v>
      </c>
      <c r="CH37" s="32">
        <f ca="1">IFERROR(IF(MOD(AP37-ap_months_since_start,12)=0,ap_drawdown/100*(AQ37+AV37+BA37-BC37),CH36),0)</f>
        <v>128987.12987364075</v>
      </c>
      <c r="CJ37" s="168"/>
      <c r="CK37">
        <v>27</v>
      </c>
      <c r="CL37" t="str">
        <f t="shared" ca="1" si="72"/>
        <v/>
      </c>
      <c r="CM37" t="str">
        <f t="shared" ca="1" si="72"/>
        <v/>
      </c>
      <c r="CN37" s="1" t="str">
        <f t="shared" ca="1" si="72"/>
        <v/>
      </c>
      <c r="CO37" t="str">
        <f t="shared" si="34"/>
        <v/>
      </c>
      <c r="CP37" s="22">
        <f t="shared" ca="1" si="35"/>
        <v>0</v>
      </c>
      <c r="CR37" s="168"/>
      <c r="CS37">
        <v>27</v>
      </c>
      <c r="CT37" t="str">
        <f t="shared" ca="1" si="73"/>
        <v/>
      </c>
      <c r="CU37" t="str">
        <f t="shared" ca="1" si="73"/>
        <v/>
      </c>
      <c r="CV37" t="str">
        <f t="shared" ca="1" si="73"/>
        <v/>
      </c>
      <c r="CW37" s="1" t="str">
        <f t="shared" ca="1" si="73"/>
        <v/>
      </c>
      <c r="CX37" s="1" t="str">
        <f t="shared" ca="1" si="73"/>
        <v/>
      </c>
      <c r="CY37" t="str">
        <f t="shared" ca="1" si="73"/>
        <v/>
      </c>
      <c r="CZ37">
        <f t="shared" ca="1" si="37"/>
        <v>1</v>
      </c>
      <c r="DA37" t="str">
        <f t="shared" si="38"/>
        <v/>
      </c>
      <c r="DB37" s="22">
        <f t="shared" ca="1" si="39"/>
        <v>0</v>
      </c>
      <c r="DD37" s="168"/>
      <c r="DE37">
        <v>27</v>
      </c>
      <c r="DF37" t="str">
        <f t="shared" ca="1" si="74"/>
        <v/>
      </c>
      <c r="DG37" t="str">
        <f t="shared" ca="1" si="74"/>
        <v/>
      </c>
      <c r="DH37" t="str">
        <f t="shared" ca="1" si="74"/>
        <v/>
      </c>
      <c r="DI37" s="1" t="str">
        <f t="shared" ca="1" si="74"/>
        <v/>
      </c>
      <c r="DJ37" s="1" t="str">
        <f t="shared" ca="1" si="74"/>
        <v/>
      </c>
      <c r="DK37" t="str">
        <f t="shared" ca="1" si="74"/>
        <v/>
      </c>
      <c r="DL37">
        <f t="shared" ca="1" si="41"/>
        <v>1</v>
      </c>
      <c r="DM37" t="str">
        <f t="shared" si="42"/>
        <v/>
      </c>
      <c r="DN37" s="22">
        <f t="shared" ca="1" si="43"/>
        <v>0</v>
      </c>
      <c r="DP37" s="168"/>
      <c r="DQ37">
        <v>27</v>
      </c>
      <c r="DR37" t="str">
        <f t="shared" ca="1" si="71"/>
        <v/>
      </c>
      <c r="DS37" t="str">
        <f t="shared" ca="1" si="71"/>
        <v/>
      </c>
      <c r="DT37" t="str">
        <f t="shared" ca="1" si="71"/>
        <v/>
      </c>
      <c r="DU37" t="str">
        <f t="shared" ca="1" si="71"/>
        <v/>
      </c>
      <c r="DV37" t="str">
        <f t="shared" ca="1" si="71"/>
        <v/>
      </c>
      <c r="DW37" t="str">
        <f t="shared" ca="1" si="71"/>
        <v/>
      </c>
      <c r="DX37">
        <f t="shared" ca="1" si="57"/>
        <v>1</v>
      </c>
      <c r="DY37" t="str">
        <f t="shared" si="46"/>
        <v/>
      </c>
      <c r="DZ37">
        <f t="shared" ca="1" si="58"/>
        <v>0</v>
      </c>
      <c r="EA37" s="122">
        <f t="shared" ca="1" si="59"/>
        <v>82121</v>
      </c>
      <c r="EL37" s="21">
        <f t="shared" ca="1" si="60"/>
        <v>3</v>
      </c>
      <c r="EM37" t="str">
        <f ca="1">'Financial Planning Tool'!CL38</f>
        <v/>
      </c>
      <c r="EN37" t="str">
        <f t="shared" ca="1" si="48"/>
        <v/>
      </c>
      <c r="EO37" t="str">
        <f t="shared" ca="1" si="49"/>
        <v/>
      </c>
      <c r="EP37" s="1" t="str">
        <f t="shared" ca="1" si="50"/>
        <v/>
      </c>
      <c r="EQ37" s="1" t="str">
        <f t="shared" ca="1" si="51"/>
        <v/>
      </c>
      <c r="ER37" t="str">
        <f t="shared" ca="1" si="52"/>
        <v/>
      </c>
      <c r="ES37" t="str">
        <f t="shared" si="53"/>
        <v/>
      </c>
      <c r="ET37">
        <v>0</v>
      </c>
      <c r="EU37" s="22">
        <v>28</v>
      </c>
      <c r="EX37" s="21" t="str">
        <f ca="1">IF(EX36="","",IF(EX36+1&lt;=MAX('Financial Planning Tool'!$EL$10:$EL$209),EX36+1,""))</f>
        <v/>
      </c>
      <c r="EY37" t="str">
        <f ca="1">IF(EX37&lt;&gt;"",VLOOKUP(EX37,'Financial Planning Tool'!$EL$10:$ER$209,2,FALSE),"")</f>
        <v/>
      </c>
      <c r="EZ37" t="str">
        <f ca="1">IF(EX37&lt;&gt;"",VLOOKUP(EX37,'Financial Planning Tool'!$EL$10:$ER$209,3,FALSE),"")</f>
        <v/>
      </c>
      <c r="FA37" t="str">
        <f ca="1">IF(EX37&lt;&gt;"",VLOOKUP(EX37,'Financial Planning Tool'!$EL$10:$ER$209,4,FALSE),"")</f>
        <v/>
      </c>
      <c r="FB37" t="str">
        <f t="shared" ca="1" si="61"/>
        <v/>
      </c>
      <c r="FC37" s="1" t="str">
        <f ca="1">IF(EX37&lt;&gt;"",VLOOKUP(EX37,'Financial Planning Tool'!$EL$10:$ER$209,5,FALSE),"")</f>
        <v/>
      </c>
      <c r="FD37" s="1" t="str">
        <f ca="1">IF(EX37&lt;&gt;"",VLOOKUP(EX37,'Financial Planning Tool'!$EL$10:$ER$209,6,FALSE),"")</f>
        <v/>
      </c>
      <c r="FE37" t="str">
        <f ca="1">IF(EX37&lt;&gt;"",VLOOKUP(EX37,'Financial Planning Tool'!$EL$10:$ER$209,7,FALSE),"")</f>
        <v/>
      </c>
      <c r="FF37" t="str">
        <f ca="1">IF(EX37&lt;&gt;"",VLOOKUP(EX37,'Financial Planning Tool'!$EL$10:$ES$209,8,FALSE),"")</f>
        <v/>
      </c>
      <c r="FG37" t="str">
        <f ca="1">IF(EX37&lt;&gt;"",VLOOKUP(EX37,'Financial Planning Tool'!$EL$10:$ET$209,9,FALSE),"")</f>
        <v/>
      </c>
      <c r="FH37" t="str">
        <f t="shared" ca="1" si="55"/>
        <v/>
      </c>
      <c r="FI37" s="22" t="str">
        <f t="shared" ca="1" si="56"/>
        <v/>
      </c>
    </row>
    <row r="38" spans="1:165" x14ac:dyDescent="0.25">
      <c r="B38" s="91" t="s">
        <v>189</v>
      </c>
      <c r="C38" s="92"/>
      <c r="D38" s="92"/>
      <c r="E38" s="92"/>
      <c r="F38" s="93"/>
      <c r="S38" s="18"/>
      <c r="T38" s="160"/>
      <c r="U38" s="161"/>
      <c r="V38" s="8"/>
      <c r="W38" s="68"/>
      <c r="X38" s="68"/>
      <c r="Y38" s="71"/>
      <c r="Z38" s="71"/>
      <c r="AA38" s="65"/>
      <c r="AE38">
        <v>22</v>
      </c>
      <c r="AF38" s="21" t="s">
        <v>175</v>
      </c>
      <c r="AH38" s="22"/>
      <c r="AI38" s="31" t="b">
        <f>AND(IF(Real_nominal_offset=1,ROUND(OptimisedValNom_save,2)=ROUND(OptimisedValNom,2),ROUND(OptimisedValReal_save,2)=ROUND(OptimisedValReal,2)))</f>
        <v>1</v>
      </c>
      <c r="AN38" s="32">
        <f t="shared" ca="1" si="0"/>
        <v>57.416666666666664</v>
      </c>
      <c r="AO38" s="53">
        <f t="shared" ca="1" si="31"/>
        <v>46539</v>
      </c>
      <c r="AP38" s="22">
        <v>31</v>
      </c>
      <c r="AQ38" s="32">
        <f t="shared" ca="1" si="32"/>
        <v>912462.05454344419</v>
      </c>
      <c r="AR38" s="23">
        <f t="array" aca="1" ref="AR38" ca="1">SUM(IF(lsc_start_date=AO38,lsc_amount,0))</f>
        <v>0</v>
      </c>
      <c r="AS38" s="24">
        <f t="shared" ca="1" si="6"/>
        <v>0</v>
      </c>
      <c r="AT38" s="24">
        <f t="shared" ca="1" si="7"/>
        <v>0</v>
      </c>
      <c r="AU38" s="24">
        <f t="shared" ca="1" si="8"/>
        <v>0</v>
      </c>
      <c r="AV38" s="25">
        <f t="shared" ca="1" si="9"/>
        <v>0</v>
      </c>
      <c r="AW38" s="23">
        <f t="array" aca="1" ref="AW38" ca="1">SUM(IF(rcs_start_date&lt;=AO38,1,0)*IF(rcs_end_date&gt;=AO38,1,0)*rcs_amount*(1+rcs_escalation/100)^(INT((AP38-rcs_months_since_start)/12))*IF(MOD((AP38-rcs_months_since_start),rcs_frequency)=0,1,0)*IF(rcs_frequency=13,0,1))+SUM(IF(rcs_start_date=AO38,rcs_amount,0)*IF(rcs_frequency=13,1,0))</f>
        <v>4867.2000000000007</v>
      </c>
      <c r="AX38" s="24">
        <f t="shared" ca="1" si="10"/>
        <v>0</v>
      </c>
      <c r="AY38" s="24">
        <f t="shared" ca="1" si="11"/>
        <v>0</v>
      </c>
      <c r="AZ38" s="24">
        <f t="shared" ca="1" si="12"/>
        <v>0</v>
      </c>
      <c r="BA38" s="25">
        <f t="shared" ca="1" si="13"/>
        <v>4867.2000000000007</v>
      </c>
      <c r="BB38" s="23">
        <f t="array" aca="1" ref="BB38" ca="1">SUM(IF(w_start_date&lt;=AO38,1,0)*IF(w_end_date&gt;=AO38,1,0)*w_amount*(1+w_escalation/100)^(INT((AP38-w_months_since_start)/12))*IF(MOD(AP38-w_months_since_start,w_frequency)=0,1,0)*IF(w_frequency=13,0,1))+SUM(IF(w_start_date=AO38,w_amount,0)*IF(w_frequency=13,1,0))</f>
        <v>0</v>
      </c>
      <c r="BC38" s="25">
        <f t="shared" ca="1" si="14"/>
        <v>0</v>
      </c>
      <c r="BD38" s="24" t="b">
        <f t="shared" ca="1" si="15"/>
        <v>0</v>
      </c>
      <c r="BE38" s="24" t="b">
        <f t="shared" ca="1" si="16"/>
        <v>1</v>
      </c>
      <c r="BF38" s="23">
        <f t="array" aca="1" ref="BF38" ca="1">SUM(IF(BD38,1,0)*IF(ap_start_date&lt;=AO38,1,0)*IF(ap_end_date&gt;=AO38,1,0)*ap_amount*(1+ap_escalation/100)^(INT((AP38-ap_months_since_start)/12))*IF(MOD(AP38-ap_months_since_start,ap_frequency)=0,1,0))</f>
        <v>0</v>
      </c>
      <c r="BG38" s="24">
        <f t="shared" ca="1" si="17"/>
        <v>0</v>
      </c>
      <c r="BH38" s="24">
        <f t="shared" ca="1" si="18"/>
        <v>0</v>
      </c>
      <c r="BI38">
        <f t="shared" ca="1" si="19"/>
        <v>0</v>
      </c>
      <c r="BJ38" s="24">
        <f t="shared" ca="1" si="20"/>
        <v>0</v>
      </c>
      <c r="BK38">
        <f t="shared" ca="1" si="21"/>
        <v>0</v>
      </c>
      <c r="BL38" s="25">
        <f t="shared" ca="1" si="22"/>
        <v>0</v>
      </c>
      <c r="BM38" s="32">
        <f t="shared" ca="1" si="1"/>
        <v>923940.74306828936</v>
      </c>
      <c r="BN38" s="23">
        <f t="shared" ca="1" si="23"/>
        <v>0</v>
      </c>
      <c r="BO38" s="24">
        <f t="shared" ca="1" si="24"/>
        <v>0</v>
      </c>
      <c r="BP38" s="25">
        <f t="shared" ca="1" si="25"/>
        <v>0</v>
      </c>
      <c r="BQ38" s="34">
        <f t="shared" ca="1" si="26"/>
        <v>46568</v>
      </c>
      <c r="BR38" s="23">
        <f t="shared" ca="1" si="27"/>
        <v>923940.74306828936</v>
      </c>
      <c r="BS38" s="24">
        <f t="shared" ca="1" si="28"/>
        <v>4867.2000000000007</v>
      </c>
      <c r="BT38" s="24">
        <f t="shared" ca="1" si="62"/>
        <v>57470.399999999994</v>
      </c>
      <c r="BU38" s="24">
        <f t="shared" ca="1" si="29"/>
        <v>0</v>
      </c>
      <c r="BV38" s="24">
        <f t="shared" ca="1" si="63"/>
        <v>0</v>
      </c>
      <c r="BW38" s="24">
        <f t="shared" ca="1" si="30"/>
        <v>0</v>
      </c>
      <c r="BX38" s="25">
        <f t="shared" ca="1" si="64"/>
        <v>0</v>
      </c>
      <c r="BY38" s="23">
        <f t="shared" ca="1" si="2"/>
        <v>834913.19641747628</v>
      </c>
      <c r="BZ38" s="24">
        <f t="shared" ca="1" si="3"/>
        <v>4412.6130406091406</v>
      </c>
      <c r="CA38" s="24">
        <f t="shared" ca="1" si="65"/>
        <v>53041.336037023051</v>
      </c>
      <c r="CB38" s="24">
        <f t="shared" ca="1" si="4"/>
        <v>0</v>
      </c>
      <c r="CC38" s="24">
        <f t="shared" ca="1" si="66"/>
        <v>0</v>
      </c>
      <c r="CD38" s="24">
        <f t="shared" ca="1" si="5"/>
        <v>0</v>
      </c>
      <c r="CE38" s="25">
        <f t="shared" ca="1" si="67"/>
        <v>0</v>
      </c>
      <c r="CF38" s="23">
        <f t="shared" ca="1" si="68"/>
        <v>0</v>
      </c>
      <c r="CG38" s="25">
        <f t="array" aca="1" ref="CG38" ca="1">SUM(BF27:BF38/(1+inflation/100)^(AP27:AP38/12))</f>
        <v>0</v>
      </c>
      <c r="CH38" s="32">
        <f ca="1">IFERROR(IF(MOD(AP38-ap_months_since_start,12)=0,ap_drawdown/100*(AQ38+AV38+BA38-BC38),CH37),0)</f>
        <v>128987.12987364075</v>
      </c>
      <c r="CJ38" s="168"/>
      <c r="CK38">
        <v>28</v>
      </c>
      <c r="CL38" t="str">
        <f t="shared" ca="1" si="72"/>
        <v/>
      </c>
      <c r="CM38" t="str">
        <f t="shared" ca="1" si="72"/>
        <v/>
      </c>
      <c r="CN38" s="1" t="str">
        <f t="shared" ca="1" si="72"/>
        <v/>
      </c>
      <c r="CO38" t="str">
        <f t="shared" si="34"/>
        <v/>
      </c>
      <c r="CP38" s="22">
        <f t="shared" ca="1" si="35"/>
        <v>0</v>
      </c>
      <c r="CR38" s="168"/>
      <c r="CS38">
        <v>28</v>
      </c>
      <c r="CT38" t="str">
        <f t="shared" ca="1" si="73"/>
        <v/>
      </c>
      <c r="CU38" t="str">
        <f t="shared" ca="1" si="73"/>
        <v/>
      </c>
      <c r="CV38" t="str">
        <f t="shared" ca="1" si="73"/>
        <v/>
      </c>
      <c r="CW38" s="1" t="str">
        <f t="shared" ca="1" si="73"/>
        <v/>
      </c>
      <c r="CX38" s="1" t="str">
        <f t="shared" ca="1" si="73"/>
        <v/>
      </c>
      <c r="CY38" t="str">
        <f t="shared" ca="1" si="73"/>
        <v/>
      </c>
      <c r="CZ38">
        <f t="shared" ca="1" si="37"/>
        <v>1</v>
      </c>
      <c r="DA38" t="str">
        <f t="shared" si="38"/>
        <v/>
      </c>
      <c r="DB38" s="22">
        <f t="shared" ca="1" si="39"/>
        <v>0</v>
      </c>
      <c r="DD38" s="168"/>
      <c r="DE38">
        <v>28</v>
      </c>
      <c r="DF38" t="str">
        <f t="shared" ca="1" si="74"/>
        <v/>
      </c>
      <c r="DG38" t="str">
        <f t="shared" ca="1" si="74"/>
        <v/>
      </c>
      <c r="DH38" t="str">
        <f t="shared" ca="1" si="74"/>
        <v/>
      </c>
      <c r="DI38" s="1" t="str">
        <f t="shared" ca="1" si="74"/>
        <v/>
      </c>
      <c r="DJ38" s="1" t="str">
        <f t="shared" ca="1" si="74"/>
        <v/>
      </c>
      <c r="DK38" t="str">
        <f t="shared" ca="1" si="74"/>
        <v/>
      </c>
      <c r="DL38">
        <f t="shared" ca="1" si="41"/>
        <v>1</v>
      </c>
      <c r="DM38" t="str">
        <f t="shared" si="42"/>
        <v/>
      </c>
      <c r="DN38" s="22">
        <f t="shared" ca="1" si="43"/>
        <v>0</v>
      </c>
      <c r="DP38" s="168"/>
      <c r="DQ38">
        <v>28</v>
      </c>
      <c r="DR38" t="str">
        <f t="shared" ca="1" si="71"/>
        <v/>
      </c>
      <c r="DS38" t="str">
        <f t="shared" ca="1" si="71"/>
        <v/>
      </c>
      <c r="DT38" t="str">
        <f t="shared" ca="1" si="71"/>
        <v/>
      </c>
      <c r="DU38" t="str">
        <f t="shared" ca="1" si="71"/>
        <v/>
      </c>
      <c r="DV38" t="str">
        <f t="shared" ca="1" si="71"/>
        <v/>
      </c>
      <c r="DW38" t="str">
        <f t="shared" ca="1" si="71"/>
        <v/>
      </c>
      <c r="DX38">
        <f t="shared" ca="1" si="57"/>
        <v>1</v>
      </c>
      <c r="DY38" t="str">
        <f t="shared" si="46"/>
        <v/>
      </c>
      <c r="DZ38">
        <f t="shared" ca="1" si="58"/>
        <v>0</v>
      </c>
      <c r="EA38" s="122">
        <f t="shared" ca="1" si="59"/>
        <v>82121</v>
      </c>
      <c r="EL38" s="21">
        <f t="shared" ca="1" si="60"/>
        <v>3</v>
      </c>
      <c r="EM38" t="str">
        <f ca="1">'Financial Planning Tool'!CL39</f>
        <v/>
      </c>
      <c r="EN38" t="str">
        <f t="shared" ca="1" si="48"/>
        <v/>
      </c>
      <c r="EO38" t="str">
        <f t="shared" ca="1" si="49"/>
        <v/>
      </c>
      <c r="EP38" s="1" t="str">
        <f t="shared" ca="1" si="50"/>
        <v/>
      </c>
      <c r="EQ38" s="1" t="str">
        <f t="shared" ca="1" si="51"/>
        <v/>
      </c>
      <c r="ER38" t="str">
        <f t="shared" ca="1" si="52"/>
        <v/>
      </c>
      <c r="ES38" t="str">
        <f t="shared" si="53"/>
        <v/>
      </c>
      <c r="ET38">
        <v>0</v>
      </c>
      <c r="EU38" s="22">
        <v>29</v>
      </c>
      <c r="EX38" s="21" t="str">
        <f ca="1">IF(EX37="","",IF(EX37+1&lt;=MAX('Financial Planning Tool'!$EL$10:$EL$209),EX37+1,""))</f>
        <v/>
      </c>
      <c r="EY38" t="str">
        <f ca="1">IF(EX38&lt;&gt;"",VLOOKUP(EX38,'Financial Planning Tool'!$EL$10:$ER$209,2,FALSE),"")</f>
        <v/>
      </c>
      <c r="EZ38" t="str">
        <f ca="1">IF(EX38&lt;&gt;"",VLOOKUP(EX38,'Financial Planning Tool'!$EL$10:$ER$209,3,FALSE),"")</f>
        <v/>
      </c>
      <c r="FA38" t="str">
        <f ca="1">IF(EX38&lt;&gt;"",VLOOKUP(EX38,'Financial Planning Tool'!$EL$10:$ER$209,4,FALSE),"")</f>
        <v/>
      </c>
      <c r="FB38" t="str">
        <f t="shared" ca="1" si="61"/>
        <v/>
      </c>
      <c r="FC38" s="1" t="str">
        <f ca="1">IF(EX38&lt;&gt;"",VLOOKUP(EX38,'Financial Planning Tool'!$EL$10:$ER$209,5,FALSE),"")</f>
        <v/>
      </c>
      <c r="FD38" s="1" t="str">
        <f ca="1">IF(EX38&lt;&gt;"",VLOOKUP(EX38,'Financial Planning Tool'!$EL$10:$ER$209,6,FALSE),"")</f>
        <v/>
      </c>
      <c r="FE38" t="str">
        <f ca="1">IF(EX38&lt;&gt;"",VLOOKUP(EX38,'Financial Planning Tool'!$EL$10:$ER$209,7,FALSE),"")</f>
        <v/>
      </c>
      <c r="FF38" t="str">
        <f ca="1">IF(EX38&lt;&gt;"",VLOOKUP(EX38,'Financial Planning Tool'!$EL$10:$ES$209,8,FALSE),"")</f>
        <v/>
      </c>
      <c r="FG38" t="str">
        <f ca="1">IF(EX38&lt;&gt;"",VLOOKUP(EX38,'Financial Planning Tool'!$EL$10:$ET$209,9,FALSE),"")</f>
        <v/>
      </c>
      <c r="FH38" t="str">
        <f t="shared" ca="1" si="55"/>
        <v/>
      </c>
      <c r="FI38" s="22" t="str">
        <f t="shared" ca="1" si="56"/>
        <v/>
      </c>
    </row>
    <row r="39" spans="1:165" x14ac:dyDescent="0.25">
      <c r="B39" s="86"/>
      <c r="C39" s="84"/>
      <c r="D39" s="104" t="s">
        <v>36</v>
      </c>
      <c r="E39" s="103" t="s">
        <v>37</v>
      </c>
      <c r="F39" s="85"/>
      <c r="S39" s="18"/>
      <c r="T39" s="160"/>
      <c r="U39" s="161"/>
      <c r="V39" s="8"/>
      <c r="W39" s="68"/>
      <c r="X39" s="68"/>
      <c r="Y39" s="71"/>
      <c r="Z39" s="71"/>
      <c r="AA39" s="65"/>
      <c r="AE39">
        <v>23</v>
      </c>
      <c r="AF39" s="21" t="s">
        <v>176</v>
      </c>
      <c r="AH39" s="22"/>
      <c r="AI39" s="31" t="b">
        <f>IF(Real_nominal_offset=1,ROUND(DesiredAmount_save,2)=ROUND(DesiredAmountNom,2),ROUND(DesiredAmount_save,2)=ROUND(DesiredAmountReal,2))</f>
        <v>1</v>
      </c>
      <c r="AN39" s="32">
        <f t="shared" ca="1" si="0"/>
        <v>57.5</v>
      </c>
      <c r="AO39" s="53">
        <f t="shared" ca="1" si="31"/>
        <v>46569</v>
      </c>
      <c r="AP39" s="22">
        <v>32</v>
      </c>
      <c r="AQ39" s="32">
        <f t="shared" ca="1" si="32"/>
        <v>923940.74306828936</v>
      </c>
      <c r="AR39" s="23">
        <f t="array" aca="1" ref="AR39" ca="1">SUM(IF(lsc_start_date=AO39,lsc_amount,0))</f>
        <v>0</v>
      </c>
      <c r="AS39" s="24">
        <f t="shared" ca="1" si="6"/>
        <v>0</v>
      </c>
      <c r="AT39" s="24">
        <f t="shared" ca="1" si="7"/>
        <v>0</v>
      </c>
      <c r="AU39" s="24">
        <f t="shared" ca="1" si="8"/>
        <v>0</v>
      </c>
      <c r="AV39" s="25">
        <f t="shared" ca="1" si="9"/>
        <v>0</v>
      </c>
      <c r="AW39" s="23">
        <f t="array" aca="1" ref="AW39" ca="1">SUM(IF(rcs_start_date&lt;=AO39,1,0)*IF(rcs_end_date&gt;=AO39,1,0)*rcs_amount*(1+rcs_escalation/100)^(INT((AP39-rcs_months_since_start)/12))*IF(MOD((AP39-rcs_months_since_start),rcs_frequency)=0,1,0)*IF(rcs_frequency=13,0,1))+SUM(IF(rcs_start_date=AO39,rcs_amount,0)*IF(rcs_frequency=13,1,0))</f>
        <v>4867.2000000000007</v>
      </c>
      <c r="AX39" s="24">
        <f t="shared" ca="1" si="10"/>
        <v>0</v>
      </c>
      <c r="AY39" s="24">
        <f t="shared" ca="1" si="11"/>
        <v>0</v>
      </c>
      <c r="AZ39" s="24">
        <f t="shared" ca="1" si="12"/>
        <v>0</v>
      </c>
      <c r="BA39" s="25">
        <f t="shared" ca="1" si="13"/>
        <v>4867.2000000000007</v>
      </c>
      <c r="BB39" s="23">
        <f t="array" aca="1" ref="BB39" ca="1">SUM(IF(w_start_date&lt;=AO39,1,0)*IF(w_end_date&gt;=AO39,1,0)*w_amount*(1+w_escalation/100)^(INT((AP39-w_months_since_start)/12))*IF(MOD(AP39-w_months_since_start,w_frequency)=0,1,0)*IF(w_frequency=13,0,1))+SUM(IF(w_start_date=AO39,w_amount,0)*IF(w_frequency=13,1,0))</f>
        <v>0</v>
      </c>
      <c r="BC39" s="25">
        <f t="shared" ca="1" si="14"/>
        <v>0</v>
      </c>
      <c r="BD39" s="24" t="b">
        <f t="shared" ca="1" si="15"/>
        <v>0</v>
      </c>
      <c r="BE39" s="24" t="b">
        <f t="shared" ca="1" si="16"/>
        <v>1</v>
      </c>
      <c r="BF39" s="23">
        <f t="array" aca="1" ref="BF39" ca="1">SUM(IF(BD39,1,0)*IF(ap_start_date&lt;=AO39,1,0)*IF(ap_end_date&gt;=AO39,1,0)*ap_amount*(1+ap_escalation/100)^(INT((AP39-ap_months_since_start)/12))*IF(MOD(AP39-ap_months_since_start,ap_frequency)=0,1,0))</f>
        <v>0</v>
      </c>
      <c r="BG39" s="24">
        <f t="shared" ca="1" si="17"/>
        <v>0</v>
      </c>
      <c r="BH39" s="24">
        <f t="shared" ca="1" si="18"/>
        <v>0</v>
      </c>
      <c r="BI39">
        <f t="shared" ca="1" si="19"/>
        <v>0</v>
      </c>
      <c r="BJ39" s="24">
        <f t="shared" ca="1" si="20"/>
        <v>0</v>
      </c>
      <c r="BK39">
        <f t="shared" ca="1" si="21"/>
        <v>0</v>
      </c>
      <c r="BL39" s="25">
        <f t="shared" ca="1" si="22"/>
        <v>0</v>
      </c>
      <c r="BM39" s="32">
        <f t="shared" ca="1" si="1"/>
        <v>935502.16221257835</v>
      </c>
      <c r="BN39" s="23">
        <f t="shared" ca="1" si="23"/>
        <v>0</v>
      </c>
      <c r="BO39" s="24">
        <f t="shared" ca="1" si="24"/>
        <v>0</v>
      </c>
      <c r="BP39" s="25">
        <f t="shared" ca="1" si="25"/>
        <v>0</v>
      </c>
      <c r="BQ39" s="34">
        <f t="shared" ca="1" si="26"/>
        <v>46599</v>
      </c>
      <c r="BR39" s="23">
        <f t="shared" ca="1" si="27"/>
        <v>935502.16221257835</v>
      </c>
      <c r="BS39" s="24">
        <f t="shared" ca="1" si="28"/>
        <v>4867.2000000000007</v>
      </c>
      <c r="BT39" s="24">
        <f t="shared" ca="1" si="62"/>
        <v>57657.599999999991</v>
      </c>
      <c r="BU39" s="24">
        <f t="shared" ca="1" si="29"/>
        <v>0</v>
      </c>
      <c r="BV39" s="24">
        <f t="shared" ca="1" si="63"/>
        <v>0</v>
      </c>
      <c r="BW39" s="24">
        <f t="shared" ca="1" si="30"/>
        <v>0</v>
      </c>
      <c r="BX39" s="25">
        <f t="shared" ca="1" si="64"/>
        <v>0</v>
      </c>
      <c r="BY39" s="23">
        <f t="shared" ca="1" si="2"/>
        <v>842602.13940510363</v>
      </c>
      <c r="BZ39" s="24">
        <f t="shared" ca="1" si="3"/>
        <v>4398.2144310555532</v>
      </c>
      <c r="CA39" s="24">
        <f t="shared" ca="1" si="65"/>
        <v>53041.336037023044</v>
      </c>
      <c r="CB39" s="24">
        <f t="shared" ca="1" si="4"/>
        <v>0</v>
      </c>
      <c r="CC39" s="24">
        <f t="shared" ca="1" si="66"/>
        <v>0</v>
      </c>
      <c r="CD39" s="24">
        <f t="shared" ca="1" si="5"/>
        <v>0</v>
      </c>
      <c r="CE39" s="25">
        <f t="shared" ca="1" si="67"/>
        <v>0</v>
      </c>
      <c r="CF39" s="23">
        <f t="shared" ca="1" si="68"/>
        <v>0</v>
      </c>
      <c r="CG39" s="25">
        <f t="array" aca="1" ref="CG39" ca="1">SUM(BF28:BF39/(1+inflation/100)^(AP28:AP39/12))</f>
        <v>0</v>
      </c>
      <c r="CH39" s="32">
        <f ca="1">IFERROR(IF(MOD(AP39-ap_months_since_start,12)=0,ap_drawdown/100*(AQ39+AV39+BA39-BC39),CH38),0)</f>
        <v>128987.12987364075</v>
      </c>
      <c r="CJ39" s="168"/>
      <c r="CK39">
        <v>29</v>
      </c>
      <c r="CL39" t="str">
        <f t="shared" ca="1" si="72"/>
        <v/>
      </c>
      <c r="CM39" t="str">
        <f t="shared" ca="1" si="72"/>
        <v/>
      </c>
      <c r="CN39" s="1" t="str">
        <f t="shared" ca="1" si="72"/>
        <v/>
      </c>
      <c r="CO39" t="str">
        <f t="shared" si="34"/>
        <v/>
      </c>
      <c r="CP39" s="22">
        <f t="shared" ca="1" si="35"/>
        <v>0</v>
      </c>
      <c r="CR39" s="168"/>
      <c r="CS39">
        <v>29</v>
      </c>
      <c r="CT39" t="str">
        <f t="shared" ca="1" si="73"/>
        <v/>
      </c>
      <c r="CU39" t="str">
        <f t="shared" ca="1" si="73"/>
        <v/>
      </c>
      <c r="CV39" t="str">
        <f t="shared" ca="1" si="73"/>
        <v/>
      </c>
      <c r="CW39" s="1" t="str">
        <f t="shared" ca="1" si="73"/>
        <v/>
      </c>
      <c r="CX39" s="1" t="str">
        <f t="shared" ca="1" si="73"/>
        <v/>
      </c>
      <c r="CY39" t="str">
        <f t="shared" ca="1" si="73"/>
        <v/>
      </c>
      <c r="CZ39">
        <f t="shared" ca="1" si="37"/>
        <v>1</v>
      </c>
      <c r="DA39" t="str">
        <f t="shared" si="38"/>
        <v/>
      </c>
      <c r="DB39" s="22">
        <f t="shared" ca="1" si="39"/>
        <v>0</v>
      </c>
      <c r="DD39" s="168"/>
      <c r="DE39">
        <v>29</v>
      </c>
      <c r="DF39" t="str">
        <f t="shared" ca="1" si="74"/>
        <v/>
      </c>
      <c r="DG39" t="str">
        <f t="shared" ca="1" si="74"/>
        <v/>
      </c>
      <c r="DH39" t="str">
        <f t="shared" ca="1" si="74"/>
        <v/>
      </c>
      <c r="DI39" s="1" t="str">
        <f t="shared" ca="1" si="74"/>
        <v/>
      </c>
      <c r="DJ39" s="1" t="str">
        <f t="shared" ca="1" si="74"/>
        <v/>
      </c>
      <c r="DK39" t="str">
        <f t="shared" ca="1" si="74"/>
        <v/>
      </c>
      <c r="DL39">
        <f t="shared" ca="1" si="41"/>
        <v>1</v>
      </c>
      <c r="DM39" t="str">
        <f t="shared" si="42"/>
        <v/>
      </c>
      <c r="DN39" s="22">
        <f t="shared" ca="1" si="43"/>
        <v>0</v>
      </c>
      <c r="DP39" s="168"/>
      <c r="DQ39">
        <v>29</v>
      </c>
      <c r="DR39" t="str">
        <f t="shared" ca="1" si="71"/>
        <v/>
      </c>
      <c r="DS39" t="str">
        <f t="shared" ca="1" si="71"/>
        <v/>
      </c>
      <c r="DT39" t="str">
        <f t="shared" ca="1" si="71"/>
        <v/>
      </c>
      <c r="DU39" t="str">
        <f t="shared" ca="1" si="71"/>
        <v/>
      </c>
      <c r="DV39" t="str">
        <f t="shared" ca="1" si="71"/>
        <v/>
      </c>
      <c r="DW39" t="str">
        <f t="shared" ca="1" si="71"/>
        <v/>
      </c>
      <c r="DX39">
        <f t="shared" ca="1" si="57"/>
        <v>1</v>
      </c>
      <c r="DY39" t="str">
        <f t="shared" si="46"/>
        <v/>
      </c>
      <c r="DZ39">
        <f t="shared" ca="1" si="58"/>
        <v>0</v>
      </c>
      <c r="EA39" s="122">
        <f t="shared" ca="1" si="59"/>
        <v>82121</v>
      </c>
      <c r="EL39" s="21">
        <f t="shared" ca="1" si="60"/>
        <v>3</v>
      </c>
      <c r="EM39" t="str">
        <f ca="1">'Financial Planning Tool'!CL40</f>
        <v/>
      </c>
      <c r="EN39" t="str">
        <f t="shared" ca="1" si="48"/>
        <v/>
      </c>
      <c r="EO39" t="str">
        <f t="shared" ca="1" si="49"/>
        <v/>
      </c>
      <c r="EP39" s="1" t="str">
        <f t="shared" ca="1" si="50"/>
        <v/>
      </c>
      <c r="EQ39" s="1" t="str">
        <f t="shared" ca="1" si="51"/>
        <v/>
      </c>
      <c r="ER39" t="str">
        <f t="shared" ca="1" si="52"/>
        <v/>
      </c>
      <c r="ES39" t="str">
        <f t="shared" si="53"/>
        <v/>
      </c>
      <c r="ET39">
        <v>0</v>
      </c>
      <c r="EU39" s="22">
        <v>30</v>
      </c>
      <c r="EX39" s="21" t="str">
        <f ca="1">IF(EX38="","",IF(EX38+1&lt;=MAX('Financial Planning Tool'!$EL$10:$EL$209),EX38+1,""))</f>
        <v/>
      </c>
      <c r="EY39" t="str">
        <f ca="1">IF(EX39&lt;&gt;"",VLOOKUP(EX39,'Financial Planning Tool'!$EL$10:$ER$209,2,FALSE),"")</f>
        <v/>
      </c>
      <c r="EZ39" t="str">
        <f ca="1">IF(EX39&lt;&gt;"",VLOOKUP(EX39,'Financial Planning Tool'!$EL$10:$ER$209,3,FALSE),"")</f>
        <v/>
      </c>
      <c r="FA39" t="str">
        <f ca="1">IF(EX39&lt;&gt;"",VLOOKUP(EX39,'Financial Planning Tool'!$EL$10:$ER$209,4,FALSE),"")</f>
        <v/>
      </c>
      <c r="FB39" t="str">
        <f t="shared" ca="1" si="61"/>
        <v/>
      </c>
      <c r="FC39" s="1" t="str">
        <f ca="1">IF(EX39&lt;&gt;"",VLOOKUP(EX39,'Financial Planning Tool'!$EL$10:$ER$209,5,FALSE),"")</f>
        <v/>
      </c>
      <c r="FD39" s="1" t="str">
        <f ca="1">IF(EX39&lt;&gt;"",VLOOKUP(EX39,'Financial Planning Tool'!$EL$10:$ER$209,6,FALSE),"")</f>
        <v/>
      </c>
      <c r="FE39" t="str">
        <f ca="1">IF(EX39&lt;&gt;"",VLOOKUP(EX39,'Financial Planning Tool'!$EL$10:$ER$209,7,FALSE),"")</f>
        <v/>
      </c>
      <c r="FF39" t="str">
        <f ca="1">IF(EX39&lt;&gt;"",VLOOKUP(EX39,'Financial Planning Tool'!$EL$10:$ES$209,8,FALSE),"")</f>
        <v/>
      </c>
      <c r="FG39" t="str">
        <f ca="1">IF(EX39&lt;&gt;"",VLOOKUP(EX39,'Financial Planning Tool'!$EL$10:$ET$209,9,FALSE),"")</f>
        <v/>
      </c>
      <c r="FH39" t="str">
        <f t="shared" ca="1" si="55"/>
        <v/>
      </c>
      <c r="FI39" s="22" t="str">
        <f t="shared" ca="1" si="56"/>
        <v/>
      </c>
    </row>
    <row r="40" spans="1:165" x14ac:dyDescent="0.25">
      <c r="B40" s="86" t="s">
        <v>188</v>
      </c>
      <c r="C40" s="84"/>
      <c r="D40" s="84"/>
      <c r="E40" s="84"/>
      <c r="F40" s="85"/>
      <c r="S40" s="18"/>
      <c r="T40" s="160"/>
      <c r="U40" s="161"/>
      <c r="V40" s="8"/>
      <c r="W40" s="68"/>
      <c r="X40" s="68"/>
      <c r="Y40" s="71"/>
      <c r="Z40" s="71"/>
      <c r="AA40" s="65"/>
      <c r="AE40">
        <v>24</v>
      </c>
      <c r="AF40" s="21" t="s">
        <v>17</v>
      </c>
      <c r="AH40" s="22"/>
      <c r="AI40" s="31" t="b">
        <f>AdjVar_save=AdjVar</f>
        <v>1</v>
      </c>
      <c r="AN40" s="32">
        <f t="shared" ca="1" si="0"/>
        <v>57.583333333333336</v>
      </c>
      <c r="AO40" s="53">
        <f t="shared" ca="1" si="31"/>
        <v>46600</v>
      </c>
      <c r="AP40" s="22">
        <v>33</v>
      </c>
      <c r="AQ40" s="32">
        <f t="shared" ca="1" si="32"/>
        <v>935502.16221257835</v>
      </c>
      <c r="AR40" s="23">
        <f t="array" aca="1" ref="AR40" ca="1">SUM(IF(lsc_start_date=AO40,lsc_amount,0))</f>
        <v>0</v>
      </c>
      <c r="AS40" s="24">
        <f t="shared" ca="1" si="6"/>
        <v>0</v>
      </c>
      <c r="AT40" s="24">
        <f t="shared" ca="1" si="7"/>
        <v>0</v>
      </c>
      <c r="AU40" s="24">
        <f t="shared" ca="1" si="8"/>
        <v>0</v>
      </c>
      <c r="AV40" s="25">
        <f t="shared" ca="1" si="9"/>
        <v>0</v>
      </c>
      <c r="AW40" s="23">
        <f t="array" aca="1" ref="AW40" ca="1">SUM(IF(rcs_start_date&lt;=AO40,1,0)*IF(rcs_end_date&gt;=AO40,1,0)*rcs_amount*(1+rcs_escalation/100)^(INT((AP40-rcs_months_since_start)/12))*IF(MOD((AP40-rcs_months_since_start),rcs_frequency)=0,1,0)*IF(rcs_frequency=13,0,1))+SUM(IF(rcs_start_date=AO40,rcs_amount,0)*IF(rcs_frequency=13,1,0))</f>
        <v>4867.2000000000007</v>
      </c>
      <c r="AX40" s="24">
        <f t="shared" ca="1" si="10"/>
        <v>0</v>
      </c>
      <c r="AY40" s="24">
        <f t="shared" ca="1" si="11"/>
        <v>0</v>
      </c>
      <c r="AZ40" s="24">
        <f t="shared" ca="1" si="12"/>
        <v>0</v>
      </c>
      <c r="BA40" s="25">
        <f t="shared" ca="1" si="13"/>
        <v>4867.2000000000007</v>
      </c>
      <c r="BB40" s="23">
        <f t="array" aca="1" ref="BB40" ca="1">SUM(IF(w_start_date&lt;=AO40,1,0)*IF(w_end_date&gt;=AO40,1,0)*w_amount*(1+w_escalation/100)^(INT((AP40-w_months_since_start)/12))*IF(MOD(AP40-w_months_since_start,w_frequency)=0,1,0)*IF(w_frequency=13,0,1))+SUM(IF(w_start_date=AO40,w_amount,0)*IF(w_frequency=13,1,0))</f>
        <v>0</v>
      </c>
      <c r="BC40" s="25">
        <f t="shared" ca="1" si="14"/>
        <v>0</v>
      </c>
      <c r="BD40" s="24" t="b">
        <f t="shared" ca="1" si="15"/>
        <v>0</v>
      </c>
      <c r="BE40" s="24" t="b">
        <f t="shared" ca="1" si="16"/>
        <v>1</v>
      </c>
      <c r="BF40" s="23">
        <f t="array" aca="1" ref="BF40" ca="1">SUM(IF(BD40,1,0)*IF(ap_start_date&lt;=AO40,1,0)*IF(ap_end_date&gt;=AO40,1,0)*ap_amount*(1+ap_escalation/100)^(INT((AP40-ap_months_since_start)/12))*IF(MOD(AP40-ap_months_since_start,ap_frequency)=0,1,0))</f>
        <v>0</v>
      </c>
      <c r="BG40" s="24">
        <f t="shared" ca="1" si="17"/>
        <v>0</v>
      </c>
      <c r="BH40" s="24">
        <f t="shared" ca="1" si="18"/>
        <v>0</v>
      </c>
      <c r="BI40">
        <f t="shared" ca="1" si="19"/>
        <v>0</v>
      </c>
      <c r="BJ40" s="24">
        <f t="shared" ca="1" si="20"/>
        <v>0</v>
      </c>
      <c r="BK40">
        <f t="shared" ca="1" si="21"/>
        <v>0</v>
      </c>
      <c r="BL40" s="25">
        <f t="shared" ca="1" si="22"/>
        <v>0</v>
      </c>
      <c r="BM40" s="32">
        <f t="shared" ca="1" si="1"/>
        <v>947146.90824263368</v>
      </c>
      <c r="BN40" s="23">
        <f t="shared" ca="1" si="23"/>
        <v>0</v>
      </c>
      <c r="BO40" s="24">
        <f t="shared" ca="1" si="24"/>
        <v>0</v>
      </c>
      <c r="BP40" s="25">
        <f t="shared" ca="1" si="25"/>
        <v>0</v>
      </c>
      <c r="BQ40" s="34">
        <f t="shared" ca="1" si="26"/>
        <v>46630</v>
      </c>
      <c r="BR40" s="23">
        <f t="shared" ca="1" si="27"/>
        <v>947146.90824263368</v>
      </c>
      <c r="BS40" s="24">
        <f t="shared" ca="1" si="28"/>
        <v>4867.2000000000007</v>
      </c>
      <c r="BT40" s="24">
        <f t="shared" ca="1" si="62"/>
        <v>57844.799999999988</v>
      </c>
      <c r="BU40" s="24">
        <f t="shared" ca="1" si="29"/>
        <v>0</v>
      </c>
      <c r="BV40" s="24">
        <f t="shared" ca="1" si="63"/>
        <v>0</v>
      </c>
      <c r="BW40" s="24">
        <f t="shared" ca="1" si="30"/>
        <v>0</v>
      </c>
      <c r="BX40" s="25">
        <f t="shared" ca="1" si="64"/>
        <v>0</v>
      </c>
      <c r="BY40" s="23">
        <f t="shared" ca="1" si="2"/>
        <v>850306.82090559148</v>
      </c>
      <c r="BZ40" s="24">
        <f t="shared" ca="1" si="3"/>
        <v>4383.8628049911522</v>
      </c>
      <c r="CA40" s="24">
        <f t="shared" ca="1" si="65"/>
        <v>53041.336037023037</v>
      </c>
      <c r="CB40" s="24">
        <f t="shared" ca="1" si="4"/>
        <v>0</v>
      </c>
      <c r="CC40" s="24">
        <f t="shared" ca="1" si="66"/>
        <v>0</v>
      </c>
      <c r="CD40" s="24">
        <f t="shared" ca="1" si="5"/>
        <v>0</v>
      </c>
      <c r="CE40" s="25">
        <f t="shared" ca="1" si="67"/>
        <v>0</v>
      </c>
      <c r="CF40" s="23">
        <f t="shared" ca="1" si="68"/>
        <v>0</v>
      </c>
      <c r="CG40" s="25">
        <f t="array" aca="1" ref="CG40" ca="1">SUM(BF29:BF40/(1+inflation/100)^(AP29:AP40/12))</f>
        <v>0</v>
      </c>
      <c r="CH40" s="32">
        <f ca="1">IFERROR(IF(MOD(AP40-ap_months_since_start,12)=0,ap_drawdown/100*(AQ40+AV40+BA40-BC40),CH39),0)</f>
        <v>128987.12987364075</v>
      </c>
      <c r="CJ40" s="168"/>
      <c r="CK40">
        <v>30</v>
      </c>
      <c r="CL40" t="str">
        <f t="shared" ca="1" si="72"/>
        <v/>
      </c>
      <c r="CM40" t="str">
        <f t="shared" ca="1" si="72"/>
        <v/>
      </c>
      <c r="CN40" s="1" t="str">
        <f t="shared" ca="1" si="72"/>
        <v/>
      </c>
      <c r="CO40" t="str">
        <f t="shared" si="34"/>
        <v/>
      </c>
      <c r="CP40" s="22">
        <f t="shared" ca="1" si="35"/>
        <v>0</v>
      </c>
      <c r="CR40" s="168"/>
      <c r="CS40">
        <v>30</v>
      </c>
      <c r="CT40" t="str">
        <f t="shared" ca="1" si="73"/>
        <v/>
      </c>
      <c r="CU40" t="str">
        <f t="shared" ca="1" si="73"/>
        <v/>
      </c>
      <c r="CV40" t="str">
        <f t="shared" ca="1" si="73"/>
        <v/>
      </c>
      <c r="CW40" s="1" t="str">
        <f t="shared" ca="1" si="73"/>
        <v/>
      </c>
      <c r="CX40" s="1" t="str">
        <f t="shared" ca="1" si="73"/>
        <v/>
      </c>
      <c r="CY40" t="str">
        <f t="shared" ca="1" si="73"/>
        <v/>
      </c>
      <c r="CZ40">
        <f t="shared" ca="1" si="37"/>
        <v>1</v>
      </c>
      <c r="DA40" t="str">
        <f t="shared" si="38"/>
        <v/>
      </c>
      <c r="DB40" s="22">
        <f t="shared" ca="1" si="39"/>
        <v>0</v>
      </c>
      <c r="DD40" s="168"/>
      <c r="DE40">
        <v>30</v>
      </c>
      <c r="DF40" t="str">
        <f t="shared" ca="1" si="74"/>
        <v/>
      </c>
      <c r="DG40" t="str">
        <f t="shared" ca="1" si="74"/>
        <v/>
      </c>
      <c r="DH40" t="str">
        <f t="shared" ca="1" si="74"/>
        <v/>
      </c>
      <c r="DI40" s="1" t="str">
        <f t="shared" ca="1" si="74"/>
        <v/>
      </c>
      <c r="DJ40" s="1" t="str">
        <f t="shared" ca="1" si="74"/>
        <v/>
      </c>
      <c r="DK40" t="str">
        <f t="shared" ca="1" si="74"/>
        <v/>
      </c>
      <c r="DL40">
        <f t="shared" ca="1" si="41"/>
        <v>1</v>
      </c>
      <c r="DM40" t="str">
        <f t="shared" si="42"/>
        <v/>
      </c>
      <c r="DN40" s="22">
        <f t="shared" ca="1" si="43"/>
        <v>0</v>
      </c>
      <c r="DP40" s="168"/>
      <c r="DQ40">
        <v>30</v>
      </c>
      <c r="DR40" t="str">
        <f t="shared" ca="1" si="71"/>
        <v/>
      </c>
      <c r="DS40" t="str">
        <f t="shared" ca="1" si="71"/>
        <v/>
      </c>
      <c r="DT40" t="str">
        <f t="shared" ca="1" si="71"/>
        <v/>
      </c>
      <c r="DU40" t="str">
        <f t="shared" ca="1" si="71"/>
        <v/>
      </c>
      <c r="DV40" t="str">
        <f t="shared" ca="1" si="71"/>
        <v/>
      </c>
      <c r="DW40" t="str">
        <f t="shared" ca="1" si="71"/>
        <v/>
      </c>
      <c r="DX40">
        <f t="shared" ca="1" si="57"/>
        <v>1</v>
      </c>
      <c r="DY40" t="str">
        <f t="shared" si="46"/>
        <v/>
      </c>
      <c r="DZ40">
        <f t="shared" ca="1" si="58"/>
        <v>0</v>
      </c>
      <c r="EA40" s="122">
        <f t="shared" ca="1" si="59"/>
        <v>82121</v>
      </c>
      <c r="EL40" s="21">
        <f t="shared" ca="1" si="60"/>
        <v>3</v>
      </c>
      <c r="EM40" t="str">
        <f ca="1">'Financial Planning Tool'!CL41</f>
        <v/>
      </c>
      <c r="EN40" t="str">
        <f t="shared" ca="1" si="48"/>
        <v/>
      </c>
      <c r="EO40" t="str">
        <f t="shared" ca="1" si="49"/>
        <v/>
      </c>
      <c r="EP40" s="1" t="str">
        <f t="shared" ca="1" si="50"/>
        <v/>
      </c>
      <c r="EQ40" s="1" t="str">
        <f t="shared" ca="1" si="51"/>
        <v/>
      </c>
      <c r="ER40" t="str">
        <f t="shared" ca="1" si="52"/>
        <v/>
      </c>
      <c r="ES40" t="str">
        <f t="shared" si="53"/>
        <v/>
      </c>
      <c r="ET40">
        <v>0</v>
      </c>
      <c r="EU40" s="22">
        <v>31</v>
      </c>
      <c r="EX40" s="21" t="str">
        <f ca="1">IF(EX39="","",IF(EX39+1&lt;=MAX('Financial Planning Tool'!$EL$10:$EL$209),EX39+1,""))</f>
        <v/>
      </c>
      <c r="EY40" t="str">
        <f ca="1">IF(EX40&lt;&gt;"",VLOOKUP(EX40,'Financial Planning Tool'!$EL$10:$ER$209,2,FALSE),"")</f>
        <v/>
      </c>
      <c r="EZ40" t="str">
        <f ca="1">IF(EX40&lt;&gt;"",VLOOKUP(EX40,'Financial Planning Tool'!$EL$10:$ER$209,3,FALSE),"")</f>
        <v/>
      </c>
      <c r="FA40" t="str">
        <f ca="1">IF(EX40&lt;&gt;"",VLOOKUP(EX40,'Financial Planning Tool'!$EL$10:$ER$209,4,FALSE),"")</f>
        <v/>
      </c>
      <c r="FB40" t="str">
        <f t="shared" ca="1" si="61"/>
        <v/>
      </c>
      <c r="FC40" s="1" t="str">
        <f ca="1">IF(EX40&lt;&gt;"",VLOOKUP(EX40,'Financial Planning Tool'!$EL$10:$ER$209,5,FALSE),"")</f>
        <v/>
      </c>
      <c r="FD40" s="1" t="str">
        <f ca="1">IF(EX40&lt;&gt;"",VLOOKUP(EX40,'Financial Planning Tool'!$EL$10:$ER$209,6,FALSE),"")</f>
        <v/>
      </c>
      <c r="FE40" t="str">
        <f ca="1">IF(EX40&lt;&gt;"",VLOOKUP(EX40,'Financial Planning Tool'!$EL$10:$ER$209,7,FALSE),"")</f>
        <v/>
      </c>
      <c r="FF40" t="str">
        <f ca="1">IF(EX40&lt;&gt;"",VLOOKUP(EX40,'Financial Planning Tool'!$EL$10:$ES$209,8,FALSE),"")</f>
        <v/>
      </c>
      <c r="FG40" t="str">
        <f ca="1">IF(EX40&lt;&gt;"",VLOOKUP(EX40,'Financial Planning Tool'!$EL$10:$ET$209,9,FALSE),"")</f>
        <v/>
      </c>
      <c r="FH40" t="str">
        <f t="shared" ca="1" si="55"/>
        <v/>
      </c>
      <c r="FI40" s="22" t="str">
        <f t="shared" ca="1" si="56"/>
        <v/>
      </c>
    </row>
    <row r="41" spans="1:165" x14ac:dyDescent="0.25">
      <c r="B41" s="95"/>
      <c r="C41" s="96"/>
      <c r="D41" s="96"/>
      <c r="E41" s="96"/>
      <c r="F41" s="94"/>
      <c r="S41" s="18"/>
      <c r="T41" s="160"/>
      <c r="U41" s="161"/>
      <c r="V41" s="8"/>
      <c r="W41" s="68"/>
      <c r="X41" s="68"/>
      <c r="Y41" s="71"/>
      <c r="Z41" s="71"/>
      <c r="AA41" s="65"/>
      <c r="AE41">
        <v>25</v>
      </c>
      <c r="AF41" s="21" t="s">
        <v>18</v>
      </c>
      <c r="AH41" s="22"/>
      <c r="AI41" s="31" t="b">
        <f>AdjVarType_save=AdjVarType</f>
        <v>1</v>
      </c>
      <c r="AN41" s="32">
        <f t="shared" ca="1" si="0"/>
        <v>57.666666666666664</v>
      </c>
      <c r="AO41" s="53">
        <f t="shared" ca="1" si="31"/>
        <v>46631</v>
      </c>
      <c r="AP41" s="22">
        <v>34</v>
      </c>
      <c r="AQ41" s="32">
        <f t="shared" ca="1" si="32"/>
        <v>947146.90824263368</v>
      </c>
      <c r="AR41" s="23">
        <f t="array" aca="1" ref="AR41" ca="1">SUM(IF(lsc_start_date=AO41,lsc_amount,0))</f>
        <v>0</v>
      </c>
      <c r="AS41" s="24">
        <f t="shared" ca="1" si="6"/>
        <v>0</v>
      </c>
      <c r="AT41" s="24">
        <f t="shared" ca="1" si="7"/>
        <v>0</v>
      </c>
      <c r="AU41" s="24">
        <f t="shared" ca="1" si="8"/>
        <v>0</v>
      </c>
      <c r="AV41" s="25">
        <f t="shared" ca="1" si="9"/>
        <v>0</v>
      </c>
      <c r="AW41" s="23">
        <f t="array" aca="1" ref="AW41" ca="1">SUM(IF(rcs_start_date&lt;=AO41,1,0)*IF(rcs_end_date&gt;=AO41,1,0)*rcs_amount*(1+rcs_escalation/100)^(INT((AP41-rcs_months_since_start)/12))*IF(MOD((AP41-rcs_months_since_start),rcs_frequency)=0,1,0)*IF(rcs_frequency=13,0,1))+SUM(IF(rcs_start_date=AO41,rcs_amount,0)*IF(rcs_frequency=13,1,0))</f>
        <v>4867.2000000000007</v>
      </c>
      <c r="AX41" s="24">
        <f t="shared" ca="1" si="10"/>
        <v>0</v>
      </c>
      <c r="AY41" s="24">
        <f t="shared" ca="1" si="11"/>
        <v>0</v>
      </c>
      <c r="AZ41" s="24">
        <f t="shared" ca="1" si="12"/>
        <v>0</v>
      </c>
      <c r="BA41" s="25">
        <f t="shared" ca="1" si="13"/>
        <v>4867.2000000000007</v>
      </c>
      <c r="BB41" s="23">
        <f t="array" aca="1" ref="BB41" ca="1">SUM(IF(w_start_date&lt;=AO41,1,0)*IF(w_end_date&gt;=AO41,1,0)*w_amount*(1+w_escalation/100)^(INT((AP41-w_months_since_start)/12))*IF(MOD(AP41-w_months_since_start,w_frequency)=0,1,0)*IF(w_frequency=13,0,1))+SUM(IF(w_start_date=AO41,w_amount,0)*IF(w_frequency=13,1,0))</f>
        <v>0</v>
      </c>
      <c r="BC41" s="25">
        <f t="shared" ca="1" si="14"/>
        <v>0</v>
      </c>
      <c r="BD41" s="24" t="b">
        <f t="shared" ca="1" si="15"/>
        <v>0</v>
      </c>
      <c r="BE41" s="24" t="b">
        <f t="shared" ca="1" si="16"/>
        <v>1</v>
      </c>
      <c r="BF41" s="23">
        <f t="array" aca="1" ref="BF41" ca="1">SUM(IF(BD41,1,0)*IF(ap_start_date&lt;=AO41,1,0)*IF(ap_end_date&gt;=AO41,1,0)*ap_amount*(1+ap_escalation/100)^(INT((AP41-ap_months_since_start)/12))*IF(MOD(AP41-ap_months_since_start,ap_frequency)=0,1,0))</f>
        <v>0</v>
      </c>
      <c r="BG41" s="24">
        <f t="shared" ca="1" si="17"/>
        <v>0</v>
      </c>
      <c r="BH41" s="24">
        <f t="shared" ca="1" si="18"/>
        <v>0</v>
      </c>
      <c r="BI41">
        <f t="shared" ca="1" si="19"/>
        <v>0</v>
      </c>
      <c r="BJ41" s="24">
        <f t="shared" ca="1" si="20"/>
        <v>0</v>
      </c>
      <c r="BK41">
        <f t="shared" ca="1" si="21"/>
        <v>0</v>
      </c>
      <c r="BL41" s="25">
        <f t="shared" ca="1" si="22"/>
        <v>0</v>
      </c>
      <c r="BM41" s="32">
        <f t="shared" ca="1" si="1"/>
        <v>958875.58172226185</v>
      </c>
      <c r="BN41" s="23">
        <f t="shared" ca="1" si="23"/>
        <v>0</v>
      </c>
      <c r="BO41" s="24">
        <f t="shared" ca="1" si="24"/>
        <v>0</v>
      </c>
      <c r="BP41" s="25">
        <f t="shared" ca="1" si="25"/>
        <v>0</v>
      </c>
      <c r="BQ41" s="34">
        <f t="shared" ca="1" si="26"/>
        <v>46660</v>
      </c>
      <c r="BR41" s="23">
        <f t="shared" ca="1" si="27"/>
        <v>958875.58172226185</v>
      </c>
      <c r="BS41" s="24">
        <f t="shared" ca="1" si="28"/>
        <v>4867.2000000000007</v>
      </c>
      <c r="BT41" s="24">
        <f t="shared" ca="1" si="62"/>
        <v>58031.999999999985</v>
      </c>
      <c r="BU41" s="24">
        <f t="shared" ca="1" si="29"/>
        <v>0</v>
      </c>
      <c r="BV41" s="24">
        <f t="shared" ca="1" si="63"/>
        <v>0</v>
      </c>
      <c r="BW41" s="24">
        <f t="shared" ca="1" si="30"/>
        <v>0</v>
      </c>
      <c r="BX41" s="25">
        <f t="shared" ca="1" si="64"/>
        <v>0</v>
      </c>
      <c r="BY41" s="23">
        <f t="shared" ca="1" si="2"/>
        <v>858027.34963947127</v>
      </c>
      <c r="BZ41" s="24">
        <f t="shared" ca="1" si="3"/>
        <v>4369.5580091061156</v>
      </c>
      <c r="CA41" s="24">
        <f t="shared" ca="1" si="65"/>
        <v>53041.336037023037</v>
      </c>
      <c r="CB41" s="24">
        <f t="shared" ca="1" si="4"/>
        <v>0</v>
      </c>
      <c r="CC41" s="24">
        <f t="shared" ca="1" si="66"/>
        <v>0</v>
      </c>
      <c r="CD41" s="24">
        <f t="shared" ca="1" si="5"/>
        <v>0</v>
      </c>
      <c r="CE41" s="25">
        <f t="shared" ca="1" si="67"/>
        <v>0</v>
      </c>
      <c r="CF41" s="23">
        <f t="shared" ca="1" si="68"/>
        <v>0</v>
      </c>
      <c r="CG41" s="25">
        <f t="array" aca="1" ref="CG41" ca="1">SUM(BF30:BF41/(1+inflation/100)^(AP30:AP41/12))</f>
        <v>0</v>
      </c>
      <c r="CH41" s="32">
        <f ca="1">IFERROR(IF(MOD(AP41-ap_months_since_start,12)=0,ap_drawdown/100*(AQ41+AV41+BA41-BC41),CH40),0)</f>
        <v>128987.12987364075</v>
      </c>
      <c r="CJ41" s="168"/>
      <c r="CK41">
        <v>31</v>
      </c>
      <c r="CL41" t="str">
        <f t="shared" ca="1" si="72"/>
        <v/>
      </c>
      <c r="CM41" t="str">
        <f t="shared" ca="1" si="72"/>
        <v/>
      </c>
      <c r="CN41" s="1" t="str">
        <f t="shared" ca="1" si="72"/>
        <v/>
      </c>
      <c r="CO41" t="str">
        <f t="shared" si="34"/>
        <v/>
      </c>
      <c r="CP41" s="22">
        <f t="shared" ca="1" si="35"/>
        <v>0</v>
      </c>
      <c r="CR41" s="168"/>
      <c r="CS41">
        <v>31</v>
      </c>
      <c r="CT41" t="str">
        <f t="shared" ref="CT41:CY50" ca="1" si="75">IF(rcs&gt;=$CS41,OFFSET(rcs,$CS41*$CL$4-CT$9,3),"")</f>
        <v/>
      </c>
      <c r="CU41" t="str">
        <f t="shared" ca="1" si="75"/>
        <v/>
      </c>
      <c r="CV41" t="str">
        <f t="shared" ca="1" si="75"/>
        <v/>
      </c>
      <c r="CW41" s="1" t="str">
        <f t="shared" ca="1" si="75"/>
        <v/>
      </c>
      <c r="CX41" s="1" t="str">
        <f t="shared" ca="1" si="75"/>
        <v/>
      </c>
      <c r="CY41" t="str">
        <f t="shared" ca="1" si="75"/>
        <v/>
      </c>
      <c r="CZ41">
        <f t="shared" ca="1" si="37"/>
        <v>1</v>
      </c>
      <c r="DA41" t="str">
        <f t="shared" si="38"/>
        <v/>
      </c>
      <c r="DB41" s="22">
        <f t="shared" ca="1" si="39"/>
        <v>0</v>
      </c>
      <c r="DD41" s="168"/>
      <c r="DE41">
        <v>31</v>
      </c>
      <c r="DF41" t="str">
        <f t="shared" ref="DF41:DK50" ca="1" si="76">IF(w&gt;=$DE41,OFFSET(w,$DE41*$CL$5-DF$9,3),"")</f>
        <v/>
      </c>
      <c r="DG41" t="str">
        <f t="shared" ca="1" si="76"/>
        <v/>
      </c>
      <c r="DH41" t="str">
        <f t="shared" ca="1" si="76"/>
        <v/>
      </c>
      <c r="DI41" s="1" t="str">
        <f t="shared" ca="1" si="76"/>
        <v/>
      </c>
      <c r="DJ41" s="1" t="str">
        <f t="shared" ca="1" si="76"/>
        <v/>
      </c>
      <c r="DK41" t="str">
        <f t="shared" ca="1" si="76"/>
        <v/>
      </c>
      <c r="DL41">
        <f t="shared" ca="1" si="41"/>
        <v>1</v>
      </c>
      <c r="DM41" t="str">
        <f t="shared" si="42"/>
        <v/>
      </c>
      <c r="DN41" s="22">
        <f t="shared" ca="1" si="43"/>
        <v>0</v>
      </c>
      <c r="DP41" s="168"/>
      <c r="DQ41">
        <v>31</v>
      </c>
      <c r="DR41" t="str">
        <f t="shared" ca="1" si="71"/>
        <v/>
      </c>
      <c r="DS41" t="str">
        <f t="shared" ca="1" si="71"/>
        <v/>
      </c>
      <c r="DT41" t="str">
        <f t="shared" ca="1" si="71"/>
        <v/>
      </c>
      <c r="DU41" t="str">
        <f t="shared" ca="1" si="71"/>
        <v/>
      </c>
      <c r="DV41" t="str">
        <f t="shared" ca="1" si="71"/>
        <v/>
      </c>
      <c r="DW41" t="str">
        <f t="shared" ca="1" si="71"/>
        <v/>
      </c>
      <c r="DX41">
        <f t="shared" ca="1" si="57"/>
        <v>1</v>
      </c>
      <c r="DY41" t="str">
        <f t="shared" si="46"/>
        <v/>
      </c>
      <c r="DZ41">
        <f t="shared" ca="1" si="58"/>
        <v>0</v>
      </c>
      <c r="EA41" s="122">
        <f t="shared" ca="1" si="59"/>
        <v>82121</v>
      </c>
      <c r="EL41" s="21">
        <f t="shared" ca="1" si="60"/>
        <v>3</v>
      </c>
      <c r="EM41" t="str">
        <f ca="1">'Financial Planning Tool'!CL42</f>
        <v/>
      </c>
      <c r="EN41" t="str">
        <f t="shared" ca="1" si="48"/>
        <v/>
      </c>
      <c r="EO41" t="str">
        <f t="shared" ca="1" si="49"/>
        <v/>
      </c>
      <c r="EP41" s="1" t="str">
        <f t="shared" ca="1" si="50"/>
        <v/>
      </c>
      <c r="EQ41" s="1" t="str">
        <f t="shared" ca="1" si="51"/>
        <v/>
      </c>
      <c r="ER41" t="str">
        <f t="shared" ca="1" si="52"/>
        <v/>
      </c>
      <c r="ES41" t="str">
        <f t="shared" si="53"/>
        <v/>
      </c>
      <c r="ET41">
        <v>0</v>
      </c>
      <c r="EU41" s="22">
        <v>32</v>
      </c>
      <c r="EX41" s="21" t="str">
        <f ca="1">IF(EX40="","",IF(EX40+1&lt;=MAX('Financial Planning Tool'!$EL$10:$EL$209),EX40+1,""))</f>
        <v/>
      </c>
      <c r="EY41" t="str">
        <f ca="1">IF(EX41&lt;&gt;"",VLOOKUP(EX41,'Financial Planning Tool'!$EL$10:$ER$209,2,FALSE),"")</f>
        <v/>
      </c>
      <c r="EZ41" t="str">
        <f ca="1">IF(EX41&lt;&gt;"",VLOOKUP(EX41,'Financial Planning Tool'!$EL$10:$ER$209,3,FALSE),"")</f>
        <v/>
      </c>
      <c r="FA41" t="str">
        <f ca="1">IF(EX41&lt;&gt;"",VLOOKUP(EX41,'Financial Planning Tool'!$EL$10:$ER$209,4,FALSE),"")</f>
        <v/>
      </c>
      <c r="FB41" t="str">
        <f t="shared" ca="1" si="61"/>
        <v/>
      </c>
      <c r="FC41" s="1" t="str">
        <f ca="1">IF(EX41&lt;&gt;"",VLOOKUP(EX41,'Financial Planning Tool'!$EL$10:$ER$209,5,FALSE),"")</f>
        <v/>
      </c>
      <c r="FD41" s="1" t="str">
        <f ca="1">IF(EX41&lt;&gt;"",VLOOKUP(EX41,'Financial Planning Tool'!$EL$10:$ER$209,6,FALSE),"")</f>
        <v/>
      </c>
      <c r="FE41" t="str">
        <f ca="1">IF(EX41&lt;&gt;"",VLOOKUP(EX41,'Financial Planning Tool'!$EL$10:$ER$209,7,FALSE),"")</f>
        <v/>
      </c>
      <c r="FF41" t="str">
        <f ca="1">IF(EX41&lt;&gt;"",VLOOKUP(EX41,'Financial Planning Tool'!$EL$10:$ES$209,8,FALSE),"")</f>
        <v/>
      </c>
      <c r="FG41" t="str">
        <f ca="1">IF(EX41&lt;&gt;"",VLOOKUP(EX41,'Financial Planning Tool'!$EL$10:$ET$209,9,FALSE),"")</f>
        <v/>
      </c>
      <c r="FH41" t="str">
        <f t="shared" ca="1" si="55"/>
        <v/>
      </c>
      <c r="FI41" s="22" t="str">
        <f t="shared" ca="1" si="56"/>
        <v/>
      </c>
    </row>
    <row r="42" spans="1:165" x14ac:dyDescent="0.25">
      <c r="S42" s="18"/>
      <c r="T42" s="160"/>
      <c r="U42" s="161"/>
      <c r="V42" s="8"/>
      <c r="W42" s="68"/>
      <c r="X42" s="68"/>
      <c r="Y42" s="71"/>
      <c r="Z42" s="71"/>
      <c r="AA42" s="65"/>
      <c r="AE42">
        <v>26</v>
      </c>
      <c r="AF42" s="40" t="s">
        <v>177</v>
      </c>
      <c r="AG42" s="15"/>
      <c r="AH42" s="38"/>
      <c r="AI42" s="41" t="e">
        <f>AND(ROUND(VarToAdjVal_save,2)=ROUND(VarToAdjVal,2),ROUND(VarToAdjValR_save,2)=ROUND(VarToAdjValR,2))</f>
        <v>#VALUE!</v>
      </c>
      <c r="AN42" s="32">
        <f t="shared" ca="1" si="0"/>
        <v>57.75</v>
      </c>
      <c r="AO42" s="53">
        <f t="shared" ca="1" si="31"/>
        <v>46661</v>
      </c>
      <c r="AP42" s="22">
        <v>35</v>
      </c>
      <c r="AQ42" s="32">
        <f t="shared" ca="1" si="32"/>
        <v>958875.58172226185</v>
      </c>
      <c r="AR42" s="23">
        <f t="array" aca="1" ref="AR42" ca="1">SUM(IF(lsc_start_date=AO42,lsc_amount,0))</f>
        <v>0</v>
      </c>
      <c r="AS42" s="24">
        <f t="shared" ca="1" si="6"/>
        <v>0</v>
      </c>
      <c r="AT42" s="24">
        <f t="shared" ca="1" si="7"/>
        <v>0</v>
      </c>
      <c r="AU42" s="24">
        <f t="shared" ca="1" si="8"/>
        <v>0</v>
      </c>
      <c r="AV42" s="25">
        <f t="shared" ca="1" si="9"/>
        <v>0</v>
      </c>
      <c r="AW42" s="23">
        <f t="array" aca="1" ref="AW42" ca="1">SUM(IF(rcs_start_date&lt;=AO42,1,0)*IF(rcs_end_date&gt;=AO42,1,0)*rcs_amount*(1+rcs_escalation/100)^(INT((AP42-rcs_months_since_start)/12))*IF(MOD((AP42-rcs_months_since_start),rcs_frequency)=0,1,0)*IF(rcs_frequency=13,0,1))+SUM(IF(rcs_start_date=AO42,rcs_amount,0)*IF(rcs_frequency=13,1,0))</f>
        <v>4867.2000000000007</v>
      </c>
      <c r="AX42" s="24">
        <f t="shared" ca="1" si="10"/>
        <v>0</v>
      </c>
      <c r="AY42" s="24">
        <f t="shared" ca="1" si="11"/>
        <v>0</v>
      </c>
      <c r="AZ42" s="24">
        <f t="shared" ca="1" si="12"/>
        <v>0</v>
      </c>
      <c r="BA42" s="25">
        <f t="shared" ca="1" si="13"/>
        <v>4867.2000000000007</v>
      </c>
      <c r="BB42" s="23">
        <f t="array" aca="1" ref="BB42" ca="1">SUM(IF(w_start_date&lt;=AO42,1,0)*IF(w_end_date&gt;=AO42,1,0)*w_amount*(1+w_escalation/100)^(INT((AP42-w_months_since_start)/12))*IF(MOD(AP42-w_months_since_start,w_frequency)=0,1,0)*IF(w_frequency=13,0,1))+SUM(IF(w_start_date=AO42,w_amount,0)*IF(w_frequency=13,1,0))</f>
        <v>0</v>
      </c>
      <c r="BC42" s="25">
        <f t="shared" ca="1" si="14"/>
        <v>0</v>
      </c>
      <c r="BD42" s="24" t="b">
        <f t="shared" ca="1" si="15"/>
        <v>0</v>
      </c>
      <c r="BE42" s="24" t="b">
        <f t="shared" ca="1" si="16"/>
        <v>1</v>
      </c>
      <c r="BF42" s="23">
        <f t="array" aca="1" ref="BF42" ca="1">SUM(IF(BD42,1,0)*IF(ap_start_date&lt;=AO42,1,0)*IF(ap_end_date&gt;=AO42,1,0)*ap_amount*(1+ap_escalation/100)^(INT((AP42-ap_months_since_start)/12))*IF(MOD(AP42-ap_months_since_start,ap_frequency)=0,1,0))</f>
        <v>0</v>
      </c>
      <c r="BG42" s="24">
        <f t="shared" ca="1" si="17"/>
        <v>0</v>
      </c>
      <c r="BH42" s="24">
        <f t="shared" ca="1" si="18"/>
        <v>0</v>
      </c>
      <c r="BI42">
        <f t="shared" ca="1" si="19"/>
        <v>0</v>
      </c>
      <c r="BJ42" s="24">
        <f t="shared" ca="1" si="20"/>
        <v>0</v>
      </c>
      <c r="BK42">
        <f t="shared" ca="1" si="21"/>
        <v>0</v>
      </c>
      <c r="BL42" s="25">
        <f t="shared" ca="1" si="22"/>
        <v>0</v>
      </c>
      <c r="BM42" s="32">
        <f t="shared" ca="1" si="1"/>
        <v>970688.78754372708</v>
      </c>
      <c r="BN42" s="23">
        <f t="shared" ca="1" si="23"/>
        <v>0</v>
      </c>
      <c r="BO42" s="24">
        <f t="shared" ca="1" si="24"/>
        <v>0</v>
      </c>
      <c r="BP42" s="25">
        <f t="shared" ca="1" si="25"/>
        <v>0</v>
      </c>
      <c r="BQ42" s="34">
        <f t="shared" ca="1" si="26"/>
        <v>46691</v>
      </c>
      <c r="BR42" s="23">
        <f t="shared" ca="1" si="27"/>
        <v>970688.78754372708</v>
      </c>
      <c r="BS42" s="24">
        <f t="shared" ca="1" si="28"/>
        <v>4867.2000000000007</v>
      </c>
      <c r="BT42" s="24">
        <f t="shared" ca="1" si="62"/>
        <v>58219.199999999997</v>
      </c>
      <c r="BU42" s="24">
        <f t="shared" ca="1" si="29"/>
        <v>0</v>
      </c>
      <c r="BV42" s="24">
        <f t="shared" ca="1" si="63"/>
        <v>0</v>
      </c>
      <c r="BW42" s="24">
        <f t="shared" ca="1" si="30"/>
        <v>0</v>
      </c>
      <c r="BX42" s="25">
        <f t="shared" ca="1" si="64"/>
        <v>0</v>
      </c>
      <c r="BY42" s="23">
        <f t="shared" ca="1" si="2"/>
        <v>865763.83460013231</v>
      </c>
      <c r="BZ42" s="24">
        <f t="shared" ca="1" si="3"/>
        <v>4355.2998905908817</v>
      </c>
      <c r="CA42" s="24">
        <f t="shared" ca="1" si="65"/>
        <v>53041.336037023044</v>
      </c>
      <c r="CB42" s="24">
        <f t="shared" ca="1" si="4"/>
        <v>0</v>
      </c>
      <c r="CC42" s="24">
        <f t="shared" ca="1" si="66"/>
        <v>0</v>
      </c>
      <c r="CD42" s="24">
        <f t="shared" ca="1" si="5"/>
        <v>0</v>
      </c>
      <c r="CE42" s="25">
        <f t="shared" ca="1" si="67"/>
        <v>0</v>
      </c>
      <c r="CF42" s="23">
        <f t="shared" ca="1" si="68"/>
        <v>0</v>
      </c>
      <c r="CG42" s="25">
        <f t="array" aca="1" ref="CG42" ca="1">SUM(BF31:BF42/(1+inflation/100)^(AP31:AP42/12))</f>
        <v>0</v>
      </c>
      <c r="CH42" s="32">
        <f ca="1">IFERROR(IF(MOD(AP42-ap_months_since_start,12)=0,ap_drawdown/100*(AQ42+AV42+BA42-BC42),CH41),0)</f>
        <v>128987.12987364075</v>
      </c>
      <c r="CJ42" s="168"/>
      <c r="CK42">
        <v>32</v>
      </c>
      <c r="CL42" t="str">
        <f t="shared" ca="1" si="72"/>
        <v/>
      </c>
      <c r="CM42" t="str">
        <f t="shared" ca="1" si="72"/>
        <v/>
      </c>
      <c r="CN42" s="1" t="str">
        <f t="shared" ca="1" si="72"/>
        <v/>
      </c>
      <c r="CO42" t="str">
        <f t="shared" si="34"/>
        <v/>
      </c>
      <c r="CP42" s="22">
        <f t="shared" ca="1" si="35"/>
        <v>0</v>
      </c>
      <c r="CR42" s="168"/>
      <c r="CS42">
        <v>32</v>
      </c>
      <c r="CT42" t="str">
        <f t="shared" ca="1" si="75"/>
        <v/>
      </c>
      <c r="CU42" t="str">
        <f t="shared" ca="1" si="75"/>
        <v/>
      </c>
      <c r="CV42" t="str">
        <f t="shared" ca="1" si="75"/>
        <v/>
      </c>
      <c r="CW42" s="1" t="str">
        <f t="shared" ca="1" si="75"/>
        <v/>
      </c>
      <c r="CX42" s="1" t="str">
        <f t="shared" ca="1" si="75"/>
        <v/>
      </c>
      <c r="CY42" t="str">
        <f t="shared" ca="1" si="75"/>
        <v/>
      </c>
      <c r="CZ42">
        <f t="shared" ca="1" si="37"/>
        <v>1</v>
      </c>
      <c r="DA42" t="str">
        <f t="shared" si="38"/>
        <v/>
      </c>
      <c r="DB42" s="22">
        <f t="shared" ca="1" si="39"/>
        <v>0</v>
      </c>
      <c r="DD42" s="168"/>
      <c r="DE42">
        <v>32</v>
      </c>
      <c r="DF42" t="str">
        <f t="shared" ca="1" si="76"/>
        <v/>
      </c>
      <c r="DG42" t="str">
        <f t="shared" ca="1" si="76"/>
        <v/>
      </c>
      <c r="DH42" t="str">
        <f t="shared" ca="1" si="76"/>
        <v/>
      </c>
      <c r="DI42" s="1" t="str">
        <f t="shared" ca="1" si="76"/>
        <v/>
      </c>
      <c r="DJ42" s="1" t="str">
        <f t="shared" ca="1" si="76"/>
        <v/>
      </c>
      <c r="DK42" t="str">
        <f t="shared" ca="1" si="76"/>
        <v/>
      </c>
      <c r="DL42">
        <f t="shared" ca="1" si="41"/>
        <v>1</v>
      </c>
      <c r="DM42" t="str">
        <f t="shared" si="42"/>
        <v/>
      </c>
      <c r="DN42" s="22">
        <f t="shared" ca="1" si="43"/>
        <v>0</v>
      </c>
      <c r="DP42" s="168"/>
      <c r="DQ42">
        <v>32</v>
      </c>
      <c r="DR42" t="str">
        <f t="shared" ca="1" si="71"/>
        <v/>
      </c>
      <c r="DS42" t="str">
        <f t="shared" ca="1" si="71"/>
        <v/>
      </c>
      <c r="DT42" t="str">
        <f t="shared" ca="1" si="71"/>
        <v/>
      </c>
      <c r="DU42" t="str">
        <f t="shared" ca="1" si="71"/>
        <v/>
      </c>
      <c r="DV42" t="str">
        <f t="shared" ca="1" si="71"/>
        <v/>
      </c>
      <c r="DW42" t="str">
        <f t="shared" ca="1" si="71"/>
        <v/>
      </c>
      <c r="DX42">
        <f t="shared" ca="1" si="57"/>
        <v>1</v>
      </c>
      <c r="DY42" t="str">
        <f t="shared" si="46"/>
        <v/>
      </c>
      <c r="DZ42">
        <f t="shared" ca="1" si="58"/>
        <v>0</v>
      </c>
      <c r="EA42" s="122">
        <f t="shared" ca="1" si="59"/>
        <v>82121</v>
      </c>
      <c r="EL42" s="21">
        <f t="shared" ca="1" si="60"/>
        <v>3</v>
      </c>
      <c r="EM42" t="str">
        <f ca="1">'Financial Planning Tool'!CL43</f>
        <v/>
      </c>
      <c r="EN42" t="str">
        <f t="shared" ca="1" si="48"/>
        <v/>
      </c>
      <c r="EO42" t="str">
        <f t="shared" ca="1" si="49"/>
        <v/>
      </c>
      <c r="EP42" s="1" t="str">
        <f t="shared" ca="1" si="50"/>
        <v/>
      </c>
      <c r="EQ42" s="1" t="str">
        <f t="shared" ca="1" si="51"/>
        <v/>
      </c>
      <c r="ER42" t="str">
        <f t="shared" ca="1" si="52"/>
        <v/>
      </c>
      <c r="ES42" t="str">
        <f t="shared" si="53"/>
        <v/>
      </c>
      <c r="ET42">
        <v>0</v>
      </c>
      <c r="EU42" s="22">
        <v>33</v>
      </c>
      <c r="EX42" s="21" t="str">
        <f ca="1">IF(EX41="","",IF(EX41+1&lt;=MAX('Financial Planning Tool'!$EL$10:$EL$209),EX41+1,""))</f>
        <v/>
      </c>
      <c r="EY42" t="str">
        <f ca="1">IF(EX42&lt;&gt;"",VLOOKUP(EX42,'Financial Planning Tool'!$EL$10:$ER$209,2,FALSE),"")</f>
        <v/>
      </c>
      <c r="EZ42" t="str">
        <f ca="1">IF(EX42&lt;&gt;"",VLOOKUP(EX42,'Financial Planning Tool'!$EL$10:$ER$209,3,FALSE),"")</f>
        <v/>
      </c>
      <c r="FA42" t="str">
        <f ca="1">IF(EX42&lt;&gt;"",VLOOKUP(EX42,'Financial Planning Tool'!$EL$10:$ER$209,4,FALSE),"")</f>
        <v/>
      </c>
      <c r="FB42" t="str">
        <f t="shared" ca="1" si="61"/>
        <v/>
      </c>
      <c r="FC42" s="1" t="str">
        <f ca="1">IF(EX42&lt;&gt;"",VLOOKUP(EX42,'Financial Planning Tool'!$EL$10:$ER$209,5,FALSE),"")</f>
        <v/>
      </c>
      <c r="FD42" s="1" t="str">
        <f ca="1">IF(EX42&lt;&gt;"",VLOOKUP(EX42,'Financial Planning Tool'!$EL$10:$ER$209,6,FALSE),"")</f>
        <v/>
      </c>
      <c r="FE42" t="str">
        <f ca="1">IF(EX42&lt;&gt;"",VLOOKUP(EX42,'Financial Planning Tool'!$EL$10:$ER$209,7,FALSE),"")</f>
        <v/>
      </c>
      <c r="FF42" t="str">
        <f ca="1">IF(EX42&lt;&gt;"",VLOOKUP(EX42,'Financial Planning Tool'!$EL$10:$ES$209,8,FALSE),"")</f>
        <v/>
      </c>
      <c r="FG42" t="str">
        <f ca="1">IF(EX42&lt;&gt;"",VLOOKUP(EX42,'Financial Planning Tool'!$EL$10:$ET$209,9,FALSE),"")</f>
        <v/>
      </c>
      <c r="FH42" t="str">
        <f t="shared" ca="1" si="55"/>
        <v/>
      </c>
      <c r="FI42" s="22" t="str">
        <f t="shared" ca="1" si="56"/>
        <v/>
      </c>
    </row>
    <row r="43" spans="1:165" x14ac:dyDescent="0.25">
      <c r="B43" s="156" t="s">
        <v>11</v>
      </c>
      <c r="C43" s="114"/>
      <c r="D43" s="179" t="s">
        <v>36</v>
      </c>
      <c r="E43" s="158" t="s">
        <v>37</v>
      </c>
      <c r="F43" s="112"/>
      <c r="S43" s="18"/>
      <c r="T43" s="160"/>
      <c r="U43" s="161"/>
      <c r="V43" s="8"/>
      <c r="W43" s="68"/>
      <c r="X43" s="68"/>
      <c r="Y43" s="71"/>
      <c r="Z43" s="71"/>
      <c r="AA43" s="65"/>
      <c r="AE43">
        <v>27</v>
      </c>
      <c r="AN43" s="32">
        <f t="shared" ca="1" si="0"/>
        <v>57.833333333333336</v>
      </c>
      <c r="AO43" s="53">
        <f t="shared" ca="1" si="31"/>
        <v>46692</v>
      </c>
      <c r="AP43" s="22">
        <v>36</v>
      </c>
      <c r="AQ43" s="32">
        <f t="shared" ca="1" si="32"/>
        <v>970688.78754372708</v>
      </c>
      <c r="AR43" s="23">
        <f t="array" aca="1" ref="AR43" ca="1">SUM(IF(lsc_start_date=AO43,lsc_amount,0))</f>
        <v>0</v>
      </c>
      <c r="AS43" s="24">
        <f t="shared" ca="1" si="6"/>
        <v>0</v>
      </c>
      <c r="AT43" s="24">
        <f t="shared" ca="1" si="7"/>
        <v>0</v>
      </c>
      <c r="AU43" s="24">
        <f t="shared" ca="1" si="8"/>
        <v>0</v>
      </c>
      <c r="AV43" s="25">
        <f t="shared" ca="1" si="9"/>
        <v>0</v>
      </c>
      <c r="AW43" s="23">
        <f t="array" aca="1" ref="AW43" ca="1">SUM(IF(rcs_start_date&lt;=AO43,1,0)*IF(rcs_end_date&gt;=AO43,1,0)*rcs_amount*(1+rcs_escalation/100)^(INT((AP43-rcs_months_since_start)/12))*IF(MOD((AP43-rcs_months_since_start),rcs_frequency)=0,1,0)*IF(rcs_frequency=13,0,1))+SUM(IF(rcs_start_date=AO43,rcs_amount,0)*IF(rcs_frequency=13,1,0))</f>
        <v>4867.2000000000007</v>
      </c>
      <c r="AX43" s="24">
        <f t="shared" ca="1" si="10"/>
        <v>0</v>
      </c>
      <c r="AY43" s="24">
        <f t="shared" ca="1" si="11"/>
        <v>0</v>
      </c>
      <c r="AZ43" s="24">
        <f t="shared" ca="1" si="12"/>
        <v>0</v>
      </c>
      <c r="BA43" s="25">
        <f t="shared" ca="1" si="13"/>
        <v>4867.2000000000007</v>
      </c>
      <c r="BB43" s="23">
        <f t="array" aca="1" ref="BB43" ca="1">SUM(IF(w_start_date&lt;=AO43,1,0)*IF(w_end_date&gt;=AO43,1,0)*w_amount*(1+w_escalation/100)^(INT((AP43-w_months_since_start)/12))*IF(MOD(AP43-w_months_since_start,w_frequency)=0,1,0)*IF(w_frequency=13,0,1))+SUM(IF(w_start_date=AO43,w_amount,0)*IF(w_frequency=13,1,0))</f>
        <v>0</v>
      </c>
      <c r="BC43" s="25">
        <f t="shared" ca="1" si="14"/>
        <v>0</v>
      </c>
      <c r="BD43" s="24" t="b">
        <f t="shared" ca="1" si="15"/>
        <v>0</v>
      </c>
      <c r="BE43" s="24" t="b">
        <f t="shared" ca="1" si="16"/>
        <v>1</v>
      </c>
      <c r="BF43" s="23">
        <f t="array" aca="1" ref="BF43" ca="1">SUM(IF(BD43,1,0)*IF(ap_start_date&lt;=AO43,1,0)*IF(ap_end_date&gt;=AO43,1,0)*ap_amount*(1+ap_escalation/100)^(INT((AP43-ap_months_since_start)/12))*IF(MOD(AP43-ap_months_since_start,ap_frequency)=0,1,0))</f>
        <v>0</v>
      </c>
      <c r="BG43" s="24">
        <f t="shared" ca="1" si="17"/>
        <v>0</v>
      </c>
      <c r="BH43" s="24">
        <f t="shared" ca="1" si="18"/>
        <v>0</v>
      </c>
      <c r="BI43">
        <f t="shared" ca="1" si="19"/>
        <v>0</v>
      </c>
      <c r="BJ43" s="24">
        <f t="shared" ca="1" si="20"/>
        <v>0</v>
      </c>
      <c r="BK43">
        <f t="shared" ca="1" si="21"/>
        <v>0</v>
      </c>
      <c r="BL43" s="25">
        <f t="shared" ca="1" si="22"/>
        <v>0</v>
      </c>
      <c r="BM43" s="32">
        <f t="shared" ca="1" si="1"/>
        <v>982587.13495894778</v>
      </c>
      <c r="BN43" s="23">
        <f t="shared" ca="1" si="23"/>
        <v>0</v>
      </c>
      <c r="BO43" s="24">
        <f t="shared" ca="1" si="24"/>
        <v>0</v>
      </c>
      <c r="BP43" s="25">
        <f t="shared" ca="1" si="25"/>
        <v>0</v>
      </c>
      <c r="BQ43" s="34">
        <f t="shared" ca="1" si="26"/>
        <v>46721</v>
      </c>
      <c r="BR43" s="23">
        <f t="shared" ca="1" si="27"/>
        <v>982587.13495894778</v>
      </c>
      <c r="BS43" s="24">
        <f t="shared" ca="1" si="28"/>
        <v>4867.2000000000007</v>
      </c>
      <c r="BT43" s="24">
        <f t="shared" ca="1" si="62"/>
        <v>58406.399999999994</v>
      </c>
      <c r="BU43" s="24">
        <f t="shared" ca="1" si="29"/>
        <v>0</v>
      </c>
      <c r="BV43" s="24">
        <f t="shared" ca="1" si="63"/>
        <v>0</v>
      </c>
      <c r="BW43" s="24">
        <f t="shared" ca="1" si="30"/>
        <v>0</v>
      </c>
      <c r="BX43" s="25">
        <f t="shared" ca="1" si="64"/>
        <v>0</v>
      </c>
      <c r="BY43" s="23">
        <f t="shared" ca="1" si="2"/>
        <v>873516.38505539135</v>
      </c>
      <c r="BZ43" s="24">
        <f t="shared" ca="1" si="3"/>
        <v>4341.0882971345145</v>
      </c>
      <c r="CA43" s="24">
        <f t="shared" ca="1" si="65"/>
        <v>53041.336037023044</v>
      </c>
      <c r="CB43" s="24">
        <f t="shared" ca="1" si="4"/>
        <v>0</v>
      </c>
      <c r="CC43" s="24">
        <f t="shared" ca="1" si="66"/>
        <v>0</v>
      </c>
      <c r="CD43" s="24">
        <f t="shared" ca="1" si="5"/>
        <v>0</v>
      </c>
      <c r="CE43" s="25">
        <f t="shared" ca="1" si="67"/>
        <v>0</v>
      </c>
      <c r="CF43" s="23">
        <f t="shared" ca="1" si="68"/>
        <v>0</v>
      </c>
      <c r="CG43" s="25">
        <f t="array" aca="1" ref="CG43" ca="1">SUM(BF32:BF43/(1+inflation/100)^(AP32:AP43/12))</f>
        <v>0</v>
      </c>
      <c r="CH43" s="32">
        <f ca="1">IFERROR(IF(MOD(AP43-ap_months_since_start,12)=0,ap_drawdown/100*(AQ43+AV43+BA43-BC43),CH42),0)</f>
        <v>149937.22068839692</v>
      </c>
      <c r="CJ43" s="168"/>
      <c r="CK43">
        <v>33</v>
      </c>
      <c r="CL43" t="str">
        <f t="shared" ca="1" si="72"/>
        <v/>
      </c>
      <c r="CM43" t="str">
        <f t="shared" ca="1" si="72"/>
        <v/>
      </c>
      <c r="CN43" s="1" t="str">
        <f t="shared" ca="1" si="72"/>
        <v/>
      </c>
      <c r="CO43" t="str">
        <f t="shared" ref="CO43:CO60" si="77">IF(CK43&lt;=lsc,"lsc_a_n_"&amp;CK43,"")</f>
        <v/>
      </c>
      <c r="CP43" s="22">
        <f t="shared" ref="CP43:CP60" ca="1" si="78">IFERROR(YEAR(CN43)*12+MONTH(CN43)-YEAR(date_start)*12-MONTH(date_start)+1,0)</f>
        <v>0</v>
      </c>
      <c r="CR43" s="168"/>
      <c r="CS43">
        <v>33</v>
      </c>
      <c r="CT43" t="str">
        <f t="shared" ca="1" si="75"/>
        <v/>
      </c>
      <c r="CU43" t="str">
        <f t="shared" ca="1" si="75"/>
        <v/>
      </c>
      <c r="CV43" t="str">
        <f t="shared" ca="1" si="75"/>
        <v/>
      </c>
      <c r="CW43" s="1" t="str">
        <f t="shared" ca="1" si="75"/>
        <v/>
      </c>
      <c r="CX43" s="1" t="str">
        <f t="shared" ca="1" si="75"/>
        <v/>
      </c>
      <c r="CY43" t="str">
        <f t="shared" ca="1" si="75"/>
        <v/>
      </c>
      <c r="CZ43">
        <f t="shared" ref="CZ43:CZ60" ca="1" si="79">IFERROR(VLOOKUP(CU43,freq_options,3,FALSE),1)</f>
        <v>1</v>
      </c>
      <c r="DA43" t="str">
        <f t="shared" ref="DA43:DA60" si="80">IF(CS43&lt;=rcs,"rcs_a_n_"&amp;CS43,"")</f>
        <v/>
      </c>
      <c r="DB43" s="22">
        <f t="shared" ref="DB43:DB60" ca="1" si="81">IFERROR(YEAR(CW43)*12+MONTH(CW43)-YEAR(date_start)*12-MONTH(date_start)+1,0)</f>
        <v>0</v>
      </c>
      <c r="DD43" s="168"/>
      <c r="DE43">
        <v>33</v>
      </c>
      <c r="DF43" t="str">
        <f t="shared" ca="1" si="76"/>
        <v/>
      </c>
      <c r="DG43" t="str">
        <f t="shared" ca="1" si="76"/>
        <v/>
      </c>
      <c r="DH43" t="str">
        <f t="shared" ca="1" si="76"/>
        <v/>
      </c>
      <c r="DI43" s="1" t="str">
        <f t="shared" ca="1" si="76"/>
        <v/>
      </c>
      <c r="DJ43" s="1" t="str">
        <f t="shared" ca="1" si="76"/>
        <v/>
      </c>
      <c r="DK43" t="str">
        <f t="shared" ca="1" si="76"/>
        <v/>
      </c>
      <c r="DL43">
        <f t="shared" ref="DL43:DL60" ca="1" si="82">IFERROR(VLOOKUP(DG43,freq_options,3,FALSE),1)</f>
        <v>1</v>
      </c>
      <c r="DM43" t="str">
        <f t="shared" ref="DM43:DM60" si="83">IF(DE43&lt;=w,"w_a_n_"&amp;DE43,"")</f>
        <v/>
      </c>
      <c r="DN43" s="22">
        <f t="shared" ref="DN43:DN60" ca="1" si="84">IFERROR(YEAR(DI43)*12+MONTH(DI43)-YEAR(date_start)*12-MONTH(date_start)+1,0)</f>
        <v>0</v>
      </c>
      <c r="DP43" s="168"/>
      <c r="DQ43">
        <v>33</v>
      </c>
      <c r="DR43" t="str">
        <f t="shared" ca="1" si="71"/>
        <v/>
      </c>
      <c r="DS43" t="str">
        <f t="shared" ca="1" si="71"/>
        <v/>
      </c>
      <c r="DT43" t="str">
        <f t="shared" ca="1" si="71"/>
        <v/>
      </c>
      <c r="DU43" t="str">
        <f t="shared" ca="1" si="71"/>
        <v/>
      </c>
      <c r="DV43" t="str">
        <f t="shared" ca="1" si="71"/>
        <v/>
      </c>
      <c r="DW43" t="str">
        <f t="shared" ca="1" si="71"/>
        <v/>
      </c>
      <c r="DX43">
        <f t="shared" ca="1" si="57"/>
        <v>1</v>
      </c>
      <c r="DY43" t="str">
        <f t="shared" ref="DY43:DY60" si="85">IF(DQ43&lt;=ap,"ap_a_n_"&amp;DQ43,"")</f>
        <v/>
      </c>
      <c r="DZ43">
        <f t="shared" ca="1" si="58"/>
        <v>0</v>
      </c>
      <c r="EA43" s="122">
        <f t="shared" ca="1" si="59"/>
        <v>82121</v>
      </c>
      <c r="EL43" s="21">
        <f t="shared" ca="1" si="60"/>
        <v>3</v>
      </c>
      <c r="EM43" t="str">
        <f ca="1">'Financial Planning Tool'!CL44</f>
        <v/>
      </c>
      <c r="EN43" t="str">
        <f t="shared" ca="1" si="48"/>
        <v/>
      </c>
      <c r="EO43" t="str">
        <f t="shared" ca="1" si="49"/>
        <v/>
      </c>
      <c r="EP43" s="1" t="str">
        <f t="shared" ca="1" si="50"/>
        <v/>
      </c>
      <c r="EQ43" s="1" t="str">
        <f t="shared" ca="1" si="51"/>
        <v/>
      </c>
      <c r="ER43" t="str">
        <f t="shared" ca="1" si="52"/>
        <v/>
      </c>
      <c r="ES43" t="str">
        <f t="shared" si="53"/>
        <v/>
      </c>
      <c r="ET43">
        <v>0</v>
      </c>
      <c r="EU43" s="22">
        <v>34</v>
      </c>
      <c r="EX43" s="21" t="str">
        <f ca="1">IF(EX42="","",IF(EX42+1&lt;=MAX('Financial Planning Tool'!$EL$10:$EL$209),EX42+1,""))</f>
        <v/>
      </c>
      <c r="EY43" t="str">
        <f ca="1">IF(EX43&lt;&gt;"",VLOOKUP(EX43,'Financial Planning Tool'!$EL$10:$ER$209,2,FALSE),"")</f>
        <v/>
      </c>
      <c r="EZ43" t="str">
        <f ca="1">IF(EX43&lt;&gt;"",VLOOKUP(EX43,'Financial Planning Tool'!$EL$10:$ER$209,3,FALSE),"")</f>
        <v/>
      </c>
      <c r="FA43" t="str">
        <f ca="1">IF(EX43&lt;&gt;"",VLOOKUP(EX43,'Financial Planning Tool'!$EL$10:$ER$209,4,FALSE),"")</f>
        <v/>
      </c>
      <c r="FB43" t="str">
        <f t="shared" ca="1" si="61"/>
        <v/>
      </c>
      <c r="FC43" s="1" t="str">
        <f ca="1">IF(EX43&lt;&gt;"",VLOOKUP(EX43,'Financial Planning Tool'!$EL$10:$ER$209,5,FALSE),"")</f>
        <v/>
      </c>
      <c r="FD43" s="1" t="str">
        <f ca="1">IF(EX43&lt;&gt;"",VLOOKUP(EX43,'Financial Planning Tool'!$EL$10:$ER$209,6,FALSE),"")</f>
        <v/>
      </c>
      <c r="FE43" t="str">
        <f ca="1">IF(EX43&lt;&gt;"",VLOOKUP(EX43,'Financial Planning Tool'!$EL$10:$ER$209,7,FALSE),"")</f>
        <v/>
      </c>
      <c r="FF43" t="str">
        <f ca="1">IF(EX43&lt;&gt;"",VLOOKUP(EX43,'Financial Planning Tool'!$EL$10:$ES$209,8,FALSE),"")</f>
        <v/>
      </c>
      <c r="FG43" t="str">
        <f ca="1">IF(EX43&lt;&gt;"",VLOOKUP(EX43,'Financial Planning Tool'!$EL$10:$ET$209,9,FALSE),"")</f>
        <v/>
      </c>
      <c r="FH43" t="str">
        <f t="shared" ref="FH43:FH74" ca="1" si="86">IF(AdjVarType="Escalation",FE43,IF(AdjVarType="Drawdown",FG43,FA43))</f>
        <v/>
      </c>
      <c r="FI43" s="22" t="str">
        <f t="shared" ref="FI43:FI74" ca="1" si="87">IF(AdjVarType="Escalation",IFERROR(FE43-inflation,FE43),IF(AdjVarType="Drawdown",FG43,FB43))</f>
        <v/>
      </c>
    </row>
    <row r="44" spans="1:165" x14ac:dyDescent="0.25">
      <c r="B44" s="157"/>
      <c r="C44" s="115"/>
      <c r="D44" s="159"/>
      <c r="E44" s="159"/>
      <c r="F44" s="113"/>
      <c r="S44" s="18"/>
      <c r="T44" s="160"/>
      <c r="U44" s="161"/>
      <c r="V44" s="8"/>
      <c r="W44" s="68"/>
      <c r="X44" s="68"/>
      <c r="Y44" s="71"/>
      <c r="Z44" s="71"/>
      <c r="AA44" s="65"/>
      <c r="AE44">
        <v>28</v>
      </c>
      <c r="AN44" s="32">
        <f t="shared" ca="1" si="0"/>
        <v>57.916666666666664</v>
      </c>
      <c r="AO44" s="53">
        <f t="shared" ca="1" si="31"/>
        <v>46722</v>
      </c>
      <c r="AP44" s="22">
        <v>37</v>
      </c>
      <c r="AQ44" s="32">
        <f t="shared" ca="1" si="32"/>
        <v>982587.13495894778</v>
      </c>
      <c r="AR44" s="23">
        <f t="array" aca="1" ref="AR44" ca="1">SUM(IF(lsc_start_date=AO44,lsc_amount,0))</f>
        <v>0</v>
      </c>
      <c r="AS44" s="24">
        <f t="shared" ca="1" si="6"/>
        <v>0</v>
      </c>
      <c r="AT44" s="24">
        <f t="shared" ca="1" si="7"/>
        <v>0</v>
      </c>
      <c r="AU44" s="24">
        <f t="shared" ca="1" si="8"/>
        <v>0</v>
      </c>
      <c r="AV44" s="25">
        <f t="shared" ca="1" si="9"/>
        <v>0</v>
      </c>
      <c r="AW44" s="23">
        <f t="array" aca="1" ref="AW44" ca="1">SUM(IF(rcs_start_date&lt;=AO44,1,0)*IF(rcs_end_date&gt;=AO44,1,0)*rcs_amount*(1+rcs_escalation/100)^(INT((AP44-rcs_months_since_start)/12))*IF(MOD((AP44-rcs_months_since_start),rcs_frequency)=0,1,0)*IF(rcs_frequency=13,0,1))+SUM(IF(rcs_start_date=AO44,rcs_amount,0)*IF(rcs_frequency=13,1,0))</f>
        <v>5061.8879999999999</v>
      </c>
      <c r="AX44" s="24">
        <f t="shared" ca="1" si="10"/>
        <v>0</v>
      </c>
      <c r="AY44" s="24">
        <f t="shared" ca="1" si="11"/>
        <v>0</v>
      </c>
      <c r="AZ44" s="24">
        <f t="shared" ca="1" si="12"/>
        <v>0</v>
      </c>
      <c r="BA44" s="25">
        <f t="shared" ca="1" si="13"/>
        <v>5061.8879999999999</v>
      </c>
      <c r="BB44" s="23">
        <f t="array" aca="1" ref="BB44" ca="1">SUM(IF(w_start_date&lt;=AO44,1,0)*IF(w_end_date&gt;=AO44,1,0)*w_amount*(1+w_escalation/100)^(INT((AP44-w_months_since_start)/12))*IF(MOD(AP44-w_months_since_start,w_frequency)=0,1,0)*IF(w_frequency=13,0,1))+SUM(IF(w_start_date=AO44,w_amount,0)*IF(w_frequency=13,1,0))</f>
        <v>0</v>
      </c>
      <c r="BC44" s="25">
        <f t="shared" ca="1" si="14"/>
        <v>0</v>
      </c>
      <c r="BD44" s="24" t="b">
        <f t="shared" ca="1" si="15"/>
        <v>0</v>
      </c>
      <c r="BE44" s="24" t="b">
        <f t="shared" ca="1" si="16"/>
        <v>1</v>
      </c>
      <c r="BF44" s="23">
        <f t="array" aca="1" ref="BF44" ca="1">SUM(IF(BD44,1,0)*IF(ap_start_date&lt;=AO44,1,0)*IF(ap_end_date&gt;=AO44,1,0)*ap_amount*(1+ap_escalation/100)^(INT((AP44-ap_months_since_start)/12))*IF(MOD(AP44-ap_months_since_start,ap_frequency)=0,1,0))</f>
        <v>0</v>
      </c>
      <c r="BG44" s="24">
        <f t="shared" ca="1" si="17"/>
        <v>0</v>
      </c>
      <c r="BH44" s="24">
        <f t="shared" ca="1" si="18"/>
        <v>0</v>
      </c>
      <c r="BI44">
        <f t="shared" ca="1" si="19"/>
        <v>0</v>
      </c>
      <c r="BJ44" s="24">
        <f t="shared" ca="1" si="20"/>
        <v>0</v>
      </c>
      <c r="BK44">
        <f t="shared" ca="1" si="21"/>
        <v>0</v>
      </c>
      <c r="BL44" s="25">
        <f t="shared" ca="1" si="22"/>
        <v>0</v>
      </c>
      <c r="BM44" s="32">
        <f t="shared" ca="1" si="1"/>
        <v>994767.32879027945</v>
      </c>
      <c r="BN44" s="23">
        <f t="shared" ca="1" si="23"/>
        <v>0</v>
      </c>
      <c r="BO44" s="24">
        <f t="shared" ca="1" si="24"/>
        <v>0</v>
      </c>
      <c r="BP44" s="25">
        <f t="shared" ca="1" si="25"/>
        <v>0</v>
      </c>
      <c r="BQ44" s="34">
        <f t="shared" ca="1" si="26"/>
        <v>46752</v>
      </c>
      <c r="BR44" s="23">
        <f t="shared" ca="1" si="27"/>
        <v>994767.32879027945</v>
      </c>
      <c r="BS44" s="24">
        <f t="shared" ca="1" si="28"/>
        <v>5061.8879999999999</v>
      </c>
      <c r="BT44" s="24">
        <f t="shared" ca="1" si="62"/>
        <v>58601.087999999996</v>
      </c>
      <c r="BU44" s="24">
        <f t="shared" ca="1" si="29"/>
        <v>0</v>
      </c>
      <c r="BV44" s="24">
        <f t="shared" ca="1" si="63"/>
        <v>0</v>
      </c>
      <c r="BW44" s="24">
        <f t="shared" ca="1" si="30"/>
        <v>0</v>
      </c>
      <c r="BX44" s="25">
        <f t="shared" ca="1" si="64"/>
        <v>0</v>
      </c>
      <c r="BY44" s="23">
        <f t="shared" ca="1" si="2"/>
        <v>881458.86606314837</v>
      </c>
      <c r="BZ44" s="24">
        <f t="shared" ca="1" si="3"/>
        <v>4500</v>
      </c>
      <c r="CA44" s="24">
        <f t="shared" ca="1" si="65"/>
        <v>53041.336037023044</v>
      </c>
      <c r="CB44" s="24">
        <f t="shared" ca="1" si="4"/>
        <v>0</v>
      </c>
      <c r="CC44" s="24">
        <f t="shared" ca="1" si="66"/>
        <v>0</v>
      </c>
      <c r="CD44" s="24">
        <f t="shared" ca="1" si="5"/>
        <v>0</v>
      </c>
      <c r="CE44" s="25">
        <f t="shared" ca="1" si="67"/>
        <v>0</v>
      </c>
      <c r="CF44" s="23">
        <f t="shared" ca="1" si="68"/>
        <v>0</v>
      </c>
      <c r="CG44" s="25">
        <f t="array" aca="1" ref="CG44" ca="1">SUM(BF33:BF44/(1+inflation/100)^(AP33:AP44/12))</f>
        <v>0</v>
      </c>
      <c r="CH44" s="32">
        <f ca="1">IFERROR(IF(MOD(AP44-ap_months_since_start,12)=0,ap_drawdown/100*(AQ44+AV44+BA44-BC44),CH43),0)</f>
        <v>149937.22068839692</v>
      </c>
      <c r="CJ44" s="168"/>
      <c r="CK44">
        <v>34</v>
      </c>
      <c r="CL44" t="str">
        <f t="shared" ca="1" si="72"/>
        <v/>
      </c>
      <c r="CM44" t="str">
        <f t="shared" ca="1" si="72"/>
        <v/>
      </c>
      <c r="CN44" s="1" t="str">
        <f t="shared" ca="1" si="72"/>
        <v/>
      </c>
      <c r="CO44" t="str">
        <f t="shared" si="77"/>
        <v/>
      </c>
      <c r="CP44" s="22">
        <f t="shared" ca="1" si="78"/>
        <v>0</v>
      </c>
      <c r="CR44" s="168"/>
      <c r="CS44">
        <v>34</v>
      </c>
      <c r="CT44" t="str">
        <f t="shared" ca="1" si="75"/>
        <v/>
      </c>
      <c r="CU44" t="str">
        <f t="shared" ca="1" si="75"/>
        <v/>
      </c>
      <c r="CV44" t="str">
        <f t="shared" ca="1" si="75"/>
        <v/>
      </c>
      <c r="CW44" s="1" t="str">
        <f t="shared" ca="1" si="75"/>
        <v/>
      </c>
      <c r="CX44" s="1" t="str">
        <f t="shared" ca="1" si="75"/>
        <v/>
      </c>
      <c r="CY44" t="str">
        <f t="shared" ca="1" si="75"/>
        <v/>
      </c>
      <c r="CZ44">
        <f t="shared" ca="1" si="79"/>
        <v>1</v>
      </c>
      <c r="DA44" t="str">
        <f t="shared" si="80"/>
        <v/>
      </c>
      <c r="DB44" s="22">
        <f t="shared" ca="1" si="81"/>
        <v>0</v>
      </c>
      <c r="DD44" s="168"/>
      <c r="DE44">
        <v>34</v>
      </c>
      <c r="DF44" t="str">
        <f t="shared" ca="1" si="76"/>
        <v/>
      </c>
      <c r="DG44" t="str">
        <f t="shared" ca="1" si="76"/>
        <v/>
      </c>
      <c r="DH44" t="str">
        <f t="shared" ca="1" si="76"/>
        <v/>
      </c>
      <c r="DI44" s="1" t="str">
        <f t="shared" ca="1" si="76"/>
        <v/>
      </c>
      <c r="DJ44" s="1" t="str">
        <f t="shared" ca="1" si="76"/>
        <v/>
      </c>
      <c r="DK44" t="str">
        <f t="shared" ca="1" si="76"/>
        <v/>
      </c>
      <c r="DL44">
        <f t="shared" ca="1" si="82"/>
        <v>1</v>
      </c>
      <c r="DM44" t="str">
        <f t="shared" si="83"/>
        <v/>
      </c>
      <c r="DN44" s="22">
        <f t="shared" ca="1" si="84"/>
        <v>0</v>
      </c>
      <c r="DP44" s="168"/>
      <c r="DQ44">
        <v>34</v>
      </c>
      <c r="DR44" t="str">
        <f t="shared" ca="1" si="71"/>
        <v/>
      </c>
      <c r="DS44" t="str">
        <f t="shared" ca="1" si="71"/>
        <v/>
      </c>
      <c r="DT44" t="str">
        <f t="shared" ca="1" si="71"/>
        <v/>
      </c>
      <c r="DU44" t="str">
        <f t="shared" ca="1" si="71"/>
        <v/>
      </c>
      <c r="DV44" t="str">
        <f t="shared" ca="1" si="71"/>
        <v/>
      </c>
      <c r="DW44" t="str">
        <f t="shared" ca="1" si="71"/>
        <v/>
      </c>
      <c r="DX44">
        <f t="shared" ca="1" si="57"/>
        <v>1</v>
      </c>
      <c r="DY44" t="str">
        <f t="shared" si="85"/>
        <v/>
      </c>
      <c r="DZ44">
        <f t="shared" ca="1" si="58"/>
        <v>0</v>
      </c>
      <c r="EA44" s="122">
        <f t="shared" ca="1" si="59"/>
        <v>82121</v>
      </c>
      <c r="EL44" s="21">
        <f t="shared" ca="1" si="60"/>
        <v>3</v>
      </c>
      <c r="EM44" t="str">
        <f ca="1">'Financial Planning Tool'!CL45</f>
        <v/>
      </c>
      <c r="EN44" t="str">
        <f t="shared" ca="1" si="48"/>
        <v/>
      </c>
      <c r="EO44" t="str">
        <f t="shared" ca="1" si="49"/>
        <v/>
      </c>
      <c r="EP44" s="1" t="str">
        <f t="shared" ca="1" si="50"/>
        <v/>
      </c>
      <c r="EQ44" s="1" t="str">
        <f t="shared" ca="1" si="51"/>
        <v/>
      </c>
      <c r="ER44" t="str">
        <f t="shared" ca="1" si="52"/>
        <v/>
      </c>
      <c r="ES44" t="str">
        <f t="shared" si="53"/>
        <v/>
      </c>
      <c r="ET44">
        <v>0</v>
      </c>
      <c r="EU44" s="22">
        <v>35</v>
      </c>
      <c r="EX44" s="21" t="str">
        <f ca="1">IF(EX43="","",IF(EX43+1&lt;=MAX('Financial Planning Tool'!$EL$10:$EL$209),EX43+1,""))</f>
        <v/>
      </c>
      <c r="EY44" t="str">
        <f ca="1">IF(EX44&lt;&gt;"",VLOOKUP(EX44,'Financial Planning Tool'!$EL$10:$ER$209,2,FALSE),"")</f>
        <v/>
      </c>
      <c r="EZ44" t="str">
        <f ca="1">IF(EX44&lt;&gt;"",VLOOKUP(EX44,'Financial Planning Tool'!$EL$10:$ER$209,3,FALSE),"")</f>
        <v/>
      </c>
      <c r="FA44" t="str">
        <f ca="1">IF(EX44&lt;&gt;"",VLOOKUP(EX44,'Financial Planning Tool'!$EL$10:$ER$209,4,FALSE),"")</f>
        <v/>
      </c>
      <c r="FB44" t="str">
        <f t="shared" ca="1" si="61"/>
        <v/>
      </c>
      <c r="FC44" s="1" t="str">
        <f ca="1">IF(EX44&lt;&gt;"",VLOOKUP(EX44,'Financial Planning Tool'!$EL$10:$ER$209,5,FALSE),"")</f>
        <v/>
      </c>
      <c r="FD44" s="1" t="str">
        <f ca="1">IF(EX44&lt;&gt;"",VLOOKUP(EX44,'Financial Planning Tool'!$EL$10:$ER$209,6,FALSE),"")</f>
        <v/>
      </c>
      <c r="FE44" t="str">
        <f ca="1">IF(EX44&lt;&gt;"",VLOOKUP(EX44,'Financial Planning Tool'!$EL$10:$ER$209,7,FALSE),"")</f>
        <v/>
      </c>
      <c r="FF44" t="str">
        <f ca="1">IF(EX44&lt;&gt;"",VLOOKUP(EX44,'Financial Planning Tool'!$EL$10:$ES$209,8,FALSE),"")</f>
        <v/>
      </c>
      <c r="FG44" t="str">
        <f ca="1">IF(EX44&lt;&gt;"",VLOOKUP(EX44,'Financial Planning Tool'!$EL$10:$ET$209,9,FALSE),"")</f>
        <v/>
      </c>
      <c r="FH44" t="str">
        <f t="shared" ca="1" si="86"/>
        <v/>
      </c>
      <c r="FI44" s="22" t="str">
        <f t="shared" ca="1" si="87"/>
        <v/>
      </c>
    </row>
    <row r="45" spans="1:165" x14ac:dyDescent="0.25">
      <c r="A45" s="20">
        <v>3</v>
      </c>
      <c r="B45" s="83" t="s">
        <v>12</v>
      </c>
      <c r="C45" s="84"/>
      <c r="D45" s="84"/>
      <c r="E45" s="84"/>
      <c r="F45" s="85"/>
      <c r="S45" s="18"/>
      <c r="T45" s="160"/>
      <c r="U45" s="161"/>
      <c r="V45" s="8"/>
      <c r="W45" s="68"/>
      <c r="X45" s="68"/>
      <c r="Y45" s="71"/>
      <c r="Z45" s="71"/>
      <c r="AA45" s="65"/>
      <c r="AE45">
        <v>29</v>
      </c>
      <c r="AN45" s="32">
        <f t="shared" ca="1" si="0"/>
        <v>58</v>
      </c>
      <c r="AO45" s="53">
        <f t="shared" ca="1" si="31"/>
        <v>46753</v>
      </c>
      <c r="AP45" s="22">
        <v>38</v>
      </c>
      <c r="AQ45" s="32">
        <f t="shared" ca="1" si="32"/>
        <v>994767.32879027945</v>
      </c>
      <c r="AR45" s="23">
        <f t="array" aca="1" ref="AR45" ca="1">SUM(IF(lsc_start_date=AO45,lsc_amount,0))</f>
        <v>0</v>
      </c>
      <c r="AS45" s="24">
        <f t="shared" ca="1" si="6"/>
        <v>0</v>
      </c>
      <c r="AT45" s="24">
        <f t="shared" ca="1" si="7"/>
        <v>0</v>
      </c>
      <c r="AU45" s="24">
        <f t="shared" ca="1" si="8"/>
        <v>0</v>
      </c>
      <c r="AV45" s="25">
        <f t="shared" ca="1" si="9"/>
        <v>0</v>
      </c>
      <c r="AW45" s="23">
        <f t="array" aca="1" ref="AW45" ca="1">SUM(IF(rcs_start_date&lt;=AO45,1,0)*IF(rcs_end_date&gt;=AO45,1,0)*rcs_amount*(1+rcs_escalation/100)^(INT((AP45-rcs_months_since_start)/12))*IF(MOD((AP45-rcs_months_since_start),rcs_frequency)=0,1,0)*IF(rcs_frequency=13,0,1))+SUM(IF(rcs_start_date=AO45,rcs_amount,0)*IF(rcs_frequency=13,1,0))</f>
        <v>5061.8879999999999</v>
      </c>
      <c r="AX45" s="24">
        <f t="shared" ca="1" si="10"/>
        <v>0</v>
      </c>
      <c r="AY45" s="24">
        <f t="shared" ca="1" si="11"/>
        <v>0</v>
      </c>
      <c r="AZ45" s="24">
        <f t="shared" ca="1" si="12"/>
        <v>0</v>
      </c>
      <c r="BA45" s="25">
        <f t="shared" ca="1" si="13"/>
        <v>5061.8879999999999</v>
      </c>
      <c r="BB45" s="23">
        <f t="array" aca="1" ref="BB45" ca="1">SUM(IF(w_start_date&lt;=AO45,1,0)*IF(w_end_date&gt;=AO45,1,0)*w_amount*(1+w_escalation/100)^(INT((AP45-w_months_since_start)/12))*IF(MOD(AP45-w_months_since_start,w_frequency)=0,1,0)*IF(w_frequency=13,0,1))+SUM(IF(w_start_date=AO45,w_amount,0)*IF(w_frequency=13,1,0))</f>
        <v>0</v>
      </c>
      <c r="BC45" s="25">
        <f t="shared" ca="1" si="14"/>
        <v>0</v>
      </c>
      <c r="BD45" s="24" t="b">
        <f t="shared" ca="1" si="15"/>
        <v>0</v>
      </c>
      <c r="BE45" s="24" t="b">
        <f t="shared" ca="1" si="16"/>
        <v>1</v>
      </c>
      <c r="BF45" s="23">
        <f t="array" aca="1" ref="BF45" ca="1">SUM(IF(BD45,1,0)*IF(ap_start_date&lt;=AO45,1,0)*IF(ap_end_date&gt;=AO45,1,0)*ap_amount*(1+ap_escalation/100)^(INT((AP45-ap_months_since_start)/12))*IF(MOD(AP45-ap_months_since_start,ap_frequency)=0,1,0))</f>
        <v>0</v>
      </c>
      <c r="BG45" s="24">
        <f t="shared" ca="1" si="17"/>
        <v>0</v>
      </c>
      <c r="BH45" s="24">
        <f t="shared" ca="1" si="18"/>
        <v>0</v>
      </c>
      <c r="BI45">
        <f t="shared" ca="1" si="19"/>
        <v>0</v>
      </c>
      <c r="BJ45" s="24">
        <f t="shared" ca="1" si="20"/>
        <v>0</v>
      </c>
      <c r="BK45">
        <f t="shared" ca="1" si="21"/>
        <v>0</v>
      </c>
      <c r="BL45" s="25">
        <f t="shared" ca="1" si="22"/>
        <v>0</v>
      </c>
      <c r="BM45" s="32">
        <f t="shared" ca="1" si="1"/>
        <v>1007035.3092166068</v>
      </c>
      <c r="BN45" s="23">
        <f t="shared" ca="1" si="23"/>
        <v>0</v>
      </c>
      <c r="BO45" s="24">
        <f t="shared" ca="1" si="24"/>
        <v>0</v>
      </c>
      <c r="BP45" s="25">
        <f t="shared" ca="1" si="25"/>
        <v>0</v>
      </c>
      <c r="BQ45" s="34">
        <f t="shared" ca="1" si="26"/>
        <v>46783</v>
      </c>
      <c r="BR45" s="23">
        <f t="shared" ca="1" si="27"/>
        <v>1007035.3092166068</v>
      </c>
      <c r="BS45" s="24">
        <f t="shared" ca="1" si="28"/>
        <v>5061.8879999999999</v>
      </c>
      <c r="BT45" s="24">
        <f t="shared" ca="1" si="62"/>
        <v>58795.775999999998</v>
      </c>
      <c r="BU45" s="24">
        <f t="shared" ca="1" si="29"/>
        <v>0</v>
      </c>
      <c r="BV45" s="24">
        <f t="shared" ca="1" si="63"/>
        <v>0</v>
      </c>
      <c r="BW45" s="24">
        <f t="shared" ca="1" si="30"/>
        <v>0</v>
      </c>
      <c r="BX45" s="25">
        <f t="shared" ca="1" si="64"/>
        <v>0</v>
      </c>
      <c r="BY45" s="23">
        <f t="shared" ca="1" si="2"/>
        <v>889417.74620809872</v>
      </c>
      <c r="BZ45" s="24">
        <f t="shared" ca="1" si="3"/>
        <v>4485.3162417835301</v>
      </c>
      <c r="CA45" s="24">
        <f t="shared" ca="1" si="65"/>
        <v>53041.336037023051</v>
      </c>
      <c r="CB45" s="24">
        <f t="shared" ca="1" si="4"/>
        <v>0</v>
      </c>
      <c r="CC45" s="24">
        <f t="shared" ca="1" si="66"/>
        <v>0</v>
      </c>
      <c r="CD45" s="24">
        <f t="shared" ca="1" si="5"/>
        <v>0</v>
      </c>
      <c r="CE45" s="25">
        <f t="shared" ca="1" si="67"/>
        <v>0</v>
      </c>
      <c r="CF45" s="23">
        <f t="shared" ca="1" si="68"/>
        <v>0</v>
      </c>
      <c r="CG45" s="25">
        <f t="array" aca="1" ref="CG45" ca="1">SUM(BF34:BF45/(1+inflation/100)^(AP34:AP45/12))</f>
        <v>0</v>
      </c>
      <c r="CH45" s="32">
        <f ca="1">IFERROR(IF(MOD(AP45-ap_months_since_start,12)=0,ap_drawdown/100*(AQ45+AV45+BA45-BC45),CH44),0)</f>
        <v>149937.22068839692</v>
      </c>
      <c r="CJ45" s="168"/>
      <c r="CK45">
        <v>35</v>
      </c>
      <c r="CL45" t="str">
        <f t="shared" ca="1" si="72"/>
        <v/>
      </c>
      <c r="CM45" t="str">
        <f t="shared" ca="1" si="72"/>
        <v/>
      </c>
      <c r="CN45" s="1" t="str">
        <f t="shared" ca="1" si="72"/>
        <v/>
      </c>
      <c r="CO45" t="str">
        <f t="shared" si="77"/>
        <v/>
      </c>
      <c r="CP45" s="22">
        <f t="shared" ca="1" si="78"/>
        <v>0</v>
      </c>
      <c r="CR45" s="168"/>
      <c r="CS45">
        <v>35</v>
      </c>
      <c r="CT45" t="str">
        <f t="shared" ca="1" si="75"/>
        <v/>
      </c>
      <c r="CU45" t="str">
        <f t="shared" ca="1" si="75"/>
        <v/>
      </c>
      <c r="CV45" t="str">
        <f t="shared" ca="1" si="75"/>
        <v/>
      </c>
      <c r="CW45" s="1" t="str">
        <f t="shared" ca="1" si="75"/>
        <v/>
      </c>
      <c r="CX45" s="1" t="str">
        <f t="shared" ca="1" si="75"/>
        <v/>
      </c>
      <c r="CY45" t="str">
        <f t="shared" ca="1" si="75"/>
        <v/>
      </c>
      <c r="CZ45">
        <f t="shared" ca="1" si="79"/>
        <v>1</v>
      </c>
      <c r="DA45" t="str">
        <f t="shared" si="80"/>
        <v/>
      </c>
      <c r="DB45" s="22">
        <f t="shared" ca="1" si="81"/>
        <v>0</v>
      </c>
      <c r="DD45" s="168"/>
      <c r="DE45">
        <v>35</v>
      </c>
      <c r="DF45" t="str">
        <f t="shared" ca="1" si="76"/>
        <v/>
      </c>
      <c r="DG45" t="str">
        <f t="shared" ca="1" si="76"/>
        <v/>
      </c>
      <c r="DH45" t="str">
        <f t="shared" ca="1" si="76"/>
        <v/>
      </c>
      <c r="DI45" s="1" t="str">
        <f t="shared" ca="1" si="76"/>
        <v/>
      </c>
      <c r="DJ45" s="1" t="str">
        <f t="shared" ca="1" si="76"/>
        <v/>
      </c>
      <c r="DK45" t="str">
        <f t="shared" ca="1" si="76"/>
        <v/>
      </c>
      <c r="DL45">
        <f t="shared" ca="1" si="82"/>
        <v>1</v>
      </c>
      <c r="DM45" t="str">
        <f t="shared" si="83"/>
        <v/>
      </c>
      <c r="DN45" s="22">
        <f t="shared" ca="1" si="84"/>
        <v>0</v>
      </c>
      <c r="DP45" s="168"/>
      <c r="DQ45">
        <v>35</v>
      </c>
      <c r="DR45" t="str">
        <f t="shared" ca="1" si="71"/>
        <v/>
      </c>
      <c r="DS45" t="str">
        <f t="shared" ca="1" si="71"/>
        <v/>
      </c>
      <c r="DT45" t="str">
        <f t="shared" ca="1" si="71"/>
        <v/>
      </c>
      <c r="DU45" t="str">
        <f t="shared" ca="1" si="71"/>
        <v/>
      </c>
      <c r="DV45" t="str">
        <f t="shared" ca="1" si="71"/>
        <v/>
      </c>
      <c r="DW45" t="str">
        <f t="shared" ca="1" si="71"/>
        <v/>
      </c>
      <c r="DX45">
        <f t="shared" ca="1" si="57"/>
        <v>1</v>
      </c>
      <c r="DY45" t="str">
        <f t="shared" si="85"/>
        <v/>
      </c>
      <c r="DZ45">
        <f t="shared" ca="1" si="58"/>
        <v>0</v>
      </c>
      <c r="EA45" s="122">
        <f t="shared" ca="1" si="59"/>
        <v>82121</v>
      </c>
      <c r="EL45" s="21">
        <f t="shared" ca="1" si="60"/>
        <v>3</v>
      </c>
      <c r="EM45" t="str">
        <f ca="1">'Financial Planning Tool'!CL46</f>
        <v/>
      </c>
      <c r="EN45" t="str">
        <f t="shared" ca="1" si="48"/>
        <v/>
      </c>
      <c r="EO45" t="str">
        <f t="shared" ca="1" si="49"/>
        <v/>
      </c>
      <c r="EP45" s="1" t="str">
        <f t="shared" ca="1" si="50"/>
        <v/>
      </c>
      <c r="EQ45" s="1" t="str">
        <f t="shared" ca="1" si="51"/>
        <v/>
      </c>
      <c r="ER45" t="str">
        <f t="shared" ca="1" si="52"/>
        <v/>
      </c>
      <c r="ES45" t="str">
        <f t="shared" si="53"/>
        <v/>
      </c>
      <c r="ET45">
        <v>0</v>
      </c>
      <c r="EU45" s="22">
        <v>36</v>
      </c>
      <c r="EX45" s="21" t="str">
        <f ca="1">IF(EX44="","",IF(EX44+1&lt;=MAX('Financial Planning Tool'!$EL$10:$EL$209),EX44+1,""))</f>
        <v/>
      </c>
      <c r="EY45" t="str">
        <f ca="1">IF(EX45&lt;&gt;"",VLOOKUP(EX45,'Financial Planning Tool'!$EL$10:$ER$209,2,FALSE),"")</f>
        <v/>
      </c>
      <c r="EZ45" t="str">
        <f ca="1">IF(EX45&lt;&gt;"",VLOOKUP(EX45,'Financial Planning Tool'!$EL$10:$ER$209,3,FALSE),"")</f>
        <v/>
      </c>
      <c r="FA45" t="str">
        <f ca="1">IF(EX45&lt;&gt;"",VLOOKUP(EX45,'Financial Planning Tool'!$EL$10:$ER$209,4,FALSE),"")</f>
        <v/>
      </c>
      <c r="FB45" t="str">
        <f t="shared" ca="1" si="61"/>
        <v/>
      </c>
      <c r="FC45" s="1" t="str">
        <f ca="1">IF(EX45&lt;&gt;"",VLOOKUP(EX45,'Financial Planning Tool'!$EL$10:$ER$209,5,FALSE),"")</f>
        <v/>
      </c>
      <c r="FD45" s="1" t="str">
        <f ca="1">IF(EX45&lt;&gt;"",VLOOKUP(EX45,'Financial Planning Tool'!$EL$10:$ER$209,6,FALSE),"")</f>
        <v/>
      </c>
      <c r="FE45" t="str">
        <f ca="1">IF(EX45&lt;&gt;"",VLOOKUP(EX45,'Financial Planning Tool'!$EL$10:$ER$209,7,FALSE),"")</f>
        <v/>
      </c>
      <c r="FF45" t="str">
        <f ca="1">IF(EX45&lt;&gt;"",VLOOKUP(EX45,'Financial Planning Tool'!$EL$10:$ES$209,8,FALSE),"")</f>
        <v/>
      </c>
      <c r="FG45" t="str">
        <f ca="1">IF(EX45&lt;&gt;"",VLOOKUP(EX45,'Financial Planning Tool'!$EL$10:$ET$209,9,FALSE),"")</f>
        <v/>
      </c>
      <c r="FH45" t="str">
        <f t="shared" ca="1" si="86"/>
        <v/>
      </c>
      <c r="FI45" s="22" t="str">
        <f t="shared" ca="1" si="87"/>
        <v/>
      </c>
    </row>
    <row r="46" spans="1:165" x14ac:dyDescent="0.25">
      <c r="A46" s="20"/>
      <c r="B46" s="86" t="s">
        <v>204</v>
      </c>
      <c r="C46" s="84"/>
      <c r="D46" s="162" t="s">
        <v>210</v>
      </c>
      <c r="E46" s="163"/>
      <c r="F46" s="85"/>
      <c r="S46" s="18"/>
      <c r="T46" s="160"/>
      <c r="U46" s="161"/>
      <c r="V46" s="8"/>
      <c r="W46" s="68"/>
      <c r="X46" s="68"/>
      <c r="Y46" s="71"/>
      <c r="Z46" s="71"/>
      <c r="AA46" s="65"/>
      <c r="AE46">
        <v>30</v>
      </c>
      <c r="AN46" s="32">
        <f t="shared" ca="1" si="0"/>
        <v>58.083333333333336</v>
      </c>
      <c r="AO46" s="53">
        <f t="shared" ca="1" si="31"/>
        <v>46784</v>
      </c>
      <c r="AP46" s="22">
        <v>39</v>
      </c>
      <c r="AQ46" s="32">
        <f t="shared" ca="1" si="32"/>
        <v>1007035.3092166068</v>
      </c>
      <c r="AR46" s="23">
        <f t="array" aca="1" ref="AR46" ca="1">SUM(IF(lsc_start_date=AO46,lsc_amount,0))</f>
        <v>0</v>
      </c>
      <c r="AS46" s="24">
        <f t="shared" ca="1" si="6"/>
        <v>0</v>
      </c>
      <c r="AT46" s="24">
        <f t="shared" ca="1" si="7"/>
        <v>0</v>
      </c>
      <c r="AU46" s="24">
        <f t="shared" ca="1" si="8"/>
        <v>0</v>
      </c>
      <c r="AV46" s="25">
        <f t="shared" ca="1" si="9"/>
        <v>0</v>
      </c>
      <c r="AW46" s="23">
        <f t="array" aca="1" ref="AW46" ca="1">SUM(IF(rcs_start_date&lt;=AO46,1,0)*IF(rcs_end_date&gt;=AO46,1,0)*rcs_amount*(1+rcs_escalation/100)^(INT((AP46-rcs_months_since_start)/12))*IF(MOD((AP46-rcs_months_since_start),rcs_frequency)=0,1,0)*IF(rcs_frequency=13,0,1))+SUM(IF(rcs_start_date=AO46,rcs_amount,0)*IF(rcs_frequency=13,1,0))</f>
        <v>5061.8879999999999</v>
      </c>
      <c r="AX46" s="24">
        <f t="shared" ca="1" si="10"/>
        <v>0</v>
      </c>
      <c r="AY46" s="24">
        <f t="shared" ca="1" si="11"/>
        <v>0</v>
      </c>
      <c r="AZ46" s="24">
        <f t="shared" ca="1" si="12"/>
        <v>0</v>
      </c>
      <c r="BA46" s="25">
        <f t="shared" ca="1" si="13"/>
        <v>5061.8879999999999</v>
      </c>
      <c r="BB46" s="23">
        <f t="array" aca="1" ref="BB46" ca="1">SUM(IF(w_start_date&lt;=AO46,1,0)*IF(w_end_date&gt;=AO46,1,0)*w_amount*(1+w_escalation/100)^(INT((AP46-w_months_since_start)/12))*IF(MOD(AP46-w_months_since_start,w_frequency)=0,1,0)*IF(w_frequency=13,0,1))+SUM(IF(w_start_date=AO46,w_amount,0)*IF(w_frequency=13,1,0))</f>
        <v>0</v>
      </c>
      <c r="BC46" s="25">
        <f t="shared" ca="1" si="14"/>
        <v>0</v>
      </c>
      <c r="BD46" s="24" t="b">
        <f t="shared" ca="1" si="15"/>
        <v>0</v>
      </c>
      <c r="BE46" s="24" t="b">
        <f t="shared" ca="1" si="16"/>
        <v>1</v>
      </c>
      <c r="BF46" s="23">
        <f t="array" aca="1" ref="BF46" ca="1">SUM(IF(BD46,1,0)*IF(ap_start_date&lt;=AO46,1,0)*IF(ap_end_date&gt;=AO46,1,0)*ap_amount*(1+ap_escalation/100)^(INT((AP46-ap_months_since_start)/12))*IF(MOD(AP46-ap_months_since_start,ap_frequency)=0,1,0))</f>
        <v>0</v>
      </c>
      <c r="BG46" s="24">
        <f t="shared" ca="1" si="17"/>
        <v>0</v>
      </c>
      <c r="BH46" s="24">
        <f t="shared" ca="1" si="18"/>
        <v>0</v>
      </c>
      <c r="BI46">
        <f t="shared" ca="1" si="19"/>
        <v>0</v>
      </c>
      <c r="BJ46" s="24">
        <f t="shared" ca="1" si="20"/>
        <v>0</v>
      </c>
      <c r="BK46">
        <f t="shared" ca="1" si="21"/>
        <v>0</v>
      </c>
      <c r="BL46" s="25">
        <f t="shared" ca="1" si="22"/>
        <v>0</v>
      </c>
      <c r="BM46" s="32">
        <f t="shared" ca="1" si="1"/>
        <v>1019391.7089443026</v>
      </c>
      <c r="BN46" s="23">
        <f t="shared" ca="1" si="23"/>
        <v>0</v>
      </c>
      <c r="BO46" s="24">
        <f t="shared" ca="1" si="24"/>
        <v>0</v>
      </c>
      <c r="BP46" s="25">
        <f t="shared" ca="1" si="25"/>
        <v>0</v>
      </c>
      <c r="BQ46" s="34">
        <f t="shared" ca="1" si="26"/>
        <v>46812</v>
      </c>
      <c r="BR46" s="23">
        <f t="shared" ca="1" si="27"/>
        <v>1019391.7089443026</v>
      </c>
      <c r="BS46" s="24">
        <f t="shared" ca="1" si="28"/>
        <v>5061.8879999999999</v>
      </c>
      <c r="BT46" s="24">
        <f t="shared" ca="1" si="62"/>
        <v>58990.464</v>
      </c>
      <c r="BU46" s="24">
        <f t="shared" ca="1" si="29"/>
        <v>0</v>
      </c>
      <c r="BV46" s="24">
        <f t="shared" ca="1" si="63"/>
        <v>0</v>
      </c>
      <c r="BW46" s="24">
        <f t="shared" ca="1" si="30"/>
        <v>0</v>
      </c>
      <c r="BX46" s="25">
        <f t="shared" ca="1" si="64"/>
        <v>0</v>
      </c>
      <c r="BY46" s="23">
        <f t="shared" ca="1" si="2"/>
        <v>897393.13788893155</v>
      </c>
      <c r="BZ46" s="24">
        <f t="shared" ca="1" si="3"/>
        <v>4470.6803975126959</v>
      </c>
      <c r="CA46" s="24">
        <f t="shared" ca="1" si="65"/>
        <v>53041.336037023051</v>
      </c>
      <c r="CB46" s="24">
        <f t="shared" ca="1" si="4"/>
        <v>0</v>
      </c>
      <c r="CC46" s="24">
        <f t="shared" ca="1" si="66"/>
        <v>0</v>
      </c>
      <c r="CD46" s="24">
        <f t="shared" ca="1" si="5"/>
        <v>0</v>
      </c>
      <c r="CE46" s="25">
        <f t="shared" ca="1" si="67"/>
        <v>0</v>
      </c>
      <c r="CF46" s="23">
        <f t="shared" ca="1" si="68"/>
        <v>0</v>
      </c>
      <c r="CG46" s="25">
        <f t="array" aca="1" ref="CG46" ca="1">SUM(BF35:BF46/(1+inflation/100)^(AP35:AP46/12))</f>
        <v>0</v>
      </c>
      <c r="CH46" s="32">
        <f ca="1">IFERROR(IF(MOD(AP46-ap_months_since_start,12)=0,ap_drawdown/100*(AQ46+AV46+BA46-BC46),CH45),0)</f>
        <v>149937.22068839692</v>
      </c>
      <c r="CJ46" s="168"/>
      <c r="CK46">
        <v>36</v>
      </c>
      <c r="CL46" t="str">
        <f t="shared" ca="1" si="72"/>
        <v/>
      </c>
      <c r="CM46" t="str">
        <f t="shared" ca="1" si="72"/>
        <v/>
      </c>
      <c r="CN46" s="1" t="str">
        <f t="shared" ca="1" si="72"/>
        <v/>
      </c>
      <c r="CO46" t="str">
        <f t="shared" si="77"/>
        <v/>
      </c>
      <c r="CP46" s="22">
        <f t="shared" ca="1" si="78"/>
        <v>0</v>
      </c>
      <c r="CR46" s="168"/>
      <c r="CS46">
        <v>36</v>
      </c>
      <c r="CT46" t="str">
        <f t="shared" ca="1" si="75"/>
        <v/>
      </c>
      <c r="CU46" t="str">
        <f t="shared" ca="1" si="75"/>
        <v/>
      </c>
      <c r="CV46" t="str">
        <f t="shared" ca="1" si="75"/>
        <v/>
      </c>
      <c r="CW46" s="1" t="str">
        <f t="shared" ca="1" si="75"/>
        <v/>
      </c>
      <c r="CX46" s="1" t="str">
        <f t="shared" ca="1" si="75"/>
        <v/>
      </c>
      <c r="CY46" t="str">
        <f t="shared" ca="1" si="75"/>
        <v/>
      </c>
      <c r="CZ46">
        <f t="shared" ca="1" si="79"/>
        <v>1</v>
      </c>
      <c r="DA46" t="str">
        <f t="shared" si="80"/>
        <v/>
      </c>
      <c r="DB46" s="22">
        <f t="shared" ca="1" si="81"/>
        <v>0</v>
      </c>
      <c r="DD46" s="168"/>
      <c r="DE46">
        <v>36</v>
      </c>
      <c r="DF46" t="str">
        <f t="shared" ca="1" si="76"/>
        <v/>
      </c>
      <c r="DG46" t="str">
        <f t="shared" ca="1" si="76"/>
        <v/>
      </c>
      <c r="DH46" t="str">
        <f t="shared" ca="1" si="76"/>
        <v/>
      </c>
      <c r="DI46" s="1" t="str">
        <f t="shared" ca="1" si="76"/>
        <v/>
      </c>
      <c r="DJ46" s="1" t="str">
        <f t="shared" ca="1" si="76"/>
        <v/>
      </c>
      <c r="DK46" t="str">
        <f t="shared" ca="1" si="76"/>
        <v/>
      </c>
      <c r="DL46">
        <f t="shared" ca="1" si="82"/>
        <v>1</v>
      </c>
      <c r="DM46" t="str">
        <f t="shared" si="83"/>
        <v/>
      </c>
      <c r="DN46" s="22">
        <f t="shared" ca="1" si="84"/>
        <v>0</v>
      </c>
      <c r="DP46" s="168"/>
      <c r="DQ46">
        <v>36</v>
      </c>
      <c r="DR46" t="str">
        <f t="shared" ca="1" si="71"/>
        <v/>
      </c>
      <c r="DS46" t="str">
        <f t="shared" ca="1" si="71"/>
        <v/>
      </c>
      <c r="DT46" t="str">
        <f t="shared" ca="1" si="71"/>
        <v/>
      </c>
      <c r="DU46" t="str">
        <f t="shared" ca="1" si="71"/>
        <v/>
      </c>
      <c r="DV46" t="str">
        <f t="shared" ca="1" si="71"/>
        <v/>
      </c>
      <c r="DW46" t="str">
        <f t="shared" ca="1" si="71"/>
        <v/>
      </c>
      <c r="DX46">
        <f t="shared" ca="1" si="57"/>
        <v>1</v>
      </c>
      <c r="DY46" t="str">
        <f t="shared" si="85"/>
        <v/>
      </c>
      <c r="DZ46">
        <f t="shared" ca="1" si="58"/>
        <v>0</v>
      </c>
      <c r="EA46" s="122">
        <f t="shared" ca="1" si="59"/>
        <v>82121</v>
      </c>
      <c r="EL46" s="21">
        <f t="shared" ca="1" si="60"/>
        <v>3</v>
      </c>
      <c r="EM46" t="str">
        <f ca="1">'Financial Planning Tool'!CL47</f>
        <v/>
      </c>
      <c r="EN46" t="str">
        <f t="shared" ca="1" si="48"/>
        <v/>
      </c>
      <c r="EO46" t="str">
        <f t="shared" ca="1" si="49"/>
        <v/>
      </c>
      <c r="EP46" s="1" t="str">
        <f t="shared" ca="1" si="50"/>
        <v/>
      </c>
      <c r="EQ46" s="1" t="str">
        <f t="shared" ca="1" si="51"/>
        <v/>
      </c>
      <c r="ER46" t="str">
        <f t="shared" ca="1" si="52"/>
        <v/>
      </c>
      <c r="ES46" t="str">
        <f t="shared" si="53"/>
        <v/>
      </c>
      <c r="ET46">
        <v>0</v>
      </c>
      <c r="EU46" s="22">
        <v>37</v>
      </c>
      <c r="EX46" s="21" t="str">
        <f ca="1">IF(EX45="","",IF(EX45+1&lt;=MAX('Financial Planning Tool'!$EL$10:$EL$209),EX45+1,""))</f>
        <v/>
      </c>
      <c r="EY46" t="str">
        <f ca="1">IF(EX46&lt;&gt;"",VLOOKUP(EX46,'Financial Planning Tool'!$EL$10:$ER$209,2,FALSE),"")</f>
        <v/>
      </c>
      <c r="EZ46" t="str">
        <f ca="1">IF(EX46&lt;&gt;"",VLOOKUP(EX46,'Financial Planning Tool'!$EL$10:$ER$209,3,FALSE),"")</f>
        <v/>
      </c>
      <c r="FA46" t="str">
        <f ca="1">IF(EX46&lt;&gt;"",VLOOKUP(EX46,'Financial Planning Tool'!$EL$10:$ER$209,4,FALSE),"")</f>
        <v/>
      </c>
      <c r="FB46" t="str">
        <f t="shared" ca="1" si="61"/>
        <v/>
      </c>
      <c r="FC46" s="1" t="str">
        <f ca="1">IF(EX46&lt;&gt;"",VLOOKUP(EX46,'Financial Planning Tool'!$EL$10:$ER$209,5,FALSE),"")</f>
        <v/>
      </c>
      <c r="FD46" s="1" t="str">
        <f ca="1">IF(EX46&lt;&gt;"",VLOOKUP(EX46,'Financial Planning Tool'!$EL$10:$ER$209,6,FALSE),"")</f>
        <v/>
      </c>
      <c r="FE46" t="str">
        <f ca="1">IF(EX46&lt;&gt;"",VLOOKUP(EX46,'Financial Planning Tool'!$EL$10:$ER$209,7,FALSE),"")</f>
        <v/>
      </c>
      <c r="FF46" t="str">
        <f ca="1">IF(EX46&lt;&gt;"",VLOOKUP(EX46,'Financial Planning Tool'!$EL$10:$ES$209,8,FALSE),"")</f>
        <v/>
      </c>
      <c r="FG46" t="str">
        <f ca="1">IF(EX46&lt;&gt;"",VLOOKUP(EX46,'Financial Planning Tool'!$EL$10:$ET$209,9,FALSE),"")</f>
        <v/>
      </c>
      <c r="FH46" t="str">
        <f t="shared" ca="1" si="86"/>
        <v/>
      </c>
      <c r="FI46" s="22" t="str">
        <f t="shared" ca="1" si="87"/>
        <v/>
      </c>
    </row>
    <row r="47" spans="1:165" x14ac:dyDescent="0.25">
      <c r="A47" s="20"/>
      <c r="B47" s="86" t="s">
        <v>205</v>
      </c>
      <c r="C47" s="84"/>
      <c r="D47" s="124">
        <v>35000</v>
      </c>
      <c r="E47" s="125">
        <v>35000</v>
      </c>
      <c r="F47" s="85"/>
      <c r="S47" s="18"/>
      <c r="T47" s="160"/>
      <c r="U47" s="161"/>
      <c r="V47" s="8"/>
      <c r="W47" s="68"/>
      <c r="X47" s="68"/>
      <c r="Y47" s="71"/>
      <c r="Z47" s="71"/>
      <c r="AA47" s="65"/>
      <c r="AE47">
        <v>31</v>
      </c>
      <c r="AN47" s="32">
        <f t="shared" ca="1" si="0"/>
        <v>58.166666666666664</v>
      </c>
      <c r="AO47" s="53">
        <f t="shared" ca="1" si="31"/>
        <v>46813</v>
      </c>
      <c r="AP47" s="22">
        <v>40</v>
      </c>
      <c r="AQ47" s="32">
        <f t="shared" ca="1" si="32"/>
        <v>1019391.7089443026</v>
      </c>
      <c r="AR47" s="23">
        <f t="array" aca="1" ref="AR47" ca="1">SUM(IF(lsc_start_date=AO47,lsc_amount,0))</f>
        <v>0</v>
      </c>
      <c r="AS47" s="24">
        <f t="shared" ca="1" si="6"/>
        <v>0</v>
      </c>
      <c r="AT47" s="24">
        <f t="shared" ca="1" si="7"/>
        <v>0</v>
      </c>
      <c r="AU47" s="24">
        <f t="shared" ca="1" si="8"/>
        <v>0</v>
      </c>
      <c r="AV47" s="25">
        <f t="shared" ca="1" si="9"/>
        <v>0</v>
      </c>
      <c r="AW47" s="23">
        <f t="array" aca="1" ref="AW47" ca="1">SUM(IF(rcs_start_date&lt;=AO47,1,0)*IF(rcs_end_date&gt;=AO47,1,0)*rcs_amount*(1+rcs_escalation/100)^(INT((AP47-rcs_months_since_start)/12))*IF(MOD((AP47-rcs_months_since_start),rcs_frequency)=0,1,0)*IF(rcs_frequency=13,0,1))+SUM(IF(rcs_start_date=AO47,rcs_amount,0)*IF(rcs_frequency=13,1,0))</f>
        <v>5061.8879999999999</v>
      </c>
      <c r="AX47" s="24">
        <f t="shared" ca="1" si="10"/>
        <v>0</v>
      </c>
      <c r="AY47" s="24">
        <f t="shared" ca="1" si="11"/>
        <v>0</v>
      </c>
      <c r="AZ47" s="24">
        <f t="shared" ca="1" si="12"/>
        <v>0</v>
      </c>
      <c r="BA47" s="25">
        <f t="shared" ca="1" si="13"/>
        <v>5061.8879999999999</v>
      </c>
      <c r="BB47" s="23">
        <f t="array" aca="1" ref="BB47" ca="1">SUM(IF(w_start_date&lt;=AO47,1,0)*IF(w_end_date&gt;=AO47,1,0)*w_amount*(1+w_escalation/100)^(INT((AP47-w_months_since_start)/12))*IF(MOD(AP47-w_months_since_start,w_frequency)=0,1,0)*IF(w_frequency=13,0,1))+SUM(IF(w_start_date=AO47,w_amount,0)*IF(w_frequency=13,1,0))</f>
        <v>0</v>
      </c>
      <c r="BC47" s="25">
        <f t="shared" ca="1" si="14"/>
        <v>0</v>
      </c>
      <c r="BD47" s="24" t="b">
        <f t="shared" ca="1" si="15"/>
        <v>0</v>
      </c>
      <c r="BE47" s="24" t="b">
        <f t="shared" ca="1" si="16"/>
        <v>1</v>
      </c>
      <c r="BF47" s="23">
        <f t="array" aca="1" ref="BF47" ca="1">SUM(IF(BD47,1,0)*IF(ap_start_date&lt;=AO47,1,0)*IF(ap_end_date&gt;=AO47,1,0)*ap_amount*(1+ap_escalation/100)^(INT((AP47-ap_months_since_start)/12))*IF(MOD(AP47-ap_months_since_start,ap_frequency)=0,1,0))</f>
        <v>0</v>
      </c>
      <c r="BG47" s="24">
        <f t="shared" ca="1" si="17"/>
        <v>0</v>
      </c>
      <c r="BH47" s="24">
        <f t="shared" ca="1" si="18"/>
        <v>0</v>
      </c>
      <c r="BI47">
        <f t="shared" ca="1" si="19"/>
        <v>0</v>
      </c>
      <c r="BJ47" s="24">
        <f t="shared" ca="1" si="20"/>
        <v>0</v>
      </c>
      <c r="BK47">
        <f t="shared" ca="1" si="21"/>
        <v>0</v>
      </c>
      <c r="BL47" s="25">
        <f t="shared" ca="1" si="22"/>
        <v>0</v>
      </c>
      <c r="BM47" s="32">
        <f t="shared" ca="1" si="1"/>
        <v>1031837.1652398595</v>
      </c>
      <c r="BN47" s="23">
        <f t="shared" ca="1" si="23"/>
        <v>0</v>
      </c>
      <c r="BO47" s="24">
        <f t="shared" ca="1" si="24"/>
        <v>0</v>
      </c>
      <c r="BP47" s="25">
        <f t="shared" ca="1" si="25"/>
        <v>0</v>
      </c>
      <c r="BQ47" s="34">
        <f t="shared" ca="1" si="26"/>
        <v>46843</v>
      </c>
      <c r="BR47" s="23">
        <f t="shared" ca="1" si="27"/>
        <v>1031837.1652398595</v>
      </c>
      <c r="BS47" s="24">
        <f t="shared" ca="1" si="28"/>
        <v>5061.8879999999999</v>
      </c>
      <c r="BT47" s="24">
        <f t="shared" ca="1" si="62"/>
        <v>59185.152000000002</v>
      </c>
      <c r="BU47" s="24">
        <f t="shared" ca="1" si="29"/>
        <v>0</v>
      </c>
      <c r="BV47" s="24">
        <f t="shared" ca="1" si="63"/>
        <v>0</v>
      </c>
      <c r="BW47" s="24">
        <f t="shared" ca="1" si="30"/>
        <v>0</v>
      </c>
      <c r="BX47" s="25">
        <f t="shared" ca="1" si="64"/>
        <v>0</v>
      </c>
      <c r="BY47" s="23">
        <f t="shared" ca="1" si="2"/>
        <v>905385.15378806368</v>
      </c>
      <c r="BZ47" s="24">
        <f t="shared" ca="1" si="3"/>
        <v>4456.0923108415436</v>
      </c>
      <c r="CA47" s="24">
        <f t="shared" ca="1" si="65"/>
        <v>53041.336037023051</v>
      </c>
      <c r="CB47" s="24">
        <f t="shared" ca="1" si="4"/>
        <v>0</v>
      </c>
      <c r="CC47" s="24">
        <f t="shared" ca="1" si="66"/>
        <v>0</v>
      </c>
      <c r="CD47" s="24">
        <f t="shared" ca="1" si="5"/>
        <v>0</v>
      </c>
      <c r="CE47" s="25">
        <f t="shared" ca="1" si="67"/>
        <v>0</v>
      </c>
      <c r="CF47" s="23">
        <f t="shared" ca="1" si="68"/>
        <v>0</v>
      </c>
      <c r="CG47" s="25">
        <f t="array" aca="1" ref="CG47" ca="1">SUM(BF36:BF47/(1+inflation/100)^(AP36:AP47/12))</f>
        <v>0</v>
      </c>
      <c r="CH47" s="32">
        <f ca="1">IFERROR(IF(MOD(AP47-ap_months_since_start,12)=0,ap_drawdown/100*(AQ47+AV47+BA47-BC47),CH46),0)</f>
        <v>149937.22068839692</v>
      </c>
      <c r="CJ47" s="168"/>
      <c r="CK47">
        <v>37</v>
      </c>
      <c r="CL47" t="str">
        <f t="shared" ca="1" si="72"/>
        <v/>
      </c>
      <c r="CM47" t="str">
        <f t="shared" ca="1" si="72"/>
        <v/>
      </c>
      <c r="CN47" s="1" t="str">
        <f t="shared" ca="1" si="72"/>
        <v/>
      </c>
      <c r="CO47" t="str">
        <f t="shared" si="77"/>
        <v/>
      </c>
      <c r="CP47" s="22">
        <f t="shared" ca="1" si="78"/>
        <v>0</v>
      </c>
      <c r="CR47" s="168"/>
      <c r="CS47">
        <v>37</v>
      </c>
      <c r="CT47" t="str">
        <f t="shared" ca="1" si="75"/>
        <v/>
      </c>
      <c r="CU47" t="str">
        <f t="shared" ca="1" si="75"/>
        <v/>
      </c>
      <c r="CV47" t="str">
        <f t="shared" ca="1" si="75"/>
        <v/>
      </c>
      <c r="CW47" s="1" t="str">
        <f t="shared" ca="1" si="75"/>
        <v/>
      </c>
      <c r="CX47" s="1" t="str">
        <f t="shared" ca="1" si="75"/>
        <v/>
      </c>
      <c r="CY47" t="str">
        <f t="shared" ca="1" si="75"/>
        <v/>
      </c>
      <c r="CZ47">
        <f t="shared" ca="1" si="79"/>
        <v>1</v>
      </c>
      <c r="DA47" t="str">
        <f t="shared" si="80"/>
        <v/>
      </c>
      <c r="DB47" s="22">
        <f t="shared" ca="1" si="81"/>
        <v>0</v>
      </c>
      <c r="DD47" s="168"/>
      <c r="DE47">
        <v>37</v>
      </c>
      <c r="DF47" t="str">
        <f t="shared" ca="1" si="76"/>
        <v/>
      </c>
      <c r="DG47" t="str">
        <f t="shared" ca="1" si="76"/>
        <v/>
      </c>
      <c r="DH47" t="str">
        <f t="shared" ca="1" si="76"/>
        <v/>
      </c>
      <c r="DI47" s="1" t="str">
        <f t="shared" ca="1" si="76"/>
        <v/>
      </c>
      <c r="DJ47" s="1" t="str">
        <f t="shared" ca="1" si="76"/>
        <v/>
      </c>
      <c r="DK47" t="str">
        <f t="shared" ca="1" si="76"/>
        <v/>
      </c>
      <c r="DL47">
        <f t="shared" ca="1" si="82"/>
        <v>1</v>
      </c>
      <c r="DM47" t="str">
        <f t="shared" si="83"/>
        <v/>
      </c>
      <c r="DN47" s="22">
        <f t="shared" ca="1" si="84"/>
        <v>0</v>
      </c>
      <c r="DP47" s="168"/>
      <c r="DQ47">
        <v>37</v>
      </c>
      <c r="DR47" t="str">
        <f t="shared" ca="1" si="71"/>
        <v/>
      </c>
      <c r="DS47" t="str">
        <f t="shared" ca="1" si="71"/>
        <v/>
      </c>
      <c r="DT47" t="str">
        <f t="shared" ca="1" si="71"/>
        <v/>
      </c>
      <c r="DU47" t="str">
        <f t="shared" ca="1" si="71"/>
        <v/>
      </c>
      <c r="DV47" t="str">
        <f t="shared" ca="1" si="71"/>
        <v/>
      </c>
      <c r="DW47" t="str">
        <f t="shared" ca="1" si="71"/>
        <v/>
      </c>
      <c r="DX47">
        <f t="shared" ca="1" si="57"/>
        <v>1</v>
      </c>
      <c r="DY47" t="str">
        <f t="shared" si="85"/>
        <v/>
      </c>
      <c r="DZ47">
        <f t="shared" ca="1" si="58"/>
        <v>0</v>
      </c>
      <c r="EA47" s="122">
        <f t="shared" ca="1" si="59"/>
        <v>82121</v>
      </c>
      <c r="EL47" s="21">
        <f t="shared" ca="1" si="60"/>
        <v>3</v>
      </c>
      <c r="EM47" t="str">
        <f ca="1">'Financial Planning Tool'!CL48</f>
        <v/>
      </c>
      <c r="EN47" t="str">
        <f t="shared" ca="1" si="48"/>
        <v/>
      </c>
      <c r="EO47" t="str">
        <f t="shared" ca="1" si="49"/>
        <v/>
      </c>
      <c r="EP47" s="1" t="str">
        <f t="shared" ca="1" si="50"/>
        <v/>
      </c>
      <c r="EQ47" s="1" t="str">
        <f t="shared" ca="1" si="51"/>
        <v/>
      </c>
      <c r="ER47" t="str">
        <f t="shared" ca="1" si="52"/>
        <v/>
      </c>
      <c r="ES47" t="str">
        <f t="shared" si="53"/>
        <v/>
      </c>
      <c r="ET47">
        <v>0</v>
      </c>
      <c r="EU47" s="22">
        <v>38</v>
      </c>
      <c r="EX47" s="21" t="str">
        <f ca="1">IF(EX46="","",IF(EX46+1&lt;=MAX('Financial Planning Tool'!$EL$10:$EL$209),EX46+1,""))</f>
        <v/>
      </c>
      <c r="EY47" t="str">
        <f ca="1">IF(EX47&lt;&gt;"",VLOOKUP(EX47,'Financial Planning Tool'!$EL$10:$ER$209,2,FALSE),"")</f>
        <v/>
      </c>
      <c r="EZ47" t="str">
        <f ca="1">IF(EX47&lt;&gt;"",VLOOKUP(EX47,'Financial Planning Tool'!$EL$10:$ER$209,3,FALSE),"")</f>
        <v/>
      </c>
      <c r="FA47" t="str">
        <f ca="1">IF(EX47&lt;&gt;"",VLOOKUP(EX47,'Financial Planning Tool'!$EL$10:$ER$209,4,FALSE),"")</f>
        <v/>
      </c>
      <c r="FB47" t="str">
        <f t="shared" ca="1" si="61"/>
        <v/>
      </c>
      <c r="FC47" s="1" t="str">
        <f ca="1">IF(EX47&lt;&gt;"",VLOOKUP(EX47,'Financial Planning Tool'!$EL$10:$ER$209,5,FALSE),"")</f>
        <v/>
      </c>
      <c r="FD47" s="1" t="str">
        <f ca="1">IF(EX47&lt;&gt;"",VLOOKUP(EX47,'Financial Planning Tool'!$EL$10:$ER$209,6,FALSE),"")</f>
        <v/>
      </c>
      <c r="FE47" t="str">
        <f ca="1">IF(EX47&lt;&gt;"",VLOOKUP(EX47,'Financial Planning Tool'!$EL$10:$ER$209,7,FALSE),"")</f>
        <v/>
      </c>
      <c r="FF47" t="str">
        <f ca="1">IF(EX47&lt;&gt;"",VLOOKUP(EX47,'Financial Planning Tool'!$EL$10:$ES$209,8,FALSE),"")</f>
        <v/>
      </c>
      <c r="FG47" t="str">
        <f ca="1">IF(EX47&lt;&gt;"",VLOOKUP(EX47,'Financial Planning Tool'!$EL$10:$ET$209,9,FALSE),"")</f>
        <v/>
      </c>
      <c r="FH47" t="str">
        <f t="shared" ca="1" si="86"/>
        <v/>
      </c>
      <c r="FI47" s="22" t="str">
        <f t="shared" ca="1" si="87"/>
        <v/>
      </c>
    </row>
    <row r="48" spans="1:165" x14ac:dyDescent="0.25">
      <c r="A48" s="20"/>
      <c r="B48" s="86" t="s">
        <v>201</v>
      </c>
      <c r="C48" s="84"/>
      <c r="D48" s="126">
        <v>45627</v>
      </c>
      <c r="E48" s="127">
        <v>0</v>
      </c>
      <c r="F48" s="85"/>
      <c r="S48" s="18"/>
      <c r="T48" s="160"/>
      <c r="U48" s="161"/>
      <c r="V48" s="8"/>
      <c r="W48" s="68"/>
      <c r="X48" s="68"/>
      <c r="Y48" s="71"/>
      <c r="Z48" s="71"/>
      <c r="AA48" s="65"/>
      <c r="AE48">
        <v>32</v>
      </c>
      <c r="AN48" s="32">
        <f t="shared" ca="1" si="0"/>
        <v>58.25</v>
      </c>
      <c r="AO48" s="53">
        <f t="shared" ca="1" si="31"/>
        <v>46844</v>
      </c>
      <c r="AP48" s="22">
        <v>41</v>
      </c>
      <c r="AQ48" s="32">
        <f t="shared" ca="1" si="32"/>
        <v>1031837.1652398595</v>
      </c>
      <c r="AR48" s="23">
        <f t="array" aca="1" ref="AR48" ca="1">SUM(IF(lsc_start_date=AO48,lsc_amount,0))</f>
        <v>0</v>
      </c>
      <c r="AS48" s="24">
        <f t="shared" ca="1" si="6"/>
        <v>0</v>
      </c>
      <c r="AT48" s="24">
        <f t="shared" ca="1" si="7"/>
        <v>0</v>
      </c>
      <c r="AU48" s="24">
        <f t="shared" ca="1" si="8"/>
        <v>0</v>
      </c>
      <c r="AV48" s="25">
        <f t="shared" ca="1" si="9"/>
        <v>0</v>
      </c>
      <c r="AW48" s="23">
        <f t="array" aca="1" ref="AW48" ca="1">SUM(IF(rcs_start_date&lt;=AO48,1,0)*IF(rcs_end_date&gt;=AO48,1,0)*rcs_amount*(1+rcs_escalation/100)^(INT((AP48-rcs_months_since_start)/12))*IF(MOD((AP48-rcs_months_since_start),rcs_frequency)=0,1,0)*IF(rcs_frequency=13,0,1))+SUM(IF(rcs_start_date=AO48,rcs_amount,0)*IF(rcs_frequency=13,1,0))</f>
        <v>5061.8879999999999</v>
      </c>
      <c r="AX48" s="24">
        <f t="shared" ca="1" si="10"/>
        <v>0</v>
      </c>
      <c r="AY48" s="24">
        <f t="shared" ca="1" si="11"/>
        <v>0</v>
      </c>
      <c r="AZ48" s="24">
        <f t="shared" ca="1" si="12"/>
        <v>0</v>
      </c>
      <c r="BA48" s="25">
        <f t="shared" ca="1" si="13"/>
        <v>5061.8879999999999</v>
      </c>
      <c r="BB48" s="23">
        <f t="array" aca="1" ref="BB48" ca="1">SUM(IF(w_start_date&lt;=AO48,1,0)*IF(w_end_date&gt;=AO48,1,0)*w_amount*(1+w_escalation/100)^(INT((AP48-w_months_since_start)/12))*IF(MOD(AP48-w_months_since_start,w_frequency)=0,1,0)*IF(w_frequency=13,0,1))+SUM(IF(w_start_date=AO48,w_amount,0)*IF(w_frequency=13,1,0))</f>
        <v>0</v>
      </c>
      <c r="BC48" s="25">
        <f t="shared" ca="1" si="14"/>
        <v>0</v>
      </c>
      <c r="BD48" s="24" t="b">
        <f t="shared" ca="1" si="15"/>
        <v>0</v>
      </c>
      <c r="BE48" s="24" t="b">
        <f t="shared" ca="1" si="16"/>
        <v>1</v>
      </c>
      <c r="BF48" s="23">
        <f t="array" aca="1" ref="BF48" ca="1">SUM(IF(BD48,1,0)*IF(ap_start_date&lt;=AO48,1,0)*IF(ap_end_date&gt;=AO48,1,0)*ap_amount*(1+ap_escalation/100)^(INT((AP48-ap_months_since_start)/12))*IF(MOD(AP48-ap_months_since_start,ap_frequency)=0,1,0))</f>
        <v>0</v>
      </c>
      <c r="BG48" s="24">
        <f t="shared" ca="1" si="17"/>
        <v>0</v>
      </c>
      <c r="BH48" s="24">
        <f t="shared" ca="1" si="18"/>
        <v>0</v>
      </c>
      <c r="BI48">
        <f t="shared" ca="1" si="19"/>
        <v>0</v>
      </c>
      <c r="BJ48" s="24">
        <f t="shared" ca="1" si="20"/>
        <v>0</v>
      </c>
      <c r="BK48">
        <f t="shared" ca="1" si="21"/>
        <v>0</v>
      </c>
      <c r="BL48" s="25">
        <f t="shared" ca="1" si="22"/>
        <v>0</v>
      </c>
      <c r="BM48" s="32">
        <f t="shared" ca="1" si="1"/>
        <v>1044372.3199627552</v>
      </c>
      <c r="BN48" s="23">
        <f t="shared" ca="1" si="23"/>
        <v>0</v>
      </c>
      <c r="BO48" s="24">
        <f t="shared" ca="1" si="24"/>
        <v>0</v>
      </c>
      <c r="BP48" s="25">
        <f t="shared" ca="1" si="25"/>
        <v>0</v>
      </c>
      <c r="BQ48" s="34">
        <f t="shared" ca="1" si="26"/>
        <v>46873</v>
      </c>
      <c r="BR48" s="23">
        <f t="shared" ca="1" si="27"/>
        <v>1044372.3199627552</v>
      </c>
      <c r="BS48" s="24">
        <f t="shared" ca="1" si="28"/>
        <v>5061.8879999999999</v>
      </c>
      <c r="BT48" s="24">
        <f t="shared" ca="1" si="62"/>
        <v>59379.840000000004</v>
      </c>
      <c r="BU48" s="24">
        <f t="shared" ca="1" si="29"/>
        <v>0</v>
      </c>
      <c r="BV48" s="24">
        <f t="shared" ca="1" si="63"/>
        <v>0</v>
      </c>
      <c r="BW48" s="24">
        <f t="shared" ca="1" si="30"/>
        <v>0</v>
      </c>
      <c r="BX48" s="25">
        <f t="shared" ca="1" si="64"/>
        <v>0</v>
      </c>
      <c r="BY48" s="23">
        <f t="shared" ca="1" si="2"/>
        <v>913393.90687326447</v>
      </c>
      <c r="BZ48" s="24">
        <f t="shared" ca="1" si="3"/>
        <v>4441.5518259342844</v>
      </c>
      <c r="CA48" s="24">
        <f t="shared" ca="1" si="65"/>
        <v>53041.336037023044</v>
      </c>
      <c r="CB48" s="24">
        <f t="shared" ca="1" si="4"/>
        <v>0</v>
      </c>
      <c r="CC48" s="24">
        <f t="shared" ca="1" si="66"/>
        <v>0</v>
      </c>
      <c r="CD48" s="24">
        <f t="shared" ca="1" si="5"/>
        <v>0</v>
      </c>
      <c r="CE48" s="25">
        <f t="shared" ca="1" si="67"/>
        <v>0</v>
      </c>
      <c r="CF48" s="23">
        <f t="shared" ca="1" si="68"/>
        <v>0</v>
      </c>
      <c r="CG48" s="25">
        <f t="array" aca="1" ref="CG48" ca="1">SUM(BF37:BF48/(1+inflation/100)^(AP37:AP48/12))</f>
        <v>0</v>
      </c>
      <c r="CH48" s="32">
        <f ca="1">IFERROR(IF(MOD(AP48-ap_months_since_start,12)=0,ap_drawdown/100*(AQ48+AV48+BA48-BC48),CH47),0)</f>
        <v>149937.22068839692</v>
      </c>
      <c r="CJ48" s="168"/>
      <c r="CK48">
        <v>38</v>
      </c>
      <c r="CL48" t="str">
        <f t="shared" ca="1" si="72"/>
        <v/>
      </c>
      <c r="CM48" t="str">
        <f t="shared" ca="1" si="72"/>
        <v/>
      </c>
      <c r="CN48" s="1" t="str">
        <f t="shared" ca="1" si="72"/>
        <v/>
      </c>
      <c r="CO48" t="str">
        <f t="shared" si="77"/>
        <v/>
      </c>
      <c r="CP48" s="22">
        <f t="shared" ca="1" si="78"/>
        <v>0</v>
      </c>
      <c r="CR48" s="168"/>
      <c r="CS48">
        <v>38</v>
      </c>
      <c r="CT48" t="str">
        <f t="shared" ca="1" si="75"/>
        <v/>
      </c>
      <c r="CU48" t="str">
        <f t="shared" ca="1" si="75"/>
        <v/>
      </c>
      <c r="CV48" t="str">
        <f t="shared" ca="1" si="75"/>
        <v/>
      </c>
      <c r="CW48" s="1" t="str">
        <f t="shared" ca="1" si="75"/>
        <v/>
      </c>
      <c r="CX48" s="1" t="str">
        <f t="shared" ca="1" si="75"/>
        <v/>
      </c>
      <c r="CY48" t="str">
        <f t="shared" ca="1" si="75"/>
        <v/>
      </c>
      <c r="CZ48">
        <f t="shared" ca="1" si="79"/>
        <v>1</v>
      </c>
      <c r="DA48" t="str">
        <f t="shared" si="80"/>
        <v/>
      </c>
      <c r="DB48" s="22">
        <f t="shared" ca="1" si="81"/>
        <v>0</v>
      </c>
      <c r="DD48" s="168"/>
      <c r="DE48">
        <v>38</v>
      </c>
      <c r="DF48" t="str">
        <f t="shared" ca="1" si="76"/>
        <v/>
      </c>
      <c r="DG48" t="str">
        <f t="shared" ca="1" si="76"/>
        <v/>
      </c>
      <c r="DH48" t="str">
        <f t="shared" ca="1" si="76"/>
        <v/>
      </c>
      <c r="DI48" s="1" t="str">
        <f t="shared" ca="1" si="76"/>
        <v/>
      </c>
      <c r="DJ48" s="1" t="str">
        <f t="shared" ca="1" si="76"/>
        <v/>
      </c>
      <c r="DK48" t="str">
        <f t="shared" ca="1" si="76"/>
        <v/>
      </c>
      <c r="DL48">
        <f t="shared" ca="1" si="82"/>
        <v>1</v>
      </c>
      <c r="DM48" t="str">
        <f t="shared" si="83"/>
        <v/>
      </c>
      <c r="DN48" s="22">
        <f t="shared" ca="1" si="84"/>
        <v>0</v>
      </c>
      <c r="DP48" s="168"/>
      <c r="DQ48">
        <v>38</v>
      </c>
      <c r="DR48" t="str">
        <f t="shared" ca="1" si="71"/>
        <v/>
      </c>
      <c r="DS48" t="str">
        <f t="shared" ca="1" si="71"/>
        <v/>
      </c>
      <c r="DT48" t="str">
        <f t="shared" ca="1" si="71"/>
        <v/>
      </c>
      <c r="DU48" t="str">
        <f t="shared" ca="1" si="71"/>
        <v/>
      </c>
      <c r="DV48" t="str">
        <f t="shared" ca="1" si="71"/>
        <v/>
      </c>
      <c r="DW48" t="str">
        <f t="shared" ca="1" si="71"/>
        <v/>
      </c>
      <c r="DX48">
        <f t="shared" ca="1" si="57"/>
        <v>1</v>
      </c>
      <c r="DY48" t="str">
        <f t="shared" si="85"/>
        <v/>
      </c>
      <c r="DZ48">
        <f t="shared" ca="1" si="58"/>
        <v>0</v>
      </c>
      <c r="EA48" s="122">
        <f t="shared" ca="1" si="59"/>
        <v>82121</v>
      </c>
      <c r="EL48" s="21">
        <f t="shared" ca="1" si="60"/>
        <v>3</v>
      </c>
      <c r="EM48" t="str">
        <f ca="1">'Financial Planning Tool'!CL49</f>
        <v/>
      </c>
      <c r="EN48" t="str">
        <f t="shared" ca="1" si="48"/>
        <v/>
      </c>
      <c r="EO48" t="str">
        <f t="shared" ca="1" si="49"/>
        <v/>
      </c>
      <c r="EP48" s="1" t="str">
        <f t="shared" ca="1" si="50"/>
        <v/>
      </c>
      <c r="EQ48" s="1" t="str">
        <f t="shared" ca="1" si="51"/>
        <v/>
      </c>
      <c r="ER48" t="str">
        <f t="shared" ca="1" si="52"/>
        <v/>
      </c>
      <c r="ES48" t="str">
        <f t="shared" si="53"/>
        <v/>
      </c>
      <c r="ET48">
        <v>0</v>
      </c>
      <c r="EU48" s="22">
        <v>39</v>
      </c>
      <c r="EX48" s="21" t="str">
        <f ca="1">IF(EX47="","",IF(EX47+1&lt;=MAX('Financial Planning Tool'!$EL$10:$EL$209),EX47+1,""))</f>
        <v/>
      </c>
      <c r="EY48" t="str">
        <f ca="1">IF(EX48&lt;&gt;"",VLOOKUP(EX48,'Financial Planning Tool'!$EL$10:$ER$209,2,FALSE),"")</f>
        <v/>
      </c>
      <c r="EZ48" t="str">
        <f ca="1">IF(EX48&lt;&gt;"",VLOOKUP(EX48,'Financial Planning Tool'!$EL$10:$ER$209,3,FALSE),"")</f>
        <v/>
      </c>
      <c r="FA48" t="str">
        <f ca="1">IF(EX48&lt;&gt;"",VLOOKUP(EX48,'Financial Planning Tool'!$EL$10:$ER$209,4,FALSE),"")</f>
        <v/>
      </c>
      <c r="FB48" t="str">
        <f t="shared" ca="1" si="61"/>
        <v/>
      </c>
      <c r="FC48" s="1" t="str">
        <f ca="1">IF(EX48&lt;&gt;"",VLOOKUP(EX48,'Financial Planning Tool'!$EL$10:$ER$209,5,FALSE),"")</f>
        <v/>
      </c>
      <c r="FD48" s="1" t="str">
        <f ca="1">IF(EX48&lt;&gt;"",VLOOKUP(EX48,'Financial Planning Tool'!$EL$10:$ER$209,6,FALSE),"")</f>
        <v/>
      </c>
      <c r="FE48" t="str">
        <f ca="1">IF(EX48&lt;&gt;"",VLOOKUP(EX48,'Financial Planning Tool'!$EL$10:$ER$209,7,FALSE),"")</f>
        <v/>
      </c>
      <c r="FF48" t="str">
        <f ca="1">IF(EX48&lt;&gt;"",VLOOKUP(EX48,'Financial Planning Tool'!$EL$10:$ES$209,8,FALSE),"")</f>
        <v/>
      </c>
      <c r="FG48" t="str">
        <f ca="1">IF(EX48&lt;&gt;"",VLOOKUP(EX48,'Financial Planning Tool'!$EL$10:$ET$209,9,FALSE),"")</f>
        <v/>
      </c>
      <c r="FH48" t="str">
        <f t="shared" ca="1" si="86"/>
        <v/>
      </c>
      <c r="FI48" s="22" t="str">
        <f t="shared" ca="1" si="87"/>
        <v/>
      </c>
    </row>
    <row r="49" spans="1:165" x14ac:dyDescent="0.25">
      <c r="A49" s="20"/>
      <c r="B49" s="130" t="s">
        <v>211</v>
      </c>
      <c r="C49" s="131"/>
      <c r="D49" s="147" t="s">
        <v>212</v>
      </c>
      <c r="E49" s="148"/>
      <c r="F49" s="132"/>
      <c r="S49" s="18"/>
      <c r="T49" s="160"/>
      <c r="U49" s="161"/>
      <c r="V49" s="8"/>
      <c r="W49" s="68"/>
      <c r="X49" s="68"/>
      <c r="Y49" s="71"/>
      <c r="Z49" s="71"/>
      <c r="AA49" s="65"/>
      <c r="AE49">
        <v>33</v>
      </c>
      <c r="AN49" s="32">
        <f t="shared" ca="1" si="0"/>
        <v>58.333333333333336</v>
      </c>
      <c r="AO49" s="53">
        <f t="shared" ca="1" si="31"/>
        <v>46874</v>
      </c>
      <c r="AP49" s="22">
        <v>42</v>
      </c>
      <c r="AQ49" s="32">
        <f t="shared" ca="1" si="32"/>
        <v>1044372.3199627552</v>
      </c>
      <c r="AR49" s="23">
        <f t="array" aca="1" ref="AR49" ca="1">SUM(IF(lsc_start_date=AO49,lsc_amount,0))</f>
        <v>0</v>
      </c>
      <c r="AS49" s="24">
        <f t="shared" ca="1" si="6"/>
        <v>0</v>
      </c>
      <c r="AT49" s="24">
        <f t="shared" ca="1" si="7"/>
        <v>0</v>
      </c>
      <c r="AU49" s="24">
        <f t="shared" ca="1" si="8"/>
        <v>0</v>
      </c>
      <c r="AV49" s="25">
        <f t="shared" ca="1" si="9"/>
        <v>0</v>
      </c>
      <c r="AW49" s="23">
        <f t="array" aca="1" ref="AW49" ca="1">SUM(IF(rcs_start_date&lt;=AO49,1,0)*IF(rcs_end_date&gt;=AO49,1,0)*rcs_amount*(1+rcs_escalation/100)^(INT((AP49-rcs_months_since_start)/12))*IF(MOD((AP49-rcs_months_since_start),rcs_frequency)=0,1,0)*IF(rcs_frequency=13,0,1))+SUM(IF(rcs_start_date=AO49,rcs_amount,0)*IF(rcs_frequency=13,1,0))</f>
        <v>5061.8879999999999</v>
      </c>
      <c r="AX49" s="24">
        <f t="shared" ca="1" si="10"/>
        <v>0</v>
      </c>
      <c r="AY49" s="24">
        <f t="shared" ca="1" si="11"/>
        <v>0</v>
      </c>
      <c r="AZ49" s="24">
        <f t="shared" ca="1" si="12"/>
        <v>0</v>
      </c>
      <c r="BA49" s="25">
        <f t="shared" ca="1" si="13"/>
        <v>5061.8879999999999</v>
      </c>
      <c r="BB49" s="23">
        <f t="array" aca="1" ref="BB49" ca="1">SUM(IF(w_start_date&lt;=AO49,1,0)*IF(w_end_date&gt;=AO49,1,0)*w_amount*(1+w_escalation/100)^(INT((AP49-w_months_since_start)/12))*IF(MOD(AP49-w_months_since_start,w_frequency)=0,1,0)*IF(w_frequency=13,0,1))+SUM(IF(w_start_date=AO49,w_amount,0)*IF(w_frequency=13,1,0))</f>
        <v>0</v>
      </c>
      <c r="BC49" s="25">
        <f t="shared" ca="1" si="14"/>
        <v>0</v>
      </c>
      <c r="BD49" s="24" t="b">
        <f t="shared" ca="1" si="15"/>
        <v>0</v>
      </c>
      <c r="BE49" s="24" t="b">
        <f t="shared" ca="1" si="16"/>
        <v>1</v>
      </c>
      <c r="BF49" s="23">
        <f t="array" aca="1" ref="BF49" ca="1">SUM(IF(BD49,1,0)*IF(ap_start_date&lt;=AO49,1,0)*IF(ap_end_date&gt;=AO49,1,0)*ap_amount*(1+ap_escalation/100)^(INT((AP49-ap_months_since_start)/12))*IF(MOD(AP49-ap_months_since_start,ap_frequency)=0,1,0))</f>
        <v>0</v>
      </c>
      <c r="BG49" s="24">
        <f t="shared" ca="1" si="17"/>
        <v>0</v>
      </c>
      <c r="BH49" s="24">
        <f t="shared" ca="1" si="18"/>
        <v>0</v>
      </c>
      <c r="BI49">
        <f t="shared" ca="1" si="19"/>
        <v>0</v>
      </c>
      <c r="BJ49" s="24">
        <f t="shared" ca="1" si="20"/>
        <v>0</v>
      </c>
      <c r="BK49">
        <f t="shared" ca="1" si="21"/>
        <v>0</v>
      </c>
      <c r="BL49" s="25">
        <f t="shared" ca="1" si="22"/>
        <v>0</v>
      </c>
      <c r="BM49" s="32">
        <f t="shared" ca="1" si="1"/>
        <v>1056997.8195985565</v>
      </c>
      <c r="BN49" s="23">
        <f t="shared" ca="1" si="23"/>
        <v>0</v>
      </c>
      <c r="BO49" s="24">
        <f t="shared" ca="1" si="24"/>
        <v>0</v>
      </c>
      <c r="BP49" s="25">
        <f t="shared" ca="1" si="25"/>
        <v>0</v>
      </c>
      <c r="BQ49" s="34">
        <f t="shared" ca="1" si="26"/>
        <v>46904</v>
      </c>
      <c r="BR49" s="23">
        <f t="shared" ca="1" si="27"/>
        <v>1056997.8195985565</v>
      </c>
      <c r="BS49" s="24">
        <f t="shared" ca="1" si="28"/>
        <v>5061.8879999999999</v>
      </c>
      <c r="BT49" s="24">
        <f t="shared" ca="1" si="62"/>
        <v>59574.527999999998</v>
      </c>
      <c r="BU49" s="24">
        <f t="shared" ca="1" si="29"/>
        <v>0</v>
      </c>
      <c r="BV49" s="24">
        <f t="shared" ca="1" si="63"/>
        <v>0</v>
      </c>
      <c r="BW49" s="24">
        <f t="shared" ca="1" si="30"/>
        <v>0</v>
      </c>
      <c r="BX49" s="25">
        <f t="shared" ca="1" si="64"/>
        <v>0</v>
      </c>
      <c r="BY49" s="23">
        <f t="shared" ca="1" si="2"/>
        <v>921419.51039928535</v>
      </c>
      <c r="BZ49" s="24">
        <f t="shared" ca="1" si="3"/>
        <v>4427.0587874636321</v>
      </c>
      <c r="CA49" s="24">
        <f t="shared" ca="1" si="65"/>
        <v>53041.336037023051</v>
      </c>
      <c r="CB49" s="24">
        <f t="shared" ca="1" si="4"/>
        <v>0</v>
      </c>
      <c r="CC49" s="24">
        <f t="shared" ca="1" si="66"/>
        <v>0</v>
      </c>
      <c r="CD49" s="24">
        <f t="shared" ca="1" si="5"/>
        <v>0</v>
      </c>
      <c r="CE49" s="25">
        <f t="shared" ca="1" si="67"/>
        <v>0</v>
      </c>
      <c r="CF49" s="23">
        <f t="shared" ca="1" si="68"/>
        <v>0</v>
      </c>
      <c r="CG49" s="25">
        <f t="array" aca="1" ref="CG49" ca="1">SUM(BF38:BF49/(1+inflation/100)^(AP38:AP49/12))</f>
        <v>0</v>
      </c>
      <c r="CH49" s="32">
        <f ca="1">IFERROR(IF(MOD(AP49-ap_months_since_start,12)=0,ap_drawdown/100*(AQ49+AV49+BA49-BC49),CH48),0)</f>
        <v>149937.22068839692</v>
      </c>
      <c r="CJ49" s="168"/>
      <c r="CK49">
        <v>39</v>
      </c>
      <c r="CL49" t="str">
        <f t="shared" ca="1" si="72"/>
        <v/>
      </c>
      <c r="CM49" t="str">
        <f t="shared" ca="1" si="72"/>
        <v/>
      </c>
      <c r="CN49" s="1" t="str">
        <f t="shared" ca="1" si="72"/>
        <v/>
      </c>
      <c r="CO49" t="str">
        <f t="shared" si="77"/>
        <v/>
      </c>
      <c r="CP49" s="22">
        <f t="shared" ca="1" si="78"/>
        <v>0</v>
      </c>
      <c r="CR49" s="168"/>
      <c r="CS49">
        <v>39</v>
      </c>
      <c r="CT49" t="str">
        <f t="shared" ca="1" si="75"/>
        <v/>
      </c>
      <c r="CU49" t="str">
        <f t="shared" ca="1" si="75"/>
        <v/>
      </c>
      <c r="CV49" t="str">
        <f t="shared" ca="1" si="75"/>
        <v/>
      </c>
      <c r="CW49" s="1" t="str">
        <f t="shared" ca="1" si="75"/>
        <v/>
      </c>
      <c r="CX49" s="1" t="str">
        <f t="shared" ca="1" si="75"/>
        <v/>
      </c>
      <c r="CY49" t="str">
        <f t="shared" ca="1" si="75"/>
        <v/>
      </c>
      <c r="CZ49">
        <f t="shared" ca="1" si="79"/>
        <v>1</v>
      </c>
      <c r="DA49" t="str">
        <f t="shared" si="80"/>
        <v/>
      </c>
      <c r="DB49" s="22">
        <f t="shared" ca="1" si="81"/>
        <v>0</v>
      </c>
      <c r="DD49" s="168"/>
      <c r="DE49">
        <v>39</v>
      </c>
      <c r="DF49" t="str">
        <f t="shared" ca="1" si="76"/>
        <v/>
      </c>
      <c r="DG49" t="str">
        <f t="shared" ca="1" si="76"/>
        <v/>
      </c>
      <c r="DH49" t="str">
        <f t="shared" ca="1" si="76"/>
        <v/>
      </c>
      <c r="DI49" s="1" t="str">
        <f t="shared" ca="1" si="76"/>
        <v/>
      </c>
      <c r="DJ49" s="1" t="str">
        <f t="shared" ca="1" si="76"/>
        <v/>
      </c>
      <c r="DK49" t="str">
        <f t="shared" ca="1" si="76"/>
        <v/>
      </c>
      <c r="DL49">
        <f t="shared" ca="1" si="82"/>
        <v>1</v>
      </c>
      <c r="DM49" t="str">
        <f t="shared" si="83"/>
        <v/>
      </c>
      <c r="DN49" s="22">
        <f t="shared" ca="1" si="84"/>
        <v>0</v>
      </c>
      <c r="DP49" s="168"/>
      <c r="DQ49">
        <v>39</v>
      </c>
      <c r="DR49" t="str">
        <f t="shared" ca="1" si="71"/>
        <v/>
      </c>
      <c r="DS49" t="str">
        <f t="shared" ca="1" si="71"/>
        <v/>
      </c>
      <c r="DT49" t="str">
        <f t="shared" ca="1" si="71"/>
        <v/>
      </c>
      <c r="DU49" t="str">
        <f t="shared" ca="1" si="71"/>
        <v/>
      </c>
      <c r="DV49" t="str">
        <f t="shared" ca="1" si="71"/>
        <v/>
      </c>
      <c r="DW49" t="str">
        <f t="shared" ca="1" si="71"/>
        <v/>
      </c>
      <c r="DX49">
        <f t="shared" ca="1" si="57"/>
        <v>1</v>
      </c>
      <c r="DY49" t="str">
        <f t="shared" si="85"/>
        <v/>
      </c>
      <c r="DZ49">
        <f t="shared" ca="1" si="58"/>
        <v>0</v>
      </c>
      <c r="EA49" s="122">
        <f t="shared" ca="1" si="59"/>
        <v>82121</v>
      </c>
      <c r="EL49" s="21">
        <f t="shared" ca="1" si="60"/>
        <v>3</v>
      </c>
      <c r="EM49" t="str">
        <f ca="1">'Financial Planning Tool'!CL50</f>
        <v/>
      </c>
      <c r="EN49" t="str">
        <f t="shared" ca="1" si="48"/>
        <v/>
      </c>
      <c r="EO49" t="str">
        <f t="shared" ca="1" si="49"/>
        <v/>
      </c>
      <c r="EP49" s="1" t="str">
        <f t="shared" ca="1" si="50"/>
        <v/>
      </c>
      <c r="EQ49" s="1" t="str">
        <f t="shared" ca="1" si="51"/>
        <v/>
      </c>
      <c r="ER49" t="str">
        <f t="shared" ca="1" si="52"/>
        <v/>
      </c>
      <c r="ES49" t="str">
        <f t="shared" si="53"/>
        <v/>
      </c>
      <c r="ET49">
        <v>0</v>
      </c>
      <c r="EU49" s="22">
        <v>40</v>
      </c>
      <c r="EX49" s="21" t="str">
        <f ca="1">IF(EX48="","",IF(EX48+1&lt;=MAX('Financial Planning Tool'!$EL$10:$EL$209),EX48+1,""))</f>
        <v/>
      </c>
      <c r="EY49" t="str">
        <f ca="1">IF(EX49&lt;&gt;"",VLOOKUP(EX49,'Financial Planning Tool'!$EL$10:$ER$209,2,FALSE),"")</f>
        <v/>
      </c>
      <c r="EZ49" t="str">
        <f ca="1">IF(EX49&lt;&gt;"",VLOOKUP(EX49,'Financial Planning Tool'!$EL$10:$ER$209,3,FALSE),"")</f>
        <v/>
      </c>
      <c r="FA49" t="str">
        <f ca="1">IF(EX49&lt;&gt;"",VLOOKUP(EX49,'Financial Planning Tool'!$EL$10:$ER$209,4,FALSE),"")</f>
        <v/>
      </c>
      <c r="FB49" t="str">
        <f t="shared" ca="1" si="61"/>
        <v/>
      </c>
      <c r="FC49" s="1" t="str">
        <f ca="1">IF(EX49&lt;&gt;"",VLOOKUP(EX49,'Financial Planning Tool'!$EL$10:$ER$209,5,FALSE),"")</f>
        <v/>
      </c>
      <c r="FD49" s="1" t="str">
        <f ca="1">IF(EX49&lt;&gt;"",VLOOKUP(EX49,'Financial Planning Tool'!$EL$10:$ER$209,6,FALSE),"")</f>
        <v/>
      </c>
      <c r="FE49" t="str">
        <f ca="1">IF(EX49&lt;&gt;"",VLOOKUP(EX49,'Financial Planning Tool'!$EL$10:$ER$209,7,FALSE),"")</f>
        <v/>
      </c>
      <c r="FF49" t="str">
        <f ca="1">IF(EX49&lt;&gt;"",VLOOKUP(EX49,'Financial Planning Tool'!$EL$10:$ES$209,8,FALSE),"")</f>
        <v/>
      </c>
      <c r="FG49" t="str">
        <f ca="1">IF(EX49&lt;&gt;"",VLOOKUP(EX49,'Financial Planning Tool'!$EL$10:$ET$209,9,FALSE),"")</f>
        <v/>
      </c>
      <c r="FH49" t="str">
        <f t="shared" ca="1" si="86"/>
        <v/>
      </c>
      <c r="FI49" s="22" t="str">
        <f t="shared" ca="1" si="87"/>
        <v/>
      </c>
    </row>
    <row r="50" spans="1:165" x14ac:dyDescent="0.25">
      <c r="A50" s="20"/>
      <c r="B50" s="86" t="s">
        <v>205</v>
      </c>
      <c r="C50" s="84"/>
      <c r="D50" s="124">
        <v>75000</v>
      </c>
      <c r="E50" s="125">
        <v>75000</v>
      </c>
      <c r="F50" s="85"/>
      <c r="S50" s="18"/>
      <c r="T50" s="180"/>
      <c r="U50" s="181"/>
      <c r="V50" s="9"/>
      <c r="W50" s="69"/>
      <c r="X50" s="69"/>
      <c r="Y50" s="72"/>
      <c r="Z50" s="72"/>
      <c r="AA50" s="66"/>
      <c r="AE50">
        <v>34</v>
      </c>
      <c r="AN50" s="32">
        <f t="shared" ca="1" si="0"/>
        <v>58.416666666666664</v>
      </c>
      <c r="AO50" s="53">
        <f t="shared" ca="1" si="31"/>
        <v>46905</v>
      </c>
      <c r="AP50" s="22">
        <v>43</v>
      </c>
      <c r="AQ50" s="32">
        <f t="shared" ca="1" si="32"/>
        <v>1056997.8195985565</v>
      </c>
      <c r="AR50" s="23">
        <f t="array" aca="1" ref="AR50" ca="1">SUM(IF(lsc_start_date=AO50,lsc_amount,0))</f>
        <v>0</v>
      </c>
      <c r="AS50" s="24">
        <f t="shared" ca="1" si="6"/>
        <v>0</v>
      </c>
      <c r="AT50" s="24">
        <f t="shared" ca="1" si="7"/>
        <v>0</v>
      </c>
      <c r="AU50" s="24">
        <f t="shared" ca="1" si="8"/>
        <v>0</v>
      </c>
      <c r="AV50" s="25">
        <f t="shared" ca="1" si="9"/>
        <v>0</v>
      </c>
      <c r="AW50" s="23">
        <f t="array" aca="1" ref="AW50" ca="1">SUM(IF(rcs_start_date&lt;=AO50,1,0)*IF(rcs_end_date&gt;=AO50,1,0)*rcs_amount*(1+rcs_escalation/100)^(INT((AP50-rcs_months_since_start)/12))*IF(MOD((AP50-rcs_months_since_start),rcs_frequency)=0,1,0)*IF(rcs_frequency=13,0,1))+SUM(IF(rcs_start_date=AO50,rcs_amount,0)*IF(rcs_frequency=13,1,0))</f>
        <v>5061.8879999999999</v>
      </c>
      <c r="AX50" s="24">
        <f t="shared" ca="1" si="10"/>
        <v>0</v>
      </c>
      <c r="AY50" s="24">
        <f t="shared" ca="1" si="11"/>
        <v>0</v>
      </c>
      <c r="AZ50" s="24">
        <f t="shared" ca="1" si="12"/>
        <v>0</v>
      </c>
      <c r="BA50" s="25">
        <f t="shared" ca="1" si="13"/>
        <v>5061.8879999999999</v>
      </c>
      <c r="BB50" s="23">
        <f t="array" aca="1" ref="BB50" ca="1">SUM(IF(w_start_date&lt;=AO50,1,0)*IF(w_end_date&gt;=AO50,1,0)*w_amount*(1+w_escalation/100)^(INT((AP50-w_months_since_start)/12))*IF(MOD(AP50-w_months_since_start,w_frequency)=0,1,0)*IF(w_frequency=13,0,1))+SUM(IF(w_start_date=AO50,w_amount,0)*IF(w_frequency=13,1,0))</f>
        <v>0</v>
      </c>
      <c r="BC50" s="25">
        <f t="shared" ca="1" si="14"/>
        <v>0</v>
      </c>
      <c r="BD50" s="24" t="b">
        <f t="shared" ca="1" si="15"/>
        <v>0</v>
      </c>
      <c r="BE50" s="24" t="b">
        <f t="shared" ca="1" si="16"/>
        <v>1</v>
      </c>
      <c r="BF50" s="23">
        <f t="array" aca="1" ref="BF50" ca="1">SUM(IF(BD50,1,0)*IF(ap_start_date&lt;=AO50,1,0)*IF(ap_end_date&gt;=AO50,1,0)*ap_amount*(1+ap_escalation/100)^(INT((AP50-ap_months_since_start)/12))*IF(MOD(AP50-ap_months_since_start,ap_frequency)=0,1,0))</f>
        <v>0</v>
      </c>
      <c r="BG50" s="24">
        <f t="shared" ca="1" si="17"/>
        <v>0</v>
      </c>
      <c r="BH50" s="24">
        <f t="shared" ca="1" si="18"/>
        <v>0</v>
      </c>
      <c r="BI50">
        <f t="shared" ca="1" si="19"/>
        <v>0</v>
      </c>
      <c r="BJ50" s="24">
        <f t="shared" ca="1" si="20"/>
        <v>0</v>
      </c>
      <c r="BK50">
        <f t="shared" ca="1" si="21"/>
        <v>0</v>
      </c>
      <c r="BL50" s="25">
        <f t="shared" ca="1" si="22"/>
        <v>0</v>
      </c>
      <c r="BM50" s="32">
        <f t="shared" ca="1" si="1"/>
        <v>1069714.3152922608</v>
      </c>
      <c r="BN50" s="23">
        <f t="shared" ca="1" si="23"/>
        <v>0</v>
      </c>
      <c r="BO50" s="24">
        <f t="shared" ca="1" si="24"/>
        <v>0</v>
      </c>
      <c r="BP50" s="25">
        <f t="shared" ca="1" si="25"/>
        <v>0</v>
      </c>
      <c r="BQ50" s="34">
        <f t="shared" ca="1" si="26"/>
        <v>46934</v>
      </c>
      <c r="BR50" s="23">
        <f t="shared" ca="1" si="27"/>
        <v>1069714.3152922608</v>
      </c>
      <c r="BS50" s="24">
        <f t="shared" ca="1" si="28"/>
        <v>5061.8879999999999</v>
      </c>
      <c r="BT50" s="24">
        <f t="shared" ca="1" si="62"/>
        <v>59769.216</v>
      </c>
      <c r="BU50" s="24">
        <f t="shared" ca="1" si="29"/>
        <v>0</v>
      </c>
      <c r="BV50" s="24">
        <f t="shared" ca="1" si="63"/>
        <v>0</v>
      </c>
      <c r="BW50" s="24">
        <f t="shared" ca="1" si="30"/>
        <v>0</v>
      </c>
      <c r="BX50" s="25">
        <f t="shared" ca="1" si="64"/>
        <v>0</v>
      </c>
      <c r="BY50" s="23">
        <f t="shared" ca="1" si="2"/>
        <v>929462.07790949359</v>
      </c>
      <c r="BZ50" s="24">
        <f t="shared" ca="1" si="3"/>
        <v>4412.6130406091397</v>
      </c>
      <c r="CA50" s="24">
        <f t="shared" ca="1" si="65"/>
        <v>53041.336037023044</v>
      </c>
      <c r="CB50" s="24">
        <f t="shared" ca="1" si="4"/>
        <v>0</v>
      </c>
      <c r="CC50" s="24">
        <f t="shared" ca="1" si="66"/>
        <v>0</v>
      </c>
      <c r="CD50" s="24">
        <f t="shared" ca="1" si="5"/>
        <v>0</v>
      </c>
      <c r="CE50" s="25">
        <f t="shared" ca="1" si="67"/>
        <v>0</v>
      </c>
      <c r="CF50" s="23">
        <f t="shared" ca="1" si="68"/>
        <v>0</v>
      </c>
      <c r="CG50" s="25">
        <f t="array" aca="1" ref="CG50" ca="1">SUM(BF39:BF50/(1+inflation/100)^(AP39:AP50/12))</f>
        <v>0</v>
      </c>
      <c r="CH50" s="32">
        <f ca="1">IFERROR(IF(MOD(AP50-ap_months_since_start,12)=0,ap_drawdown/100*(AQ50+AV50+BA50-BC50),CH49),0)</f>
        <v>149937.22068839692</v>
      </c>
      <c r="CJ50" s="168"/>
      <c r="CK50">
        <v>40</v>
      </c>
      <c r="CL50" t="str">
        <f t="shared" ca="1" si="72"/>
        <v/>
      </c>
      <c r="CM50" t="str">
        <f t="shared" ca="1" si="72"/>
        <v/>
      </c>
      <c r="CN50" s="1" t="str">
        <f t="shared" ca="1" si="72"/>
        <v/>
      </c>
      <c r="CO50" t="str">
        <f t="shared" si="77"/>
        <v/>
      </c>
      <c r="CP50" s="22">
        <f t="shared" ca="1" si="78"/>
        <v>0</v>
      </c>
      <c r="CR50" s="168"/>
      <c r="CS50">
        <v>40</v>
      </c>
      <c r="CT50" t="str">
        <f t="shared" ca="1" si="75"/>
        <v/>
      </c>
      <c r="CU50" t="str">
        <f t="shared" ca="1" si="75"/>
        <v/>
      </c>
      <c r="CV50" t="str">
        <f t="shared" ca="1" si="75"/>
        <v/>
      </c>
      <c r="CW50" s="1" t="str">
        <f t="shared" ca="1" si="75"/>
        <v/>
      </c>
      <c r="CX50" s="1" t="str">
        <f t="shared" ca="1" si="75"/>
        <v/>
      </c>
      <c r="CY50" t="str">
        <f t="shared" ca="1" si="75"/>
        <v/>
      </c>
      <c r="CZ50">
        <f t="shared" ca="1" si="79"/>
        <v>1</v>
      </c>
      <c r="DA50" t="str">
        <f t="shared" si="80"/>
        <v/>
      </c>
      <c r="DB50" s="22">
        <f t="shared" ca="1" si="81"/>
        <v>0</v>
      </c>
      <c r="DD50" s="168"/>
      <c r="DE50">
        <v>40</v>
      </c>
      <c r="DF50" t="str">
        <f t="shared" ca="1" si="76"/>
        <v/>
      </c>
      <c r="DG50" t="str">
        <f t="shared" ca="1" si="76"/>
        <v/>
      </c>
      <c r="DH50" t="str">
        <f t="shared" ca="1" si="76"/>
        <v/>
      </c>
      <c r="DI50" s="1" t="str">
        <f t="shared" ca="1" si="76"/>
        <v/>
      </c>
      <c r="DJ50" s="1" t="str">
        <f t="shared" ca="1" si="76"/>
        <v/>
      </c>
      <c r="DK50" t="str">
        <f t="shared" ca="1" si="76"/>
        <v/>
      </c>
      <c r="DL50">
        <f t="shared" ca="1" si="82"/>
        <v>1</v>
      </c>
      <c r="DM50" t="str">
        <f t="shared" si="83"/>
        <v/>
      </c>
      <c r="DN50" s="22">
        <f t="shared" ca="1" si="84"/>
        <v>0</v>
      </c>
      <c r="DP50" s="168"/>
      <c r="DQ50">
        <v>40</v>
      </c>
      <c r="DR50" t="str">
        <f t="shared" ca="1" si="71"/>
        <v/>
      </c>
      <c r="DS50" t="str">
        <f t="shared" ca="1" si="71"/>
        <v/>
      </c>
      <c r="DT50" t="str">
        <f t="shared" ca="1" si="71"/>
        <v/>
      </c>
      <c r="DU50" t="str">
        <f t="shared" ca="1" si="71"/>
        <v/>
      </c>
      <c r="DV50" t="str">
        <f t="shared" ca="1" si="71"/>
        <v/>
      </c>
      <c r="DW50" t="str">
        <f t="shared" ca="1" si="71"/>
        <v/>
      </c>
      <c r="DX50">
        <f t="shared" ca="1" si="57"/>
        <v>1</v>
      </c>
      <c r="DY50" t="str">
        <f t="shared" si="85"/>
        <v/>
      </c>
      <c r="DZ50">
        <f t="shared" ca="1" si="58"/>
        <v>0</v>
      </c>
      <c r="EA50" s="122">
        <f t="shared" ca="1" si="59"/>
        <v>82121</v>
      </c>
      <c r="EL50" s="21">
        <f t="shared" ca="1" si="60"/>
        <v>3</v>
      </c>
      <c r="EM50" t="str">
        <f ca="1">'Financial Planning Tool'!CL51</f>
        <v/>
      </c>
      <c r="EN50" t="str">
        <f t="shared" ca="1" si="48"/>
        <v/>
      </c>
      <c r="EO50" t="str">
        <f t="shared" ca="1" si="49"/>
        <v/>
      </c>
      <c r="EP50" s="1" t="str">
        <f t="shared" ca="1" si="50"/>
        <v/>
      </c>
      <c r="EQ50" s="1" t="str">
        <f t="shared" ca="1" si="51"/>
        <v/>
      </c>
      <c r="ER50" t="str">
        <f t="shared" ca="1" si="52"/>
        <v/>
      </c>
      <c r="ES50" t="str">
        <f t="shared" si="53"/>
        <v/>
      </c>
      <c r="ET50">
        <v>0</v>
      </c>
      <c r="EU50" s="22">
        <v>41</v>
      </c>
      <c r="EX50" s="21" t="str">
        <f ca="1">IF(EX49="","",IF(EX49+1&lt;=MAX('Financial Planning Tool'!$EL$10:$EL$209),EX49+1,""))</f>
        <v/>
      </c>
      <c r="EY50" t="str">
        <f ca="1">IF(EX50&lt;&gt;"",VLOOKUP(EX50,'Financial Planning Tool'!$EL$10:$ER$209,2,FALSE),"")</f>
        <v/>
      </c>
      <c r="EZ50" t="str">
        <f ca="1">IF(EX50&lt;&gt;"",VLOOKUP(EX50,'Financial Planning Tool'!$EL$10:$ER$209,3,FALSE),"")</f>
        <v/>
      </c>
      <c r="FA50" t="str">
        <f ca="1">IF(EX50&lt;&gt;"",VLOOKUP(EX50,'Financial Planning Tool'!$EL$10:$ER$209,4,FALSE),"")</f>
        <v/>
      </c>
      <c r="FB50" t="str">
        <f t="shared" ca="1" si="61"/>
        <v/>
      </c>
      <c r="FC50" s="1" t="str">
        <f ca="1">IF(EX50&lt;&gt;"",VLOOKUP(EX50,'Financial Planning Tool'!$EL$10:$ER$209,5,FALSE),"")</f>
        <v/>
      </c>
      <c r="FD50" s="1" t="str">
        <f ca="1">IF(EX50&lt;&gt;"",VLOOKUP(EX50,'Financial Planning Tool'!$EL$10:$ER$209,6,FALSE),"")</f>
        <v/>
      </c>
      <c r="FE50" t="str">
        <f ca="1">IF(EX50&lt;&gt;"",VLOOKUP(EX50,'Financial Planning Tool'!$EL$10:$ER$209,7,FALSE),"")</f>
        <v/>
      </c>
      <c r="FF50" t="str">
        <f ca="1">IF(EX50&lt;&gt;"",VLOOKUP(EX50,'Financial Planning Tool'!$EL$10:$ES$209,8,FALSE),"")</f>
        <v/>
      </c>
      <c r="FG50" t="str">
        <f ca="1">IF(EX50&lt;&gt;"",VLOOKUP(EX50,'Financial Planning Tool'!$EL$10:$ET$209,9,FALSE),"")</f>
        <v/>
      </c>
      <c r="FH50" t="str">
        <f t="shared" ca="1" si="86"/>
        <v/>
      </c>
      <c r="FI50" s="22" t="str">
        <f t="shared" ca="1" si="87"/>
        <v/>
      </c>
    </row>
    <row r="51" spans="1:165" x14ac:dyDescent="0.25">
      <c r="A51" s="20"/>
      <c r="B51" s="86" t="s">
        <v>201</v>
      </c>
      <c r="C51" s="84"/>
      <c r="D51" s="126">
        <v>45627</v>
      </c>
      <c r="E51" s="127">
        <v>0</v>
      </c>
      <c r="F51" s="85"/>
      <c r="S51" s="18"/>
      <c r="AN51" s="32">
        <f t="shared" ca="1" si="0"/>
        <v>58.5</v>
      </c>
      <c r="AO51" s="53">
        <f t="shared" ca="1" si="31"/>
        <v>46935</v>
      </c>
      <c r="AP51" s="22">
        <v>44</v>
      </c>
      <c r="AQ51" s="32">
        <f t="shared" ca="1" si="32"/>
        <v>1069714.3152922608</v>
      </c>
      <c r="AR51" s="23">
        <f t="array" aca="1" ref="AR51" ca="1">SUM(IF(lsc_start_date=AO51,lsc_amount,0))</f>
        <v>0</v>
      </c>
      <c r="AS51" s="24">
        <f t="shared" ca="1" si="6"/>
        <v>0</v>
      </c>
      <c r="AT51" s="24">
        <f t="shared" ca="1" si="7"/>
        <v>0</v>
      </c>
      <c r="AU51" s="24">
        <f t="shared" ca="1" si="8"/>
        <v>0</v>
      </c>
      <c r="AV51" s="25">
        <f t="shared" ca="1" si="9"/>
        <v>0</v>
      </c>
      <c r="AW51" s="23">
        <f t="array" aca="1" ref="AW51" ca="1">SUM(IF(rcs_start_date&lt;=AO51,1,0)*IF(rcs_end_date&gt;=AO51,1,0)*rcs_amount*(1+rcs_escalation/100)^(INT((AP51-rcs_months_since_start)/12))*IF(MOD((AP51-rcs_months_since_start),rcs_frequency)=0,1,0)*IF(rcs_frequency=13,0,1))+SUM(IF(rcs_start_date=AO51,rcs_amount,0)*IF(rcs_frequency=13,1,0))</f>
        <v>5061.8879999999999</v>
      </c>
      <c r="AX51" s="24">
        <f t="shared" ca="1" si="10"/>
        <v>0</v>
      </c>
      <c r="AY51" s="24">
        <f t="shared" ca="1" si="11"/>
        <v>0</v>
      </c>
      <c r="AZ51" s="24">
        <f t="shared" ca="1" si="12"/>
        <v>0</v>
      </c>
      <c r="BA51" s="25">
        <f t="shared" ca="1" si="13"/>
        <v>5061.8879999999999</v>
      </c>
      <c r="BB51" s="23">
        <f t="array" aca="1" ref="BB51" ca="1">SUM(IF(w_start_date&lt;=AO51,1,0)*IF(w_end_date&gt;=AO51,1,0)*w_amount*(1+w_escalation/100)^(INT((AP51-w_months_since_start)/12))*IF(MOD(AP51-w_months_since_start,w_frequency)=0,1,0)*IF(w_frequency=13,0,1))+SUM(IF(w_start_date=AO51,w_amount,0)*IF(w_frequency=13,1,0))</f>
        <v>0</v>
      </c>
      <c r="BC51" s="25">
        <f t="shared" ca="1" si="14"/>
        <v>0</v>
      </c>
      <c r="BD51" s="24" t="b">
        <f t="shared" ca="1" si="15"/>
        <v>0</v>
      </c>
      <c r="BE51" s="24" t="b">
        <f t="shared" ca="1" si="16"/>
        <v>1</v>
      </c>
      <c r="BF51" s="23">
        <f t="array" aca="1" ref="BF51" ca="1">SUM(IF(BD51,1,0)*IF(ap_start_date&lt;=AO51,1,0)*IF(ap_end_date&gt;=AO51,1,0)*ap_amount*(1+ap_escalation/100)^(INT((AP51-ap_months_since_start)/12))*IF(MOD(AP51-ap_months_since_start,ap_frequency)=0,1,0))</f>
        <v>0</v>
      </c>
      <c r="BG51" s="24">
        <f t="shared" ca="1" si="17"/>
        <v>0</v>
      </c>
      <c r="BH51" s="24">
        <f t="shared" ca="1" si="18"/>
        <v>0</v>
      </c>
      <c r="BI51">
        <f t="shared" ca="1" si="19"/>
        <v>0</v>
      </c>
      <c r="BJ51" s="24">
        <f t="shared" ca="1" si="20"/>
        <v>0</v>
      </c>
      <c r="BK51">
        <f t="shared" ca="1" si="21"/>
        <v>0</v>
      </c>
      <c r="BL51" s="25">
        <f t="shared" ca="1" si="22"/>
        <v>0</v>
      </c>
      <c r="BM51" s="32">
        <f t="shared" ca="1" si="1"/>
        <v>1082522.462881878</v>
      </c>
      <c r="BN51" s="23">
        <f t="shared" ca="1" si="23"/>
        <v>0</v>
      </c>
      <c r="BO51" s="24">
        <f t="shared" ca="1" si="24"/>
        <v>0</v>
      </c>
      <c r="BP51" s="25">
        <f t="shared" ca="1" si="25"/>
        <v>0</v>
      </c>
      <c r="BQ51" s="34">
        <f t="shared" ca="1" si="26"/>
        <v>46965</v>
      </c>
      <c r="BR51" s="23">
        <f t="shared" ca="1" si="27"/>
        <v>1082522.462881878</v>
      </c>
      <c r="BS51" s="24">
        <f t="shared" ca="1" si="28"/>
        <v>5061.8879999999999</v>
      </c>
      <c r="BT51" s="24">
        <f t="shared" ca="1" si="62"/>
        <v>59963.903999999995</v>
      </c>
      <c r="BU51" s="24">
        <f t="shared" ca="1" si="29"/>
        <v>0</v>
      </c>
      <c r="BV51" s="24">
        <f t="shared" ca="1" si="63"/>
        <v>0</v>
      </c>
      <c r="BW51" s="24">
        <f t="shared" ca="1" si="30"/>
        <v>0</v>
      </c>
      <c r="BX51" s="25">
        <f t="shared" ca="1" si="64"/>
        <v>0</v>
      </c>
      <c r="BY51" s="23">
        <f t="shared" ca="1" si="2"/>
        <v>937521.723237511</v>
      </c>
      <c r="BZ51" s="24">
        <f t="shared" ca="1" si="3"/>
        <v>4398.2144310555523</v>
      </c>
      <c r="CA51" s="24">
        <f t="shared" ca="1" si="65"/>
        <v>53041.336037023044</v>
      </c>
      <c r="CB51" s="24">
        <f t="shared" ca="1" si="4"/>
        <v>0</v>
      </c>
      <c r="CC51" s="24">
        <f t="shared" ca="1" si="66"/>
        <v>0</v>
      </c>
      <c r="CD51" s="24">
        <f t="shared" ca="1" si="5"/>
        <v>0</v>
      </c>
      <c r="CE51" s="25">
        <f t="shared" ca="1" si="67"/>
        <v>0</v>
      </c>
      <c r="CF51" s="23">
        <f t="shared" ca="1" si="68"/>
        <v>0</v>
      </c>
      <c r="CG51" s="25">
        <f t="array" aca="1" ref="CG51" ca="1">SUM(BF40:BF51/(1+inflation/100)^(AP40:AP51/12))</f>
        <v>0</v>
      </c>
      <c r="CH51" s="32">
        <f ca="1">IFERROR(IF(MOD(AP51-ap_months_since_start,12)=0,ap_drawdown/100*(AQ51+AV51+BA51-BC51),CH50),0)</f>
        <v>149937.22068839692</v>
      </c>
      <c r="CJ51" s="168"/>
      <c r="CK51">
        <v>41</v>
      </c>
      <c r="CL51" t="str">
        <f t="shared" ref="CL51:CN60" ca="1" si="88">IF(lsc&gt;=$CK51,OFFSET(lsc,$CK51*$CL$3-CL$9,3),"")</f>
        <v/>
      </c>
      <c r="CM51" t="str">
        <f t="shared" ca="1" si="88"/>
        <v/>
      </c>
      <c r="CN51" s="1" t="str">
        <f t="shared" ca="1" si="88"/>
        <v/>
      </c>
      <c r="CO51" t="str">
        <f t="shared" si="77"/>
        <v/>
      </c>
      <c r="CP51" s="22">
        <f t="shared" ca="1" si="78"/>
        <v>0</v>
      </c>
      <c r="CR51" s="168"/>
      <c r="CS51">
        <v>41</v>
      </c>
      <c r="CT51" t="str">
        <f t="shared" ref="CT51:CY60" ca="1" si="89">IF(rcs&gt;=$CS51,OFFSET(rcs,$CS51*$CL$4-CT$9,3),"")</f>
        <v/>
      </c>
      <c r="CU51" t="str">
        <f t="shared" ca="1" si="89"/>
        <v/>
      </c>
      <c r="CV51" t="str">
        <f t="shared" ca="1" si="89"/>
        <v/>
      </c>
      <c r="CW51" s="1" t="str">
        <f t="shared" ca="1" si="89"/>
        <v/>
      </c>
      <c r="CX51" s="1" t="str">
        <f t="shared" ca="1" si="89"/>
        <v/>
      </c>
      <c r="CY51" t="str">
        <f t="shared" ca="1" si="89"/>
        <v/>
      </c>
      <c r="CZ51">
        <f t="shared" ca="1" si="79"/>
        <v>1</v>
      </c>
      <c r="DA51" t="str">
        <f t="shared" si="80"/>
        <v/>
      </c>
      <c r="DB51" s="22">
        <f t="shared" ca="1" si="81"/>
        <v>0</v>
      </c>
      <c r="DD51" s="168"/>
      <c r="DE51">
        <v>41</v>
      </c>
      <c r="DF51" t="str">
        <f t="shared" ref="DF51:DK60" ca="1" si="90">IF(w&gt;=$DE51,OFFSET(w,$DE51*$CL$5-DF$9,3),"")</f>
        <v/>
      </c>
      <c r="DG51" t="str">
        <f t="shared" ca="1" si="90"/>
        <v/>
      </c>
      <c r="DH51" t="str">
        <f t="shared" ca="1" si="90"/>
        <v/>
      </c>
      <c r="DI51" s="1" t="str">
        <f t="shared" ca="1" si="90"/>
        <v/>
      </c>
      <c r="DJ51" s="1" t="str">
        <f t="shared" ca="1" si="90"/>
        <v/>
      </c>
      <c r="DK51" t="str">
        <f t="shared" ca="1" si="90"/>
        <v/>
      </c>
      <c r="DL51">
        <f t="shared" ca="1" si="82"/>
        <v>1</v>
      </c>
      <c r="DM51" t="str">
        <f t="shared" si="83"/>
        <v/>
      </c>
      <c r="DN51" s="22">
        <f t="shared" ca="1" si="84"/>
        <v>0</v>
      </c>
      <c r="DP51" s="168"/>
      <c r="DQ51">
        <v>41</v>
      </c>
      <c r="DR51" t="str">
        <f t="shared" ca="1" si="71"/>
        <v/>
      </c>
      <c r="DS51" t="str">
        <f t="shared" ca="1" si="71"/>
        <v/>
      </c>
      <c r="DT51" t="str">
        <f t="shared" ca="1" si="71"/>
        <v/>
      </c>
      <c r="DU51" t="str">
        <f t="shared" ca="1" si="71"/>
        <v/>
      </c>
      <c r="DV51" t="str">
        <f t="shared" ca="1" si="71"/>
        <v/>
      </c>
      <c r="DW51" t="str">
        <f t="shared" ca="1" si="71"/>
        <v/>
      </c>
      <c r="DX51">
        <f t="shared" ca="1" si="57"/>
        <v>1</v>
      </c>
      <c r="DY51" t="str">
        <f t="shared" si="85"/>
        <v/>
      </c>
      <c r="DZ51">
        <f t="shared" ca="1" si="58"/>
        <v>0</v>
      </c>
      <c r="EA51" s="122">
        <f t="shared" ca="1" si="59"/>
        <v>82121</v>
      </c>
      <c r="EL51" s="21">
        <f t="shared" ca="1" si="60"/>
        <v>3</v>
      </c>
      <c r="EM51" t="str">
        <f ca="1">'Financial Planning Tool'!CL52</f>
        <v/>
      </c>
      <c r="EN51" t="str">
        <f t="shared" ca="1" si="48"/>
        <v/>
      </c>
      <c r="EO51" t="str">
        <f t="shared" ca="1" si="49"/>
        <v/>
      </c>
      <c r="EP51" s="1" t="str">
        <f t="shared" ca="1" si="50"/>
        <v/>
      </c>
      <c r="EQ51" s="1" t="str">
        <f t="shared" ca="1" si="51"/>
        <v/>
      </c>
      <c r="ER51" t="str">
        <f t="shared" ca="1" si="52"/>
        <v/>
      </c>
      <c r="ES51" t="str">
        <f t="shared" si="53"/>
        <v/>
      </c>
      <c r="ET51">
        <v>0</v>
      </c>
      <c r="EU51" s="22">
        <v>42</v>
      </c>
      <c r="EX51" s="21" t="str">
        <f ca="1">IF(EX50="","",IF(EX50+1&lt;=MAX('Financial Planning Tool'!$EL$10:$EL$209),EX50+1,""))</f>
        <v/>
      </c>
      <c r="EY51" t="str">
        <f ca="1">IF(EX51&lt;&gt;"",VLOOKUP(EX51,'Financial Planning Tool'!$EL$10:$ER$209,2,FALSE),"")</f>
        <v/>
      </c>
      <c r="EZ51" t="str">
        <f ca="1">IF(EX51&lt;&gt;"",VLOOKUP(EX51,'Financial Planning Tool'!$EL$10:$ER$209,3,FALSE),"")</f>
        <v/>
      </c>
      <c r="FA51" t="str">
        <f ca="1">IF(EX51&lt;&gt;"",VLOOKUP(EX51,'Financial Planning Tool'!$EL$10:$ER$209,4,FALSE),"")</f>
        <v/>
      </c>
      <c r="FB51" t="str">
        <f t="shared" ca="1" si="61"/>
        <v/>
      </c>
      <c r="FC51" s="1" t="str">
        <f ca="1">IF(EX51&lt;&gt;"",VLOOKUP(EX51,'Financial Planning Tool'!$EL$10:$ER$209,5,FALSE),"")</f>
        <v/>
      </c>
      <c r="FD51" s="1" t="str">
        <f ca="1">IF(EX51&lt;&gt;"",VLOOKUP(EX51,'Financial Planning Tool'!$EL$10:$ER$209,6,FALSE),"")</f>
        <v/>
      </c>
      <c r="FE51" t="str">
        <f ca="1">IF(EX51&lt;&gt;"",VLOOKUP(EX51,'Financial Planning Tool'!$EL$10:$ER$209,7,FALSE),"")</f>
        <v/>
      </c>
      <c r="FF51" t="str">
        <f ca="1">IF(EX51&lt;&gt;"",VLOOKUP(EX51,'Financial Planning Tool'!$EL$10:$ES$209,8,FALSE),"")</f>
        <v/>
      </c>
      <c r="FG51" t="str">
        <f ca="1">IF(EX51&lt;&gt;"",VLOOKUP(EX51,'Financial Planning Tool'!$EL$10:$ET$209,9,FALSE),"")</f>
        <v/>
      </c>
      <c r="FH51" t="str">
        <f t="shared" ca="1" si="86"/>
        <v/>
      </c>
      <c r="FI51" s="22" t="str">
        <f t="shared" ca="1" si="87"/>
        <v/>
      </c>
    </row>
    <row r="52" spans="1:165" x14ac:dyDescent="0.25">
      <c r="A52" s="20"/>
      <c r="B52" s="130" t="s">
        <v>213</v>
      </c>
      <c r="C52" s="131"/>
      <c r="D52" s="147" t="s">
        <v>214</v>
      </c>
      <c r="E52" s="148"/>
      <c r="F52" s="132"/>
      <c r="H52" s="191" t="s">
        <v>158</v>
      </c>
      <c r="I52" s="191"/>
      <c r="J52" s="191"/>
      <c r="K52" s="191"/>
      <c r="L52" s="191"/>
      <c r="M52" s="191"/>
      <c r="N52" s="191"/>
      <c r="O52" s="191"/>
      <c r="P52" s="191"/>
      <c r="Q52" s="191"/>
      <c r="S52" s="18"/>
      <c r="T52" s="191" t="s">
        <v>168</v>
      </c>
      <c r="U52" s="191"/>
      <c r="V52" s="191"/>
      <c r="W52" s="191"/>
      <c r="X52" s="191"/>
      <c r="Y52" s="191"/>
      <c r="Z52" s="191"/>
      <c r="AA52" s="191"/>
      <c r="AB52" s="191"/>
      <c r="AC52" s="191"/>
      <c r="AE52" s="36"/>
      <c r="AF52" s="37" t="s">
        <v>45</v>
      </c>
      <c r="AN52" s="32">
        <f t="shared" ca="1" si="0"/>
        <v>58.583333333333336</v>
      </c>
      <c r="AO52" s="53">
        <f t="shared" ca="1" si="31"/>
        <v>46966</v>
      </c>
      <c r="AP52" s="22">
        <v>45</v>
      </c>
      <c r="AQ52" s="32">
        <f t="shared" ca="1" si="32"/>
        <v>1082522.462881878</v>
      </c>
      <c r="AR52" s="23">
        <f t="array" aca="1" ref="AR52" ca="1">SUM(IF(lsc_start_date=AO52,lsc_amount,0))</f>
        <v>0</v>
      </c>
      <c r="AS52" s="24">
        <f t="shared" ca="1" si="6"/>
        <v>0</v>
      </c>
      <c r="AT52" s="24">
        <f t="shared" ca="1" si="7"/>
        <v>0</v>
      </c>
      <c r="AU52" s="24">
        <f t="shared" ca="1" si="8"/>
        <v>0</v>
      </c>
      <c r="AV52" s="25">
        <f t="shared" ca="1" si="9"/>
        <v>0</v>
      </c>
      <c r="AW52" s="23">
        <f t="array" aca="1" ref="AW52" ca="1">SUM(IF(rcs_start_date&lt;=AO52,1,0)*IF(rcs_end_date&gt;=AO52,1,0)*rcs_amount*(1+rcs_escalation/100)^(INT((AP52-rcs_months_since_start)/12))*IF(MOD((AP52-rcs_months_since_start),rcs_frequency)=0,1,0)*IF(rcs_frequency=13,0,1))+SUM(IF(rcs_start_date=AO52,rcs_amount,0)*IF(rcs_frequency=13,1,0))</f>
        <v>5061.8879999999999</v>
      </c>
      <c r="AX52" s="24">
        <f t="shared" ca="1" si="10"/>
        <v>0</v>
      </c>
      <c r="AY52" s="24">
        <f t="shared" ca="1" si="11"/>
        <v>0</v>
      </c>
      <c r="AZ52" s="24">
        <f t="shared" ca="1" si="12"/>
        <v>0</v>
      </c>
      <c r="BA52" s="25">
        <f t="shared" ca="1" si="13"/>
        <v>5061.8879999999999</v>
      </c>
      <c r="BB52" s="23">
        <f t="array" aca="1" ref="BB52" ca="1">SUM(IF(w_start_date&lt;=AO52,1,0)*IF(w_end_date&gt;=AO52,1,0)*w_amount*(1+w_escalation/100)^(INT((AP52-w_months_since_start)/12))*IF(MOD(AP52-w_months_since_start,w_frequency)=0,1,0)*IF(w_frequency=13,0,1))+SUM(IF(w_start_date=AO52,w_amount,0)*IF(w_frequency=13,1,0))</f>
        <v>0</v>
      </c>
      <c r="BC52" s="25">
        <f t="shared" ca="1" si="14"/>
        <v>0</v>
      </c>
      <c r="BD52" s="24" t="b">
        <f t="shared" ca="1" si="15"/>
        <v>0</v>
      </c>
      <c r="BE52" s="24" t="b">
        <f t="shared" ca="1" si="16"/>
        <v>1</v>
      </c>
      <c r="BF52" s="23">
        <f t="array" aca="1" ref="BF52" ca="1">SUM(IF(BD52,1,0)*IF(ap_start_date&lt;=AO52,1,0)*IF(ap_end_date&gt;=AO52,1,0)*ap_amount*(1+ap_escalation/100)^(INT((AP52-ap_months_since_start)/12))*IF(MOD(AP52-ap_months_since_start,ap_frequency)=0,1,0))</f>
        <v>0</v>
      </c>
      <c r="BG52" s="24">
        <f t="shared" ca="1" si="17"/>
        <v>0</v>
      </c>
      <c r="BH52" s="24">
        <f t="shared" ca="1" si="18"/>
        <v>0</v>
      </c>
      <c r="BI52">
        <f t="shared" ca="1" si="19"/>
        <v>0</v>
      </c>
      <c r="BJ52" s="24">
        <f t="shared" ca="1" si="20"/>
        <v>0</v>
      </c>
      <c r="BK52">
        <f t="shared" ca="1" si="21"/>
        <v>0</v>
      </c>
      <c r="BL52" s="25">
        <f t="shared" ca="1" si="22"/>
        <v>0</v>
      </c>
      <c r="BM52" s="32">
        <f t="shared" ca="1" si="1"/>
        <v>1095422.9229322544</v>
      </c>
      <c r="BN52" s="23">
        <f t="shared" ca="1" si="23"/>
        <v>0</v>
      </c>
      <c r="BO52" s="24">
        <f t="shared" ca="1" si="24"/>
        <v>0</v>
      </c>
      <c r="BP52" s="25">
        <f t="shared" ca="1" si="25"/>
        <v>0</v>
      </c>
      <c r="BQ52" s="34">
        <f t="shared" ca="1" si="26"/>
        <v>46996</v>
      </c>
      <c r="BR52" s="23">
        <f t="shared" ca="1" si="27"/>
        <v>1095422.9229322544</v>
      </c>
      <c r="BS52" s="24">
        <f t="shared" ca="1" si="28"/>
        <v>5061.8879999999999</v>
      </c>
      <c r="BT52" s="24">
        <f t="shared" ca="1" si="62"/>
        <v>60158.591999999997</v>
      </c>
      <c r="BU52" s="24">
        <f t="shared" ca="1" si="29"/>
        <v>0</v>
      </c>
      <c r="BV52" s="24">
        <f t="shared" ca="1" si="63"/>
        <v>0</v>
      </c>
      <c r="BW52" s="24">
        <f t="shared" ca="1" si="30"/>
        <v>0</v>
      </c>
      <c r="BX52" s="25">
        <f t="shared" ca="1" si="64"/>
        <v>0</v>
      </c>
      <c r="BY52" s="23">
        <f t="shared" ca="1" si="2"/>
        <v>945598.56050885818</v>
      </c>
      <c r="BZ52" s="24">
        <f t="shared" ca="1" si="3"/>
        <v>4383.8628049911504</v>
      </c>
      <c r="CA52" s="24">
        <f t="shared" ca="1" si="65"/>
        <v>53041.336037023044</v>
      </c>
      <c r="CB52" s="24">
        <f t="shared" ca="1" si="4"/>
        <v>0</v>
      </c>
      <c r="CC52" s="24">
        <f t="shared" ca="1" si="66"/>
        <v>0</v>
      </c>
      <c r="CD52" s="24">
        <f t="shared" ca="1" si="5"/>
        <v>0</v>
      </c>
      <c r="CE52" s="25">
        <f t="shared" ca="1" si="67"/>
        <v>0</v>
      </c>
      <c r="CF52" s="23">
        <f t="shared" ca="1" si="68"/>
        <v>0</v>
      </c>
      <c r="CG52" s="25">
        <f t="array" aca="1" ref="CG52" ca="1">SUM(BF41:BF52/(1+inflation/100)^(AP41:AP52/12))</f>
        <v>0</v>
      </c>
      <c r="CH52" s="32">
        <f ca="1">IFERROR(IF(MOD(AP52-ap_months_since_start,12)=0,ap_drawdown/100*(AQ52+AV52+BA52-BC52),CH51),0)</f>
        <v>149937.22068839692</v>
      </c>
      <c r="CJ52" s="168"/>
      <c r="CK52">
        <v>42</v>
      </c>
      <c r="CL52" t="str">
        <f t="shared" ca="1" si="88"/>
        <v/>
      </c>
      <c r="CM52" t="str">
        <f t="shared" ca="1" si="88"/>
        <v/>
      </c>
      <c r="CN52" s="1" t="str">
        <f t="shared" ca="1" si="88"/>
        <v/>
      </c>
      <c r="CO52" t="str">
        <f t="shared" si="77"/>
        <v/>
      </c>
      <c r="CP52" s="22">
        <f t="shared" ca="1" si="78"/>
        <v>0</v>
      </c>
      <c r="CR52" s="168"/>
      <c r="CS52">
        <v>42</v>
      </c>
      <c r="CT52" t="str">
        <f t="shared" ca="1" si="89"/>
        <v/>
      </c>
      <c r="CU52" t="str">
        <f t="shared" ca="1" si="89"/>
        <v/>
      </c>
      <c r="CV52" t="str">
        <f t="shared" ca="1" si="89"/>
        <v/>
      </c>
      <c r="CW52" s="1" t="str">
        <f t="shared" ca="1" si="89"/>
        <v/>
      </c>
      <c r="CX52" s="1" t="str">
        <f t="shared" ca="1" si="89"/>
        <v/>
      </c>
      <c r="CY52" t="str">
        <f t="shared" ca="1" si="89"/>
        <v/>
      </c>
      <c r="CZ52">
        <f t="shared" ca="1" si="79"/>
        <v>1</v>
      </c>
      <c r="DA52" t="str">
        <f t="shared" si="80"/>
        <v/>
      </c>
      <c r="DB52" s="22">
        <f t="shared" ca="1" si="81"/>
        <v>0</v>
      </c>
      <c r="DD52" s="168"/>
      <c r="DE52">
        <v>42</v>
      </c>
      <c r="DF52" t="str">
        <f t="shared" ca="1" si="90"/>
        <v/>
      </c>
      <c r="DG52" t="str">
        <f t="shared" ca="1" si="90"/>
        <v/>
      </c>
      <c r="DH52" t="str">
        <f t="shared" ca="1" si="90"/>
        <v/>
      </c>
      <c r="DI52" s="1" t="str">
        <f t="shared" ca="1" si="90"/>
        <v/>
      </c>
      <c r="DJ52" s="1" t="str">
        <f t="shared" ca="1" si="90"/>
        <v/>
      </c>
      <c r="DK52" t="str">
        <f t="shared" ca="1" si="90"/>
        <v/>
      </c>
      <c r="DL52">
        <f t="shared" ca="1" si="82"/>
        <v>1</v>
      </c>
      <c r="DM52" t="str">
        <f t="shared" si="83"/>
        <v/>
      </c>
      <c r="DN52" s="22">
        <f t="shared" ca="1" si="84"/>
        <v>0</v>
      </c>
      <c r="DP52" s="168"/>
      <c r="DQ52">
        <v>42</v>
      </c>
      <c r="DR52" t="str">
        <f t="shared" ca="1" si="71"/>
        <v/>
      </c>
      <c r="DS52" t="str">
        <f t="shared" ca="1" si="71"/>
        <v/>
      </c>
      <c r="DT52" t="str">
        <f t="shared" ca="1" si="71"/>
        <v/>
      </c>
      <c r="DU52" t="str">
        <f t="shared" ca="1" si="71"/>
        <v/>
      </c>
      <c r="DV52" t="str">
        <f t="shared" ca="1" si="71"/>
        <v/>
      </c>
      <c r="DW52" t="str">
        <f t="shared" ca="1" si="71"/>
        <v/>
      </c>
      <c r="DX52">
        <f t="shared" ca="1" si="57"/>
        <v>1</v>
      </c>
      <c r="DY52" t="str">
        <f t="shared" si="85"/>
        <v/>
      </c>
      <c r="DZ52">
        <f t="shared" ca="1" si="58"/>
        <v>0</v>
      </c>
      <c r="EA52" s="122">
        <f t="shared" ca="1" si="59"/>
        <v>82121</v>
      </c>
      <c r="EL52" s="21">
        <f t="shared" ca="1" si="60"/>
        <v>3</v>
      </c>
      <c r="EM52" t="str">
        <f ca="1">'Financial Planning Tool'!CL53</f>
        <v/>
      </c>
      <c r="EN52" t="str">
        <f t="shared" ca="1" si="48"/>
        <v/>
      </c>
      <c r="EO52" t="str">
        <f t="shared" ca="1" si="49"/>
        <v/>
      </c>
      <c r="EP52" s="1" t="str">
        <f t="shared" ca="1" si="50"/>
        <v/>
      </c>
      <c r="EQ52" s="1" t="str">
        <f t="shared" ca="1" si="51"/>
        <v/>
      </c>
      <c r="ER52" t="str">
        <f t="shared" ca="1" si="52"/>
        <v/>
      </c>
      <c r="ES52" t="str">
        <f t="shared" si="53"/>
        <v/>
      </c>
      <c r="ET52">
        <v>0</v>
      </c>
      <c r="EU52" s="22">
        <v>43</v>
      </c>
      <c r="EX52" s="21" t="str">
        <f ca="1">IF(EX51="","",IF(EX51+1&lt;=MAX('Financial Planning Tool'!$EL$10:$EL$209),EX51+1,""))</f>
        <v/>
      </c>
      <c r="EY52" t="str">
        <f ca="1">IF(EX52&lt;&gt;"",VLOOKUP(EX52,'Financial Planning Tool'!$EL$10:$ER$209,2,FALSE),"")</f>
        <v/>
      </c>
      <c r="EZ52" t="str">
        <f ca="1">IF(EX52&lt;&gt;"",VLOOKUP(EX52,'Financial Planning Tool'!$EL$10:$ER$209,3,FALSE),"")</f>
        <v/>
      </c>
      <c r="FA52" t="str">
        <f ca="1">IF(EX52&lt;&gt;"",VLOOKUP(EX52,'Financial Planning Tool'!$EL$10:$ER$209,4,FALSE),"")</f>
        <v/>
      </c>
      <c r="FB52" t="str">
        <f t="shared" ca="1" si="61"/>
        <v/>
      </c>
      <c r="FC52" s="1" t="str">
        <f ca="1">IF(EX52&lt;&gt;"",VLOOKUP(EX52,'Financial Planning Tool'!$EL$10:$ER$209,5,FALSE),"")</f>
        <v/>
      </c>
      <c r="FD52" s="1" t="str">
        <f ca="1">IF(EX52&lt;&gt;"",VLOOKUP(EX52,'Financial Planning Tool'!$EL$10:$ER$209,6,FALSE),"")</f>
        <v/>
      </c>
      <c r="FE52" t="str">
        <f ca="1">IF(EX52&lt;&gt;"",VLOOKUP(EX52,'Financial Planning Tool'!$EL$10:$ER$209,7,FALSE),"")</f>
        <v/>
      </c>
      <c r="FF52" t="str">
        <f ca="1">IF(EX52&lt;&gt;"",VLOOKUP(EX52,'Financial Planning Tool'!$EL$10:$ES$209,8,FALSE),"")</f>
        <v/>
      </c>
      <c r="FG52" t="str">
        <f ca="1">IF(EX52&lt;&gt;"",VLOOKUP(EX52,'Financial Planning Tool'!$EL$10:$ET$209,9,FALSE),"")</f>
        <v/>
      </c>
      <c r="FH52" t="str">
        <f t="shared" ca="1" si="86"/>
        <v/>
      </c>
      <c r="FI52" s="22" t="str">
        <f t="shared" ca="1" si="87"/>
        <v/>
      </c>
    </row>
    <row r="53" spans="1:165" x14ac:dyDescent="0.25">
      <c r="A53" s="20"/>
      <c r="B53" s="86" t="s">
        <v>205</v>
      </c>
      <c r="C53" s="84"/>
      <c r="D53" s="124">
        <v>500000</v>
      </c>
      <c r="E53" s="125">
        <v>500000</v>
      </c>
      <c r="F53" s="85"/>
      <c r="H53" s="175" t="s">
        <v>39</v>
      </c>
      <c r="I53" s="175" t="s">
        <v>40</v>
      </c>
      <c r="J53" s="170" t="s">
        <v>41</v>
      </c>
      <c r="K53" s="170"/>
      <c r="L53" s="170" t="s">
        <v>42</v>
      </c>
      <c r="M53" s="170"/>
      <c r="N53" s="170" t="s">
        <v>80</v>
      </c>
      <c r="O53" s="170"/>
      <c r="P53" s="170" t="s">
        <v>161</v>
      </c>
      <c r="Q53" s="170"/>
      <c r="S53" s="18"/>
      <c r="T53" s="175" t="s">
        <v>39</v>
      </c>
      <c r="U53" s="175" t="s">
        <v>40</v>
      </c>
      <c r="V53" s="170" t="s">
        <v>41</v>
      </c>
      <c r="W53" s="170"/>
      <c r="X53" s="170" t="s">
        <v>42</v>
      </c>
      <c r="Y53" s="170"/>
      <c r="Z53" s="170" t="s">
        <v>80</v>
      </c>
      <c r="AA53" s="170"/>
      <c r="AB53" s="170" t="s">
        <v>161</v>
      </c>
      <c r="AC53" s="170"/>
      <c r="AE53" s="21" t="s">
        <v>46</v>
      </c>
      <c r="AF53" s="22" t="s">
        <v>47</v>
      </c>
      <c r="AG53" s="36" t="s">
        <v>48</v>
      </c>
      <c r="AH53" s="39" t="s">
        <v>49</v>
      </c>
      <c r="AI53" s="36" t="s">
        <v>198</v>
      </c>
      <c r="AJ53" s="37" t="s">
        <v>200</v>
      </c>
      <c r="AN53" s="32">
        <f t="shared" ca="1" si="0"/>
        <v>58.666666666666664</v>
      </c>
      <c r="AO53" s="53">
        <f t="shared" ca="1" si="31"/>
        <v>46997</v>
      </c>
      <c r="AP53" s="22">
        <v>46</v>
      </c>
      <c r="AQ53" s="32">
        <f t="shared" ca="1" si="32"/>
        <v>1095422.9229322544</v>
      </c>
      <c r="AR53" s="23">
        <f t="array" aca="1" ref="AR53" ca="1">SUM(IF(lsc_start_date=AO53,lsc_amount,0))</f>
        <v>0</v>
      </c>
      <c r="AS53" s="24">
        <f t="shared" ca="1" si="6"/>
        <v>0</v>
      </c>
      <c r="AT53" s="24">
        <f t="shared" ca="1" si="7"/>
        <v>0</v>
      </c>
      <c r="AU53" s="24">
        <f t="shared" ca="1" si="8"/>
        <v>0</v>
      </c>
      <c r="AV53" s="25">
        <f t="shared" ca="1" si="9"/>
        <v>0</v>
      </c>
      <c r="AW53" s="23">
        <f t="array" aca="1" ref="AW53" ca="1">SUM(IF(rcs_start_date&lt;=AO53,1,0)*IF(rcs_end_date&gt;=AO53,1,0)*rcs_amount*(1+rcs_escalation/100)^(INT((AP53-rcs_months_since_start)/12))*IF(MOD((AP53-rcs_months_since_start),rcs_frequency)=0,1,0)*IF(rcs_frequency=13,0,1))+SUM(IF(rcs_start_date=AO53,rcs_amount,0)*IF(rcs_frequency=13,1,0))</f>
        <v>5061.8879999999999</v>
      </c>
      <c r="AX53" s="24">
        <f t="shared" ca="1" si="10"/>
        <v>0</v>
      </c>
      <c r="AY53" s="24">
        <f t="shared" ca="1" si="11"/>
        <v>0</v>
      </c>
      <c r="AZ53" s="24">
        <f t="shared" ca="1" si="12"/>
        <v>0</v>
      </c>
      <c r="BA53" s="25">
        <f t="shared" ca="1" si="13"/>
        <v>5061.8879999999999</v>
      </c>
      <c r="BB53" s="23">
        <f t="array" aca="1" ref="BB53" ca="1">SUM(IF(w_start_date&lt;=AO53,1,0)*IF(w_end_date&gt;=AO53,1,0)*w_amount*(1+w_escalation/100)^(INT((AP53-w_months_since_start)/12))*IF(MOD(AP53-w_months_since_start,w_frequency)=0,1,0)*IF(w_frequency=13,0,1))+SUM(IF(w_start_date=AO53,w_amount,0)*IF(w_frequency=13,1,0))</f>
        <v>0</v>
      </c>
      <c r="BC53" s="25">
        <f t="shared" ca="1" si="14"/>
        <v>0</v>
      </c>
      <c r="BD53" s="24" t="b">
        <f t="shared" ca="1" si="15"/>
        <v>0</v>
      </c>
      <c r="BE53" s="24" t="b">
        <f t="shared" ca="1" si="16"/>
        <v>1</v>
      </c>
      <c r="BF53" s="23">
        <f t="array" aca="1" ref="BF53" ca="1">SUM(IF(BD53,1,0)*IF(ap_start_date&lt;=AO53,1,0)*IF(ap_end_date&gt;=AO53,1,0)*ap_amount*(1+ap_escalation/100)^(INT((AP53-ap_months_since_start)/12))*IF(MOD(AP53-ap_months_since_start,ap_frequency)=0,1,0))</f>
        <v>0</v>
      </c>
      <c r="BG53" s="24">
        <f t="shared" ca="1" si="17"/>
        <v>0</v>
      </c>
      <c r="BH53" s="24">
        <f t="shared" ca="1" si="18"/>
        <v>0</v>
      </c>
      <c r="BI53">
        <f t="shared" ca="1" si="19"/>
        <v>0</v>
      </c>
      <c r="BJ53" s="24">
        <f t="shared" ca="1" si="20"/>
        <v>0</v>
      </c>
      <c r="BK53">
        <f t="shared" ca="1" si="21"/>
        <v>0</v>
      </c>
      <c r="BL53" s="25">
        <f t="shared" ca="1" si="22"/>
        <v>0</v>
      </c>
      <c r="BM53" s="32">
        <f t="shared" ca="1" si="1"/>
        <v>1108416.3607691408</v>
      </c>
      <c r="BN53" s="23">
        <f t="shared" ca="1" si="23"/>
        <v>0</v>
      </c>
      <c r="BO53" s="24">
        <f t="shared" ca="1" si="24"/>
        <v>0</v>
      </c>
      <c r="BP53" s="25">
        <f t="shared" ca="1" si="25"/>
        <v>0</v>
      </c>
      <c r="BQ53" s="34">
        <f t="shared" ca="1" si="26"/>
        <v>47026</v>
      </c>
      <c r="BR53" s="23">
        <f t="shared" ca="1" si="27"/>
        <v>1108416.3607691408</v>
      </c>
      <c r="BS53" s="24">
        <f t="shared" ca="1" si="28"/>
        <v>5061.8879999999999</v>
      </c>
      <c r="BT53" s="24">
        <f t="shared" ca="1" si="62"/>
        <v>60353.279999999992</v>
      </c>
      <c r="BU53" s="24">
        <f t="shared" ca="1" si="29"/>
        <v>0</v>
      </c>
      <c r="BV53" s="24">
        <f t="shared" ca="1" si="63"/>
        <v>0</v>
      </c>
      <c r="BW53" s="24">
        <f t="shared" ca="1" si="30"/>
        <v>0</v>
      </c>
      <c r="BX53" s="25">
        <f t="shared" ca="1" si="64"/>
        <v>0</v>
      </c>
      <c r="BY53" s="23">
        <f t="shared" ca="1" si="2"/>
        <v>953692.70414260088</v>
      </c>
      <c r="BZ53" s="24">
        <f t="shared" ca="1" si="3"/>
        <v>4369.5580091061156</v>
      </c>
      <c r="CA53" s="24">
        <f t="shared" ca="1" si="65"/>
        <v>53041.336037023037</v>
      </c>
      <c r="CB53" s="24">
        <f t="shared" ca="1" si="4"/>
        <v>0</v>
      </c>
      <c r="CC53" s="24">
        <f t="shared" ca="1" si="66"/>
        <v>0</v>
      </c>
      <c r="CD53" s="24">
        <f t="shared" ca="1" si="5"/>
        <v>0</v>
      </c>
      <c r="CE53" s="25">
        <f t="shared" ca="1" si="67"/>
        <v>0</v>
      </c>
      <c r="CF53" s="23">
        <f t="shared" ca="1" si="68"/>
        <v>0</v>
      </c>
      <c r="CG53" s="25">
        <f t="array" aca="1" ref="CG53" ca="1">SUM(BF42:BF53/(1+inflation/100)^(AP42:AP53/12))</f>
        <v>0</v>
      </c>
      <c r="CH53" s="32">
        <f ca="1">IFERROR(IF(MOD(AP53-ap_months_since_start,12)=0,ap_drawdown/100*(AQ53+AV53+BA53-BC53),CH52),0)</f>
        <v>149937.22068839692</v>
      </c>
      <c r="CJ53" s="168"/>
      <c r="CK53">
        <v>43</v>
      </c>
      <c r="CL53" t="str">
        <f t="shared" ca="1" si="88"/>
        <v/>
      </c>
      <c r="CM53" t="str">
        <f t="shared" ca="1" si="88"/>
        <v/>
      </c>
      <c r="CN53" s="1" t="str">
        <f t="shared" ca="1" si="88"/>
        <v/>
      </c>
      <c r="CO53" t="str">
        <f t="shared" si="77"/>
        <v/>
      </c>
      <c r="CP53" s="22">
        <f t="shared" ca="1" si="78"/>
        <v>0</v>
      </c>
      <c r="CR53" s="168"/>
      <c r="CS53">
        <v>43</v>
      </c>
      <c r="CT53" t="str">
        <f t="shared" ca="1" si="89"/>
        <v/>
      </c>
      <c r="CU53" t="str">
        <f t="shared" ca="1" si="89"/>
        <v/>
      </c>
      <c r="CV53" t="str">
        <f t="shared" ca="1" si="89"/>
        <v/>
      </c>
      <c r="CW53" s="1" t="str">
        <f t="shared" ca="1" si="89"/>
        <v/>
      </c>
      <c r="CX53" s="1" t="str">
        <f t="shared" ca="1" si="89"/>
        <v/>
      </c>
      <c r="CY53" t="str">
        <f t="shared" ca="1" si="89"/>
        <v/>
      </c>
      <c r="CZ53">
        <f t="shared" ca="1" si="79"/>
        <v>1</v>
      </c>
      <c r="DA53" t="str">
        <f t="shared" si="80"/>
        <v/>
      </c>
      <c r="DB53" s="22">
        <f t="shared" ca="1" si="81"/>
        <v>0</v>
      </c>
      <c r="DD53" s="168"/>
      <c r="DE53">
        <v>43</v>
      </c>
      <c r="DF53" t="str">
        <f t="shared" ca="1" si="90"/>
        <v/>
      </c>
      <c r="DG53" t="str">
        <f t="shared" ca="1" si="90"/>
        <v/>
      </c>
      <c r="DH53" t="str">
        <f t="shared" ca="1" si="90"/>
        <v/>
      </c>
      <c r="DI53" s="1" t="str">
        <f t="shared" ca="1" si="90"/>
        <v/>
      </c>
      <c r="DJ53" s="1" t="str">
        <f t="shared" ca="1" si="90"/>
        <v/>
      </c>
      <c r="DK53" t="str">
        <f t="shared" ca="1" si="90"/>
        <v/>
      </c>
      <c r="DL53">
        <f t="shared" ca="1" si="82"/>
        <v>1</v>
      </c>
      <c r="DM53" t="str">
        <f t="shared" si="83"/>
        <v/>
      </c>
      <c r="DN53" s="22">
        <f t="shared" ca="1" si="84"/>
        <v>0</v>
      </c>
      <c r="DP53" s="168"/>
      <c r="DQ53">
        <v>43</v>
      </c>
      <c r="DR53" t="str">
        <f t="shared" ca="1" si="71"/>
        <v/>
      </c>
      <c r="DS53" t="str">
        <f t="shared" ca="1" si="71"/>
        <v/>
      </c>
      <c r="DT53" t="str">
        <f t="shared" ca="1" si="71"/>
        <v/>
      </c>
      <c r="DU53" t="str">
        <f t="shared" ca="1" si="71"/>
        <v/>
      </c>
      <c r="DV53" t="str">
        <f t="shared" ca="1" si="71"/>
        <v/>
      </c>
      <c r="DW53" t="str">
        <f t="shared" ca="1" si="71"/>
        <v/>
      </c>
      <c r="DX53">
        <f t="shared" ca="1" si="57"/>
        <v>1</v>
      </c>
      <c r="DY53" t="str">
        <f t="shared" si="85"/>
        <v/>
      </c>
      <c r="DZ53">
        <f t="shared" ca="1" si="58"/>
        <v>0</v>
      </c>
      <c r="EA53" s="122">
        <f t="shared" ca="1" si="59"/>
        <v>82121</v>
      </c>
      <c r="EL53" s="21">
        <f t="shared" ca="1" si="60"/>
        <v>3</v>
      </c>
      <c r="EM53" t="str">
        <f ca="1">'Financial Planning Tool'!CL54</f>
        <v/>
      </c>
      <c r="EN53" t="str">
        <f t="shared" ca="1" si="48"/>
        <v/>
      </c>
      <c r="EO53" t="str">
        <f t="shared" ca="1" si="49"/>
        <v/>
      </c>
      <c r="EP53" s="1" t="str">
        <f t="shared" ca="1" si="50"/>
        <v/>
      </c>
      <c r="EQ53" s="1" t="str">
        <f t="shared" ca="1" si="51"/>
        <v/>
      </c>
      <c r="ER53" t="str">
        <f t="shared" ca="1" si="52"/>
        <v/>
      </c>
      <c r="ES53" t="str">
        <f t="shared" si="53"/>
        <v/>
      </c>
      <c r="ET53">
        <v>0</v>
      </c>
      <c r="EU53" s="22">
        <v>44</v>
      </c>
      <c r="EX53" s="21" t="str">
        <f ca="1">IF(EX52="","",IF(EX52+1&lt;=MAX('Financial Planning Tool'!$EL$10:$EL$209),EX52+1,""))</f>
        <v/>
      </c>
      <c r="EY53" t="str">
        <f ca="1">IF(EX53&lt;&gt;"",VLOOKUP(EX53,'Financial Planning Tool'!$EL$10:$ER$209,2,FALSE),"")</f>
        <v/>
      </c>
      <c r="EZ53" t="str">
        <f ca="1">IF(EX53&lt;&gt;"",VLOOKUP(EX53,'Financial Planning Tool'!$EL$10:$ER$209,3,FALSE),"")</f>
        <v/>
      </c>
      <c r="FA53" t="str">
        <f ca="1">IF(EX53&lt;&gt;"",VLOOKUP(EX53,'Financial Planning Tool'!$EL$10:$ER$209,4,FALSE),"")</f>
        <v/>
      </c>
      <c r="FB53" t="str">
        <f t="shared" ca="1" si="61"/>
        <v/>
      </c>
      <c r="FC53" s="1" t="str">
        <f ca="1">IF(EX53&lt;&gt;"",VLOOKUP(EX53,'Financial Planning Tool'!$EL$10:$ER$209,5,FALSE),"")</f>
        <v/>
      </c>
      <c r="FD53" s="1" t="str">
        <f ca="1">IF(EX53&lt;&gt;"",VLOOKUP(EX53,'Financial Planning Tool'!$EL$10:$ER$209,6,FALSE),"")</f>
        <v/>
      </c>
      <c r="FE53" t="str">
        <f ca="1">IF(EX53&lt;&gt;"",VLOOKUP(EX53,'Financial Planning Tool'!$EL$10:$ER$209,7,FALSE),"")</f>
        <v/>
      </c>
      <c r="FF53" t="str">
        <f ca="1">IF(EX53&lt;&gt;"",VLOOKUP(EX53,'Financial Planning Tool'!$EL$10:$ES$209,8,FALSE),"")</f>
        <v/>
      </c>
      <c r="FG53" t="str">
        <f ca="1">IF(EX53&lt;&gt;"",VLOOKUP(EX53,'Financial Planning Tool'!$EL$10:$ET$209,9,FALSE),"")</f>
        <v/>
      </c>
      <c r="FH53" t="str">
        <f t="shared" ca="1" si="86"/>
        <v/>
      </c>
      <c r="FI53" s="22" t="str">
        <f t="shared" ca="1" si="87"/>
        <v/>
      </c>
    </row>
    <row r="54" spans="1:165" x14ac:dyDescent="0.25">
      <c r="A54" s="20"/>
      <c r="B54" s="86" t="s">
        <v>201</v>
      </c>
      <c r="C54" s="84"/>
      <c r="D54" s="126">
        <v>45627</v>
      </c>
      <c r="E54" s="127">
        <v>0</v>
      </c>
      <c r="F54" s="85"/>
      <c r="H54" s="175"/>
      <c r="I54" s="175"/>
      <c r="J54" s="2" t="s">
        <v>43</v>
      </c>
      <c r="K54" s="2" t="s">
        <v>44</v>
      </c>
      <c r="L54" s="2" t="s">
        <v>43</v>
      </c>
      <c r="M54" s="2" t="s">
        <v>44</v>
      </c>
      <c r="N54" s="2" t="s">
        <v>43</v>
      </c>
      <c r="O54" s="2" t="s">
        <v>44</v>
      </c>
      <c r="P54" s="2" t="s">
        <v>43</v>
      </c>
      <c r="Q54" s="2" t="s">
        <v>44</v>
      </c>
      <c r="S54" s="18"/>
      <c r="T54" s="175"/>
      <c r="U54" s="175"/>
      <c r="V54" s="2" t="s">
        <v>43</v>
      </c>
      <c r="W54" s="2" t="s">
        <v>44</v>
      </c>
      <c r="X54" s="2" t="s">
        <v>43</v>
      </c>
      <c r="Y54" s="2" t="s">
        <v>44</v>
      </c>
      <c r="Z54" s="2" t="s">
        <v>43</v>
      </c>
      <c r="AA54" s="2" t="s">
        <v>44</v>
      </c>
      <c r="AB54" s="2" t="s">
        <v>43</v>
      </c>
      <c r="AC54" s="2" t="s">
        <v>44</v>
      </c>
      <c r="AE54" s="21">
        <v>1</v>
      </c>
      <c r="AF54" s="22">
        <f t="shared" ref="AF54:AF85" ca="1" si="91">IF(OR(N55=0,N55=""),0,1)</f>
        <v>0</v>
      </c>
      <c r="AG54" s="40">
        <f ca="1">IFERROR(MATCH(1,AF54:AF153,0),1)</f>
        <v>11</v>
      </c>
      <c r="AH54" s="15">
        <f ca="1">IF(time_horizon-AG54&lt;0,1,time_horizon-AG54+1)</f>
        <v>26</v>
      </c>
      <c r="AI54" s="21">
        <f ca="1">IFERROR(VLOOKUP(EOMONTH(H55,-1)+1,$AO$8:$BS$1219,21,FALSE)+VLOOKUP(EOMONTH(H55,-1)+1,$AO$8:$BS$1219,23,FALSE),0)*AF54</f>
        <v>0</v>
      </c>
      <c r="AJ54" s="22">
        <v>0</v>
      </c>
      <c r="AN54" s="32">
        <f t="shared" ca="1" si="0"/>
        <v>58.75</v>
      </c>
      <c r="AO54" s="53">
        <f t="shared" ca="1" si="31"/>
        <v>47027</v>
      </c>
      <c r="AP54" s="22">
        <v>47</v>
      </c>
      <c r="AQ54" s="32">
        <f t="shared" ca="1" si="32"/>
        <v>1108416.3607691408</v>
      </c>
      <c r="AR54" s="23">
        <f t="array" aca="1" ref="AR54" ca="1">SUM(IF(lsc_start_date=AO54,lsc_amount,0))</f>
        <v>0</v>
      </c>
      <c r="AS54" s="24">
        <f t="shared" ca="1" si="6"/>
        <v>0</v>
      </c>
      <c r="AT54" s="24">
        <f t="shared" ca="1" si="7"/>
        <v>0</v>
      </c>
      <c r="AU54" s="24">
        <f t="shared" ca="1" si="8"/>
        <v>0</v>
      </c>
      <c r="AV54" s="25">
        <f t="shared" ca="1" si="9"/>
        <v>0</v>
      </c>
      <c r="AW54" s="23">
        <f t="array" aca="1" ref="AW54" ca="1">SUM(IF(rcs_start_date&lt;=AO54,1,0)*IF(rcs_end_date&gt;=AO54,1,0)*rcs_amount*(1+rcs_escalation/100)^(INT((AP54-rcs_months_since_start)/12))*IF(MOD((AP54-rcs_months_since_start),rcs_frequency)=0,1,0)*IF(rcs_frequency=13,0,1))+SUM(IF(rcs_start_date=AO54,rcs_amount,0)*IF(rcs_frequency=13,1,0))</f>
        <v>5061.8879999999999</v>
      </c>
      <c r="AX54" s="24">
        <f t="shared" ca="1" si="10"/>
        <v>0</v>
      </c>
      <c r="AY54" s="24">
        <f t="shared" ca="1" si="11"/>
        <v>0</v>
      </c>
      <c r="AZ54" s="24">
        <f t="shared" ca="1" si="12"/>
        <v>0</v>
      </c>
      <c r="BA54" s="25">
        <f t="shared" ca="1" si="13"/>
        <v>5061.8879999999999</v>
      </c>
      <c r="BB54" s="23">
        <f t="array" aca="1" ref="BB54" ca="1">SUM(IF(w_start_date&lt;=AO54,1,0)*IF(w_end_date&gt;=AO54,1,0)*w_amount*(1+w_escalation/100)^(INT((AP54-w_months_since_start)/12))*IF(MOD(AP54-w_months_since_start,w_frequency)=0,1,0)*IF(w_frequency=13,0,1))+SUM(IF(w_start_date=AO54,w_amount,0)*IF(w_frequency=13,1,0))</f>
        <v>0</v>
      </c>
      <c r="BC54" s="25">
        <f t="shared" ca="1" si="14"/>
        <v>0</v>
      </c>
      <c r="BD54" s="24" t="b">
        <f t="shared" ca="1" si="15"/>
        <v>0</v>
      </c>
      <c r="BE54" s="24" t="b">
        <f t="shared" ca="1" si="16"/>
        <v>1</v>
      </c>
      <c r="BF54" s="23">
        <f t="array" aca="1" ref="BF54" ca="1">SUM(IF(BD54,1,0)*IF(ap_start_date&lt;=AO54,1,0)*IF(ap_end_date&gt;=AO54,1,0)*ap_amount*(1+ap_escalation/100)^(INT((AP54-ap_months_since_start)/12))*IF(MOD(AP54-ap_months_since_start,ap_frequency)=0,1,0))</f>
        <v>0</v>
      </c>
      <c r="BG54" s="24">
        <f t="shared" ca="1" si="17"/>
        <v>0</v>
      </c>
      <c r="BH54" s="24">
        <f t="shared" ca="1" si="18"/>
        <v>0</v>
      </c>
      <c r="BI54">
        <f t="shared" ca="1" si="19"/>
        <v>0</v>
      </c>
      <c r="BJ54" s="24">
        <f t="shared" ca="1" si="20"/>
        <v>0</v>
      </c>
      <c r="BK54">
        <f t="shared" ca="1" si="21"/>
        <v>0</v>
      </c>
      <c r="BL54" s="25">
        <f t="shared" ca="1" si="22"/>
        <v>0</v>
      </c>
      <c r="BM54" s="32">
        <f t="shared" ca="1" si="1"/>
        <v>1121503.4465135057</v>
      </c>
      <c r="BN54" s="23">
        <f t="shared" ca="1" si="23"/>
        <v>0</v>
      </c>
      <c r="BO54" s="24">
        <f t="shared" ca="1" si="24"/>
        <v>0</v>
      </c>
      <c r="BP54" s="25">
        <f t="shared" ca="1" si="25"/>
        <v>0</v>
      </c>
      <c r="BQ54" s="34">
        <f t="shared" ca="1" si="26"/>
        <v>47057</v>
      </c>
      <c r="BR54" s="23">
        <f t="shared" ca="1" si="27"/>
        <v>1121503.4465135057</v>
      </c>
      <c r="BS54" s="24">
        <f t="shared" ca="1" si="28"/>
        <v>5061.8879999999999</v>
      </c>
      <c r="BT54" s="24">
        <f t="shared" ca="1" si="62"/>
        <v>60547.967999999993</v>
      </c>
      <c r="BU54" s="24">
        <f t="shared" ca="1" si="29"/>
        <v>0</v>
      </c>
      <c r="BV54" s="24">
        <f t="shared" ca="1" si="63"/>
        <v>0</v>
      </c>
      <c r="BW54" s="24">
        <f t="shared" ca="1" si="30"/>
        <v>0</v>
      </c>
      <c r="BX54" s="25">
        <f t="shared" ca="1" si="64"/>
        <v>0</v>
      </c>
      <c r="BY54" s="23">
        <f t="shared" ca="1" si="2"/>
        <v>961804.26885300549</v>
      </c>
      <c r="BZ54" s="24">
        <f t="shared" ca="1" si="3"/>
        <v>4355.2998905908817</v>
      </c>
      <c r="CA54" s="24">
        <f t="shared" ca="1" si="65"/>
        <v>53041.336037023037</v>
      </c>
      <c r="CB54" s="24">
        <f t="shared" ca="1" si="4"/>
        <v>0</v>
      </c>
      <c r="CC54" s="24">
        <f t="shared" ca="1" si="66"/>
        <v>0</v>
      </c>
      <c r="CD54" s="24">
        <f t="shared" ca="1" si="5"/>
        <v>0</v>
      </c>
      <c r="CE54" s="25">
        <f t="shared" ca="1" si="67"/>
        <v>0</v>
      </c>
      <c r="CF54" s="23">
        <f t="shared" ca="1" si="68"/>
        <v>0</v>
      </c>
      <c r="CG54" s="25">
        <f t="array" aca="1" ref="CG54" ca="1">SUM(BF43:BF54/(1+inflation/100)^(AP43:AP54/12))</f>
        <v>0</v>
      </c>
      <c r="CH54" s="32">
        <f ca="1">IFERROR(IF(MOD(AP54-ap_months_since_start,12)=0,ap_drawdown/100*(AQ54+AV54+BA54-BC54),CH53),0)</f>
        <v>149937.22068839692</v>
      </c>
      <c r="CJ54" s="168"/>
      <c r="CK54">
        <v>44</v>
      </c>
      <c r="CL54" t="str">
        <f t="shared" ca="1" si="88"/>
        <v/>
      </c>
      <c r="CM54" t="str">
        <f t="shared" ca="1" si="88"/>
        <v/>
      </c>
      <c r="CN54" s="1" t="str">
        <f t="shared" ca="1" si="88"/>
        <v/>
      </c>
      <c r="CO54" t="str">
        <f t="shared" si="77"/>
        <v/>
      </c>
      <c r="CP54" s="22">
        <f t="shared" ca="1" si="78"/>
        <v>0</v>
      </c>
      <c r="CR54" s="168"/>
      <c r="CS54">
        <v>44</v>
      </c>
      <c r="CT54" t="str">
        <f t="shared" ca="1" si="89"/>
        <v/>
      </c>
      <c r="CU54" t="str">
        <f t="shared" ca="1" si="89"/>
        <v/>
      </c>
      <c r="CV54" t="str">
        <f t="shared" ca="1" si="89"/>
        <v/>
      </c>
      <c r="CW54" s="1" t="str">
        <f t="shared" ca="1" si="89"/>
        <v/>
      </c>
      <c r="CX54" s="1" t="str">
        <f t="shared" ca="1" si="89"/>
        <v/>
      </c>
      <c r="CY54" t="str">
        <f t="shared" ca="1" si="89"/>
        <v/>
      </c>
      <c r="CZ54">
        <f t="shared" ca="1" si="79"/>
        <v>1</v>
      </c>
      <c r="DA54" t="str">
        <f t="shared" si="80"/>
        <v/>
      </c>
      <c r="DB54" s="22">
        <f t="shared" ca="1" si="81"/>
        <v>0</v>
      </c>
      <c r="DD54" s="168"/>
      <c r="DE54">
        <v>44</v>
      </c>
      <c r="DF54" t="str">
        <f t="shared" ca="1" si="90"/>
        <v/>
      </c>
      <c r="DG54" t="str">
        <f t="shared" ca="1" si="90"/>
        <v/>
      </c>
      <c r="DH54" t="str">
        <f t="shared" ca="1" si="90"/>
        <v/>
      </c>
      <c r="DI54" s="1" t="str">
        <f t="shared" ca="1" si="90"/>
        <v/>
      </c>
      <c r="DJ54" s="1" t="str">
        <f t="shared" ca="1" si="90"/>
        <v/>
      </c>
      <c r="DK54" t="str">
        <f t="shared" ca="1" si="90"/>
        <v/>
      </c>
      <c r="DL54">
        <f t="shared" ca="1" si="82"/>
        <v>1</v>
      </c>
      <c r="DM54" t="str">
        <f t="shared" si="83"/>
        <v/>
      </c>
      <c r="DN54" s="22">
        <f t="shared" ca="1" si="84"/>
        <v>0</v>
      </c>
      <c r="DP54" s="168"/>
      <c r="DQ54">
        <v>44</v>
      </c>
      <c r="DR54" t="str">
        <f t="shared" ca="1" si="71"/>
        <v/>
      </c>
      <c r="DS54" t="str">
        <f t="shared" ca="1" si="71"/>
        <v/>
      </c>
      <c r="DT54" t="str">
        <f t="shared" ca="1" si="71"/>
        <v/>
      </c>
      <c r="DU54" t="str">
        <f t="shared" ca="1" si="71"/>
        <v/>
      </c>
      <c r="DV54" t="str">
        <f t="shared" ca="1" si="71"/>
        <v/>
      </c>
      <c r="DW54" t="str">
        <f t="shared" ca="1" si="71"/>
        <v/>
      </c>
      <c r="DX54">
        <f t="shared" ca="1" si="57"/>
        <v>1</v>
      </c>
      <c r="DY54" t="str">
        <f t="shared" si="85"/>
        <v/>
      </c>
      <c r="DZ54">
        <f t="shared" ca="1" si="58"/>
        <v>0</v>
      </c>
      <c r="EA54" s="122">
        <f t="shared" ca="1" si="59"/>
        <v>82121</v>
      </c>
      <c r="EL54" s="21">
        <f t="shared" ca="1" si="60"/>
        <v>3</v>
      </c>
      <c r="EM54" t="str">
        <f ca="1">'Financial Planning Tool'!CL55</f>
        <v/>
      </c>
      <c r="EN54" t="str">
        <f t="shared" ca="1" si="48"/>
        <v/>
      </c>
      <c r="EO54" t="str">
        <f t="shared" ca="1" si="49"/>
        <v/>
      </c>
      <c r="EP54" s="1" t="str">
        <f t="shared" ca="1" si="50"/>
        <v/>
      </c>
      <c r="EQ54" s="1" t="str">
        <f t="shared" ca="1" si="51"/>
        <v/>
      </c>
      <c r="ER54" t="str">
        <f t="shared" ca="1" si="52"/>
        <v/>
      </c>
      <c r="ES54" t="str">
        <f t="shared" si="53"/>
        <v/>
      </c>
      <c r="ET54">
        <v>0</v>
      </c>
      <c r="EU54" s="22">
        <v>45</v>
      </c>
      <c r="EX54" s="21" t="str">
        <f ca="1">IF(EX53="","",IF(EX53+1&lt;=MAX('Financial Planning Tool'!$EL$10:$EL$209),EX53+1,""))</f>
        <v/>
      </c>
      <c r="EY54" t="str">
        <f ca="1">IF(EX54&lt;&gt;"",VLOOKUP(EX54,'Financial Planning Tool'!$EL$10:$ER$209,2,FALSE),"")</f>
        <v/>
      </c>
      <c r="EZ54" t="str">
        <f ca="1">IF(EX54&lt;&gt;"",VLOOKUP(EX54,'Financial Planning Tool'!$EL$10:$ER$209,3,FALSE),"")</f>
        <v/>
      </c>
      <c r="FA54" t="str">
        <f ca="1">IF(EX54&lt;&gt;"",VLOOKUP(EX54,'Financial Planning Tool'!$EL$10:$ER$209,4,FALSE),"")</f>
        <v/>
      </c>
      <c r="FB54" t="str">
        <f t="shared" ca="1" si="61"/>
        <v/>
      </c>
      <c r="FC54" s="1" t="str">
        <f ca="1">IF(EX54&lt;&gt;"",VLOOKUP(EX54,'Financial Planning Tool'!$EL$10:$ER$209,5,FALSE),"")</f>
        <v/>
      </c>
      <c r="FD54" s="1" t="str">
        <f ca="1">IF(EX54&lt;&gt;"",VLOOKUP(EX54,'Financial Planning Tool'!$EL$10:$ER$209,6,FALSE),"")</f>
        <v/>
      </c>
      <c r="FE54" t="str">
        <f ca="1">IF(EX54&lt;&gt;"",VLOOKUP(EX54,'Financial Planning Tool'!$EL$10:$ER$209,7,FALSE),"")</f>
        <v/>
      </c>
      <c r="FF54" t="str">
        <f ca="1">IF(EX54&lt;&gt;"",VLOOKUP(EX54,'Financial Planning Tool'!$EL$10:$ES$209,8,FALSE),"")</f>
        <v/>
      </c>
      <c r="FG54" t="str">
        <f ca="1">IF(EX54&lt;&gt;"",VLOOKUP(EX54,'Financial Planning Tool'!$EL$10:$ET$209,9,FALSE),"")</f>
        <v/>
      </c>
      <c r="FH54" t="str">
        <f t="shared" ca="1" si="86"/>
        <v/>
      </c>
      <c r="FI54" s="22" t="str">
        <f t="shared" ca="1" si="87"/>
        <v/>
      </c>
    </row>
    <row r="55" spans="1:165" x14ac:dyDescent="0.25">
      <c r="A55" s="20"/>
      <c r="B55" s="86"/>
      <c r="C55" s="84"/>
      <c r="D55" s="84"/>
      <c r="E55" s="84"/>
      <c r="F55" s="85"/>
      <c r="H55" s="4">
        <f t="shared" ref="H55:H86" ca="1" si="92">DATE(YEAR($AO$8)+$AE54,MONTH($AO$8),DAY($AO$8))-1</f>
        <v>45991</v>
      </c>
      <c r="I55" s="7">
        <f t="shared" ref="I55:I86" ca="1" si="93">IFERROR(IF(Date_of_birth&lt;&gt;"",FLOOR(YEARFRAC($C$20,H55),1),AE54),AE54)</f>
        <v>55</v>
      </c>
      <c r="J55" s="11">
        <f ca="1">IF(VLOOKUP($H55,$BQ$8:$CE$1207,4,FALSE)=0,"",ROUND(VLOOKUP($H55,$BQ$8:$CE$1207,4,FALSE),2))</f>
        <v>664000</v>
      </c>
      <c r="K55" s="11">
        <f ca="1">IF(VLOOKUP($H55,$BQ$9:$CE$1207,11,FALSE)=0,"",ROUND(VLOOKUP($H55,$BQ$9:$CE$1207,11,FALSE),2))</f>
        <v>663041.34</v>
      </c>
      <c r="L55" s="11" t="str">
        <f ca="1">IF(VLOOKUP($H55,$BQ$8:$CE$1207,6,FALSE)=0,"",ROUND(VLOOKUP($H55,$BQ$8:$CE$1207,6,FALSE),2))</f>
        <v/>
      </c>
      <c r="M55" s="11" t="str">
        <f ca="1">IF(VLOOKUP($H55,$BQ$8:$CE$1207,13,FALSE)=0,"",ROUND(VLOOKUP($H55,$BQ$8:$CE$1207,13,FALSE),2))</f>
        <v/>
      </c>
      <c r="N55" s="11" t="str">
        <f ca="1">IF(VLOOKUP($H55,$BQ$8:$CE$1207,8,FALSE)=0,"",ROUND(VLOOKUP($H55,$BQ$8:$CE$1207,8,FALSE),2))</f>
        <v/>
      </c>
      <c r="O55" s="11" t="str">
        <f ca="1">IF(VLOOKUP($H55,$BQ$8:$CE$1207,15,FALSE)=0,"",ROUND(VLOOKUP($H55,$BQ$8:$CE$1207,15,FALSE),2))</f>
        <v/>
      </c>
      <c r="P55" s="11">
        <f ca="1">IF(VLOOKUP($H55,$BQ$8:$CE$1207,2,FALSE)=0,0,ROUND(VLOOKUP($H55,$BQ$8:$CE$1207,2,FALSE),2))</f>
        <v>721497.84</v>
      </c>
      <c r="Q55" s="11">
        <f ca="1">IF(VLOOKUP($H55,$BQ$8:$CE$1207,9,FALSE)=0,0,ROUND(VLOOKUP($H55,$BQ$8:$CE$1207,9,FALSE),2))</f>
        <v>693747.93</v>
      </c>
      <c r="S55" s="18"/>
      <c r="T55" s="4">
        <f ca="1">H55</f>
        <v>45991</v>
      </c>
      <c r="U55" s="7">
        <f ca="1">I55</f>
        <v>55</v>
      </c>
      <c r="V55" s="11">
        <v>500000</v>
      </c>
      <c r="W55" s="11">
        <v>500000</v>
      </c>
      <c r="X55" s="11"/>
      <c r="Y55" s="11"/>
      <c r="Z55" s="11"/>
      <c r="AA55" s="11"/>
      <c r="AB55" s="11">
        <v>540000</v>
      </c>
      <c r="AC55" s="11">
        <v>519230.77</v>
      </c>
      <c r="AE55" s="21">
        <v>2</v>
      </c>
      <c r="AF55" s="22">
        <f t="shared" ca="1" si="91"/>
        <v>0</v>
      </c>
      <c r="AI55" s="21">
        <f t="shared" ref="AI55:AI118" ca="1" si="94">IFERROR(VLOOKUP(EOMONTH(H56,-1)+1,$AO$8:$BS$1219,21,FALSE)+VLOOKUP(EOMONTH(H56,-1)+1,$AO$8:$BS$1219,23,FALSE),0)*AF55</f>
        <v>0</v>
      </c>
      <c r="AJ55" s="22">
        <v>0</v>
      </c>
      <c r="AN55" s="32">
        <f t="shared" ca="1" si="0"/>
        <v>58.833333333333336</v>
      </c>
      <c r="AO55" s="53">
        <f t="shared" ca="1" si="31"/>
        <v>47058</v>
      </c>
      <c r="AP55" s="22">
        <v>48</v>
      </c>
      <c r="AQ55" s="32">
        <f t="shared" ca="1" si="32"/>
        <v>1121503.4465135057</v>
      </c>
      <c r="AR55" s="23">
        <f t="array" aca="1" ref="AR55" ca="1">SUM(IF(lsc_start_date=AO55,lsc_amount,0))</f>
        <v>0</v>
      </c>
      <c r="AS55" s="24">
        <f t="shared" ca="1" si="6"/>
        <v>0</v>
      </c>
      <c r="AT55" s="24">
        <f t="shared" ca="1" si="7"/>
        <v>0</v>
      </c>
      <c r="AU55" s="24">
        <f t="shared" ca="1" si="8"/>
        <v>0</v>
      </c>
      <c r="AV55" s="25">
        <f t="shared" ca="1" si="9"/>
        <v>0</v>
      </c>
      <c r="AW55" s="23">
        <f t="array" aca="1" ref="AW55" ca="1">SUM(IF(rcs_start_date&lt;=AO55,1,0)*IF(rcs_end_date&gt;=AO55,1,0)*rcs_amount*(1+rcs_escalation/100)^(INT((AP55-rcs_months_since_start)/12))*IF(MOD((AP55-rcs_months_since_start),rcs_frequency)=0,1,0)*IF(rcs_frequency=13,0,1))+SUM(IF(rcs_start_date=AO55,rcs_amount,0)*IF(rcs_frequency=13,1,0))</f>
        <v>5061.8879999999999</v>
      </c>
      <c r="AX55" s="24">
        <f t="shared" ca="1" si="10"/>
        <v>0</v>
      </c>
      <c r="AY55" s="24">
        <f t="shared" ca="1" si="11"/>
        <v>0</v>
      </c>
      <c r="AZ55" s="24">
        <f t="shared" ca="1" si="12"/>
        <v>0</v>
      </c>
      <c r="BA55" s="25">
        <f t="shared" ca="1" si="13"/>
        <v>5061.8879999999999</v>
      </c>
      <c r="BB55" s="23">
        <f t="array" aca="1" ref="BB55" ca="1">SUM(IF(w_start_date&lt;=AO55,1,0)*IF(w_end_date&gt;=AO55,1,0)*w_amount*(1+w_escalation/100)^(INT((AP55-w_months_since_start)/12))*IF(MOD(AP55-w_months_since_start,w_frequency)=0,1,0)*IF(w_frequency=13,0,1))+SUM(IF(w_start_date=AO55,w_amount,0)*IF(w_frequency=13,1,0))</f>
        <v>0</v>
      </c>
      <c r="BC55" s="25">
        <f t="shared" ca="1" si="14"/>
        <v>0</v>
      </c>
      <c r="BD55" s="24" t="b">
        <f t="shared" ca="1" si="15"/>
        <v>0</v>
      </c>
      <c r="BE55" s="24" t="b">
        <f t="shared" ca="1" si="16"/>
        <v>1</v>
      </c>
      <c r="BF55" s="23">
        <f t="array" aca="1" ref="BF55" ca="1">SUM(IF(BD55,1,0)*IF(ap_start_date&lt;=AO55,1,0)*IF(ap_end_date&gt;=AO55,1,0)*ap_amount*(1+ap_escalation/100)^(INT((AP55-ap_months_since_start)/12))*IF(MOD(AP55-ap_months_since_start,ap_frequency)=0,1,0))</f>
        <v>0</v>
      </c>
      <c r="BG55" s="24">
        <f t="shared" ca="1" si="17"/>
        <v>0</v>
      </c>
      <c r="BH55" s="24">
        <f t="shared" ca="1" si="18"/>
        <v>0</v>
      </c>
      <c r="BI55">
        <f t="shared" ca="1" si="19"/>
        <v>0</v>
      </c>
      <c r="BJ55" s="24">
        <f t="shared" ca="1" si="20"/>
        <v>0</v>
      </c>
      <c r="BK55">
        <f t="shared" ca="1" si="21"/>
        <v>0</v>
      </c>
      <c r="BL55" s="25">
        <f t="shared" ca="1" si="22"/>
        <v>0</v>
      </c>
      <c r="BM55" s="32">
        <f t="shared" ca="1" si="1"/>
        <v>1134684.8551160963</v>
      </c>
      <c r="BN55" s="23">
        <f t="shared" ca="1" si="23"/>
        <v>0</v>
      </c>
      <c r="BO55" s="24">
        <f t="shared" ca="1" si="24"/>
        <v>0</v>
      </c>
      <c r="BP55" s="25">
        <f t="shared" ca="1" si="25"/>
        <v>0</v>
      </c>
      <c r="BQ55" s="34">
        <f t="shared" ca="1" si="26"/>
        <v>47087</v>
      </c>
      <c r="BR55" s="23">
        <f t="shared" ca="1" si="27"/>
        <v>1134684.8551160963</v>
      </c>
      <c r="BS55" s="24">
        <f t="shared" ca="1" si="28"/>
        <v>5061.8879999999999</v>
      </c>
      <c r="BT55" s="24">
        <f t="shared" ca="1" si="62"/>
        <v>60742.655999999995</v>
      </c>
      <c r="BU55" s="24">
        <f t="shared" ca="1" si="29"/>
        <v>0</v>
      </c>
      <c r="BV55" s="24">
        <f t="shared" ca="1" si="63"/>
        <v>0</v>
      </c>
      <c r="BW55" s="24">
        <f t="shared" ca="1" si="30"/>
        <v>0</v>
      </c>
      <c r="BX55" s="25">
        <f t="shared" ca="1" si="64"/>
        <v>0</v>
      </c>
      <c r="BY55" s="23">
        <f t="shared" ca="1" si="2"/>
        <v>969933.36965119629</v>
      </c>
      <c r="BZ55" s="24">
        <f t="shared" ca="1" si="3"/>
        <v>4341.0882971345136</v>
      </c>
      <c r="CA55" s="24">
        <f t="shared" ca="1" si="65"/>
        <v>53041.336037023037</v>
      </c>
      <c r="CB55" s="24">
        <f t="shared" ca="1" si="4"/>
        <v>0</v>
      </c>
      <c r="CC55" s="24">
        <f t="shared" ca="1" si="66"/>
        <v>0</v>
      </c>
      <c r="CD55" s="24">
        <f t="shared" ca="1" si="5"/>
        <v>0</v>
      </c>
      <c r="CE55" s="25">
        <f t="shared" ca="1" si="67"/>
        <v>0</v>
      </c>
      <c r="CF55" s="23">
        <f t="shared" ca="1" si="68"/>
        <v>0</v>
      </c>
      <c r="CG55" s="25">
        <f t="array" aca="1" ref="CG55" ca="1">SUM(BF44:BF55/(1+inflation/100)^(AP44:AP55/12))</f>
        <v>0</v>
      </c>
      <c r="CH55" s="32">
        <f ca="1">IFERROR(IF(MOD(AP55-ap_months_since_start,12)=0,ap_drawdown/100*(AQ55+AV55+BA55-BC55),CH54),0)</f>
        <v>173146.46964152635</v>
      </c>
      <c r="CJ55" s="168"/>
      <c r="CK55">
        <v>45</v>
      </c>
      <c r="CL55" t="str">
        <f t="shared" ca="1" si="88"/>
        <v/>
      </c>
      <c r="CM55" t="str">
        <f t="shared" ca="1" si="88"/>
        <v/>
      </c>
      <c r="CN55" s="1" t="str">
        <f t="shared" ca="1" si="88"/>
        <v/>
      </c>
      <c r="CO55" t="str">
        <f t="shared" si="77"/>
        <v/>
      </c>
      <c r="CP55" s="22">
        <f t="shared" ca="1" si="78"/>
        <v>0</v>
      </c>
      <c r="CR55" s="168"/>
      <c r="CS55">
        <v>45</v>
      </c>
      <c r="CT55" t="str">
        <f t="shared" ca="1" si="89"/>
        <v/>
      </c>
      <c r="CU55" t="str">
        <f t="shared" ca="1" si="89"/>
        <v/>
      </c>
      <c r="CV55" t="str">
        <f t="shared" ca="1" si="89"/>
        <v/>
      </c>
      <c r="CW55" s="1" t="str">
        <f t="shared" ca="1" si="89"/>
        <v/>
      </c>
      <c r="CX55" s="1" t="str">
        <f t="shared" ca="1" si="89"/>
        <v/>
      </c>
      <c r="CY55" t="str">
        <f t="shared" ca="1" si="89"/>
        <v/>
      </c>
      <c r="CZ55">
        <f t="shared" ca="1" si="79"/>
        <v>1</v>
      </c>
      <c r="DA55" t="str">
        <f t="shared" si="80"/>
        <v/>
      </c>
      <c r="DB55" s="22">
        <f t="shared" ca="1" si="81"/>
        <v>0</v>
      </c>
      <c r="DD55" s="168"/>
      <c r="DE55">
        <v>45</v>
      </c>
      <c r="DF55" t="str">
        <f t="shared" ca="1" si="90"/>
        <v/>
      </c>
      <c r="DG55" t="str">
        <f t="shared" ca="1" si="90"/>
        <v/>
      </c>
      <c r="DH55" t="str">
        <f t="shared" ca="1" si="90"/>
        <v/>
      </c>
      <c r="DI55" s="1" t="str">
        <f t="shared" ca="1" si="90"/>
        <v/>
      </c>
      <c r="DJ55" s="1" t="str">
        <f t="shared" ca="1" si="90"/>
        <v/>
      </c>
      <c r="DK55" t="str">
        <f t="shared" ca="1" si="90"/>
        <v/>
      </c>
      <c r="DL55">
        <f t="shared" ca="1" si="82"/>
        <v>1</v>
      </c>
      <c r="DM55" t="str">
        <f t="shared" si="83"/>
        <v/>
      </c>
      <c r="DN55" s="22">
        <f t="shared" ca="1" si="84"/>
        <v>0</v>
      </c>
      <c r="DP55" s="168"/>
      <c r="DQ55">
        <v>45</v>
      </c>
      <c r="DR55" t="str">
        <f t="shared" ca="1" si="71"/>
        <v/>
      </c>
      <c r="DS55" t="str">
        <f t="shared" ca="1" si="71"/>
        <v/>
      </c>
      <c r="DT55" t="str">
        <f t="shared" ca="1" si="71"/>
        <v/>
      </c>
      <c r="DU55" t="str">
        <f t="shared" ca="1" si="71"/>
        <v/>
      </c>
      <c r="DV55" t="str">
        <f t="shared" ca="1" si="71"/>
        <v/>
      </c>
      <c r="DW55" t="str">
        <f t="shared" ca="1" si="71"/>
        <v/>
      </c>
      <c r="DX55">
        <f t="shared" ca="1" si="57"/>
        <v>1</v>
      </c>
      <c r="DY55" t="str">
        <f t="shared" si="85"/>
        <v/>
      </c>
      <c r="DZ55">
        <f t="shared" ca="1" si="58"/>
        <v>0</v>
      </c>
      <c r="EA55" s="122">
        <f t="shared" ca="1" si="59"/>
        <v>82121</v>
      </c>
      <c r="EL55" s="21">
        <f t="shared" ca="1" si="60"/>
        <v>3</v>
      </c>
      <c r="EM55" t="str">
        <f ca="1">'Financial Planning Tool'!CL56</f>
        <v/>
      </c>
      <c r="EN55" t="str">
        <f t="shared" ca="1" si="48"/>
        <v/>
      </c>
      <c r="EO55" t="str">
        <f t="shared" ca="1" si="49"/>
        <v/>
      </c>
      <c r="EP55" s="1" t="str">
        <f t="shared" ca="1" si="50"/>
        <v/>
      </c>
      <c r="EQ55" s="1" t="str">
        <f t="shared" ca="1" si="51"/>
        <v/>
      </c>
      <c r="ER55" t="str">
        <f t="shared" ca="1" si="52"/>
        <v/>
      </c>
      <c r="ES55" t="str">
        <f t="shared" si="53"/>
        <v/>
      </c>
      <c r="ET55">
        <v>0</v>
      </c>
      <c r="EU55" s="22">
        <v>46</v>
      </c>
      <c r="EX55" s="21" t="str">
        <f ca="1">IF(EX54="","",IF(EX54+1&lt;=MAX('Financial Planning Tool'!$EL$10:$EL$209),EX54+1,""))</f>
        <v/>
      </c>
      <c r="EY55" t="str">
        <f ca="1">IF(EX55&lt;&gt;"",VLOOKUP(EX55,'Financial Planning Tool'!$EL$10:$ER$209,2,FALSE),"")</f>
        <v/>
      </c>
      <c r="EZ55" t="str">
        <f ca="1">IF(EX55&lt;&gt;"",VLOOKUP(EX55,'Financial Planning Tool'!$EL$10:$ER$209,3,FALSE),"")</f>
        <v/>
      </c>
      <c r="FA55" t="str">
        <f ca="1">IF(EX55&lt;&gt;"",VLOOKUP(EX55,'Financial Planning Tool'!$EL$10:$ER$209,4,FALSE),"")</f>
        <v/>
      </c>
      <c r="FB55" t="str">
        <f t="shared" ca="1" si="61"/>
        <v/>
      </c>
      <c r="FC55" s="1" t="str">
        <f ca="1">IF(EX55&lt;&gt;"",VLOOKUP(EX55,'Financial Planning Tool'!$EL$10:$ER$209,5,FALSE),"")</f>
        <v/>
      </c>
      <c r="FD55" s="1" t="str">
        <f ca="1">IF(EX55&lt;&gt;"",VLOOKUP(EX55,'Financial Planning Tool'!$EL$10:$ER$209,6,FALSE),"")</f>
        <v/>
      </c>
      <c r="FE55" t="str">
        <f ca="1">IF(EX55&lt;&gt;"",VLOOKUP(EX55,'Financial Planning Tool'!$EL$10:$ER$209,7,FALSE),"")</f>
        <v/>
      </c>
      <c r="FF55" t="str">
        <f ca="1">IF(EX55&lt;&gt;"",VLOOKUP(EX55,'Financial Planning Tool'!$EL$10:$ES$209,8,FALSE),"")</f>
        <v/>
      </c>
      <c r="FG55" t="str">
        <f ca="1">IF(EX55&lt;&gt;"",VLOOKUP(EX55,'Financial Planning Tool'!$EL$10:$ET$209,9,FALSE),"")</f>
        <v/>
      </c>
      <c r="FH55" t="str">
        <f t="shared" ca="1" si="86"/>
        <v/>
      </c>
      <c r="FI55" s="22" t="str">
        <f t="shared" ca="1" si="87"/>
        <v/>
      </c>
    </row>
    <row r="56" spans="1:165" x14ac:dyDescent="0.25">
      <c r="A56" s="20"/>
      <c r="B56" s="86"/>
      <c r="C56" s="84"/>
      <c r="D56" s="87"/>
      <c r="E56" s="84"/>
      <c r="F56" s="85"/>
      <c r="H56" s="5">
        <f t="shared" ca="1" si="92"/>
        <v>46356</v>
      </c>
      <c r="I56" s="8">
        <f t="shared" ca="1" si="93"/>
        <v>56</v>
      </c>
      <c r="J56" s="12">
        <f t="shared" ref="J56:J119" ca="1" si="95">IF(VLOOKUP($H56,$BQ$8:$CE$1207,4,FALSE)=0,"",ROUND(VLOOKUP($H56,$BQ$8:$CE$1207,4,FALSE),2))</f>
        <v>56160</v>
      </c>
      <c r="K56" s="12">
        <f t="shared" ref="K56:K119" ca="1" si="96">IF(VLOOKUP($H56,$BQ$9:$CE$1207,11,FALSE)=0,"",ROUND(VLOOKUP($H56,$BQ$9:$CE$1207,11,FALSE),2))</f>
        <v>53041.34</v>
      </c>
      <c r="L56" s="12" t="str">
        <f t="shared" ref="L56:L119" ca="1" si="97">IF(VLOOKUP($H56,$BQ$8:$CE$1207,6,FALSE)=0,"",ROUND(VLOOKUP($H56,$BQ$8:$CE$1207,6,FALSE),2))</f>
        <v/>
      </c>
      <c r="M56" s="12" t="str">
        <f t="shared" ref="M56:M119" ca="1" si="98">IF(VLOOKUP($H56,$BQ$8:$CE$1207,13,FALSE)=0,"",ROUND(VLOOKUP($H56,$BQ$8:$CE$1207,13,FALSE),2))</f>
        <v/>
      </c>
      <c r="N56" s="12" t="str">
        <f t="shared" ref="N56:N119" ca="1" si="99">IF(VLOOKUP($H56,$BQ$8:$CE$1207,8,FALSE)=0,"",ROUND(VLOOKUP($H56,$BQ$8:$CE$1207,8,FALSE),2))</f>
        <v/>
      </c>
      <c r="O56" s="12" t="str">
        <f t="shared" ref="O56:O119" ca="1" si="100">IF(VLOOKUP($H56,$BQ$8:$CE$1207,15,FALSE)=0,"",ROUND(VLOOKUP($H56,$BQ$8:$CE$1207,15,FALSE),2))</f>
        <v/>
      </c>
      <c r="P56" s="12">
        <f t="shared" ref="P56:P119" ca="1" si="101">IF(VLOOKUP($H56,$BQ$8:$CE$1207,2,FALSE)=0,0,ROUND(VLOOKUP($H56,$BQ$8:$CE$1207,2,FALSE),2))</f>
        <v>845294.41</v>
      </c>
      <c r="Q56" s="12">
        <f t="shared" ref="Q56:Q119" ca="1" si="102">IF(VLOOKUP($H56,$BQ$8:$CE$1207,9,FALSE)=0,0,ROUND(VLOOKUP($H56,$BQ$8:$CE$1207,9,FALSE),2))</f>
        <v>781522.2</v>
      </c>
      <c r="S56" s="18"/>
      <c r="T56" s="5">
        <f t="shared" ref="T56:T119" ca="1" si="103">H56</f>
        <v>46356</v>
      </c>
      <c r="U56" s="8">
        <f t="shared" ref="U56:U119" ca="1" si="104">I56</f>
        <v>56</v>
      </c>
      <c r="V56" s="12"/>
      <c r="W56" s="12"/>
      <c r="X56" s="12"/>
      <c r="Y56" s="12"/>
      <c r="Z56" s="12"/>
      <c r="AA56" s="12"/>
      <c r="AB56" s="12">
        <v>583200</v>
      </c>
      <c r="AC56" s="12">
        <v>539201.18000000005</v>
      </c>
      <c r="AE56" s="21">
        <v>3</v>
      </c>
      <c r="AF56" s="22">
        <f t="shared" ca="1" si="91"/>
        <v>0</v>
      </c>
      <c r="AI56" s="21">
        <f t="shared" ca="1" si="94"/>
        <v>0</v>
      </c>
      <c r="AJ56" s="22">
        <v>0</v>
      </c>
      <c r="AN56" s="32">
        <f t="shared" ca="1" si="0"/>
        <v>58.916666666666664</v>
      </c>
      <c r="AO56" s="53">
        <f t="shared" ca="1" si="31"/>
        <v>47088</v>
      </c>
      <c r="AP56" s="22">
        <v>49</v>
      </c>
      <c r="AQ56" s="32">
        <f t="shared" ca="1" si="32"/>
        <v>1134684.8551160963</v>
      </c>
      <c r="AR56" s="23">
        <f t="array" aca="1" ref="AR56" ca="1">SUM(IF(lsc_start_date=AO56,lsc_amount,0))</f>
        <v>0</v>
      </c>
      <c r="AS56" s="24">
        <f t="shared" ca="1" si="6"/>
        <v>0</v>
      </c>
      <c r="AT56" s="24">
        <f t="shared" ca="1" si="7"/>
        <v>0</v>
      </c>
      <c r="AU56" s="24">
        <f t="shared" ca="1" si="8"/>
        <v>0</v>
      </c>
      <c r="AV56" s="25">
        <f t="shared" ca="1" si="9"/>
        <v>0</v>
      </c>
      <c r="AW56" s="23">
        <f t="array" aca="1" ref="AW56" ca="1">SUM(IF(rcs_start_date&lt;=AO56,1,0)*IF(rcs_end_date&gt;=AO56,1,0)*rcs_amount*(1+rcs_escalation/100)^(INT((AP56-rcs_months_since_start)/12))*IF(MOD((AP56-rcs_months_since_start),rcs_frequency)=0,1,0)*IF(rcs_frequency=13,0,1))+SUM(IF(rcs_start_date=AO56,rcs_amount,0)*IF(rcs_frequency=13,1,0))</f>
        <v>5264.3635200000008</v>
      </c>
      <c r="AX56" s="24">
        <f t="shared" ca="1" si="10"/>
        <v>0</v>
      </c>
      <c r="AY56" s="24">
        <f t="shared" ca="1" si="11"/>
        <v>0</v>
      </c>
      <c r="AZ56" s="24">
        <f t="shared" ca="1" si="12"/>
        <v>0</v>
      </c>
      <c r="BA56" s="25">
        <f t="shared" ca="1" si="13"/>
        <v>5264.3635200000008</v>
      </c>
      <c r="BB56" s="23">
        <f t="array" aca="1" ref="BB56" ca="1">SUM(IF(w_start_date&lt;=AO56,1,0)*IF(w_end_date&gt;=AO56,1,0)*w_amount*(1+w_escalation/100)^(INT((AP56-w_months_since_start)/12))*IF(MOD(AP56-w_months_since_start,w_frequency)=0,1,0)*IF(w_frequency=13,0,1))+SUM(IF(w_start_date=AO56,w_amount,0)*IF(w_frequency=13,1,0))</f>
        <v>0</v>
      </c>
      <c r="BC56" s="25">
        <f t="shared" ca="1" si="14"/>
        <v>0</v>
      </c>
      <c r="BD56" s="24" t="b">
        <f t="shared" ca="1" si="15"/>
        <v>0</v>
      </c>
      <c r="BE56" s="24" t="b">
        <f t="shared" ca="1" si="16"/>
        <v>1</v>
      </c>
      <c r="BF56" s="23">
        <f t="array" aca="1" ref="BF56" ca="1">SUM(IF(BD56,1,0)*IF(ap_start_date&lt;=AO56,1,0)*IF(ap_end_date&gt;=AO56,1,0)*ap_amount*(1+ap_escalation/100)^(INT((AP56-ap_months_since_start)/12))*IF(MOD(AP56-ap_months_since_start,ap_frequency)=0,1,0))</f>
        <v>0</v>
      </c>
      <c r="BG56" s="24">
        <f t="shared" ca="1" si="17"/>
        <v>0</v>
      </c>
      <c r="BH56" s="24">
        <f t="shared" ca="1" si="18"/>
        <v>0</v>
      </c>
      <c r="BI56">
        <f t="shared" ca="1" si="19"/>
        <v>0</v>
      </c>
      <c r="BJ56" s="24">
        <f t="shared" ca="1" si="20"/>
        <v>0</v>
      </c>
      <c r="BK56">
        <f t="shared" ca="1" si="21"/>
        <v>0</v>
      </c>
      <c r="BL56" s="25">
        <f t="shared" ca="1" si="22"/>
        <v>0</v>
      </c>
      <c r="BM56" s="32">
        <f t="shared" ca="1" si="1"/>
        <v>1148165.2012187841</v>
      </c>
      <c r="BN56" s="23">
        <f t="shared" ca="1" si="23"/>
        <v>0</v>
      </c>
      <c r="BO56" s="24">
        <f t="shared" ca="1" si="24"/>
        <v>0</v>
      </c>
      <c r="BP56" s="25">
        <f t="shared" ca="1" si="25"/>
        <v>0</v>
      </c>
      <c r="BQ56" s="34">
        <f t="shared" ca="1" si="26"/>
        <v>47118</v>
      </c>
      <c r="BR56" s="23">
        <f t="shared" ca="1" si="27"/>
        <v>1148165.2012187841</v>
      </c>
      <c r="BS56" s="24">
        <f t="shared" ca="1" si="28"/>
        <v>5264.3635200000008</v>
      </c>
      <c r="BT56" s="24">
        <f t="shared" ca="1" si="62"/>
        <v>60945.131519999995</v>
      </c>
      <c r="BU56" s="24">
        <f t="shared" ca="1" si="29"/>
        <v>0</v>
      </c>
      <c r="BV56" s="24">
        <f t="shared" ca="1" si="63"/>
        <v>0</v>
      </c>
      <c r="BW56" s="24">
        <f t="shared" ca="1" si="30"/>
        <v>0</v>
      </c>
      <c r="BX56" s="25">
        <f t="shared" ca="1" si="64"/>
        <v>0</v>
      </c>
      <c r="BY56" s="23">
        <f t="shared" ca="1" si="2"/>
        <v>978253.8773608983</v>
      </c>
      <c r="BZ56" s="24">
        <f t="shared" ca="1" si="3"/>
        <v>4500</v>
      </c>
      <c r="CA56" s="24">
        <f t="shared" ca="1" si="65"/>
        <v>53041.336037023037</v>
      </c>
      <c r="CB56" s="24">
        <f t="shared" ca="1" si="4"/>
        <v>0</v>
      </c>
      <c r="CC56" s="24">
        <f t="shared" ca="1" si="66"/>
        <v>0</v>
      </c>
      <c r="CD56" s="24">
        <f t="shared" ca="1" si="5"/>
        <v>0</v>
      </c>
      <c r="CE56" s="25">
        <f t="shared" ca="1" si="67"/>
        <v>0</v>
      </c>
      <c r="CF56" s="23">
        <f t="shared" ca="1" si="68"/>
        <v>0</v>
      </c>
      <c r="CG56" s="25">
        <f t="array" aca="1" ref="CG56" ca="1">SUM(BF45:BF56/(1+inflation/100)^(AP45:AP56/12))</f>
        <v>0</v>
      </c>
      <c r="CH56" s="32">
        <f ca="1">IFERROR(IF(MOD(AP56-ap_months_since_start,12)=0,ap_drawdown/100*(AQ56+AV56+BA56-BC56),CH55),0)</f>
        <v>173146.46964152635</v>
      </c>
      <c r="CJ56" s="168"/>
      <c r="CK56">
        <v>46</v>
      </c>
      <c r="CL56" t="str">
        <f t="shared" ca="1" si="88"/>
        <v/>
      </c>
      <c r="CM56" t="str">
        <f t="shared" ca="1" si="88"/>
        <v/>
      </c>
      <c r="CN56" s="1" t="str">
        <f t="shared" ca="1" si="88"/>
        <v/>
      </c>
      <c r="CO56" t="str">
        <f t="shared" si="77"/>
        <v/>
      </c>
      <c r="CP56" s="22">
        <f t="shared" ca="1" si="78"/>
        <v>0</v>
      </c>
      <c r="CR56" s="168"/>
      <c r="CS56">
        <v>46</v>
      </c>
      <c r="CT56" t="str">
        <f t="shared" ca="1" si="89"/>
        <v/>
      </c>
      <c r="CU56" t="str">
        <f t="shared" ca="1" si="89"/>
        <v/>
      </c>
      <c r="CV56" t="str">
        <f t="shared" ca="1" si="89"/>
        <v/>
      </c>
      <c r="CW56" s="1" t="str">
        <f t="shared" ca="1" si="89"/>
        <v/>
      </c>
      <c r="CX56" s="1" t="str">
        <f t="shared" ca="1" si="89"/>
        <v/>
      </c>
      <c r="CY56" t="str">
        <f t="shared" ca="1" si="89"/>
        <v/>
      </c>
      <c r="CZ56">
        <f t="shared" ca="1" si="79"/>
        <v>1</v>
      </c>
      <c r="DA56" t="str">
        <f t="shared" si="80"/>
        <v/>
      </c>
      <c r="DB56" s="22">
        <f t="shared" ca="1" si="81"/>
        <v>0</v>
      </c>
      <c r="DD56" s="168"/>
      <c r="DE56">
        <v>46</v>
      </c>
      <c r="DF56" t="str">
        <f t="shared" ca="1" si="90"/>
        <v/>
      </c>
      <c r="DG56" t="str">
        <f t="shared" ca="1" si="90"/>
        <v/>
      </c>
      <c r="DH56" t="str">
        <f t="shared" ca="1" si="90"/>
        <v/>
      </c>
      <c r="DI56" s="1" t="str">
        <f t="shared" ca="1" si="90"/>
        <v/>
      </c>
      <c r="DJ56" s="1" t="str">
        <f t="shared" ca="1" si="90"/>
        <v/>
      </c>
      <c r="DK56" t="str">
        <f t="shared" ca="1" si="90"/>
        <v/>
      </c>
      <c r="DL56">
        <f t="shared" ca="1" si="82"/>
        <v>1</v>
      </c>
      <c r="DM56" t="str">
        <f t="shared" si="83"/>
        <v/>
      </c>
      <c r="DN56" s="22">
        <f t="shared" ca="1" si="84"/>
        <v>0</v>
      </c>
      <c r="DP56" s="168"/>
      <c r="DQ56">
        <v>46</v>
      </c>
      <c r="DR56" t="str">
        <f t="shared" ca="1" si="71"/>
        <v/>
      </c>
      <c r="DS56" t="str">
        <f t="shared" ca="1" si="71"/>
        <v/>
      </c>
      <c r="DT56" t="str">
        <f t="shared" ca="1" si="71"/>
        <v/>
      </c>
      <c r="DU56" t="str">
        <f t="shared" ca="1" si="71"/>
        <v/>
      </c>
      <c r="DV56" t="str">
        <f t="shared" ca="1" si="71"/>
        <v/>
      </c>
      <c r="DW56" t="str">
        <f t="shared" ca="1" si="71"/>
        <v/>
      </c>
      <c r="DX56">
        <f t="shared" ca="1" si="57"/>
        <v>1</v>
      </c>
      <c r="DY56" t="str">
        <f t="shared" si="85"/>
        <v/>
      </c>
      <c r="DZ56">
        <f t="shared" ca="1" si="58"/>
        <v>0</v>
      </c>
      <c r="EA56" s="122">
        <f t="shared" ca="1" si="59"/>
        <v>82121</v>
      </c>
      <c r="EL56" s="21">
        <f t="shared" ca="1" si="60"/>
        <v>3</v>
      </c>
      <c r="EM56" t="str">
        <f ca="1">'Financial Planning Tool'!CL57</f>
        <v/>
      </c>
      <c r="EN56" t="str">
        <f t="shared" ca="1" si="48"/>
        <v/>
      </c>
      <c r="EO56" t="str">
        <f t="shared" ca="1" si="49"/>
        <v/>
      </c>
      <c r="EP56" s="1" t="str">
        <f t="shared" ca="1" si="50"/>
        <v/>
      </c>
      <c r="EQ56" s="1" t="str">
        <f t="shared" ca="1" si="51"/>
        <v/>
      </c>
      <c r="ER56" t="str">
        <f t="shared" ca="1" si="52"/>
        <v/>
      </c>
      <c r="ES56" t="str">
        <f t="shared" si="53"/>
        <v/>
      </c>
      <c r="ET56">
        <v>0</v>
      </c>
      <c r="EU56" s="22">
        <v>47</v>
      </c>
      <c r="EX56" s="21" t="str">
        <f ca="1">IF(EX55="","",IF(EX55+1&lt;=MAX('Financial Planning Tool'!$EL$10:$EL$209),EX55+1,""))</f>
        <v/>
      </c>
      <c r="EY56" t="str">
        <f ca="1">IF(EX56&lt;&gt;"",VLOOKUP(EX56,'Financial Planning Tool'!$EL$10:$ER$209,2,FALSE),"")</f>
        <v/>
      </c>
      <c r="EZ56" t="str">
        <f ca="1">IF(EX56&lt;&gt;"",VLOOKUP(EX56,'Financial Planning Tool'!$EL$10:$ER$209,3,FALSE),"")</f>
        <v/>
      </c>
      <c r="FA56" t="str">
        <f ca="1">IF(EX56&lt;&gt;"",VLOOKUP(EX56,'Financial Planning Tool'!$EL$10:$ER$209,4,FALSE),"")</f>
        <v/>
      </c>
      <c r="FB56" t="str">
        <f t="shared" ca="1" si="61"/>
        <v/>
      </c>
      <c r="FC56" s="1" t="str">
        <f ca="1">IF(EX56&lt;&gt;"",VLOOKUP(EX56,'Financial Planning Tool'!$EL$10:$ER$209,5,FALSE),"")</f>
        <v/>
      </c>
      <c r="FD56" s="1" t="str">
        <f ca="1">IF(EX56&lt;&gt;"",VLOOKUP(EX56,'Financial Planning Tool'!$EL$10:$ER$209,6,FALSE),"")</f>
        <v/>
      </c>
      <c r="FE56" t="str">
        <f ca="1">IF(EX56&lt;&gt;"",VLOOKUP(EX56,'Financial Planning Tool'!$EL$10:$ER$209,7,FALSE),"")</f>
        <v/>
      </c>
      <c r="FF56" t="str">
        <f ca="1">IF(EX56&lt;&gt;"",VLOOKUP(EX56,'Financial Planning Tool'!$EL$10:$ES$209,8,FALSE),"")</f>
        <v/>
      </c>
      <c r="FG56" t="str">
        <f ca="1">IF(EX56&lt;&gt;"",VLOOKUP(EX56,'Financial Planning Tool'!$EL$10:$ET$209,9,FALSE),"")</f>
        <v/>
      </c>
      <c r="FH56" t="str">
        <f t="shared" ca="1" si="86"/>
        <v/>
      </c>
      <c r="FI56" s="22" t="str">
        <f t="shared" ca="1" si="87"/>
        <v/>
      </c>
    </row>
    <row r="57" spans="1:165" x14ac:dyDescent="0.25">
      <c r="A57" s="20"/>
      <c r="B57" s="86"/>
      <c r="C57" s="84"/>
      <c r="D57" s="87"/>
      <c r="E57" s="84"/>
      <c r="F57" s="85"/>
      <c r="H57" s="5">
        <f t="shared" ca="1" si="92"/>
        <v>46721</v>
      </c>
      <c r="I57" s="8">
        <f t="shared" ca="1" si="93"/>
        <v>57</v>
      </c>
      <c r="J57" s="12">
        <f t="shared" ca="1" si="95"/>
        <v>58406.400000000001</v>
      </c>
      <c r="K57" s="12">
        <f t="shared" ca="1" si="96"/>
        <v>53041.34</v>
      </c>
      <c r="L57" s="12" t="str">
        <f t="shared" ca="1" si="97"/>
        <v/>
      </c>
      <c r="M57" s="12" t="str">
        <f t="shared" ca="1" si="98"/>
        <v/>
      </c>
      <c r="N57" s="12" t="str">
        <f t="shared" ca="1" si="99"/>
        <v/>
      </c>
      <c r="O57" s="12" t="str">
        <f t="shared" ca="1" si="100"/>
        <v/>
      </c>
      <c r="P57" s="12">
        <f t="shared" ca="1" si="101"/>
        <v>982587.13</v>
      </c>
      <c r="Q57" s="12">
        <f t="shared" ca="1" si="102"/>
        <v>873516.39</v>
      </c>
      <c r="S57" s="18"/>
      <c r="T57" s="5">
        <f t="shared" ca="1" si="103"/>
        <v>46721</v>
      </c>
      <c r="U57" s="8">
        <f t="shared" ca="1" si="104"/>
        <v>57</v>
      </c>
      <c r="V57" s="12"/>
      <c r="W57" s="12"/>
      <c r="X57" s="12"/>
      <c r="Y57" s="12"/>
      <c r="Z57" s="12"/>
      <c r="AA57" s="12"/>
      <c r="AB57" s="12">
        <v>629856</v>
      </c>
      <c r="AC57" s="12">
        <v>559939.68999999994</v>
      </c>
      <c r="AE57" s="21">
        <v>4</v>
      </c>
      <c r="AF57" s="22">
        <f t="shared" ca="1" si="91"/>
        <v>0</v>
      </c>
      <c r="AI57" s="21">
        <f t="shared" ca="1" si="94"/>
        <v>0</v>
      </c>
      <c r="AJ57" s="22">
        <v>0</v>
      </c>
      <c r="AN57" s="32">
        <f t="shared" ca="1" si="0"/>
        <v>59</v>
      </c>
      <c r="AO57" s="53">
        <f t="shared" ca="1" si="31"/>
        <v>47119</v>
      </c>
      <c r="AP57" s="22">
        <v>50</v>
      </c>
      <c r="AQ57" s="32">
        <f t="shared" ca="1" si="32"/>
        <v>1148165.2012187841</v>
      </c>
      <c r="AR57" s="23">
        <f t="array" aca="1" ref="AR57" ca="1">SUM(IF(lsc_start_date=AO57,lsc_amount,0))</f>
        <v>0</v>
      </c>
      <c r="AS57" s="24">
        <f t="shared" ca="1" si="6"/>
        <v>0</v>
      </c>
      <c r="AT57" s="24">
        <f t="shared" ca="1" si="7"/>
        <v>0</v>
      </c>
      <c r="AU57" s="24">
        <f t="shared" ca="1" si="8"/>
        <v>0</v>
      </c>
      <c r="AV57" s="25">
        <f t="shared" ca="1" si="9"/>
        <v>0</v>
      </c>
      <c r="AW57" s="23">
        <f t="array" aca="1" ref="AW57" ca="1">SUM(IF(rcs_start_date&lt;=AO57,1,0)*IF(rcs_end_date&gt;=AO57,1,0)*rcs_amount*(1+rcs_escalation/100)^(INT((AP57-rcs_months_since_start)/12))*IF(MOD((AP57-rcs_months_since_start),rcs_frequency)=0,1,0)*IF(rcs_frequency=13,0,1))+SUM(IF(rcs_start_date=AO57,rcs_amount,0)*IF(rcs_frequency=13,1,0))</f>
        <v>5264.3635200000008</v>
      </c>
      <c r="AX57" s="24">
        <f t="shared" ca="1" si="10"/>
        <v>0</v>
      </c>
      <c r="AY57" s="24">
        <f t="shared" ca="1" si="11"/>
        <v>0</v>
      </c>
      <c r="AZ57" s="24">
        <f t="shared" ca="1" si="12"/>
        <v>0</v>
      </c>
      <c r="BA57" s="25">
        <f t="shared" ca="1" si="13"/>
        <v>5264.3635200000008</v>
      </c>
      <c r="BB57" s="23">
        <f t="array" aca="1" ref="BB57" ca="1">SUM(IF(w_start_date&lt;=AO57,1,0)*IF(w_end_date&gt;=AO57,1,0)*w_amount*(1+w_escalation/100)^(INT((AP57-w_months_since_start)/12))*IF(MOD(AP57-w_months_since_start,w_frequency)=0,1,0)*IF(w_frequency=13,0,1))+SUM(IF(w_start_date=AO57,w_amount,0)*IF(w_frequency=13,1,0))</f>
        <v>0</v>
      </c>
      <c r="BC57" s="25">
        <f t="shared" ca="1" si="14"/>
        <v>0</v>
      </c>
      <c r="BD57" s="24" t="b">
        <f t="shared" ca="1" si="15"/>
        <v>0</v>
      </c>
      <c r="BE57" s="24" t="b">
        <f t="shared" ca="1" si="16"/>
        <v>1</v>
      </c>
      <c r="BF57" s="23">
        <f t="array" aca="1" ref="BF57" ca="1">SUM(IF(BD57,1,0)*IF(ap_start_date&lt;=AO57,1,0)*IF(ap_end_date&gt;=AO57,1,0)*ap_amount*(1+ap_escalation/100)^(INT((AP57-ap_months_since_start)/12))*IF(MOD(AP57-ap_months_since_start,ap_frequency)=0,1,0))</f>
        <v>0</v>
      </c>
      <c r="BG57" s="24">
        <f t="shared" ca="1" si="17"/>
        <v>0</v>
      </c>
      <c r="BH57" s="24">
        <f t="shared" ca="1" si="18"/>
        <v>0</v>
      </c>
      <c r="BI57">
        <f t="shared" ca="1" si="19"/>
        <v>0</v>
      </c>
      <c r="BJ57" s="24">
        <f t="shared" ca="1" si="20"/>
        <v>0</v>
      </c>
      <c r="BK57">
        <f t="shared" ca="1" si="21"/>
        <v>0</v>
      </c>
      <c r="BL57" s="25">
        <f t="shared" ca="1" si="22"/>
        <v>0</v>
      </c>
      <c r="BM57" s="32">
        <f t="shared" ca="1" si="1"/>
        <v>1161742.7045342473</v>
      </c>
      <c r="BN57" s="23">
        <f t="shared" ca="1" si="23"/>
        <v>0</v>
      </c>
      <c r="BO57" s="24">
        <f t="shared" ca="1" si="24"/>
        <v>0</v>
      </c>
      <c r="BP57" s="25">
        <f t="shared" ca="1" si="25"/>
        <v>0</v>
      </c>
      <c r="BQ57" s="34">
        <f t="shared" ca="1" si="26"/>
        <v>47149</v>
      </c>
      <c r="BR57" s="23">
        <f t="shared" ca="1" si="27"/>
        <v>1161742.7045342473</v>
      </c>
      <c r="BS57" s="24">
        <f t="shared" ca="1" si="28"/>
        <v>5264.3635200000008</v>
      </c>
      <c r="BT57" s="24">
        <f t="shared" ca="1" si="62"/>
        <v>61147.607039999995</v>
      </c>
      <c r="BU57" s="24">
        <f t="shared" ca="1" si="29"/>
        <v>0</v>
      </c>
      <c r="BV57" s="24">
        <f t="shared" ca="1" si="63"/>
        <v>0</v>
      </c>
      <c r="BW57" s="24">
        <f t="shared" ca="1" si="30"/>
        <v>0</v>
      </c>
      <c r="BX57" s="25">
        <f t="shared" ca="1" si="64"/>
        <v>0</v>
      </c>
      <c r="BY57" s="23">
        <f t="shared" ca="1" si="2"/>
        <v>986592.26635523885</v>
      </c>
      <c r="BZ57" s="24">
        <f t="shared" ca="1" si="3"/>
        <v>4485.3162417835301</v>
      </c>
      <c r="CA57" s="24">
        <f t="shared" ca="1" si="65"/>
        <v>53041.336037023037</v>
      </c>
      <c r="CB57" s="24">
        <f t="shared" ca="1" si="4"/>
        <v>0</v>
      </c>
      <c r="CC57" s="24">
        <f t="shared" ca="1" si="66"/>
        <v>0</v>
      </c>
      <c r="CD57" s="24">
        <f t="shared" ca="1" si="5"/>
        <v>0</v>
      </c>
      <c r="CE57" s="25">
        <f t="shared" ca="1" si="67"/>
        <v>0</v>
      </c>
      <c r="CF57" s="23">
        <f t="shared" ca="1" si="68"/>
        <v>0</v>
      </c>
      <c r="CG57" s="25">
        <f t="array" aca="1" ref="CG57" ca="1">SUM(BF46:BF57/(1+inflation/100)^(AP46:AP57/12))</f>
        <v>0</v>
      </c>
      <c r="CH57" s="32">
        <f ca="1">IFERROR(IF(MOD(AP57-ap_months_since_start,12)=0,ap_drawdown/100*(AQ57+AV57+BA57-BC57),CH56),0)</f>
        <v>173146.46964152635</v>
      </c>
      <c r="CJ57" s="168"/>
      <c r="CK57">
        <v>47</v>
      </c>
      <c r="CL57" t="str">
        <f t="shared" ca="1" si="88"/>
        <v/>
      </c>
      <c r="CM57" t="str">
        <f t="shared" ca="1" si="88"/>
        <v/>
      </c>
      <c r="CN57" s="1" t="str">
        <f t="shared" ca="1" si="88"/>
        <v/>
      </c>
      <c r="CO57" t="str">
        <f t="shared" si="77"/>
        <v/>
      </c>
      <c r="CP57" s="22">
        <f t="shared" ca="1" si="78"/>
        <v>0</v>
      </c>
      <c r="CR57" s="168"/>
      <c r="CS57">
        <v>47</v>
      </c>
      <c r="CT57" t="str">
        <f t="shared" ca="1" si="89"/>
        <v/>
      </c>
      <c r="CU57" t="str">
        <f t="shared" ca="1" si="89"/>
        <v/>
      </c>
      <c r="CV57" t="str">
        <f t="shared" ca="1" si="89"/>
        <v/>
      </c>
      <c r="CW57" s="1" t="str">
        <f t="shared" ca="1" si="89"/>
        <v/>
      </c>
      <c r="CX57" s="1" t="str">
        <f t="shared" ca="1" si="89"/>
        <v/>
      </c>
      <c r="CY57" t="str">
        <f t="shared" ca="1" si="89"/>
        <v/>
      </c>
      <c r="CZ57">
        <f t="shared" ca="1" si="79"/>
        <v>1</v>
      </c>
      <c r="DA57" t="str">
        <f t="shared" si="80"/>
        <v/>
      </c>
      <c r="DB57" s="22">
        <f t="shared" ca="1" si="81"/>
        <v>0</v>
      </c>
      <c r="DD57" s="168"/>
      <c r="DE57">
        <v>47</v>
      </c>
      <c r="DF57" t="str">
        <f t="shared" ca="1" si="90"/>
        <v/>
      </c>
      <c r="DG57" t="str">
        <f t="shared" ca="1" si="90"/>
        <v/>
      </c>
      <c r="DH57" t="str">
        <f t="shared" ca="1" si="90"/>
        <v/>
      </c>
      <c r="DI57" s="1" t="str">
        <f t="shared" ca="1" si="90"/>
        <v/>
      </c>
      <c r="DJ57" s="1" t="str">
        <f t="shared" ca="1" si="90"/>
        <v/>
      </c>
      <c r="DK57" t="str">
        <f t="shared" ca="1" si="90"/>
        <v/>
      </c>
      <c r="DL57">
        <f t="shared" ca="1" si="82"/>
        <v>1</v>
      </c>
      <c r="DM57" t="str">
        <f t="shared" si="83"/>
        <v/>
      </c>
      <c r="DN57" s="22">
        <f t="shared" ca="1" si="84"/>
        <v>0</v>
      </c>
      <c r="DP57" s="168"/>
      <c r="DQ57">
        <v>47</v>
      </c>
      <c r="DR57" t="str">
        <f t="shared" ca="1" si="71"/>
        <v/>
      </c>
      <c r="DS57" t="str">
        <f t="shared" ca="1" si="71"/>
        <v/>
      </c>
      <c r="DT57" t="str">
        <f t="shared" ca="1" si="71"/>
        <v/>
      </c>
      <c r="DU57" t="str">
        <f t="shared" ca="1" si="71"/>
        <v/>
      </c>
      <c r="DV57" t="str">
        <f t="shared" ca="1" si="71"/>
        <v/>
      </c>
      <c r="DW57" t="str">
        <f t="shared" ca="1" si="71"/>
        <v/>
      </c>
      <c r="DX57">
        <f t="shared" ca="1" si="57"/>
        <v>1</v>
      </c>
      <c r="DY57" t="str">
        <f t="shared" si="85"/>
        <v/>
      </c>
      <c r="DZ57">
        <f t="shared" ca="1" si="58"/>
        <v>0</v>
      </c>
      <c r="EA57" s="122">
        <f t="shared" ca="1" si="59"/>
        <v>82121</v>
      </c>
      <c r="EL57" s="21">
        <f t="shared" ca="1" si="60"/>
        <v>3</v>
      </c>
      <c r="EM57" t="str">
        <f ca="1">'Financial Planning Tool'!CL58</f>
        <v/>
      </c>
      <c r="EN57" t="str">
        <f t="shared" ca="1" si="48"/>
        <v/>
      </c>
      <c r="EO57" t="str">
        <f t="shared" ca="1" si="49"/>
        <v/>
      </c>
      <c r="EP57" s="1" t="str">
        <f t="shared" ca="1" si="50"/>
        <v/>
      </c>
      <c r="EQ57" s="1" t="str">
        <f t="shared" ca="1" si="51"/>
        <v/>
      </c>
      <c r="ER57" t="str">
        <f t="shared" ca="1" si="52"/>
        <v/>
      </c>
      <c r="ES57" t="str">
        <f t="shared" si="53"/>
        <v/>
      </c>
      <c r="ET57">
        <v>0</v>
      </c>
      <c r="EU57" s="22">
        <v>48</v>
      </c>
      <c r="EX57" s="21" t="str">
        <f ca="1">IF(EX56="","",IF(EX56+1&lt;=MAX('Financial Planning Tool'!$EL$10:$EL$209),EX56+1,""))</f>
        <v/>
      </c>
      <c r="EY57" t="str">
        <f ca="1">IF(EX57&lt;&gt;"",VLOOKUP(EX57,'Financial Planning Tool'!$EL$10:$ER$209,2,FALSE),"")</f>
        <v/>
      </c>
      <c r="EZ57" t="str">
        <f ca="1">IF(EX57&lt;&gt;"",VLOOKUP(EX57,'Financial Planning Tool'!$EL$10:$ER$209,3,FALSE),"")</f>
        <v/>
      </c>
      <c r="FA57" t="str">
        <f ca="1">IF(EX57&lt;&gt;"",VLOOKUP(EX57,'Financial Planning Tool'!$EL$10:$ER$209,4,FALSE),"")</f>
        <v/>
      </c>
      <c r="FB57" t="str">
        <f t="shared" ca="1" si="61"/>
        <v/>
      </c>
      <c r="FC57" s="1" t="str">
        <f ca="1">IF(EX57&lt;&gt;"",VLOOKUP(EX57,'Financial Planning Tool'!$EL$10:$ER$209,5,FALSE),"")</f>
        <v/>
      </c>
      <c r="FD57" s="1" t="str">
        <f ca="1">IF(EX57&lt;&gt;"",VLOOKUP(EX57,'Financial Planning Tool'!$EL$10:$ER$209,6,FALSE),"")</f>
        <v/>
      </c>
      <c r="FE57" t="str">
        <f ca="1">IF(EX57&lt;&gt;"",VLOOKUP(EX57,'Financial Planning Tool'!$EL$10:$ER$209,7,FALSE),"")</f>
        <v/>
      </c>
      <c r="FF57" t="str">
        <f ca="1">IF(EX57&lt;&gt;"",VLOOKUP(EX57,'Financial Planning Tool'!$EL$10:$ES$209,8,FALSE),"")</f>
        <v/>
      </c>
      <c r="FG57" t="str">
        <f ca="1">IF(EX57&lt;&gt;"",VLOOKUP(EX57,'Financial Planning Tool'!$EL$10:$ET$209,9,FALSE),"")</f>
        <v/>
      </c>
      <c r="FH57" t="str">
        <f t="shared" ca="1" si="86"/>
        <v/>
      </c>
      <c r="FI57" s="22" t="str">
        <f t="shared" ca="1" si="87"/>
        <v/>
      </c>
    </row>
    <row r="58" spans="1:165" x14ac:dyDescent="0.25">
      <c r="A58" s="20">
        <v>3</v>
      </c>
      <c r="B58" s="75" t="s">
        <v>165</v>
      </c>
      <c r="C58" s="76"/>
      <c r="D58" s="76"/>
      <c r="E58" s="76"/>
      <c r="F58" s="77"/>
      <c r="H58" s="5">
        <f t="shared" ca="1" si="92"/>
        <v>47087</v>
      </c>
      <c r="I58" s="8">
        <f t="shared" ca="1" si="93"/>
        <v>58</v>
      </c>
      <c r="J58" s="12">
        <f t="shared" ca="1" si="95"/>
        <v>60742.66</v>
      </c>
      <c r="K58" s="12">
        <f t="shared" ca="1" si="96"/>
        <v>53041.34</v>
      </c>
      <c r="L58" s="12" t="str">
        <f t="shared" ca="1" si="97"/>
        <v/>
      </c>
      <c r="M58" s="12" t="str">
        <f t="shared" ca="1" si="98"/>
        <v/>
      </c>
      <c r="N58" s="12" t="str">
        <f t="shared" ca="1" si="99"/>
        <v/>
      </c>
      <c r="O58" s="12" t="str">
        <f t="shared" ca="1" si="100"/>
        <v/>
      </c>
      <c r="P58" s="12">
        <f t="shared" ca="1" si="101"/>
        <v>1134684.8600000001</v>
      </c>
      <c r="Q58" s="12">
        <f t="shared" ca="1" si="102"/>
        <v>969933.37</v>
      </c>
      <c r="S58" s="18"/>
      <c r="T58" s="5">
        <f t="shared" ca="1" si="103"/>
        <v>47087</v>
      </c>
      <c r="U58" s="8">
        <f t="shared" ca="1" si="104"/>
        <v>58</v>
      </c>
      <c r="V58" s="12"/>
      <c r="W58" s="12"/>
      <c r="X58" s="12"/>
      <c r="Y58" s="12"/>
      <c r="Z58" s="12"/>
      <c r="AA58" s="12"/>
      <c r="AB58" s="12">
        <v>680244.48</v>
      </c>
      <c r="AC58" s="12">
        <v>581475.82999999996</v>
      </c>
      <c r="AE58" s="21">
        <v>5</v>
      </c>
      <c r="AF58" s="22">
        <f t="shared" ca="1" si="91"/>
        <v>0</v>
      </c>
      <c r="AI58" s="21">
        <f t="shared" ca="1" si="94"/>
        <v>0</v>
      </c>
      <c r="AJ58" s="22">
        <v>0</v>
      </c>
      <c r="AN58" s="32">
        <f t="shared" ca="1" si="0"/>
        <v>59.083333333333336</v>
      </c>
      <c r="AO58" s="53">
        <f t="shared" ca="1" si="31"/>
        <v>47150</v>
      </c>
      <c r="AP58" s="22">
        <v>51</v>
      </c>
      <c r="AQ58" s="32">
        <f t="shared" ca="1" si="32"/>
        <v>1161742.7045342473</v>
      </c>
      <c r="AR58" s="23">
        <f t="array" aca="1" ref="AR58" ca="1">SUM(IF(lsc_start_date=AO58,lsc_amount,0))</f>
        <v>0</v>
      </c>
      <c r="AS58" s="24">
        <f t="shared" ca="1" si="6"/>
        <v>0</v>
      </c>
      <c r="AT58" s="24">
        <f t="shared" ca="1" si="7"/>
        <v>0</v>
      </c>
      <c r="AU58" s="24">
        <f t="shared" ca="1" si="8"/>
        <v>0</v>
      </c>
      <c r="AV58" s="25">
        <f t="shared" ca="1" si="9"/>
        <v>0</v>
      </c>
      <c r="AW58" s="23">
        <f t="array" aca="1" ref="AW58" ca="1">SUM(IF(rcs_start_date&lt;=AO58,1,0)*IF(rcs_end_date&gt;=AO58,1,0)*rcs_amount*(1+rcs_escalation/100)^(INT((AP58-rcs_months_since_start)/12))*IF(MOD((AP58-rcs_months_since_start),rcs_frequency)=0,1,0)*IF(rcs_frequency=13,0,1))+SUM(IF(rcs_start_date=AO58,rcs_amount,0)*IF(rcs_frequency=13,1,0))</f>
        <v>5264.3635200000008</v>
      </c>
      <c r="AX58" s="24">
        <f t="shared" ca="1" si="10"/>
        <v>0</v>
      </c>
      <c r="AY58" s="24">
        <f t="shared" ca="1" si="11"/>
        <v>0</v>
      </c>
      <c r="AZ58" s="24">
        <f t="shared" ca="1" si="12"/>
        <v>0</v>
      </c>
      <c r="BA58" s="25">
        <f t="shared" ca="1" si="13"/>
        <v>5264.3635200000008</v>
      </c>
      <c r="BB58" s="23">
        <f t="array" aca="1" ref="BB58" ca="1">SUM(IF(w_start_date&lt;=AO58,1,0)*IF(w_end_date&gt;=AO58,1,0)*w_amount*(1+w_escalation/100)^(INT((AP58-w_months_since_start)/12))*IF(MOD(AP58-w_months_since_start,w_frequency)=0,1,0)*IF(w_frequency=13,0,1))+SUM(IF(w_start_date=AO58,w_amount,0)*IF(w_frequency=13,1,0))</f>
        <v>0</v>
      </c>
      <c r="BC58" s="25">
        <f t="shared" ca="1" si="14"/>
        <v>0</v>
      </c>
      <c r="BD58" s="24" t="b">
        <f t="shared" ca="1" si="15"/>
        <v>0</v>
      </c>
      <c r="BE58" s="24" t="b">
        <f t="shared" ca="1" si="16"/>
        <v>1</v>
      </c>
      <c r="BF58" s="23">
        <f t="array" aca="1" ref="BF58" ca="1">SUM(IF(BD58,1,0)*IF(ap_start_date&lt;=AO58,1,0)*IF(ap_end_date&gt;=AO58,1,0)*ap_amount*(1+ap_escalation/100)^(INT((AP58-ap_months_since_start)/12))*IF(MOD(AP58-ap_months_since_start,ap_frequency)=0,1,0))</f>
        <v>0</v>
      </c>
      <c r="BG58" s="24">
        <f t="shared" ca="1" si="17"/>
        <v>0</v>
      </c>
      <c r="BH58" s="24">
        <f t="shared" ca="1" si="18"/>
        <v>0</v>
      </c>
      <c r="BI58">
        <f t="shared" ca="1" si="19"/>
        <v>0</v>
      </c>
      <c r="BJ58" s="24">
        <f t="shared" ca="1" si="20"/>
        <v>0</v>
      </c>
      <c r="BK58">
        <f t="shared" ca="1" si="21"/>
        <v>0</v>
      </c>
      <c r="BL58" s="25">
        <f t="shared" ca="1" si="22"/>
        <v>0</v>
      </c>
      <c r="BM58" s="32">
        <f t="shared" ca="1" si="1"/>
        <v>1175418.0653059308</v>
      </c>
      <c r="BN58" s="23">
        <f t="shared" ca="1" si="23"/>
        <v>0</v>
      </c>
      <c r="BO58" s="24">
        <f t="shared" ca="1" si="24"/>
        <v>0</v>
      </c>
      <c r="BP58" s="25">
        <f t="shared" ca="1" si="25"/>
        <v>0</v>
      </c>
      <c r="BQ58" s="34">
        <f t="shared" ca="1" si="26"/>
        <v>47177</v>
      </c>
      <c r="BR58" s="23">
        <f t="shared" ca="1" si="27"/>
        <v>1175418.0653059308</v>
      </c>
      <c r="BS58" s="24">
        <f t="shared" ca="1" si="28"/>
        <v>5264.3635200000008</v>
      </c>
      <c r="BT58" s="24">
        <f t="shared" ca="1" si="62"/>
        <v>61350.082559999995</v>
      </c>
      <c r="BU58" s="24">
        <f t="shared" ca="1" si="29"/>
        <v>0</v>
      </c>
      <c r="BV58" s="24">
        <f t="shared" ca="1" si="63"/>
        <v>0</v>
      </c>
      <c r="BW58" s="24">
        <f t="shared" ca="1" si="30"/>
        <v>0</v>
      </c>
      <c r="BX58" s="25">
        <f t="shared" ca="1" si="64"/>
        <v>0</v>
      </c>
      <c r="BY58" s="23">
        <f t="shared" ca="1" si="2"/>
        <v>994948.65484403353</v>
      </c>
      <c r="BZ58" s="24">
        <f t="shared" ca="1" si="3"/>
        <v>4470.6803975126968</v>
      </c>
      <c r="CA58" s="24">
        <f t="shared" ca="1" si="65"/>
        <v>53041.336037023037</v>
      </c>
      <c r="CB58" s="24">
        <f t="shared" ca="1" si="4"/>
        <v>0</v>
      </c>
      <c r="CC58" s="24">
        <f t="shared" ca="1" si="66"/>
        <v>0</v>
      </c>
      <c r="CD58" s="24">
        <f t="shared" ca="1" si="5"/>
        <v>0</v>
      </c>
      <c r="CE58" s="25">
        <f t="shared" ca="1" si="67"/>
        <v>0</v>
      </c>
      <c r="CF58" s="23">
        <f t="shared" ca="1" si="68"/>
        <v>0</v>
      </c>
      <c r="CG58" s="25">
        <f t="array" aca="1" ref="CG58" ca="1">SUM(BF47:BF58/(1+inflation/100)^(AP47:AP58/12))</f>
        <v>0</v>
      </c>
      <c r="CH58" s="32">
        <f ca="1">IFERROR(IF(MOD(AP58-ap_months_since_start,12)=0,ap_drawdown/100*(AQ58+AV58+BA58-BC58),CH57),0)</f>
        <v>173146.46964152635</v>
      </c>
      <c r="CJ58" s="168"/>
      <c r="CK58">
        <v>48</v>
      </c>
      <c r="CL58" t="str">
        <f t="shared" ca="1" si="88"/>
        <v/>
      </c>
      <c r="CM58" t="str">
        <f t="shared" ca="1" si="88"/>
        <v/>
      </c>
      <c r="CN58" s="1" t="str">
        <f t="shared" ca="1" si="88"/>
        <v/>
      </c>
      <c r="CO58" t="str">
        <f t="shared" si="77"/>
        <v/>
      </c>
      <c r="CP58" s="22">
        <f t="shared" ca="1" si="78"/>
        <v>0</v>
      </c>
      <c r="CR58" s="168"/>
      <c r="CS58">
        <v>48</v>
      </c>
      <c r="CT58" t="str">
        <f t="shared" ca="1" si="89"/>
        <v/>
      </c>
      <c r="CU58" t="str">
        <f t="shared" ca="1" si="89"/>
        <v/>
      </c>
      <c r="CV58" t="str">
        <f t="shared" ca="1" si="89"/>
        <v/>
      </c>
      <c r="CW58" s="1" t="str">
        <f t="shared" ca="1" si="89"/>
        <v/>
      </c>
      <c r="CX58" s="1" t="str">
        <f t="shared" ca="1" si="89"/>
        <v/>
      </c>
      <c r="CY58" t="str">
        <f t="shared" ca="1" si="89"/>
        <v/>
      </c>
      <c r="CZ58">
        <f t="shared" ca="1" si="79"/>
        <v>1</v>
      </c>
      <c r="DA58" t="str">
        <f t="shared" si="80"/>
        <v/>
      </c>
      <c r="DB58" s="22">
        <f t="shared" ca="1" si="81"/>
        <v>0</v>
      </c>
      <c r="DD58" s="168"/>
      <c r="DE58">
        <v>48</v>
      </c>
      <c r="DF58" t="str">
        <f t="shared" ca="1" si="90"/>
        <v/>
      </c>
      <c r="DG58" t="str">
        <f t="shared" ca="1" si="90"/>
        <v/>
      </c>
      <c r="DH58" t="str">
        <f t="shared" ca="1" si="90"/>
        <v/>
      </c>
      <c r="DI58" s="1" t="str">
        <f t="shared" ca="1" si="90"/>
        <v/>
      </c>
      <c r="DJ58" s="1" t="str">
        <f t="shared" ca="1" si="90"/>
        <v/>
      </c>
      <c r="DK58" t="str">
        <f t="shared" ca="1" si="90"/>
        <v/>
      </c>
      <c r="DL58">
        <f t="shared" ca="1" si="82"/>
        <v>1</v>
      </c>
      <c r="DM58" t="str">
        <f t="shared" si="83"/>
        <v/>
      </c>
      <c r="DN58" s="22">
        <f t="shared" ca="1" si="84"/>
        <v>0</v>
      </c>
      <c r="DP58" s="168"/>
      <c r="DQ58">
        <v>48</v>
      </c>
      <c r="DR58" t="str">
        <f t="shared" ca="1" si="71"/>
        <v/>
      </c>
      <c r="DS58" t="str">
        <f t="shared" ca="1" si="71"/>
        <v/>
      </c>
      <c r="DT58" t="str">
        <f t="shared" ca="1" si="71"/>
        <v/>
      </c>
      <c r="DU58" t="str">
        <f t="shared" ca="1" si="71"/>
        <v/>
      </c>
      <c r="DV58" t="str">
        <f t="shared" ca="1" si="71"/>
        <v/>
      </c>
      <c r="DW58" t="str">
        <f t="shared" ca="1" si="71"/>
        <v/>
      </c>
      <c r="DX58">
        <f t="shared" ca="1" si="57"/>
        <v>1</v>
      </c>
      <c r="DY58" t="str">
        <f t="shared" si="85"/>
        <v/>
      </c>
      <c r="DZ58">
        <f t="shared" ca="1" si="58"/>
        <v>0</v>
      </c>
      <c r="EA58" s="122">
        <f t="shared" ca="1" si="59"/>
        <v>82121</v>
      </c>
      <c r="EL58" s="21">
        <f t="shared" ca="1" si="60"/>
        <v>3</v>
      </c>
      <c r="EM58" t="str">
        <f ca="1">'Financial Planning Tool'!CL59</f>
        <v/>
      </c>
      <c r="EN58" t="str">
        <f t="shared" ca="1" si="48"/>
        <v/>
      </c>
      <c r="EO58" t="str">
        <f t="shared" ca="1" si="49"/>
        <v/>
      </c>
      <c r="EP58" s="1" t="str">
        <f t="shared" ca="1" si="50"/>
        <v/>
      </c>
      <c r="EQ58" s="1" t="str">
        <f t="shared" ca="1" si="51"/>
        <v/>
      </c>
      <c r="ER58" t="str">
        <f t="shared" ca="1" si="52"/>
        <v/>
      </c>
      <c r="ES58" t="str">
        <f t="shared" si="53"/>
        <v/>
      </c>
      <c r="ET58">
        <v>0</v>
      </c>
      <c r="EU58" s="22">
        <v>49</v>
      </c>
      <c r="EX58" s="21" t="str">
        <f ca="1">IF(EX57="","",IF(EX57+1&lt;=MAX('Financial Planning Tool'!$EL$10:$EL$209),EX57+1,""))</f>
        <v/>
      </c>
      <c r="EY58" t="str">
        <f ca="1">IF(EX58&lt;&gt;"",VLOOKUP(EX58,'Financial Planning Tool'!$EL$10:$ER$209,2,FALSE),"")</f>
        <v/>
      </c>
      <c r="EZ58" t="str">
        <f ca="1">IF(EX58&lt;&gt;"",VLOOKUP(EX58,'Financial Planning Tool'!$EL$10:$ER$209,3,FALSE),"")</f>
        <v/>
      </c>
      <c r="FA58" t="str">
        <f ca="1">IF(EX58&lt;&gt;"",VLOOKUP(EX58,'Financial Planning Tool'!$EL$10:$ER$209,4,FALSE),"")</f>
        <v/>
      </c>
      <c r="FB58" t="str">
        <f t="shared" ca="1" si="61"/>
        <v/>
      </c>
      <c r="FC58" s="1" t="str">
        <f ca="1">IF(EX58&lt;&gt;"",VLOOKUP(EX58,'Financial Planning Tool'!$EL$10:$ER$209,5,FALSE),"")</f>
        <v/>
      </c>
      <c r="FD58" s="1" t="str">
        <f ca="1">IF(EX58&lt;&gt;"",VLOOKUP(EX58,'Financial Planning Tool'!$EL$10:$ER$209,6,FALSE),"")</f>
        <v/>
      </c>
      <c r="FE58" t="str">
        <f ca="1">IF(EX58&lt;&gt;"",VLOOKUP(EX58,'Financial Planning Tool'!$EL$10:$ER$209,7,FALSE),"")</f>
        <v/>
      </c>
      <c r="FF58" t="str">
        <f ca="1">IF(EX58&lt;&gt;"",VLOOKUP(EX58,'Financial Planning Tool'!$EL$10:$ES$209,8,FALSE),"")</f>
        <v/>
      </c>
      <c r="FG58" t="str">
        <f ca="1">IF(EX58&lt;&gt;"",VLOOKUP(EX58,'Financial Planning Tool'!$EL$10:$ET$209,9,FALSE),"")</f>
        <v/>
      </c>
      <c r="FH58" t="str">
        <f t="shared" ca="1" si="86"/>
        <v/>
      </c>
      <c r="FI58" s="22" t="str">
        <f t="shared" ca="1" si="87"/>
        <v/>
      </c>
    </row>
    <row r="59" spans="1:165" x14ac:dyDescent="0.25">
      <c r="A59" s="20"/>
      <c r="B59" s="78" t="s">
        <v>215</v>
      </c>
      <c r="C59" s="76"/>
      <c r="D59" s="162" t="s">
        <v>210</v>
      </c>
      <c r="E59" s="163"/>
      <c r="F59" s="77"/>
      <c r="H59" s="5">
        <f t="shared" ca="1" si="92"/>
        <v>47452</v>
      </c>
      <c r="I59" s="8">
        <f t="shared" ca="1" si="93"/>
        <v>59</v>
      </c>
      <c r="J59" s="12">
        <f t="shared" ca="1" si="95"/>
        <v>63172.36</v>
      </c>
      <c r="K59" s="12">
        <f t="shared" ca="1" si="96"/>
        <v>53041.34</v>
      </c>
      <c r="L59" s="12" t="str">
        <f t="shared" ca="1" si="97"/>
        <v/>
      </c>
      <c r="M59" s="12" t="str">
        <f t="shared" ca="1" si="98"/>
        <v/>
      </c>
      <c r="N59" s="12" t="str">
        <f t="shared" ca="1" si="99"/>
        <v/>
      </c>
      <c r="O59" s="12" t="str">
        <f t="shared" ca="1" si="100"/>
        <v/>
      </c>
      <c r="P59" s="12">
        <f t="shared" ca="1" si="101"/>
        <v>1303017.97</v>
      </c>
      <c r="Q59" s="12">
        <f t="shared" ca="1" si="102"/>
        <v>1070985.79</v>
      </c>
      <c r="S59" s="18"/>
      <c r="T59" s="5">
        <f t="shared" ca="1" si="103"/>
        <v>47452</v>
      </c>
      <c r="U59" s="8">
        <f t="shared" ca="1" si="104"/>
        <v>59</v>
      </c>
      <c r="V59" s="12"/>
      <c r="W59" s="12"/>
      <c r="X59" s="12"/>
      <c r="Y59" s="12"/>
      <c r="Z59" s="12"/>
      <c r="AA59" s="12"/>
      <c r="AB59" s="12">
        <v>734664.04</v>
      </c>
      <c r="AC59" s="12">
        <v>603840.29</v>
      </c>
      <c r="AE59" s="21">
        <v>6</v>
      </c>
      <c r="AF59" s="22">
        <f t="shared" ca="1" si="91"/>
        <v>0</v>
      </c>
      <c r="AI59" s="21">
        <f t="shared" ca="1" si="94"/>
        <v>0</v>
      </c>
      <c r="AJ59" s="22">
        <v>0</v>
      </c>
      <c r="AN59" s="32">
        <f t="shared" ca="1" si="0"/>
        <v>59.166666666666664</v>
      </c>
      <c r="AO59" s="53">
        <f t="shared" ca="1" si="31"/>
        <v>47178</v>
      </c>
      <c r="AP59" s="22">
        <v>52</v>
      </c>
      <c r="AQ59" s="32">
        <f t="shared" ca="1" si="32"/>
        <v>1175418.0653059308</v>
      </c>
      <c r="AR59" s="23">
        <f t="array" aca="1" ref="AR59" ca="1">SUM(IF(lsc_start_date=AO59,lsc_amount,0))</f>
        <v>0</v>
      </c>
      <c r="AS59" s="24">
        <f t="shared" ca="1" si="6"/>
        <v>0</v>
      </c>
      <c r="AT59" s="24">
        <f t="shared" ca="1" si="7"/>
        <v>0</v>
      </c>
      <c r="AU59" s="24">
        <f t="shared" ca="1" si="8"/>
        <v>0</v>
      </c>
      <c r="AV59" s="25">
        <f t="shared" ca="1" si="9"/>
        <v>0</v>
      </c>
      <c r="AW59" s="23">
        <f t="array" aca="1" ref="AW59" ca="1">SUM(IF(rcs_start_date&lt;=AO59,1,0)*IF(rcs_end_date&gt;=AO59,1,0)*rcs_amount*(1+rcs_escalation/100)^(INT((AP59-rcs_months_since_start)/12))*IF(MOD((AP59-rcs_months_since_start),rcs_frequency)=0,1,0)*IF(rcs_frequency=13,0,1))+SUM(IF(rcs_start_date=AO59,rcs_amount,0)*IF(rcs_frequency=13,1,0))</f>
        <v>5264.3635200000008</v>
      </c>
      <c r="AX59" s="24">
        <f t="shared" ca="1" si="10"/>
        <v>0</v>
      </c>
      <c r="AY59" s="24">
        <f t="shared" ca="1" si="11"/>
        <v>0</v>
      </c>
      <c r="AZ59" s="24">
        <f t="shared" ca="1" si="12"/>
        <v>0</v>
      </c>
      <c r="BA59" s="25">
        <f t="shared" ca="1" si="13"/>
        <v>5264.3635200000008</v>
      </c>
      <c r="BB59" s="23">
        <f t="array" aca="1" ref="BB59" ca="1">SUM(IF(w_start_date&lt;=AO59,1,0)*IF(w_end_date&gt;=AO59,1,0)*w_amount*(1+w_escalation/100)^(INT((AP59-w_months_since_start)/12))*IF(MOD(AP59-w_months_since_start,w_frequency)=0,1,0)*IF(w_frequency=13,0,1))+SUM(IF(w_start_date=AO59,w_amount,0)*IF(w_frequency=13,1,0))</f>
        <v>0</v>
      </c>
      <c r="BC59" s="25">
        <f t="shared" ca="1" si="14"/>
        <v>0</v>
      </c>
      <c r="BD59" s="24" t="b">
        <f t="shared" ca="1" si="15"/>
        <v>0</v>
      </c>
      <c r="BE59" s="24" t="b">
        <f t="shared" ca="1" si="16"/>
        <v>1</v>
      </c>
      <c r="BF59" s="23">
        <f t="array" aca="1" ref="BF59" ca="1">SUM(IF(BD59,1,0)*IF(ap_start_date&lt;=AO59,1,0)*IF(ap_end_date&gt;=AO59,1,0)*ap_amount*(1+ap_escalation/100)^(INT((AP59-ap_months_since_start)/12))*IF(MOD(AP59-ap_months_since_start,ap_frequency)=0,1,0))</f>
        <v>0</v>
      </c>
      <c r="BG59" s="24">
        <f t="shared" ca="1" si="17"/>
        <v>0</v>
      </c>
      <c r="BH59" s="24">
        <f t="shared" ca="1" si="18"/>
        <v>0</v>
      </c>
      <c r="BI59">
        <f t="shared" ca="1" si="19"/>
        <v>0</v>
      </c>
      <c r="BJ59" s="24">
        <f t="shared" ca="1" si="20"/>
        <v>0</v>
      </c>
      <c r="BK59">
        <f t="shared" ca="1" si="21"/>
        <v>0</v>
      </c>
      <c r="BL59" s="25">
        <f t="shared" ca="1" si="22"/>
        <v>0</v>
      </c>
      <c r="BM59" s="32">
        <f t="shared" ca="1" si="1"/>
        <v>1189191.9888241608</v>
      </c>
      <c r="BN59" s="23">
        <f t="shared" ca="1" si="23"/>
        <v>0</v>
      </c>
      <c r="BO59" s="24">
        <f t="shared" ca="1" si="24"/>
        <v>0</v>
      </c>
      <c r="BP59" s="25">
        <f t="shared" ca="1" si="25"/>
        <v>0</v>
      </c>
      <c r="BQ59" s="34">
        <f t="shared" ca="1" si="26"/>
        <v>47208</v>
      </c>
      <c r="BR59" s="23">
        <f t="shared" ca="1" si="27"/>
        <v>1189191.9888241608</v>
      </c>
      <c r="BS59" s="24">
        <f t="shared" ca="1" si="28"/>
        <v>5264.3635200000008</v>
      </c>
      <c r="BT59" s="24">
        <f t="shared" ca="1" si="62"/>
        <v>61552.558079999995</v>
      </c>
      <c r="BU59" s="24">
        <f t="shared" ca="1" si="29"/>
        <v>0</v>
      </c>
      <c r="BV59" s="24">
        <f t="shared" ca="1" si="63"/>
        <v>0</v>
      </c>
      <c r="BW59" s="24">
        <f t="shared" ca="1" si="30"/>
        <v>0</v>
      </c>
      <c r="BX59" s="25">
        <f t="shared" ca="1" si="64"/>
        <v>0</v>
      </c>
      <c r="BY59" s="23">
        <f t="shared" ca="1" si="2"/>
        <v>1003323.1613436099</v>
      </c>
      <c r="BZ59" s="24">
        <f t="shared" ca="1" si="3"/>
        <v>4456.0923108415445</v>
      </c>
      <c r="CA59" s="24">
        <f t="shared" ca="1" si="65"/>
        <v>53041.336037023037</v>
      </c>
      <c r="CB59" s="24">
        <f t="shared" ca="1" si="4"/>
        <v>0</v>
      </c>
      <c r="CC59" s="24">
        <f t="shared" ca="1" si="66"/>
        <v>0</v>
      </c>
      <c r="CD59" s="24">
        <f t="shared" ca="1" si="5"/>
        <v>0</v>
      </c>
      <c r="CE59" s="25">
        <f t="shared" ca="1" si="67"/>
        <v>0</v>
      </c>
      <c r="CF59" s="23">
        <f t="shared" ca="1" si="68"/>
        <v>0</v>
      </c>
      <c r="CG59" s="25">
        <f t="array" aca="1" ref="CG59" ca="1">SUM(BF48:BF59/(1+inflation/100)^(AP48:AP59/12))</f>
        <v>0</v>
      </c>
      <c r="CH59" s="32">
        <f ca="1">IFERROR(IF(MOD(AP59-ap_months_since_start,12)=0,ap_drawdown/100*(AQ59+AV59+BA59-BC59),CH58),0)</f>
        <v>173146.46964152635</v>
      </c>
      <c r="CJ59" s="168"/>
      <c r="CK59">
        <v>49</v>
      </c>
      <c r="CL59" t="str">
        <f t="shared" ca="1" si="88"/>
        <v/>
      </c>
      <c r="CM59" t="str">
        <f t="shared" ca="1" si="88"/>
        <v/>
      </c>
      <c r="CN59" s="1" t="str">
        <f t="shared" ca="1" si="88"/>
        <v/>
      </c>
      <c r="CO59" t="str">
        <f t="shared" si="77"/>
        <v/>
      </c>
      <c r="CP59" s="22">
        <f t="shared" ca="1" si="78"/>
        <v>0</v>
      </c>
      <c r="CR59" s="168"/>
      <c r="CS59">
        <v>49</v>
      </c>
      <c r="CT59" t="str">
        <f t="shared" ca="1" si="89"/>
        <v/>
      </c>
      <c r="CU59" t="str">
        <f t="shared" ca="1" si="89"/>
        <v/>
      </c>
      <c r="CV59" t="str">
        <f t="shared" ca="1" si="89"/>
        <v/>
      </c>
      <c r="CW59" s="1" t="str">
        <f t="shared" ca="1" si="89"/>
        <v/>
      </c>
      <c r="CX59" s="1" t="str">
        <f t="shared" ca="1" si="89"/>
        <v/>
      </c>
      <c r="CY59" t="str">
        <f t="shared" ca="1" si="89"/>
        <v/>
      </c>
      <c r="CZ59">
        <f t="shared" ca="1" si="79"/>
        <v>1</v>
      </c>
      <c r="DA59" t="str">
        <f t="shared" si="80"/>
        <v/>
      </c>
      <c r="DB59" s="22">
        <f t="shared" ca="1" si="81"/>
        <v>0</v>
      </c>
      <c r="DD59" s="168"/>
      <c r="DE59">
        <v>49</v>
      </c>
      <c r="DF59" t="str">
        <f t="shared" ca="1" si="90"/>
        <v/>
      </c>
      <c r="DG59" t="str">
        <f t="shared" ca="1" si="90"/>
        <v/>
      </c>
      <c r="DH59" t="str">
        <f t="shared" ca="1" si="90"/>
        <v/>
      </c>
      <c r="DI59" s="1" t="str">
        <f t="shared" ca="1" si="90"/>
        <v/>
      </c>
      <c r="DJ59" s="1" t="str">
        <f t="shared" ca="1" si="90"/>
        <v/>
      </c>
      <c r="DK59" t="str">
        <f t="shared" ca="1" si="90"/>
        <v/>
      </c>
      <c r="DL59">
        <f t="shared" ca="1" si="82"/>
        <v>1</v>
      </c>
      <c r="DM59" t="str">
        <f t="shared" si="83"/>
        <v/>
      </c>
      <c r="DN59" s="22">
        <f t="shared" ca="1" si="84"/>
        <v>0</v>
      </c>
      <c r="DP59" s="168"/>
      <c r="DQ59">
        <v>49</v>
      </c>
      <c r="DR59" t="str">
        <f t="shared" ca="1" si="71"/>
        <v/>
      </c>
      <c r="DS59" t="str">
        <f t="shared" ca="1" si="71"/>
        <v/>
      </c>
      <c r="DT59" t="str">
        <f t="shared" ca="1" si="71"/>
        <v/>
      </c>
      <c r="DU59" t="str">
        <f t="shared" ca="1" si="71"/>
        <v/>
      </c>
      <c r="DV59" t="str">
        <f t="shared" ca="1" si="71"/>
        <v/>
      </c>
      <c r="DW59" t="str">
        <f t="shared" ca="1" si="71"/>
        <v/>
      </c>
      <c r="DX59">
        <f t="shared" ca="1" si="57"/>
        <v>1</v>
      </c>
      <c r="DY59" t="str">
        <f t="shared" si="85"/>
        <v/>
      </c>
      <c r="DZ59">
        <f t="shared" ca="1" si="58"/>
        <v>0</v>
      </c>
      <c r="EA59" s="122">
        <f t="shared" ca="1" si="59"/>
        <v>82121</v>
      </c>
      <c r="EL59" s="21">
        <f t="shared" ca="1" si="60"/>
        <v>3</v>
      </c>
      <c r="EM59" t="str">
        <f ca="1">'Financial Planning Tool'!CL60</f>
        <v/>
      </c>
      <c r="EN59" t="str">
        <f t="shared" ca="1" si="48"/>
        <v/>
      </c>
      <c r="EO59" t="str">
        <f t="shared" ca="1" si="49"/>
        <v/>
      </c>
      <c r="EP59" s="1" t="str">
        <f t="shared" ca="1" si="50"/>
        <v/>
      </c>
      <c r="EQ59" s="1" t="str">
        <f t="shared" ca="1" si="51"/>
        <v/>
      </c>
      <c r="ER59" t="str">
        <f t="shared" ca="1" si="52"/>
        <v/>
      </c>
      <c r="ES59" t="str">
        <f t="shared" si="53"/>
        <v/>
      </c>
      <c r="ET59">
        <v>0</v>
      </c>
      <c r="EU59" s="22">
        <v>50</v>
      </c>
      <c r="EX59" s="21" t="str">
        <f ca="1">IF(EX58="","",IF(EX58+1&lt;=MAX('Financial Planning Tool'!$EL$10:$EL$209),EX58+1,""))</f>
        <v/>
      </c>
      <c r="EY59" t="str">
        <f ca="1">IF(EX59&lt;&gt;"",VLOOKUP(EX59,'Financial Planning Tool'!$EL$10:$ER$209,2,FALSE),"")</f>
        <v/>
      </c>
      <c r="EZ59" t="str">
        <f ca="1">IF(EX59&lt;&gt;"",VLOOKUP(EX59,'Financial Planning Tool'!$EL$10:$ER$209,3,FALSE),"")</f>
        <v/>
      </c>
      <c r="FA59" t="str">
        <f ca="1">IF(EX59&lt;&gt;"",VLOOKUP(EX59,'Financial Planning Tool'!$EL$10:$ER$209,4,FALSE),"")</f>
        <v/>
      </c>
      <c r="FB59" t="str">
        <f t="shared" ca="1" si="61"/>
        <v/>
      </c>
      <c r="FC59" s="1" t="str">
        <f ca="1">IF(EX59&lt;&gt;"",VLOOKUP(EX59,'Financial Planning Tool'!$EL$10:$ER$209,5,FALSE),"")</f>
        <v/>
      </c>
      <c r="FD59" s="1" t="str">
        <f ca="1">IF(EX59&lt;&gt;"",VLOOKUP(EX59,'Financial Planning Tool'!$EL$10:$ER$209,6,FALSE),"")</f>
        <v/>
      </c>
      <c r="FE59" t="str">
        <f ca="1">IF(EX59&lt;&gt;"",VLOOKUP(EX59,'Financial Planning Tool'!$EL$10:$ER$209,7,FALSE),"")</f>
        <v/>
      </c>
      <c r="FF59" t="str">
        <f ca="1">IF(EX59&lt;&gt;"",VLOOKUP(EX59,'Financial Planning Tool'!$EL$10:$ES$209,8,FALSE),"")</f>
        <v/>
      </c>
      <c r="FG59" t="str">
        <f ca="1">IF(EX59&lt;&gt;"",VLOOKUP(EX59,'Financial Planning Tool'!$EL$10:$ET$209,9,FALSE),"")</f>
        <v/>
      </c>
      <c r="FH59" t="str">
        <f t="shared" ca="1" si="86"/>
        <v/>
      </c>
      <c r="FI59" s="22" t="str">
        <f t="shared" ca="1" si="87"/>
        <v/>
      </c>
    </row>
    <row r="60" spans="1:165" x14ac:dyDescent="0.25">
      <c r="A60" s="20"/>
      <c r="B60" s="78" t="s">
        <v>203</v>
      </c>
      <c r="C60" s="76"/>
      <c r="D60" s="164" t="s">
        <v>121</v>
      </c>
      <c r="E60" s="165"/>
      <c r="F60" s="77"/>
      <c r="H60" s="5">
        <f t="shared" ca="1" si="92"/>
        <v>47817</v>
      </c>
      <c r="I60" s="8">
        <f t="shared" ca="1" si="93"/>
        <v>60</v>
      </c>
      <c r="J60" s="12">
        <f t="shared" ca="1" si="95"/>
        <v>65699.259999999995</v>
      </c>
      <c r="K60" s="12">
        <f t="shared" ca="1" si="96"/>
        <v>53041.34</v>
      </c>
      <c r="L60" s="12" t="str">
        <f t="shared" ca="1" si="97"/>
        <v/>
      </c>
      <c r="M60" s="12" t="str">
        <f t="shared" ca="1" si="98"/>
        <v/>
      </c>
      <c r="N60" s="12" t="str">
        <f t="shared" ca="1" si="99"/>
        <v/>
      </c>
      <c r="O60" s="12" t="str">
        <f t="shared" ca="1" si="100"/>
        <v/>
      </c>
      <c r="P60" s="12">
        <f t="shared" ca="1" si="101"/>
        <v>1489149.51</v>
      </c>
      <c r="Q60" s="12">
        <f t="shared" ca="1" si="102"/>
        <v>1176896.49</v>
      </c>
      <c r="S60" s="18"/>
      <c r="T60" s="5">
        <f t="shared" ca="1" si="103"/>
        <v>47817</v>
      </c>
      <c r="U60" s="8">
        <f t="shared" ca="1" si="104"/>
        <v>60</v>
      </c>
      <c r="V60" s="12"/>
      <c r="W60" s="12"/>
      <c r="X60" s="12"/>
      <c r="Y60" s="12"/>
      <c r="Z60" s="12"/>
      <c r="AA60" s="12"/>
      <c r="AB60" s="12">
        <v>793437.16</v>
      </c>
      <c r="AC60" s="12">
        <v>627064.91</v>
      </c>
      <c r="AE60" s="21">
        <v>7</v>
      </c>
      <c r="AF60" s="22">
        <f t="shared" ca="1" si="91"/>
        <v>0</v>
      </c>
      <c r="AI60" s="21">
        <f t="shared" ca="1" si="94"/>
        <v>0</v>
      </c>
      <c r="AJ60" s="22">
        <v>0</v>
      </c>
      <c r="AN60" s="32">
        <f t="shared" ca="1" si="0"/>
        <v>59.25</v>
      </c>
      <c r="AO60" s="53">
        <f t="shared" ca="1" si="31"/>
        <v>47209</v>
      </c>
      <c r="AP60" s="22">
        <v>53</v>
      </c>
      <c r="AQ60" s="32">
        <f t="shared" ca="1" si="32"/>
        <v>1189191.9888241608</v>
      </c>
      <c r="AR60" s="23">
        <f t="array" aca="1" ref="AR60" ca="1">SUM(IF(lsc_start_date=AO60,lsc_amount,0))</f>
        <v>0</v>
      </c>
      <c r="AS60" s="24">
        <f t="shared" ca="1" si="6"/>
        <v>0</v>
      </c>
      <c r="AT60" s="24">
        <f t="shared" ca="1" si="7"/>
        <v>0</v>
      </c>
      <c r="AU60" s="24">
        <f t="shared" ca="1" si="8"/>
        <v>0</v>
      </c>
      <c r="AV60" s="25">
        <f t="shared" ca="1" si="9"/>
        <v>0</v>
      </c>
      <c r="AW60" s="23">
        <f t="array" aca="1" ref="AW60" ca="1">SUM(IF(rcs_start_date&lt;=AO60,1,0)*IF(rcs_end_date&gt;=AO60,1,0)*rcs_amount*(1+rcs_escalation/100)^(INT((AP60-rcs_months_since_start)/12))*IF(MOD((AP60-rcs_months_since_start),rcs_frequency)=0,1,0)*IF(rcs_frequency=13,0,1))+SUM(IF(rcs_start_date=AO60,rcs_amount,0)*IF(rcs_frequency=13,1,0))</f>
        <v>5264.3635200000008</v>
      </c>
      <c r="AX60" s="24">
        <f t="shared" ca="1" si="10"/>
        <v>0</v>
      </c>
      <c r="AY60" s="24">
        <f t="shared" ca="1" si="11"/>
        <v>0</v>
      </c>
      <c r="AZ60" s="24">
        <f t="shared" ca="1" si="12"/>
        <v>0</v>
      </c>
      <c r="BA60" s="25">
        <f t="shared" ca="1" si="13"/>
        <v>5264.3635200000008</v>
      </c>
      <c r="BB60" s="23">
        <f t="array" aca="1" ref="BB60" ca="1">SUM(IF(w_start_date&lt;=AO60,1,0)*IF(w_end_date&gt;=AO60,1,0)*w_amount*(1+w_escalation/100)^(INT((AP60-w_months_since_start)/12))*IF(MOD(AP60-w_months_since_start,w_frequency)=0,1,0)*IF(w_frequency=13,0,1))+SUM(IF(w_start_date=AO60,w_amount,0)*IF(w_frequency=13,1,0))</f>
        <v>0</v>
      </c>
      <c r="BC60" s="25">
        <f t="shared" ca="1" si="14"/>
        <v>0</v>
      </c>
      <c r="BD60" s="24" t="b">
        <f t="shared" ca="1" si="15"/>
        <v>0</v>
      </c>
      <c r="BE60" s="24" t="b">
        <f t="shared" ca="1" si="16"/>
        <v>1</v>
      </c>
      <c r="BF60" s="23">
        <f t="array" aca="1" ref="BF60" ca="1">SUM(IF(BD60,1,0)*IF(ap_start_date&lt;=AO60,1,0)*IF(ap_end_date&gt;=AO60,1,0)*ap_amount*(1+ap_escalation/100)^(INT((AP60-ap_months_since_start)/12))*IF(MOD(AP60-ap_months_since_start,ap_frequency)=0,1,0))</f>
        <v>0</v>
      </c>
      <c r="BG60" s="24">
        <f t="shared" ca="1" si="17"/>
        <v>0</v>
      </c>
      <c r="BH60" s="24">
        <f t="shared" ca="1" si="18"/>
        <v>0</v>
      </c>
      <c r="BI60">
        <f t="shared" ca="1" si="19"/>
        <v>0</v>
      </c>
      <c r="BJ60" s="24">
        <f t="shared" ca="1" si="20"/>
        <v>0</v>
      </c>
      <c r="BK60">
        <f t="shared" ca="1" si="21"/>
        <v>0</v>
      </c>
      <c r="BL60" s="25">
        <f t="shared" ca="1" si="22"/>
        <v>0</v>
      </c>
      <c r="BM60" s="32">
        <f t="shared" ca="1" si="1"/>
        <v>1203065.1854625184</v>
      </c>
      <c r="BN60" s="23">
        <f t="shared" ca="1" si="23"/>
        <v>0</v>
      </c>
      <c r="BO60" s="24">
        <f t="shared" ca="1" si="24"/>
        <v>0</v>
      </c>
      <c r="BP60" s="25">
        <f t="shared" ca="1" si="25"/>
        <v>0</v>
      </c>
      <c r="BQ60" s="34">
        <f t="shared" ca="1" si="26"/>
        <v>47238</v>
      </c>
      <c r="BR60" s="23">
        <f t="shared" ca="1" si="27"/>
        <v>1203065.1854625184</v>
      </c>
      <c r="BS60" s="24">
        <f t="shared" ca="1" si="28"/>
        <v>5264.3635200000008</v>
      </c>
      <c r="BT60" s="24">
        <f t="shared" ca="1" si="62"/>
        <v>61755.033599999995</v>
      </c>
      <c r="BU60" s="24">
        <f t="shared" ca="1" si="29"/>
        <v>0</v>
      </c>
      <c r="BV60" s="24">
        <f t="shared" ca="1" si="63"/>
        <v>0</v>
      </c>
      <c r="BW60" s="24">
        <f t="shared" ca="1" si="30"/>
        <v>0</v>
      </c>
      <c r="BX60" s="25">
        <f t="shared" ca="1" si="64"/>
        <v>0</v>
      </c>
      <c r="BY60" s="23">
        <f t="shared" ca="1" si="2"/>
        <v>1011715.9046785214</v>
      </c>
      <c r="BZ60" s="24">
        <f t="shared" ca="1" si="3"/>
        <v>4441.5518259342853</v>
      </c>
      <c r="CA60" s="24">
        <f t="shared" ca="1" si="65"/>
        <v>53041.336037023044</v>
      </c>
      <c r="CB60" s="24">
        <f t="shared" ca="1" si="4"/>
        <v>0</v>
      </c>
      <c r="CC60" s="24">
        <f t="shared" ca="1" si="66"/>
        <v>0</v>
      </c>
      <c r="CD60" s="24">
        <f t="shared" ca="1" si="5"/>
        <v>0</v>
      </c>
      <c r="CE60" s="25">
        <f t="shared" ca="1" si="67"/>
        <v>0</v>
      </c>
      <c r="CF60" s="23">
        <f t="shared" ca="1" si="68"/>
        <v>0</v>
      </c>
      <c r="CG60" s="25">
        <f t="array" aca="1" ref="CG60" ca="1">SUM(BF49:BF60/(1+inflation/100)^(AP49:AP60/12))</f>
        <v>0</v>
      </c>
      <c r="CH60" s="32">
        <f ca="1">IFERROR(IF(MOD(AP60-ap_months_since_start,12)=0,ap_drawdown/100*(AQ60+AV60+BA60-BC60),CH59),0)</f>
        <v>173146.46964152635</v>
      </c>
      <c r="CJ60" s="169"/>
      <c r="CK60" s="15">
        <v>50</v>
      </c>
      <c r="CL60" s="15" t="str">
        <f t="shared" ca="1" si="88"/>
        <v/>
      </c>
      <c r="CM60" s="15" t="str">
        <f t="shared" ca="1" si="88"/>
        <v/>
      </c>
      <c r="CN60" s="47" t="str">
        <f t="shared" ca="1" si="88"/>
        <v/>
      </c>
      <c r="CO60" s="15" t="str">
        <f t="shared" si="77"/>
        <v/>
      </c>
      <c r="CP60" s="38">
        <f t="shared" ca="1" si="78"/>
        <v>0</v>
      </c>
      <c r="CR60" s="169"/>
      <c r="CS60" s="15">
        <v>50</v>
      </c>
      <c r="CT60" s="15" t="str">
        <f t="shared" ca="1" si="89"/>
        <v/>
      </c>
      <c r="CU60" s="15" t="str">
        <f t="shared" ca="1" si="89"/>
        <v/>
      </c>
      <c r="CV60" s="15" t="str">
        <f t="shared" ca="1" si="89"/>
        <v/>
      </c>
      <c r="CW60" s="47" t="str">
        <f t="shared" ca="1" si="89"/>
        <v/>
      </c>
      <c r="CX60" s="47" t="str">
        <f t="shared" ca="1" si="89"/>
        <v/>
      </c>
      <c r="CY60" s="15" t="str">
        <f t="shared" ca="1" si="89"/>
        <v/>
      </c>
      <c r="CZ60" s="15">
        <f t="shared" ca="1" si="79"/>
        <v>1</v>
      </c>
      <c r="DA60" s="15" t="str">
        <f t="shared" si="80"/>
        <v/>
      </c>
      <c r="DB60" s="38">
        <f t="shared" ca="1" si="81"/>
        <v>0</v>
      </c>
      <c r="DD60" s="169"/>
      <c r="DE60" s="15">
        <v>50</v>
      </c>
      <c r="DF60" s="15" t="str">
        <f t="shared" ca="1" si="90"/>
        <v/>
      </c>
      <c r="DG60" s="15" t="str">
        <f t="shared" ca="1" si="90"/>
        <v/>
      </c>
      <c r="DH60" s="15" t="str">
        <f t="shared" ca="1" si="90"/>
        <v/>
      </c>
      <c r="DI60" s="47" t="str">
        <f t="shared" ca="1" si="90"/>
        <v/>
      </c>
      <c r="DJ60" s="47" t="str">
        <f t="shared" ca="1" si="90"/>
        <v/>
      </c>
      <c r="DK60" s="15" t="str">
        <f t="shared" ca="1" si="90"/>
        <v/>
      </c>
      <c r="DL60" s="15">
        <f t="shared" ca="1" si="82"/>
        <v>1</v>
      </c>
      <c r="DM60" s="15" t="str">
        <f t="shared" si="83"/>
        <v/>
      </c>
      <c r="DN60" s="38">
        <f t="shared" ca="1" si="84"/>
        <v>0</v>
      </c>
      <c r="DP60" s="169"/>
      <c r="DQ60" s="15">
        <v>50</v>
      </c>
      <c r="DR60" s="15" t="str">
        <f t="shared" ca="1" si="71"/>
        <v/>
      </c>
      <c r="DS60" s="15" t="str">
        <f t="shared" ca="1" si="71"/>
        <v/>
      </c>
      <c r="DT60" s="15" t="str">
        <f t="shared" ca="1" si="71"/>
        <v/>
      </c>
      <c r="DU60" s="15" t="str">
        <f t="shared" ca="1" si="71"/>
        <v/>
      </c>
      <c r="DV60" s="15" t="str">
        <f t="shared" ca="1" si="71"/>
        <v/>
      </c>
      <c r="DW60" s="15" t="str">
        <f t="shared" ca="1" si="71"/>
        <v/>
      </c>
      <c r="DX60" s="15">
        <f t="shared" ca="1" si="57"/>
        <v>1</v>
      </c>
      <c r="DY60" s="15" t="str">
        <f t="shared" si="85"/>
        <v/>
      </c>
      <c r="DZ60" s="15">
        <f t="shared" ca="1" si="58"/>
        <v>0</v>
      </c>
      <c r="EA60" s="123">
        <f ca="1">$AO$1207</f>
        <v>82121</v>
      </c>
      <c r="EL60" s="21">
        <f t="shared" ca="1" si="60"/>
        <v>4</v>
      </c>
      <c r="EM60" t="str">
        <f t="shared" ref="EM60:EP60" ca="1" si="105">CT11</f>
        <v>Liberty RA</v>
      </c>
      <c r="EN60" t="str">
        <f t="shared" ca="1" si="105"/>
        <v>Monthly</v>
      </c>
      <c r="EO60">
        <f t="shared" ca="1" si="105"/>
        <v>500</v>
      </c>
      <c r="EP60" s="1">
        <f t="shared" ca="1" si="105"/>
        <v>45627</v>
      </c>
      <c r="EQ60" s="1">
        <f ca="1">IF(EN60="Once-off","Once-off",CX11)</f>
        <v>49614</v>
      </c>
      <c r="ER60">
        <f ca="1">IF(EN60="Once-off","Once-off",CY11)</f>
        <v>4</v>
      </c>
      <c r="ES60" t="str">
        <f>DA11</f>
        <v>rcs_a_n_1</v>
      </c>
      <c r="ET60">
        <v>0</v>
      </c>
      <c r="EU60" s="22">
        <v>51</v>
      </c>
      <c r="EX60" s="21" t="str">
        <f ca="1">IF(EX59="","",IF(EX59+1&lt;=MAX('Financial Planning Tool'!$EL$10:$EL$209),EX59+1,""))</f>
        <v/>
      </c>
      <c r="EY60" t="str">
        <f ca="1">IF(EX60&lt;&gt;"",VLOOKUP(EX60,'Financial Planning Tool'!$EL$10:$ER$209,2,FALSE),"")</f>
        <v/>
      </c>
      <c r="EZ60" t="str">
        <f ca="1">IF(EX60&lt;&gt;"",VLOOKUP(EX60,'Financial Planning Tool'!$EL$10:$ER$209,3,FALSE),"")</f>
        <v/>
      </c>
      <c r="FA60" t="str">
        <f ca="1">IF(EX60&lt;&gt;"",VLOOKUP(EX60,'Financial Planning Tool'!$EL$10:$ER$209,4,FALSE),"")</f>
        <v/>
      </c>
      <c r="FB60" t="str">
        <f t="shared" ca="1" si="61"/>
        <v/>
      </c>
      <c r="FC60" s="1" t="str">
        <f ca="1">IF(EX60&lt;&gt;"",VLOOKUP(EX60,'Financial Planning Tool'!$EL$10:$ER$209,5,FALSE),"")</f>
        <v/>
      </c>
      <c r="FD60" s="1" t="str">
        <f ca="1">IF(EX60&lt;&gt;"",VLOOKUP(EX60,'Financial Planning Tool'!$EL$10:$ER$209,6,FALSE),"")</f>
        <v/>
      </c>
      <c r="FE60" t="str">
        <f ca="1">IF(EX60&lt;&gt;"",VLOOKUP(EX60,'Financial Planning Tool'!$EL$10:$ER$209,7,FALSE),"")</f>
        <v/>
      </c>
      <c r="FF60" t="str">
        <f ca="1">IF(EX60&lt;&gt;"",VLOOKUP(EX60,'Financial Planning Tool'!$EL$10:$ES$209,8,FALSE),"")</f>
        <v/>
      </c>
      <c r="FG60" t="str">
        <f ca="1">IF(EX60&lt;&gt;"",VLOOKUP(EX60,'Financial Planning Tool'!$EL$10:$ET$209,9,FALSE),"")</f>
        <v/>
      </c>
      <c r="FH60" t="str">
        <f t="shared" ca="1" si="86"/>
        <v/>
      </c>
      <c r="FI60" s="22" t="str">
        <f t="shared" ca="1" si="87"/>
        <v/>
      </c>
    </row>
    <row r="61" spans="1:165" x14ac:dyDescent="0.25">
      <c r="A61" s="20"/>
      <c r="B61" s="78" t="str">
        <f>IFERROR(IF(VLOOKUP($D$60,freq_options,2,FALSE)=0,amount_wording1,amount_wording2 &amp; VLOOKUP($D$60,freq_options,2,FALSE)),amount_wording2)</f>
        <v xml:space="preserve">      Starting amount per month</v>
      </c>
      <c r="C61" s="76"/>
      <c r="D61" s="124">
        <v>500</v>
      </c>
      <c r="E61" s="125">
        <v>500</v>
      </c>
      <c r="F61" s="77"/>
      <c r="H61" s="5">
        <f t="shared" ca="1" si="92"/>
        <v>48182</v>
      </c>
      <c r="I61" s="8">
        <f t="shared" ca="1" si="93"/>
        <v>61</v>
      </c>
      <c r="J61" s="12">
        <f t="shared" ca="1" si="95"/>
        <v>68327.23</v>
      </c>
      <c r="K61" s="12">
        <f t="shared" ca="1" si="96"/>
        <v>53041.34</v>
      </c>
      <c r="L61" s="12" t="str">
        <f t="shared" ca="1" si="97"/>
        <v/>
      </c>
      <c r="M61" s="12" t="str">
        <f t="shared" ca="1" si="98"/>
        <v/>
      </c>
      <c r="N61" s="12" t="str">
        <f t="shared" ca="1" si="99"/>
        <v/>
      </c>
      <c r="O61" s="12" t="str">
        <f t="shared" ca="1" si="100"/>
        <v/>
      </c>
      <c r="P61" s="12">
        <f t="shared" ca="1" si="101"/>
        <v>1694787.3</v>
      </c>
      <c r="Q61" s="12">
        <f t="shared" ca="1" si="102"/>
        <v>1287899.06</v>
      </c>
      <c r="S61" s="18"/>
      <c r="T61" s="5">
        <f t="shared" ca="1" si="103"/>
        <v>48182</v>
      </c>
      <c r="U61" s="8">
        <f t="shared" ca="1" si="104"/>
        <v>61</v>
      </c>
      <c r="V61" s="12"/>
      <c r="W61" s="12"/>
      <c r="X61" s="12"/>
      <c r="Y61" s="12"/>
      <c r="Z61" s="12"/>
      <c r="AA61" s="12"/>
      <c r="AB61" s="12">
        <v>856912.13</v>
      </c>
      <c r="AC61" s="12">
        <v>651182.80000000005</v>
      </c>
      <c r="AE61" s="21">
        <v>8</v>
      </c>
      <c r="AF61" s="22">
        <f t="shared" ca="1" si="91"/>
        <v>0</v>
      </c>
      <c r="AI61" s="21">
        <f t="shared" ca="1" si="94"/>
        <v>0</v>
      </c>
      <c r="AJ61" s="22">
        <v>0</v>
      </c>
      <c r="AN61" s="32">
        <f t="shared" ca="1" si="0"/>
        <v>59.333333333333336</v>
      </c>
      <c r="AO61" s="53">
        <f t="shared" ca="1" si="31"/>
        <v>47239</v>
      </c>
      <c r="AP61" s="22">
        <v>54</v>
      </c>
      <c r="AQ61" s="32">
        <f t="shared" ca="1" si="32"/>
        <v>1203065.1854625184</v>
      </c>
      <c r="AR61" s="23">
        <f t="array" aca="1" ref="AR61" ca="1">SUM(IF(lsc_start_date=AO61,lsc_amount,0))</f>
        <v>0</v>
      </c>
      <c r="AS61" s="24">
        <f t="shared" ca="1" si="6"/>
        <v>0</v>
      </c>
      <c r="AT61" s="24">
        <f t="shared" ca="1" si="7"/>
        <v>0</v>
      </c>
      <c r="AU61" s="24">
        <f t="shared" ca="1" si="8"/>
        <v>0</v>
      </c>
      <c r="AV61" s="25">
        <f t="shared" ca="1" si="9"/>
        <v>0</v>
      </c>
      <c r="AW61" s="23">
        <f t="array" aca="1" ref="AW61" ca="1">SUM(IF(rcs_start_date&lt;=AO61,1,0)*IF(rcs_end_date&gt;=AO61,1,0)*rcs_amount*(1+rcs_escalation/100)^(INT((AP61-rcs_months_since_start)/12))*IF(MOD((AP61-rcs_months_since_start),rcs_frequency)=0,1,0)*IF(rcs_frequency=13,0,1))+SUM(IF(rcs_start_date=AO61,rcs_amount,0)*IF(rcs_frequency=13,1,0))</f>
        <v>5264.3635200000008</v>
      </c>
      <c r="AX61" s="24">
        <f t="shared" ca="1" si="10"/>
        <v>0</v>
      </c>
      <c r="AY61" s="24">
        <f t="shared" ca="1" si="11"/>
        <v>0</v>
      </c>
      <c r="AZ61" s="24">
        <f t="shared" ca="1" si="12"/>
        <v>0</v>
      </c>
      <c r="BA61" s="25">
        <f t="shared" ca="1" si="13"/>
        <v>5264.3635200000008</v>
      </c>
      <c r="BB61" s="23">
        <f t="array" aca="1" ref="BB61" ca="1">SUM(IF(w_start_date&lt;=AO61,1,0)*IF(w_end_date&gt;=AO61,1,0)*w_amount*(1+w_escalation/100)^(INT((AP61-w_months_since_start)/12))*IF(MOD(AP61-w_months_since_start,w_frequency)=0,1,0)*IF(w_frequency=13,0,1))+SUM(IF(w_start_date=AO61,w_amount,0)*IF(w_frequency=13,1,0))</f>
        <v>0</v>
      </c>
      <c r="BC61" s="25">
        <f t="shared" ca="1" si="14"/>
        <v>0</v>
      </c>
      <c r="BD61" s="24" t="b">
        <f t="shared" ca="1" si="15"/>
        <v>0</v>
      </c>
      <c r="BE61" s="24" t="b">
        <f t="shared" ca="1" si="16"/>
        <v>1</v>
      </c>
      <c r="BF61" s="23">
        <f t="array" aca="1" ref="BF61" ca="1">SUM(IF(BD61,1,0)*IF(ap_start_date&lt;=AO61,1,0)*IF(ap_end_date&gt;=AO61,1,0)*ap_amount*(1+ap_escalation/100)^(INT((AP61-ap_months_since_start)/12))*IF(MOD(AP61-ap_months_since_start,ap_frequency)=0,1,0))</f>
        <v>0</v>
      </c>
      <c r="BG61" s="24">
        <f t="shared" ca="1" si="17"/>
        <v>0</v>
      </c>
      <c r="BH61" s="24">
        <f t="shared" ca="1" si="18"/>
        <v>0</v>
      </c>
      <c r="BI61">
        <f t="shared" ca="1" si="19"/>
        <v>0</v>
      </c>
      <c r="BJ61" s="24">
        <f t="shared" ca="1" si="20"/>
        <v>0</v>
      </c>
      <c r="BK61">
        <f t="shared" ca="1" si="21"/>
        <v>0</v>
      </c>
      <c r="BL61" s="25">
        <f t="shared" ca="1" si="22"/>
        <v>0</v>
      </c>
      <c r="BM61" s="32">
        <f t="shared" ca="1" si="1"/>
        <v>1217038.370714477</v>
      </c>
      <c r="BN61" s="23">
        <f t="shared" ca="1" si="23"/>
        <v>0</v>
      </c>
      <c r="BO61" s="24">
        <f t="shared" ca="1" si="24"/>
        <v>0</v>
      </c>
      <c r="BP61" s="25">
        <f t="shared" ca="1" si="25"/>
        <v>0</v>
      </c>
      <c r="BQ61" s="34">
        <f t="shared" ca="1" si="26"/>
        <v>47269</v>
      </c>
      <c r="BR61" s="23">
        <f t="shared" ca="1" si="27"/>
        <v>1217038.370714477</v>
      </c>
      <c r="BS61" s="24">
        <f t="shared" ca="1" si="28"/>
        <v>5264.3635200000008</v>
      </c>
      <c r="BT61" s="24">
        <f t="shared" ca="1" si="62"/>
        <v>61957.509119999995</v>
      </c>
      <c r="BU61" s="24">
        <f t="shared" ca="1" si="29"/>
        <v>0</v>
      </c>
      <c r="BV61" s="24">
        <f t="shared" ca="1" si="63"/>
        <v>0</v>
      </c>
      <c r="BW61" s="24">
        <f t="shared" ca="1" si="30"/>
        <v>0</v>
      </c>
      <c r="BX61" s="25">
        <f t="shared" ca="1" si="64"/>
        <v>0</v>
      </c>
      <c r="BY61" s="23">
        <f t="shared" ca="1" si="2"/>
        <v>1020127.0039832664</v>
      </c>
      <c r="BZ61" s="24">
        <f t="shared" ca="1" si="3"/>
        <v>4427.0587874636321</v>
      </c>
      <c r="CA61" s="24">
        <f t="shared" ca="1" si="65"/>
        <v>53041.336037023044</v>
      </c>
      <c r="CB61" s="24">
        <f t="shared" ca="1" si="4"/>
        <v>0</v>
      </c>
      <c r="CC61" s="24">
        <f t="shared" ca="1" si="66"/>
        <v>0</v>
      </c>
      <c r="CD61" s="24">
        <f t="shared" ca="1" si="5"/>
        <v>0</v>
      </c>
      <c r="CE61" s="25">
        <f t="shared" ca="1" si="67"/>
        <v>0</v>
      </c>
      <c r="CF61" s="23">
        <f t="shared" ca="1" si="68"/>
        <v>0</v>
      </c>
      <c r="CG61" s="25">
        <f t="array" aca="1" ref="CG61" ca="1">SUM(BF50:BF61/(1+inflation/100)^(AP50:AP61/12))</f>
        <v>0</v>
      </c>
      <c r="CH61" s="32">
        <f ca="1">IFERROR(IF(MOD(AP61-ap_months_since_start,12)=0,ap_drawdown/100*(AQ61+AV61+BA61-BC61),CH60),0)</f>
        <v>173146.46964152635</v>
      </c>
      <c r="EL61" s="21">
        <f t="shared" ca="1" si="60"/>
        <v>5</v>
      </c>
      <c r="EM61" t="str">
        <f t="shared" ref="EM61:EM109" ca="1" si="106">CT12</f>
        <v>Sanlam RA</v>
      </c>
      <c r="EN61" t="str">
        <f t="shared" ref="EN61:EN109" ca="1" si="107">CU12</f>
        <v>Monthly</v>
      </c>
      <c r="EO61">
        <f t="shared" ref="EO61:EO109" ca="1" si="108">CV12</f>
        <v>1000</v>
      </c>
      <c r="EP61" s="1">
        <f t="shared" ref="EP61:EP109" ca="1" si="109">CW12</f>
        <v>45627</v>
      </c>
      <c r="EQ61" s="1">
        <f t="shared" ref="EQ61:EQ109" ca="1" si="110">IF(EN61="Once-off","Once-off",CX12)</f>
        <v>49614</v>
      </c>
      <c r="ER61">
        <f t="shared" ref="ER61:ER109" ca="1" si="111">IF(EN61="Once-off","Once-off",CY12)</f>
        <v>4</v>
      </c>
      <c r="ES61" t="str">
        <f t="shared" ref="ES61:ES109" si="112">DA12</f>
        <v>rcs_a_n_2</v>
      </c>
      <c r="ET61">
        <v>0</v>
      </c>
      <c r="EU61" s="22">
        <v>52</v>
      </c>
      <c r="EX61" s="21" t="str">
        <f ca="1">IF(EX60="","",IF(EX60+1&lt;=MAX('Financial Planning Tool'!$EL$10:$EL$209),EX60+1,""))</f>
        <v/>
      </c>
      <c r="EY61" t="str">
        <f ca="1">IF(EX61&lt;&gt;"",VLOOKUP(EX61,'Financial Planning Tool'!$EL$10:$ER$209,2,FALSE),"")</f>
        <v/>
      </c>
      <c r="EZ61" t="str">
        <f ca="1">IF(EX61&lt;&gt;"",VLOOKUP(EX61,'Financial Planning Tool'!$EL$10:$ER$209,3,FALSE),"")</f>
        <v/>
      </c>
      <c r="FA61" t="str">
        <f ca="1">IF(EX61&lt;&gt;"",VLOOKUP(EX61,'Financial Planning Tool'!$EL$10:$ER$209,4,FALSE),"")</f>
        <v/>
      </c>
      <c r="FB61" t="str">
        <f t="shared" ca="1" si="61"/>
        <v/>
      </c>
      <c r="FC61" s="1" t="str">
        <f ca="1">IF(EX61&lt;&gt;"",VLOOKUP(EX61,'Financial Planning Tool'!$EL$10:$ER$209,5,FALSE),"")</f>
        <v/>
      </c>
      <c r="FD61" s="1" t="str">
        <f ca="1">IF(EX61&lt;&gt;"",VLOOKUP(EX61,'Financial Planning Tool'!$EL$10:$ER$209,6,FALSE),"")</f>
        <v/>
      </c>
      <c r="FE61" t="str">
        <f ca="1">IF(EX61&lt;&gt;"",VLOOKUP(EX61,'Financial Planning Tool'!$EL$10:$ER$209,7,FALSE),"")</f>
        <v/>
      </c>
      <c r="FF61" t="str">
        <f ca="1">IF(EX61&lt;&gt;"",VLOOKUP(EX61,'Financial Planning Tool'!$EL$10:$ES$209,8,FALSE),"")</f>
        <v/>
      </c>
      <c r="FG61" t="str">
        <f ca="1">IF(EX61&lt;&gt;"",VLOOKUP(EX61,'Financial Planning Tool'!$EL$10:$ET$209,9,FALSE),"")</f>
        <v/>
      </c>
      <c r="FH61" t="str">
        <f t="shared" ca="1" si="86"/>
        <v/>
      </c>
      <c r="FI61" s="22" t="str">
        <f t="shared" ca="1" si="87"/>
        <v/>
      </c>
    </row>
    <row r="62" spans="1:165" x14ac:dyDescent="0.25">
      <c r="A62" s="20"/>
      <c r="B62" s="78" t="s">
        <v>201</v>
      </c>
      <c r="C62" s="76"/>
      <c r="D62" s="126">
        <v>45627</v>
      </c>
      <c r="E62" s="127">
        <v>0</v>
      </c>
      <c r="F62" s="77"/>
      <c r="H62" s="5">
        <f t="shared" ca="1" si="92"/>
        <v>48548</v>
      </c>
      <c r="I62" s="8">
        <f t="shared" ca="1" si="93"/>
        <v>62</v>
      </c>
      <c r="J62" s="12">
        <f t="shared" ca="1" si="95"/>
        <v>71060.320000000007</v>
      </c>
      <c r="K62" s="12">
        <f t="shared" ca="1" si="96"/>
        <v>53041.34</v>
      </c>
      <c r="L62" s="12" t="str">
        <f t="shared" ca="1" si="97"/>
        <v/>
      </c>
      <c r="M62" s="12" t="str">
        <f t="shared" ca="1" si="98"/>
        <v/>
      </c>
      <c r="N62" s="12" t="str">
        <f t="shared" ca="1" si="99"/>
        <v/>
      </c>
      <c r="O62" s="12" t="str">
        <f t="shared" ca="1" si="100"/>
        <v/>
      </c>
      <c r="P62" s="12">
        <f t="shared" ca="1" si="101"/>
        <v>1921797.06</v>
      </c>
      <c r="Q62" s="12">
        <f t="shared" ca="1" si="102"/>
        <v>1404238.29</v>
      </c>
      <c r="S62" s="18"/>
      <c r="T62" s="5">
        <f t="shared" ca="1" si="103"/>
        <v>48548</v>
      </c>
      <c r="U62" s="8">
        <f t="shared" ca="1" si="104"/>
        <v>62</v>
      </c>
      <c r="V62" s="12"/>
      <c r="W62" s="12"/>
      <c r="X62" s="12"/>
      <c r="Y62" s="12"/>
      <c r="Z62" s="12"/>
      <c r="AA62" s="12"/>
      <c r="AB62" s="12">
        <v>925465.11</v>
      </c>
      <c r="AC62" s="12">
        <v>676228.29</v>
      </c>
      <c r="AE62" s="21">
        <v>9</v>
      </c>
      <c r="AF62" s="22">
        <f t="shared" ca="1" si="91"/>
        <v>0</v>
      </c>
      <c r="AI62" s="21">
        <f t="shared" ca="1" si="94"/>
        <v>0</v>
      </c>
      <c r="AJ62" s="22">
        <v>0</v>
      </c>
      <c r="AN62" s="32">
        <f t="shared" ca="1" si="0"/>
        <v>59.416666666666664</v>
      </c>
      <c r="AO62" s="53">
        <f t="shared" ca="1" si="31"/>
        <v>47270</v>
      </c>
      <c r="AP62" s="22">
        <v>55</v>
      </c>
      <c r="AQ62" s="32">
        <f t="shared" ca="1" si="32"/>
        <v>1217038.370714477</v>
      </c>
      <c r="AR62" s="23">
        <f t="array" aca="1" ref="AR62" ca="1">SUM(IF(lsc_start_date=AO62,lsc_amount,0))</f>
        <v>0</v>
      </c>
      <c r="AS62" s="24">
        <f t="shared" ca="1" si="6"/>
        <v>0</v>
      </c>
      <c r="AT62" s="24">
        <f t="shared" ca="1" si="7"/>
        <v>0</v>
      </c>
      <c r="AU62" s="24">
        <f t="shared" ca="1" si="8"/>
        <v>0</v>
      </c>
      <c r="AV62" s="25">
        <f t="shared" ca="1" si="9"/>
        <v>0</v>
      </c>
      <c r="AW62" s="23">
        <f t="array" aca="1" ref="AW62" ca="1">SUM(IF(rcs_start_date&lt;=AO62,1,0)*IF(rcs_end_date&gt;=AO62,1,0)*rcs_amount*(1+rcs_escalation/100)^(INT((AP62-rcs_months_since_start)/12))*IF(MOD((AP62-rcs_months_since_start),rcs_frequency)=0,1,0)*IF(rcs_frequency=13,0,1))+SUM(IF(rcs_start_date=AO62,rcs_amount,0)*IF(rcs_frequency=13,1,0))</f>
        <v>5264.3635200000008</v>
      </c>
      <c r="AX62" s="24">
        <f t="shared" ca="1" si="10"/>
        <v>0</v>
      </c>
      <c r="AY62" s="24">
        <f t="shared" ca="1" si="11"/>
        <v>0</v>
      </c>
      <c r="AZ62" s="24">
        <f t="shared" ca="1" si="12"/>
        <v>0</v>
      </c>
      <c r="BA62" s="25">
        <f t="shared" ca="1" si="13"/>
        <v>5264.3635200000008</v>
      </c>
      <c r="BB62" s="23">
        <f t="array" aca="1" ref="BB62" ca="1">SUM(IF(w_start_date&lt;=AO62,1,0)*IF(w_end_date&gt;=AO62,1,0)*w_amount*(1+w_escalation/100)^(INT((AP62-w_months_since_start)/12))*IF(MOD(AP62-w_months_since_start,w_frequency)=0,1,0)*IF(w_frequency=13,0,1))+SUM(IF(w_start_date=AO62,w_amount,0)*IF(w_frequency=13,1,0))</f>
        <v>0</v>
      </c>
      <c r="BC62" s="25">
        <f t="shared" ca="1" si="14"/>
        <v>0</v>
      </c>
      <c r="BD62" s="24" t="b">
        <f t="shared" ca="1" si="15"/>
        <v>0</v>
      </c>
      <c r="BE62" s="24" t="b">
        <f t="shared" ca="1" si="16"/>
        <v>1</v>
      </c>
      <c r="BF62" s="23">
        <f t="array" aca="1" ref="BF62" ca="1">SUM(IF(BD62,1,0)*IF(ap_start_date&lt;=AO62,1,0)*IF(ap_end_date&gt;=AO62,1,0)*ap_amount*(1+ap_escalation/100)^(INT((AP62-ap_months_since_start)/12))*IF(MOD(AP62-ap_months_since_start,ap_frequency)=0,1,0))</f>
        <v>0</v>
      </c>
      <c r="BG62" s="24">
        <f t="shared" ca="1" si="17"/>
        <v>0</v>
      </c>
      <c r="BH62" s="24">
        <f t="shared" ca="1" si="18"/>
        <v>0</v>
      </c>
      <c r="BI62">
        <f t="shared" ca="1" si="19"/>
        <v>0</v>
      </c>
      <c r="BJ62" s="24">
        <f t="shared" ca="1" si="20"/>
        <v>0</v>
      </c>
      <c r="BK62">
        <f t="shared" ca="1" si="21"/>
        <v>0</v>
      </c>
      <c r="BL62" s="25">
        <f t="shared" ca="1" si="22"/>
        <v>0</v>
      </c>
      <c r="BM62" s="32">
        <f t="shared" ca="1" si="1"/>
        <v>1231112.2652303027</v>
      </c>
      <c r="BN62" s="23">
        <f t="shared" ca="1" si="23"/>
        <v>0</v>
      </c>
      <c r="BO62" s="24">
        <f t="shared" ca="1" si="24"/>
        <v>0</v>
      </c>
      <c r="BP62" s="25">
        <f t="shared" ca="1" si="25"/>
        <v>0</v>
      </c>
      <c r="BQ62" s="34">
        <f t="shared" ca="1" si="26"/>
        <v>47299</v>
      </c>
      <c r="BR62" s="23">
        <f t="shared" ca="1" si="27"/>
        <v>1231112.2652303027</v>
      </c>
      <c r="BS62" s="24">
        <f t="shared" ca="1" si="28"/>
        <v>5264.3635200000008</v>
      </c>
      <c r="BT62" s="24">
        <f t="shared" ca="1" si="62"/>
        <v>62159.984639999995</v>
      </c>
      <c r="BU62" s="24">
        <f t="shared" ca="1" si="29"/>
        <v>0</v>
      </c>
      <c r="BV62" s="24">
        <f t="shared" ca="1" si="63"/>
        <v>0</v>
      </c>
      <c r="BW62" s="24">
        <f t="shared" ca="1" si="30"/>
        <v>0</v>
      </c>
      <c r="BX62" s="25">
        <f t="shared" ca="1" si="64"/>
        <v>0</v>
      </c>
      <c r="BY62" s="23">
        <f t="shared" ca="1" si="2"/>
        <v>1028556.5787040117</v>
      </c>
      <c r="BZ62" s="24">
        <f t="shared" ca="1" si="3"/>
        <v>4412.6130406091406</v>
      </c>
      <c r="CA62" s="24">
        <f t="shared" ca="1" si="65"/>
        <v>53041.336037023044</v>
      </c>
      <c r="CB62" s="24">
        <f t="shared" ca="1" si="4"/>
        <v>0</v>
      </c>
      <c r="CC62" s="24">
        <f t="shared" ca="1" si="66"/>
        <v>0</v>
      </c>
      <c r="CD62" s="24">
        <f t="shared" ca="1" si="5"/>
        <v>0</v>
      </c>
      <c r="CE62" s="25">
        <f t="shared" ca="1" si="67"/>
        <v>0</v>
      </c>
      <c r="CF62" s="23">
        <f t="shared" ca="1" si="68"/>
        <v>0</v>
      </c>
      <c r="CG62" s="25">
        <f t="array" aca="1" ref="CG62" ca="1">SUM(BF51:BF62/(1+inflation/100)^(AP51:AP62/12))</f>
        <v>0</v>
      </c>
      <c r="CH62" s="32">
        <f ca="1">IFERROR(IF(MOD(AP62-ap_months_since_start,12)=0,ap_drawdown/100*(AQ62+AV62+BA62-BC62),CH61),0)</f>
        <v>173146.46964152635</v>
      </c>
      <c r="EL62" s="21">
        <f t="shared" ca="1" si="60"/>
        <v>6</v>
      </c>
      <c r="EM62" t="str">
        <f t="shared" ca="1" si="106"/>
        <v>Liberty Corporate Employer/Employee</v>
      </c>
      <c r="EN62" t="str">
        <f t="shared" ca="1" si="107"/>
        <v>Monthly</v>
      </c>
      <c r="EO62">
        <f t="shared" ca="1" si="108"/>
        <v>3000</v>
      </c>
      <c r="EP62" s="1">
        <f t="shared" ca="1" si="109"/>
        <v>45627</v>
      </c>
      <c r="EQ62" s="1">
        <f t="shared" ca="1" si="110"/>
        <v>49614</v>
      </c>
      <c r="ER62">
        <f t="shared" ca="1" si="111"/>
        <v>4</v>
      </c>
      <c r="ES62" t="str">
        <f t="shared" si="112"/>
        <v>rcs_a_n_3</v>
      </c>
      <c r="ET62">
        <v>0</v>
      </c>
      <c r="EU62" s="22">
        <v>53</v>
      </c>
      <c r="EX62" s="21" t="str">
        <f ca="1">IF(EX61="","",IF(EX61+1&lt;=MAX('Financial Planning Tool'!$EL$10:$EL$209),EX61+1,""))</f>
        <v/>
      </c>
      <c r="EY62" t="str">
        <f ca="1">IF(EX62&lt;&gt;"",VLOOKUP(EX62,'Financial Planning Tool'!$EL$10:$ER$209,2,FALSE),"")</f>
        <v/>
      </c>
      <c r="EZ62" t="str">
        <f ca="1">IF(EX62&lt;&gt;"",VLOOKUP(EX62,'Financial Planning Tool'!$EL$10:$ER$209,3,FALSE),"")</f>
        <v/>
      </c>
      <c r="FA62" t="str">
        <f ca="1">IF(EX62&lt;&gt;"",VLOOKUP(EX62,'Financial Planning Tool'!$EL$10:$ER$209,4,FALSE),"")</f>
        <v/>
      </c>
      <c r="FB62" t="str">
        <f t="shared" ca="1" si="61"/>
        <v/>
      </c>
      <c r="FC62" s="1" t="str">
        <f ca="1">IF(EX62&lt;&gt;"",VLOOKUP(EX62,'Financial Planning Tool'!$EL$10:$ER$209,5,FALSE),"")</f>
        <v/>
      </c>
      <c r="FD62" s="1" t="str">
        <f ca="1">IF(EX62&lt;&gt;"",VLOOKUP(EX62,'Financial Planning Tool'!$EL$10:$ER$209,6,FALSE),"")</f>
        <v/>
      </c>
      <c r="FE62" t="str">
        <f ca="1">IF(EX62&lt;&gt;"",VLOOKUP(EX62,'Financial Planning Tool'!$EL$10:$ER$209,7,FALSE),"")</f>
        <v/>
      </c>
      <c r="FF62" t="str">
        <f ca="1">IF(EX62&lt;&gt;"",VLOOKUP(EX62,'Financial Planning Tool'!$EL$10:$ES$209,8,FALSE),"")</f>
        <v/>
      </c>
      <c r="FG62" t="str">
        <f ca="1">IF(EX62&lt;&gt;"",VLOOKUP(EX62,'Financial Planning Tool'!$EL$10:$ET$209,9,FALSE),"")</f>
        <v/>
      </c>
      <c r="FH62" t="str">
        <f t="shared" ca="1" si="86"/>
        <v/>
      </c>
      <c r="FI62" s="22" t="str">
        <f t="shared" ca="1" si="87"/>
        <v/>
      </c>
    </row>
    <row r="63" spans="1:165" x14ac:dyDescent="0.25">
      <c r="A63" s="20"/>
      <c r="B63" s="78" t="s">
        <v>216</v>
      </c>
      <c r="C63" s="76"/>
      <c r="D63" s="126">
        <v>49614</v>
      </c>
      <c r="E63" s="127">
        <v>10.923287671232877</v>
      </c>
      <c r="F63" s="77"/>
      <c r="H63" s="5">
        <f t="shared" ca="1" si="92"/>
        <v>48913</v>
      </c>
      <c r="I63" s="8">
        <f t="shared" ca="1" si="93"/>
        <v>63</v>
      </c>
      <c r="J63" s="12">
        <f t="shared" ca="1" si="95"/>
        <v>73902.73</v>
      </c>
      <c r="K63" s="12">
        <f t="shared" ca="1" si="96"/>
        <v>53041.34</v>
      </c>
      <c r="L63" s="12" t="str">
        <f t="shared" ca="1" si="97"/>
        <v/>
      </c>
      <c r="M63" s="12" t="str">
        <f t="shared" ca="1" si="98"/>
        <v/>
      </c>
      <c r="N63" s="12" t="str">
        <f t="shared" ca="1" si="99"/>
        <v/>
      </c>
      <c r="O63" s="12" t="str">
        <f t="shared" ca="1" si="100"/>
        <v/>
      </c>
      <c r="P63" s="12">
        <f t="shared" ca="1" si="101"/>
        <v>2172216.85</v>
      </c>
      <c r="Q63" s="12">
        <f t="shared" ca="1" si="102"/>
        <v>1526170.75</v>
      </c>
      <c r="S63" s="18"/>
      <c r="T63" s="5">
        <f t="shared" ca="1" si="103"/>
        <v>48913</v>
      </c>
      <c r="U63" s="8">
        <f t="shared" ca="1" si="104"/>
        <v>63</v>
      </c>
      <c r="V63" s="12"/>
      <c r="W63" s="12"/>
      <c r="X63" s="12"/>
      <c r="Y63" s="12"/>
      <c r="Z63" s="12"/>
      <c r="AA63" s="12"/>
      <c r="AB63" s="12">
        <v>999502.31</v>
      </c>
      <c r="AC63" s="12">
        <v>702237.07</v>
      </c>
      <c r="AE63" s="21">
        <v>10</v>
      </c>
      <c r="AF63" s="22">
        <f t="shared" ca="1" si="91"/>
        <v>0</v>
      </c>
      <c r="AI63" s="21">
        <f t="shared" ca="1" si="94"/>
        <v>0</v>
      </c>
      <c r="AJ63" s="22">
        <v>0</v>
      </c>
      <c r="AN63" s="32">
        <f t="shared" ca="1" si="0"/>
        <v>59.5</v>
      </c>
      <c r="AO63" s="53">
        <f t="shared" ca="1" si="31"/>
        <v>47300</v>
      </c>
      <c r="AP63" s="22">
        <v>56</v>
      </c>
      <c r="AQ63" s="32">
        <f t="shared" ca="1" si="32"/>
        <v>1231112.2652303027</v>
      </c>
      <c r="AR63" s="23">
        <f t="array" aca="1" ref="AR63" ca="1">SUM(IF(lsc_start_date=AO63,lsc_amount,0))</f>
        <v>0</v>
      </c>
      <c r="AS63" s="24">
        <f t="shared" ca="1" si="6"/>
        <v>0</v>
      </c>
      <c r="AT63" s="24">
        <f t="shared" ca="1" si="7"/>
        <v>0</v>
      </c>
      <c r="AU63" s="24">
        <f t="shared" ca="1" si="8"/>
        <v>0</v>
      </c>
      <c r="AV63" s="25">
        <f t="shared" ca="1" si="9"/>
        <v>0</v>
      </c>
      <c r="AW63" s="23">
        <f t="array" aca="1" ref="AW63" ca="1">SUM(IF(rcs_start_date&lt;=AO63,1,0)*IF(rcs_end_date&gt;=AO63,1,0)*rcs_amount*(1+rcs_escalation/100)^(INT((AP63-rcs_months_since_start)/12))*IF(MOD((AP63-rcs_months_since_start),rcs_frequency)=0,1,0)*IF(rcs_frequency=13,0,1))+SUM(IF(rcs_start_date=AO63,rcs_amount,0)*IF(rcs_frequency=13,1,0))</f>
        <v>5264.3635200000008</v>
      </c>
      <c r="AX63" s="24">
        <f t="shared" ca="1" si="10"/>
        <v>0</v>
      </c>
      <c r="AY63" s="24">
        <f t="shared" ca="1" si="11"/>
        <v>0</v>
      </c>
      <c r="AZ63" s="24">
        <f t="shared" ca="1" si="12"/>
        <v>0</v>
      </c>
      <c r="BA63" s="25">
        <f t="shared" ca="1" si="13"/>
        <v>5264.3635200000008</v>
      </c>
      <c r="BB63" s="23">
        <f t="array" aca="1" ref="BB63" ca="1">SUM(IF(w_start_date&lt;=AO63,1,0)*IF(w_end_date&gt;=AO63,1,0)*w_amount*(1+w_escalation/100)^(INT((AP63-w_months_since_start)/12))*IF(MOD(AP63-w_months_since_start,w_frequency)=0,1,0)*IF(w_frequency=13,0,1))+SUM(IF(w_start_date=AO63,w_amount,0)*IF(w_frequency=13,1,0))</f>
        <v>0</v>
      </c>
      <c r="BC63" s="25">
        <f t="shared" ca="1" si="14"/>
        <v>0</v>
      </c>
      <c r="BD63" s="24" t="b">
        <f t="shared" ca="1" si="15"/>
        <v>0</v>
      </c>
      <c r="BE63" s="24" t="b">
        <f t="shared" ca="1" si="16"/>
        <v>1</v>
      </c>
      <c r="BF63" s="23">
        <f t="array" aca="1" ref="BF63" ca="1">SUM(IF(BD63,1,0)*IF(ap_start_date&lt;=AO63,1,0)*IF(ap_end_date&gt;=AO63,1,0)*ap_amount*(1+ap_escalation/100)^(INT((AP63-ap_months_since_start)/12))*IF(MOD(AP63-ap_months_since_start,ap_frequency)=0,1,0))</f>
        <v>0</v>
      </c>
      <c r="BG63" s="24">
        <f t="shared" ca="1" si="17"/>
        <v>0</v>
      </c>
      <c r="BH63" s="24">
        <f t="shared" ca="1" si="18"/>
        <v>0</v>
      </c>
      <c r="BI63">
        <f t="shared" ca="1" si="19"/>
        <v>0</v>
      </c>
      <c r="BJ63" s="24">
        <f t="shared" ca="1" si="20"/>
        <v>0</v>
      </c>
      <c r="BK63">
        <f t="shared" ca="1" si="21"/>
        <v>0</v>
      </c>
      <c r="BL63" s="25">
        <f t="shared" ca="1" si="22"/>
        <v>0</v>
      </c>
      <c r="BM63" s="32">
        <f t="shared" ca="1" si="1"/>
        <v>1245287.5948542212</v>
      </c>
      <c r="BN63" s="23">
        <f t="shared" ca="1" si="23"/>
        <v>0</v>
      </c>
      <c r="BO63" s="24">
        <f t="shared" ca="1" si="24"/>
        <v>0</v>
      </c>
      <c r="BP63" s="25">
        <f t="shared" ca="1" si="25"/>
        <v>0</v>
      </c>
      <c r="BQ63" s="34">
        <f t="shared" ca="1" si="26"/>
        <v>47330</v>
      </c>
      <c r="BR63" s="23">
        <f t="shared" ca="1" si="27"/>
        <v>1245287.5948542212</v>
      </c>
      <c r="BS63" s="24">
        <f t="shared" ca="1" si="28"/>
        <v>5264.3635200000008</v>
      </c>
      <c r="BT63" s="24">
        <f t="shared" ca="1" si="62"/>
        <v>62362.460159999995</v>
      </c>
      <c r="BU63" s="24">
        <f t="shared" ca="1" si="29"/>
        <v>0</v>
      </c>
      <c r="BV63" s="24">
        <f t="shared" ca="1" si="63"/>
        <v>0</v>
      </c>
      <c r="BW63" s="24">
        <f t="shared" ca="1" si="30"/>
        <v>0</v>
      </c>
      <c r="BX63" s="25">
        <f t="shared" ca="1" si="64"/>
        <v>0</v>
      </c>
      <c r="BY63" s="23">
        <f t="shared" ca="1" si="2"/>
        <v>1037004.7486003228</v>
      </c>
      <c r="BZ63" s="24">
        <f t="shared" ca="1" si="3"/>
        <v>4398.2144310555532</v>
      </c>
      <c r="CA63" s="24">
        <f t="shared" ca="1" si="65"/>
        <v>53041.336037023044</v>
      </c>
      <c r="CB63" s="24">
        <f t="shared" ca="1" si="4"/>
        <v>0</v>
      </c>
      <c r="CC63" s="24">
        <f t="shared" ca="1" si="66"/>
        <v>0</v>
      </c>
      <c r="CD63" s="24">
        <f t="shared" ca="1" si="5"/>
        <v>0</v>
      </c>
      <c r="CE63" s="25">
        <f t="shared" ca="1" si="67"/>
        <v>0</v>
      </c>
      <c r="CF63" s="23">
        <f t="shared" ca="1" si="68"/>
        <v>0</v>
      </c>
      <c r="CG63" s="25">
        <f t="array" aca="1" ref="CG63" ca="1">SUM(BF52:BF63/(1+inflation/100)^(AP52:AP63/12))</f>
        <v>0</v>
      </c>
      <c r="CH63" s="32">
        <f ca="1">IFERROR(IF(MOD(AP63-ap_months_since_start,12)=0,ap_drawdown/100*(AQ63+AV63+BA63-BC63),CH62),0)</f>
        <v>173146.46964152635</v>
      </c>
      <c r="EL63" s="21">
        <f t="shared" ca="1" si="60"/>
        <v>6</v>
      </c>
      <c r="EM63" t="str">
        <f t="shared" ca="1" si="106"/>
        <v/>
      </c>
      <c r="EN63" t="str">
        <f t="shared" ca="1" si="107"/>
        <v/>
      </c>
      <c r="EO63" t="str">
        <f t="shared" ca="1" si="108"/>
        <v/>
      </c>
      <c r="EP63" s="1" t="str">
        <f t="shared" ca="1" si="109"/>
        <v/>
      </c>
      <c r="EQ63" s="1" t="str">
        <f t="shared" ca="1" si="110"/>
        <v/>
      </c>
      <c r="ER63" t="str">
        <f t="shared" ca="1" si="111"/>
        <v/>
      </c>
      <c r="ES63" t="str">
        <f t="shared" si="112"/>
        <v/>
      </c>
      <c r="ET63">
        <v>0</v>
      </c>
      <c r="EU63" s="22">
        <v>54</v>
      </c>
      <c r="EX63" s="21" t="str">
        <f ca="1">IF(EX62="","",IF(EX62+1&lt;=MAX('Financial Planning Tool'!$EL$10:$EL$209),EX62+1,""))</f>
        <v/>
      </c>
      <c r="EY63" t="str">
        <f ca="1">IF(EX63&lt;&gt;"",VLOOKUP(EX63,'Financial Planning Tool'!$EL$10:$ER$209,2,FALSE),"")</f>
        <v/>
      </c>
      <c r="EZ63" t="str">
        <f ca="1">IF(EX63&lt;&gt;"",VLOOKUP(EX63,'Financial Planning Tool'!$EL$10:$ER$209,3,FALSE),"")</f>
        <v/>
      </c>
      <c r="FA63" t="str">
        <f ca="1">IF(EX63&lt;&gt;"",VLOOKUP(EX63,'Financial Planning Tool'!$EL$10:$ER$209,4,FALSE),"")</f>
        <v/>
      </c>
      <c r="FB63" t="str">
        <f t="shared" ca="1" si="61"/>
        <v/>
      </c>
      <c r="FC63" s="1" t="str">
        <f ca="1">IF(EX63&lt;&gt;"",VLOOKUP(EX63,'Financial Planning Tool'!$EL$10:$ER$209,5,FALSE),"")</f>
        <v/>
      </c>
      <c r="FD63" s="1" t="str">
        <f ca="1">IF(EX63&lt;&gt;"",VLOOKUP(EX63,'Financial Planning Tool'!$EL$10:$ER$209,6,FALSE),"")</f>
        <v/>
      </c>
      <c r="FE63" t="str">
        <f ca="1">IF(EX63&lt;&gt;"",VLOOKUP(EX63,'Financial Planning Tool'!$EL$10:$ER$209,7,FALSE),"")</f>
        <v/>
      </c>
      <c r="FF63" t="str">
        <f ca="1">IF(EX63&lt;&gt;"",VLOOKUP(EX63,'Financial Planning Tool'!$EL$10:$ES$209,8,FALSE),"")</f>
        <v/>
      </c>
      <c r="FG63" t="str">
        <f ca="1">IF(EX63&lt;&gt;"",VLOOKUP(EX63,'Financial Planning Tool'!$EL$10:$ET$209,9,FALSE),"")</f>
        <v/>
      </c>
      <c r="FH63" t="str">
        <f t="shared" ca="1" si="86"/>
        <v/>
      </c>
      <c r="FI63" s="22" t="str">
        <f t="shared" ca="1" si="87"/>
        <v/>
      </c>
    </row>
    <row r="64" spans="1:165" x14ac:dyDescent="0.25">
      <c r="A64" s="20"/>
      <c r="B64" s="78" t="str">
        <f>"      Annual escalation"&amp;IF(inflation&lt;&gt;""," (inflation rate is "&amp;inflation&amp;"%)","")</f>
        <v xml:space="preserve">      Annual escalation (inflation rate is 4%)</v>
      </c>
      <c r="C64" s="76"/>
      <c r="D64" s="128">
        <v>4</v>
      </c>
      <c r="E64" s="129">
        <v>0</v>
      </c>
      <c r="F64" s="77"/>
      <c r="H64" s="5">
        <f t="shared" ca="1" si="92"/>
        <v>49278</v>
      </c>
      <c r="I64" s="8">
        <f t="shared" ca="1" si="93"/>
        <v>64</v>
      </c>
      <c r="J64" s="12">
        <f t="shared" ca="1" si="95"/>
        <v>76858.84</v>
      </c>
      <c r="K64" s="12">
        <f t="shared" ca="1" si="96"/>
        <v>53041.34</v>
      </c>
      <c r="L64" s="12" t="str">
        <f t="shared" ca="1" si="97"/>
        <v/>
      </c>
      <c r="M64" s="12" t="str">
        <f t="shared" ca="1" si="98"/>
        <v/>
      </c>
      <c r="N64" s="12" t="str">
        <f t="shared" ca="1" si="99"/>
        <v/>
      </c>
      <c r="O64" s="12" t="str">
        <f t="shared" ca="1" si="100"/>
        <v/>
      </c>
      <c r="P64" s="12">
        <f t="shared" ca="1" si="101"/>
        <v>2448272.75</v>
      </c>
      <c r="Q64" s="12">
        <f t="shared" ca="1" si="102"/>
        <v>1653965.35</v>
      </c>
      <c r="S64" s="18"/>
      <c r="T64" s="5">
        <f t="shared" ca="1" si="103"/>
        <v>49278</v>
      </c>
      <c r="U64" s="8">
        <f t="shared" ca="1" si="104"/>
        <v>64</v>
      </c>
      <c r="V64" s="12"/>
      <c r="W64" s="12"/>
      <c r="X64" s="12"/>
      <c r="Y64" s="12"/>
      <c r="Z64" s="12"/>
      <c r="AA64" s="12"/>
      <c r="AB64" s="12">
        <v>1079462.5</v>
      </c>
      <c r="AC64" s="12">
        <v>729246.19</v>
      </c>
      <c r="AE64" s="21">
        <v>11</v>
      </c>
      <c r="AF64" s="22">
        <f t="shared" ca="1" si="91"/>
        <v>1</v>
      </c>
      <c r="AI64" s="21">
        <f t="shared" ca="1" si="94"/>
        <v>0</v>
      </c>
      <c r="AJ64" s="22">
        <v>0</v>
      </c>
      <c r="AN64" s="32">
        <f t="shared" ca="1" si="0"/>
        <v>59.583333333333336</v>
      </c>
      <c r="AO64" s="53">
        <f t="shared" ca="1" si="31"/>
        <v>47331</v>
      </c>
      <c r="AP64" s="22">
        <v>57</v>
      </c>
      <c r="AQ64" s="32">
        <f t="shared" ca="1" si="32"/>
        <v>1245287.5948542212</v>
      </c>
      <c r="AR64" s="23">
        <f t="array" aca="1" ref="AR64" ca="1">SUM(IF(lsc_start_date=AO64,lsc_amount,0))</f>
        <v>0</v>
      </c>
      <c r="AS64" s="24">
        <f t="shared" ca="1" si="6"/>
        <v>0</v>
      </c>
      <c r="AT64" s="24">
        <f t="shared" ca="1" si="7"/>
        <v>0</v>
      </c>
      <c r="AU64" s="24">
        <f t="shared" ca="1" si="8"/>
        <v>0</v>
      </c>
      <c r="AV64" s="25">
        <f t="shared" ca="1" si="9"/>
        <v>0</v>
      </c>
      <c r="AW64" s="23">
        <f t="array" aca="1" ref="AW64" ca="1">SUM(IF(rcs_start_date&lt;=AO64,1,0)*IF(rcs_end_date&gt;=AO64,1,0)*rcs_amount*(1+rcs_escalation/100)^(INT((AP64-rcs_months_since_start)/12))*IF(MOD((AP64-rcs_months_since_start),rcs_frequency)=0,1,0)*IF(rcs_frequency=13,0,1))+SUM(IF(rcs_start_date=AO64,rcs_amount,0)*IF(rcs_frequency=13,1,0))</f>
        <v>5264.3635200000008</v>
      </c>
      <c r="AX64" s="24">
        <f t="shared" ca="1" si="10"/>
        <v>0</v>
      </c>
      <c r="AY64" s="24">
        <f t="shared" ca="1" si="11"/>
        <v>0</v>
      </c>
      <c r="AZ64" s="24">
        <f t="shared" ca="1" si="12"/>
        <v>0</v>
      </c>
      <c r="BA64" s="25">
        <f t="shared" ca="1" si="13"/>
        <v>5264.3635200000008</v>
      </c>
      <c r="BB64" s="23">
        <f t="array" aca="1" ref="BB64" ca="1">SUM(IF(w_start_date&lt;=AO64,1,0)*IF(w_end_date&gt;=AO64,1,0)*w_amount*(1+w_escalation/100)^(INT((AP64-w_months_since_start)/12))*IF(MOD(AP64-w_months_since_start,w_frequency)=0,1,0)*IF(w_frequency=13,0,1))+SUM(IF(w_start_date=AO64,w_amount,0)*IF(w_frequency=13,1,0))</f>
        <v>0</v>
      </c>
      <c r="BC64" s="25">
        <f t="shared" ca="1" si="14"/>
        <v>0</v>
      </c>
      <c r="BD64" s="24" t="b">
        <f t="shared" ca="1" si="15"/>
        <v>0</v>
      </c>
      <c r="BE64" s="24" t="b">
        <f t="shared" ca="1" si="16"/>
        <v>1</v>
      </c>
      <c r="BF64" s="23">
        <f t="array" aca="1" ref="BF64" ca="1">SUM(IF(BD64,1,0)*IF(ap_start_date&lt;=AO64,1,0)*IF(ap_end_date&gt;=AO64,1,0)*ap_amount*(1+ap_escalation/100)^(INT((AP64-ap_months_since_start)/12))*IF(MOD(AP64-ap_months_since_start,ap_frequency)=0,1,0))</f>
        <v>0</v>
      </c>
      <c r="BG64" s="24">
        <f t="shared" ca="1" si="17"/>
        <v>0</v>
      </c>
      <c r="BH64" s="24">
        <f t="shared" ca="1" si="18"/>
        <v>0</v>
      </c>
      <c r="BI64">
        <f t="shared" ca="1" si="19"/>
        <v>0</v>
      </c>
      <c r="BJ64" s="24">
        <f t="shared" ca="1" si="20"/>
        <v>0</v>
      </c>
      <c r="BK64">
        <f t="shared" ca="1" si="21"/>
        <v>0</v>
      </c>
      <c r="BL64" s="25">
        <f t="shared" ca="1" si="22"/>
        <v>0</v>
      </c>
      <c r="BM64" s="32">
        <f t="shared" ca="1" si="1"/>
        <v>1259565.0906618522</v>
      </c>
      <c r="BN64" s="23">
        <f t="shared" ca="1" si="23"/>
        <v>0</v>
      </c>
      <c r="BO64" s="24">
        <f t="shared" ca="1" si="24"/>
        <v>0</v>
      </c>
      <c r="BP64" s="25">
        <f t="shared" ca="1" si="25"/>
        <v>0</v>
      </c>
      <c r="BQ64" s="34">
        <f t="shared" ca="1" si="26"/>
        <v>47361</v>
      </c>
      <c r="BR64" s="23">
        <f t="shared" ca="1" si="27"/>
        <v>1259565.0906618522</v>
      </c>
      <c r="BS64" s="24">
        <f t="shared" ca="1" si="28"/>
        <v>5264.3635200000008</v>
      </c>
      <c r="BT64" s="24">
        <f t="shared" ca="1" si="62"/>
        <v>62564.935679999995</v>
      </c>
      <c r="BU64" s="24">
        <f t="shared" ca="1" si="29"/>
        <v>0</v>
      </c>
      <c r="BV64" s="24">
        <f t="shared" ca="1" si="63"/>
        <v>0</v>
      </c>
      <c r="BW64" s="24">
        <f t="shared" ca="1" si="30"/>
        <v>0</v>
      </c>
      <c r="BX64" s="25">
        <f t="shared" ca="1" si="64"/>
        <v>0</v>
      </c>
      <c r="BY64" s="23">
        <f t="shared" ca="1" si="2"/>
        <v>1045471.633746897</v>
      </c>
      <c r="BZ64" s="24">
        <f t="shared" ca="1" si="3"/>
        <v>4383.8628049911513</v>
      </c>
      <c r="CA64" s="24">
        <f t="shared" ca="1" si="65"/>
        <v>53041.336037023044</v>
      </c>
      <c r="CB64" s="24">
        <f t="shared" ca="1" si="4"/>
        <v>0</v>
      </c>
      <c r="CC64" s="24">
        <f t="shared" ca="1" si="66"/>
        <v>0</v>
      </c>
      <c r="CD64" s="24">
        <f t="shared" ca="1" si="5"/>
        <v>0</v>
      </c>
      <c r="CE64" s="25">
        <f t="shared" ca="1" si="67"/>
        <v>0</v>
      </c>
      <c r="CF64" s="23">
        <f t="shared" ca="1" si="68"/>
        <v>0</v>
      </c>
      <c r="CG64" s="25">
        <f t="array" aca="1" ref="CG64" ca="1">SUM(BF53:BF64/(1+inflation/100)^(AP53:AP64/12))</f>
        <v>0</v>
      </c>
      <c r="CH64" s="32">
        <f ca="1">IFERROR(IF(MOD(AP64-ap_months_since_start,12)=0,ap_drawdown/100*(AQ64+AV64+BA64-BC64),CH63),0)</f>
        <v>173146.46964152635</v>
      </c>
      <c r="EL64" s="21">
        <f t="shared" ca="1" si="60"/>
        <v>6</v>
      </c>
      <c r="EM64" t="str">
        <f t="shared" ca="1" si="106"/>
        <v/>
      </c>
      <c r="EN64" t="str">
        <f t="shared" ca="1" si="107"/>
        <v/>
      </c>
      <c r="EO64" t="str">
        <f t="shared" ca="1" si="108"/>
        <v/>
      </c>
      <c r="EP64" s="1" t="str">
        <f t="shared" ca="1" si="109"/>
        <v/>
      </c>
      <c r="EQ64" s="1" t="str">
        <f t="shared" ca="1" si="110"/>
        <v/>
      </c>
      <c r="ER64" t="str">
        <f t="shared" ca="1" si="111"/>
        <v/>
      </c>
      <c r="ES64" t="str">
        <f t="shared" si="112"/>
        <v/>
      </c>
      <c r="ET64">
        <v>0</v>
      </c>
      <c r="EU64" s="22">
        <v>55</v>
      </c>
      <c r="EX64" s="21" t="str">
        <f ca="1">IF(EX63="","",IF(EX63+1&lt;=MAX('Financial Planning Tool'!$EL$10:$EL$209),EX63+1,""))</f>
        <v/>
      </c>
      <c r="EY64" t="str">
        <f ca="1">IF(EX64&lt;&gt;"",VLOOKUP(EX64,'Financial Planning Tool'!$EL$10:$ER$209,2,FALSE),"")</f>
        <v/>
      </c>
      <c r="EZ64" t="str">
        <f ca="1">IF(EX64&lt;&gt;"",VLOOKUP(EX64,'Financial Planning Tool'!$EL$10:$ER$209,3,FALSE),"")</f>
        <v/>
      </c>
      <c r="FA64" t="str">
        <f ca="1">IF(EX64&lt;&gt;"",VLOOKUP(EX64,'Financial Planning Tool'!$EL$10:$ER$209,4,FALSE),"")</f>
        <v/>
      </c>
      <c r="FB64" t="str">
        <f t="shared" ca="1" si="61"/>
        <v/>
      </c>
      <c r="FC64" s="1" t="str">
        <f ca="1">IF(EX64&lt;&gt;"",VLOOKUP(EX64,'Financial Planning Tool'!$EL$10:$ER$209,5,FALSE),"")</f>
        <v/>
      </c>
      <c r="FD64" s="1" t="str">
        <f ca="1">IF(EX64&lt;&gt;"",VLOOKUP(EX64,'Financial Planning Tool'!$EL$10:$ER$209,6,FALSE),"")</f>
        <v/>
      </c>
      <c r="FE64" t="str">
        <f ca="1">IF(EX64&lt;&gt;"",VLOOKUP(EX64,'Financial Planning Tool'!$EL$10:$ER$209,7,FALSE),"")</f>
        <v/>
      </c>
      <c r="FF64" t="str">
        <f ca="1">IF(EX64&lt;&gt;"",VLOOKUP(EX64,'Financial Planning Tool'!$EL$10:$ES$209,8,FALSE),"")</f>
        <v/>
      </c>
      <c r="FG64" t="str">
        <f ca="1">IF(EX64&lt;&gt;"",VLOOKUP(EX64,'Financial Planning Tool'!$EL$10:$ET$209,9,FALSE),"")</f>
        <v/>
      </c>
      <c r="FH64" t="str">
        <f t="shared" ca="1" si="86"/>
        <v/>
      </c>
      <c r="FI64" s="22" t="str">
        <f t="shared" ca="1" si="87"/>
        <v/>
      </c>
    </row>
    <row r="65" spans="1:165" x14ac:dyDescent="0.25">
      <c r="A65" s="20"/>
      <c r="B65" s="133" t="s">
        <v>217</v>
      </c>
      <c r="C65" s="134"/>
      <c r="D65" s="166" t="s">
        <v>212</v>
      </c>
      <c r="E65" s="167"/>
      <c r="F65" s="135"/>
      <c r="H65" s="5">
        <f t="shared" ca="1" si="92"/>
        <v>49643</v>
      </c>
      <c r="I65" s="8">
        <f t="shared" ca="1" si="93"/>
        <v>65</v>
      </c>
      <c r="J65" s="12">
        <f t="shared" ca="1" si="95"/>
        <v>79933.19</v>
      </c>
      <c r="K65" s="12">
        <f t="shared" ca="1" si="96"/>
        <v>53041.34</v>
      </c>
      <c r="L65" s="12" t="str">
        <f t="shared" ca="1" si="97"/>
        <v/>
      </c>
      <c r="M65" s="12" t="str">
        <f t="shared" ca="1" si="98"/>
        <v/>
      </c>
      <c r="N65" s="12">
        <f t="shared" ca="1" si="99"/>
        <v>-35000</v>
      </c>
      <c r="O65" s="12">
        <f t="shared" ca="1" si="100"/>
        <v>-22809.759999999998</v>
      </c>
      <c r="P65" s="12">
        <f t="shared" ca="1" si="101"/>
        <v>2717143.68</v>
      </c>
      <c r="Q65" s="12">
        <f t="shared" ca="1" si="102"/>
        <v>1765004.72</v>
      </c>
      <c r="S65" s="18"/>
      <c r="T65" s="5">
        <f t="shared" ca="1" si="103"/>
        <v>49643</v>
      </c>
      <c r="U65" s="8">
        <f t="shared" ca="1" si="104"/>
        <v>65</v>
      </c>
      <c r="V65" s="12"/>
      <c r="W65" s="12"/>
      <c r="X65" s="12"/>
      <c r="Y65" s="12"/>
      <c r="Z65" s="12"/>
      <c r="AA65" s="12"/>
      <c r="AB65" s="12">
        <v>1165819.5</v>
      </c>
      <c r="AC65" s="12">
        <v>757294.12</v>
      </c>
      <c r="AE65" s="21">
        <v>12</v>
      </c>
      <c r="AF65" s="22">
        <f t="shared" ca="1" si="91"/>
        <v>1</v>
      </c>
      <c r="AI65" s="21">
        <f t="shared" ca="1" si="94"/>
        <v>0</v>
      </c>
      <c r="AJ65" s="22">
        <v>0</v>
      </c>
      <c r="AN65" s="32">
        <f t="shared" ca="1" si="0"/>
        <v>59.666666666666664</v>
      </c>
      <c r="AO65" s="53">
        <f t="shared" ca="1" si="31"/>
        <v>47362</v>
      </c>
      <c r="AP65" s="22">
        <v>58</v>
      </c>
      <c r="AQ65" s="32">
        <f t="shared" ca="1" si="32"/>
        <v>1259565.0906618522</v>
      </c>
      <c r="AR65" s="23">
        <f t="array" aca="1" ref="AR65" ca="1">SUM(IF(lsc_start_date=AO65,lsc_amount,0))</f>
        <v>0</v>
      </c>
      <c r="AS65" s="24">
        <f t="shared" ca="1" si="6"/>
        <v>0</v>
      </c>
      <c r="AT65" s="24">
        <f t="shared" ca="1" si="7"/>
        <v>0</v>
      </c>
      <c r="AU65" s="24">
        <f t="shared" ca="1" si="8"/>
        <v>0</v>
      </c>
      <c r="AV65" s="25">
        <f t="shared" ca="1" si="9"/>
        <v>0</v>
      </c>
      <c r="AW65" s="23">
        <f t="array" aca="1" ref="AW65" ca="1">SUM(IF(rcs_start_date&lt;=AO65,1,0)*IF(rcs_end_date&gt;=AO65,1,0)*rcs_amount*(1+rcs_escalation/100)^(INT((AP65-rcs_months_since_start)/12))*IF(MOD((AP65-rcs_months_since_start),rcs_frequency)=0,1,0)*IF(rcs_frequency=13,0,1))+SUM(IF(rcs_start_date=AO65,rcs_amount,0)*IF(rcs_frequency=13,1,0))</f>
        <v>5264.3635200000008</v>
      </c>
      <c r="AX65" s="24">
        <f t="shared" ca="1" si="10"/>
        <v>0</v>
      </c>
      <c r="AY65" s="24">
        <f t="shared" ca="1" si="11"/>
        <v>0</v>
      </c>
      <c r="AZ65" s="24">
        <f t="shared" ca="1" si="12"/>
        <v>0</v>
      </c>
      <c r="BA65" s="25">
        <f t="shared" ca="1" si="13"/>
        <v>5264.3635200000008</v>
      </c>
      <c r="BB65" s="23">
        <f t="array" aca="1" ref="BB65" ca="1">SUM(IF(w_start_date&lt;=AO65,1,0)*IF(w_end_date&gt;=AO65,1,0)*w_amount*(1+w_escalation/100)^(INT((AP65-w_months_since_start)/12))*IF(MOD(AP65-w_months_since_start,w_frequency)=0,1,0)*IF(w_frequency=13,0,1))+SUM(IF(w_start_date=AO65,w_amount,0)*IF(w_frequency=13,1,0))</f>
        <v>0</v>
      </c>
      <c r="BC65" s="25">
        <f t="shared" ca="1" si="14"/>
        <v>0</v>
      </c>
      <c r="BD65" s="24" t="b">
        <f t="shared" ca="1" si="15"/>
        <v>0</v>
      </c>
      <c r="BE65" s="24" t="b">
        <f t="shared" ca="1" si="16"/>
        <v>1</v>
      </c>
      <c r="BF65" s="23">
        <f t="array" aca="1" ref="BF65" ca="1">SUM(IF(BD65,1,0)*IF(ap_start_date&lt;=AO65,1,0)*IF(ap_end_date&gt;=AO65,1,0)*ap_amount*(1+ap_escalation/100)^(INT((AP65-ap_months_since_start)/12))*IF(MOD(AP65-ap_months_since_start,ap_frequency)=0,1,0))</f>
        <v>0</v>
      </c>
      <c r="BG65" s="24">
        <f t="shared" ca="1" si="17"/>
        <v>0</v>
      </c>
      <c r="BH65" s="24">
        <f t="shared" ca="1" si="18"/>
        <v>0</v>
      </c>
      <c r="BI65">
        <f t="shared" ca="1" si="19"/>
        <v>0</v>
      </c>
      <c r="BJ65" s="24">
        <f t="shared" ca="1" si="20"/>
        <v>0</v>
      </c>
      <c r="BK65">
        <f t="shared" ca="1" si="21"/>
        <v>0</v>
      </c>
      <c r="BL65" s="25">
        <f t="shared" ca="1" si="22"/>
        <v>0</v>
      </c>
      <c r="BM65" s="32">
        <f t="shared" ca="1" si="1"/>
        <v>1273945.4889979134</v>
      </c>
      <c r="BN65" s="23">
        <f t="shared" ca="1" si="23"/>
        <v>0</v>
      </c>
      <c r="BO65" s="24">
        <f t="shared" ca="1" si="24"/>
        <v>0</v>
      </c>
      <c r="BP65" s="25">
        <f t="shared" ca="1" si="25"/>
        <v>0</v>
      </c>
      <c r="BQ65" s="34">
        <f t="shared" ca="1" si="26"/>
        <v>47391</v>
      </c>
      <c r="BR65" s="23">
        <f t="shared" ca="1" si="27"/>
        <v>1273945.4889979134</v>
      </c>
      <c r="BS65" s="24">
        <f t="shared" ca="1" si="28"/>
        <v>5264.3635200000008</v>
      </c>
      <c r="BT65" s="24">
        <f t="shared" ca="1" si="62"/>
        <v>62767.411199999995</v>
      </c>
      <c r="BU65" s="24">
        <f t="shared" ca="1" si="29"/>
        <v>0</v>
      </c>
      <c r="BV65" s="24">
        <f t="shared" ca="1" si="63"/>
        <v>0</v>
      </c>
      <c r="BW65" s="24">
        <f t="shared" ca="1" si="30"/>
        <v>0</v>
      </c>
      <c r="BX65" s="25">
        <f t="shared" ca="1" si="64"/>
        <v>0</v>
      </c>
      <c r="BY65" s="23">
        <f t="shared" ca="1" si="2"/>
        <v>1053957.3545353035</v>
      </c>
      <c r="BZ65" s="24">
        <f t="shared" ca="1" si="3"/>
        <v>4369.5580091061147</v>
      </c>
      <c r="CA65" s="24">
        <f t="shared" ca="1" si="65"/>
        <v>53041.336037023037</v>
      </c>
      <c r="CB65" s="24">
        <f t="shared" ca="1" si="4"/>
        <v>0</v>
      </c>
      <c r="CC65" s="24">
        <f t="shared" ca="1" si="66"/>
        <v>0</v>
      </c>
      <c r="CD65" s="24">
        <f t="shared" ca="1" si="5"/>
        <v>0</v>
      </c>
      <c r="CE65" s="25">
        <f t="shared" ca="1" si="67"/>
        <v>0</v>
      </c>
      <c r="CF65" s="23">
        <f t="shared" ca="1" si="68"/>
        <v>0</v>
      </c>
      <c r="CG65" s="25">
        <f t="array" aca="1" ref="CG65" ca="1">SUM(BF54:BF65/(1+inflation/100)^(AP54:AP65/12))</f>
        <v>0</v>
      </c>
      <c r="CH65" s="32">
        <f ca="1">IFERROR(IF(MOD(AP65-ap_months_since_start,12)=0,ap_drawdown/100*(AQ65+AV65+BA65-BC65),CH64),0)</f>
        <v>173146.46964152635</v>
      </c>
      <c r="EL65" s="21">
        <f t="shared" ca="1" si="60"/>
        <v>6</v>
      </c>
      <c r="EM65" t="str">
        <f t="shared" ca="1" si="106"/>
        <v/>
      </c>
      <c r="EN65" t="str">
        <f t="shared" ca="1" si="107"/>
        <v/>
      </c>
      <c r="EO65" t="str">
        <f t="shared" ca="1" si="108"/>
        <v/>
      </c>
      <c r="EP65" s="1" t="str">
        <f t="shared" ca="1" si="109"/>
        <v/>
      </c>
      <c r="EQ65" s="1" t="str">
        <f t="shared" ca="1" si="110"/>
        <v/>
      </c>
      <c r="ER65" t="str">
        <f t="shared" ca="1" si="111"/>
        <v/>
      </c>
      <c r="ES65" t="str">
        <f t="shared" si="112"/>
        <v/>
      </c>
      <c r="ET65">
        <v>0</v>
      </c>
      <c r="EU65" s="22">
        <v>56</v>
      </c>
      <c r="EX65" s="21" t="str">
        <f ca="1">IF(EX64="","",IF(EX64+1&lt;=MAX('Financial Planning Tool'!$EL$10:$EL$209),EX64+1,""))</f>
        <v/>
      </c>
      <c r="EY65" t="str">
        <f ca="1">IF(EX65&lt;&gt;"",VLOOKUP(EX65,'Financial Planning Tool'!$EL$10:$ER$209,2,FALSE),"")</f>
        <v/>
      </c>
      <c r="EZ65" t="str">
        <f ca="1">IF(EX65&lt;&gt;"",VLOOKUP(EX65,'Financial Planning Tool'!$EL$10:$ER$209,3,FALSE),"")</f>
        <v/>
      </c>
      <c r="FA65" t="str">
        <f ca="1">IF(EX65&lt;&gt;"",VLOOKUP(EX65,'Financial Planning Tool'!$EL$10:$ER$209,4,FALSE),"")</f>
        <v/>
      </c>
      <c r="FB65" t="str">
        <f t="shared" ca="1" si="61"/>
        <v/>
      </c>
      <c r="FC65" s="1" t="str">
        <f ca="1">IF(EX65&lt;&gt;"",VLOOKUP(EX65,'Financial Planning Tool'!$EL$10:$ER$209,5,FALSE),"")</f>
        <v/>
      </c>
      <c r="FD65" s="1" t="str">
        <f ca="1">IF(EX65&lt;&gt;"",VLOOKUP(EX65,'Financial Planning Tool'!$EL$10:$ER$209,6,FALSE),"")</f>
        <v/>
      </c>
      <c r="FE65" t="str">
        <f ca="1">IF(EX65&lt;&gt;"",VLOOKUP(EX65,'Financial Planning Tool'!$EL$10:$ER$209,7,FALSE),"")</f>
        <v/>
      </c>
      <c r="FF65" t="str">
        <f ca="1">IF(EX65&lt;&gt;"",VLOOKUP(EX65,'Financial Planning Tool'!$EL$10:$ES$209,8,FALSE),"")</f>
        <v/>
      </c>
      <c r="FG65" t="str">
        <f ca="1">IF(EX65&lt;&gt;"",VLOOKUP(EX65,'Financial Planning Tool'!$EL$10:$ET$209,9,FALSE),"")</f>
        <v/>
      </c>
      <c r="FH65" t="str">
        <f t="shared" ca="1" si="86"/>
        <v/>
      </c>
      <c r="FI65" s="22" t="str">
        <f t="shared" ca="1" si="87"/>
        <v/>
      </c>
    </row>
    <row r="66" spans="1:165" x14ac:dyDescent="0.25">
      <c r="A66" s="20"/>
      <c r="B66" s="78" t="s">
        <v>203</v>
      </c>
      <c r="C66" s="76"/>
      <c r="D66" s="149" t="s">
        <v>121</v>
      </c>
      <c r="E66" s="150"/>
      <c r="F66" s="77"/>
      <c r="H66" s="5">
        <f t="shared" ca="1" si="92"/>
        <v>50009</v>
      </c>
      <c r="I66" s="8">
        <f t="shared" ca="1" si="93"/>
        <v>66</v>
      </c>
      <c r="J66" s="12" t="str">
        <f t="shared" ca="1" si="95"/>
        <v/>
      </c>
      <c r="K66" s="12" t="str">
        <f t="shared" ca="1" si="96"/>
        <v/>
      </c>
      <c r="L66" s="12" t="str">
        <f t="shared" ca="1" si="97"/>
        <v/>
      </c>
      <c r="M66" s="12" t="str">
        <f t="shared" ca="1" si="98"/>
        <v/>
      </c>
      <c r="N66" s="12">
        <f t="shared" ca="1" si="99"/>
        <v>-421400</v>
      </c>
      <c r="O66" s="12">
        <f t="shared" ca="1" si="100"/>
        <v>-268857.84000000003</v>
      </c>
      <c r="P66" s="12">
        <f t="shared" ca="1" si="101"/>
        <v>2520071.06</v>
      </c>
      <c r="Q66" s="12">
        <f t="shared" ca="1" si="102"/>
        <v>1574028.95</v>
      </c>
      <c r="S66" s="18"/>
      <c r="T66" s="5">
        <f t="shared" ca="1" si="103"/>
        <v>50009</v>
      </c>
      <c r="U66" s="8">
        <f t="shared" ca="1" si="104"/>
        <v>66</v>
      </c>
      <c r="V66" s="12"/>
      <c r="W66" s="12"/>
      <c r="X66" s="12"/>
      <c r="Y66" s="12"/>
      <c r="Z66" s="12"/>
      <c r="AA66" s="12"/>
      <c r="AB66" s="12">
        <v>1259085.06</v>
      </c>
      <c r="AC66" s="12">
        <v>786420.81</v>
      </c>
      <c r="AE66" s="21">
        <v>13</v>
      </c>
      <c r="AF66" s="22">
        <f t="shared" ca="1" si="91"/>
        <v>1</v>
      </c>
      <c r="AI66" s="21">
        <f t="shared" ca="1" si="94"/>
        <v>1</v>
      </c>
      <c r="AJ66" s="22">
        <v>0</v>
      </c>
      <c r="AN66" s="32">
        <f t="shared" ca="1" si="0"/>
        <v>59.75</v>
      </c>
      <c r="AO66" s="53">
        <f t="shared" ca="1" si="31"/>
        <v>47392</v>
      </c>
      <c r="AP66" s="22">
        <v>59</v>
      </c>
      <c r="AQ66" s="32">
        <f t="shared" ca="1" si="32"/>
        <v>1273945.4889979134</v>
      </c>
      <c r="AR66" s="23">
        <f t="array" aca="1" ref="AR66" ca="1">SUM(IF(lsc_start_date=AO66,lsc_amount,0))</f>
        <v>0</v>
      </c>
      <c r="AS66" s="24">
        <f t="shared" ca="1" si="6"/>
        <v>0</v>
      </c>
      <c r="AT66" s="24">
        <f t="shared" ca="1" si="7"/>
        <v>0</v>
      </c>
      <c r="AU66" s="24">
        <f t="shared" ca="1" si="8"/>
        <v>0</v>
      </c>
      <c r="AV66" s="25">
        <f t="shared" ca="1" si="9"/>
        <v>0</v>
      </c>
      <c r="AW66" s="23">
        <f t="array" aca="1" ref="AW66" ca="1">SUM(IF(rcs_start_date&lt;=AO66,1,0)*IF(rcs_end_date&gt;=AO66,1,0)*rcs_amount*(1+rcs_escalation/100)^(INT((AP66-rcs_months_since_start)/12))*IF(MOD((AP66-rcs_months_since_start),rcs_frequency)=0,1,0)*IF(rcs_frequency=13,0,1))+SUM(IF(rcs_start_date=AO66,rcs_amount,0)*IF(rcs_frequency=13,1,0))</f>
        <v>5264.3635200000008</v>
      </c>
      <c r="AX66" s="24">
        <f t="shared" ca="1" si="10"/>
        <v>0</v>
      </c>
      <c r="AY66" s="24">
        <f t="shared" ca="1" si="11"/>
        <v>0</v>
      </c>
      <c r="AZ66" s="24">
        <f t="shared" ca="1" si="12"/>
        <v>0</v>
      </c>
      <c r="BA66" s="25">
        <f t="shared" ca="1" si="13"/>
        <v>5264.3635200000008</v>
      </c>
      <c r="BB66" s="23">
        <f t="array" aca="1" ref="BB66" ca="1">SUM(IF(w_start_date&lt;=AO66,1,0)*IF(w_end_date&gt;=AO66,1,0)*w_amount*(1+w_escalation/100)^(INT((AP66-w_months_since_start)/12))*IF(MOD(AP66-w_months_since_start,w_frequency)=0,1,0)*IF(w_frequency=13,0,1))+SUM(IF(w_start_date=AO66,w_amount,0)*IF(w_frequency=13,1,0))</f>
        <v>0</v>
      </c>
      <c r="BC66" s="25">
        <f t="shared" ca="1" si="14"/>
        <v>0</v>
      </c>
      <c r="BD66" s="24" t="b">
        <f t="shared" ca="1" si="15"/>
        <v>0</v>
      </c>
      <c r="BE66" s="24" t="b">
        <f t="shared" ca="1" si="16"/>
        <v>1</v>
      </c>
      <c r="BF66" s="23">
        <f t="array" aca="1" ref="BF66" ca="1">SUM(IF(BD66,1,0)*IF(ap_start_date&lt;=AO66,1,0)*IF(ap_end_date&gt;=AO66,1,0)*ap_amount*(1+ap_escalation/100)^(INT((AP66-ap_months_since_start)/12))*IF(MOD(AP66-ap_months_since_start,ap_frequency)=0,1,0))</f>
        <v>0</v>
      </c>
      <c r="BG66" s="24">
        <f t="shared" ca="1" si="17"/>
        <v>0</v>
      </c>
      <c r="BH66" s="24">
        <f t="shared" ca="1" si="18"/>
        <v>0</v>
      </c>
      <c r="BI66">
        <f t="shared" ca="1" si="19"/>
        <v>0</v>
      </c>
      <c r="BJ66" s="24">
        <f t="shared" ca="1" si="20"/>
        <v>0</v>
      </c>
      <c r="BK66">
        <f t="shared" ca="1" si="21"/>
        <v>0</v>
      </c>
      <c r="BL66" s="25">
        <f t="shared" ca="1" si="22"/>
        <v>0</v>
      </c>
      <c r="BM66" s="32">
        <f t="shared" ca="1" si="1"/>
        <v>1288429.5315141976</v>
      </c>
      <c r="BN66" s="23">
        <f t="shared" ca="1" si="23"/>
        <v>0</v>
      </c>
      <c r="BO66" s="24">
        <f t="shared" ca="1" si="24"/>
        <v>0</v>
      </c>
      <c r="BP66" s="25">
        <f t="shared" ca="1" si="25"/>
        <v>0</v>
      </c>
      <c r="BQ66" s="34">
        <f t="shared" ca="1" si="26"/>
        <v>47422</v>
      </c>
      <c r="BR66" s="23">
        <f t="shared" ca="1" si="27"/>
        <v>1288429.5315141976</v>
      </c>
      <c r="BS66" s="24">
        <f t="shared" ca="1" si="28"/>
        <v>5264.3635200000008</v>
      </c>
      <c r="BT66" s="24">
        <f t="shared" ca="1" si="62"/>
        <v>62969.886719999995</v>
      </c>
      <c r="BU66" s="24">
        <f t="shared" ca="1" si="29"/>
        <v>0</v>
      </c>
      <c r="BV66" s="24">
        <f t="shared" ca="1" si="63"/>
        <v>0</v>
      </c>
      <c r="BW66" s="24">
        <f t="shared" ca="1" si="30"/>
        <v>0</v>
      </c>
      <c r="BX66" s="25">
        <f t="shared" ca="1" si="64"/>
        <v>0</v>
      </c>
      <c r="BY66" s="23">
        <f t="shared" ca="1" si="2"/>
        <v>1062462.031675728</v>
      </c>
      <c r="BZ66" s="24">
        <f t="shared" ca="1" si="3"/>
        <v>4355.2998905908817</v>
      </c>
      <c r="CA66" s="24">
        <f t="shared" ca="1" si="65"/>
        <v>53041.336037023044</v>
      </c>
      <c r="CB66" s="24">
        <f t="shared" ca="1" si="4"/>
        <v>0</v>
      </c>
      <c r="CC66" s="24">
        <f t="shared" ca="1" si="66"/>
        <v>0</v>
      </c>
      <c r="CD66" s="24">
        <f t="shared" ca="1" si="5"/>
        <v>0</v>
      </c>
      <c r="CE66" s="25">
        <f t="shared" ca="1" si="67"/>
        <v>0</v>
      </c>
      <c r="CF66" s="23">
        <f t="shared" ca="1" si="68"/>
        <v>0</v>
      </c>
      <c r="CG66" s="25">
        <f t="array" aca="1" ref="CG66" ca="1">SUM(BF55:BF66/(1+inflation/100)^(AP55:AP66/12))</f>
        <v>0</v>
      </c>
      <c r="CH66" s="32">
        <f ca="1">IFERROR(IF(MOD(AP66-ap_months_since_start,12)=0,ap_drawdown/100*(AQ66+AV66+BA66-BC66),CH65),0)</f>
        <v>173146.46964152635</v>
      </c>
      <c r="EL66" s="21">
        <f t="shared" ca="1" si="60"/>
        <v>6</v>
      </c>
      <c r="EM66" t="str">
        <f t="shared" ca="1" si="106"/>
        <v/>
      </c>
      <c r="EN66" t="str">
        <f t="shared" ca="1" si="107"/>
        <v/>
      </c>
      <c r="EO66" t="str">
        <f t="shared" ca="1" si="108"/>
        <v/>
      </c>
      <c r="EP66" s="1" t="str">
        <f t="shared" ca="1" si="109"/>
        <v/>
      </c>
      <c r="EQ66" s="1" t="str">
        <f t="shared" ca="1" si="110"/>
        <v/>
      </c>
      <c r="ER66" t="str">
        <f t="shared" ca="1" si="111"/>
        <v/>
      </c>
      <c r="ES66" t="str">
        <f t="shared" si="112"/>
        <v/>
      </c>
      <c r="ET66">
        <v>0</v>
      </c>
      <c r="EU66" s="22">
        <v>57</v>
      </c>
      <c r="EX66" s="21" t="str">
        <f ca="1">IF(EX65="","",IF(EX65+1&lt;=MAX('Financial Planning Tool'!$EL$10:$EL$209),EX65+1,""))</f>
        <v/>
      </c>
      <c r="EY66" t="str">
        <f ca="1">IF(EX66&lt;&gt;"",VLOOKUP(EX66,'Financial Planning Tool'!$EL$10:$ER$209,2,FALSE),"")</f>
        <v/>
      </c>
      <c r="EZ66" t="str">
        <f ca="1">IF(EX66&lt;&gt;"",VLOOKUP(EX66,'Financial Planning Tool'!$EL$10:$ER$209,3,FALSE),"")</f>
        <v/>
      </c>
      <c r="FA66" t="str">
        <f ca="1">IF(EX66&lt;&gt;"",VLOOKUP(EX66,'Financial Planning Tool'!$EL$10:$ER$209,4,FALSE),"")</f>
        <v/>
      </c>
      <c r="FB66" t="str">
        <f t="shared" ca="1" si="61"/>
        <v/>
      </c>
      <c r="FC66" s="1" t="str">
        <f ca="1">IF(EX66&lt;&gt;"",VLOOKUP(EX66,'Financial Planning Tool'!$EL$10:$ER$209,5,FALSE),"")</f>
        <v/>
      </c>
      <c r="FD66" s="1" t="str">
        <f ca="1">IF(EX66&lt;&gt;"",VLOOKUP(EX66,'Financial Planning Tool'!$EL$10:$ER$209,6,FALSE),"")</f>
        <v/>
      </c>
      <c r="FE66" t="str">
        <f ca="1">IF(EX66&lt;&gt;"",VLOOKUP(EX66,'Financial Planning Tool'!$EL$10:$ER$209,7,FALSE),"")</f>
        <v/>
      </c>
      <c r="FF66" t="str">
        <f ca="1">IF(EX66&lt;&gt;"",VLOOKUP(EX66,'Financial Planning Tool'!$EL$10:$ES$209,8,FALSE),"")</f>
        <v/>
      </c>
      <c r="FG66" t="str">
        <f ca="1">IF(EX66&lt;&gt;"",VLOOKUP(EX66,'Financial Planning Tool'!$EL$10:$ET$209,9,FALSE),"")</f>
        <v/>
      </c>
      <c r="FH66" t="str">
        <f t="shared" ca="1" si="86"/>
        <v/>
      </c>
      <c r="FI66" s="22" t="str">
        <f t="shared" ca="1" si="87"/>
        <v/>
      </c>
    </row>
    <row r="67" spans="1:165" ht="12.75" customHeight="1" x14ac:dyDescent="0.25">
      <c r="A67" s="20"/>
      <c r="B67" s="78" t="str">
        <f>IFERROR(IF(VLOOKUP($D$66,freq_options,2,FALSE)=0,amount_wording1,amount_wording2 &amp; VLOOKUP($D$66,freq_options,2,FALSE)),amount_wording2)</f>
        <v xml:space="preserve">      Starting amount per month</v>
      </c>
      <c r="C67" s="76"/>
      <c r="D67" s="124">
        <v>1000</v>
      </c>
      <c r="E67" s="125">
        <v>1000</v>
      </c>
      <c r="F67" s="77"/>
      <c r="H67" s="5">
        <f t="shared" ca="1" si="92"/>
        <v>50374</v>
      </c>
      <c r="I67" s="8">
        <f t="shared" ca="1" si="93"/>
        <v>67</v>
      </c>
      <c r="J67" s="12" t="str">
        <f t="shared" ca="1" si="95"/>
        <v/>
      </c>
      <c r="K67" s="12" t="str">
        <f t="shared" ca="1" si="96"/>
        <v/>
      </c>
      <c r="L67" s="12" t="str">
        <f t="shared" ca="1" si="97"/>
        <v/>
      </c>
      <c r="M67" s="12" t="str">
        <f t="shared" ca="1" si="98"/>
        <v/>
      </c>
      <c r="N67" s="12">
        <f t="shared" ca="1" si="99"/>
        <v>-434074.14</v>
      </c>
      <c r="O67" s="12">
        <f t="shared" ca="1" si="100"/>
        <v>-266338.09999999998</v>
      </c>
      <c r="P67" s="12">
        <f t="shared" ca="1" si="101"/>
        <v>2291809.29</v>
      </c>
      <c r="Q67" s="12">
        <f t="shared" ca="1" si="102"/>
        <v>1376401.27</v>
      </c>
      <c r="S67" s="18"/>
      <c r="T67" s="5">
        <f t="shared" ca="1" si="103"/>
        <v>50374</v>
      </c>
      <c r="U67" s="8">
        <f t="shared" ca="1" si="104"/>
        <v>67</v>
      </c>
      <c r="V67" s="12"/>
      <c r="W67" s="12"/>
      <c r="X67" s="12"/>
      <c r="Y67" s="12"/>
      <c r="Z67" s="12"/>
      <c r="AA67" s="12"/>
      <c r="AB67" s="12">
        <v>1359811.86</v>
      </c>
      <c r="AC67" s="12">
        <v>816667.77</v>
      </c>
      <c r="AE67" s="21">
        <v>14</v>
      </c>
      <c r="AF67" s="22">
        <f t="shared" ca="1" si="91"/>
        <v>1</v>
      </c>
      <c r="AI67" s="21">
        <f t="shared" ca="1" si="94"/>
        <v>1</v>
      </c>
      <c r="AJ67" s="22">
        <v>0</v>
      </c>
      <c r="AN67" s="32">
        <f t="shared" ca="1" si="0"/>
        <v>59.833333333333336</v>
      </c>
      <c r="AO67" s="53">
        <f t="shared" ca="1" si="31"/>
        <v>47423</v>
      </c>
      <c r="AP67" s="22">
        <v>60</v>
      </c>
      <c r="AQ67" s="32">
        <f t="shared" ca="1" si="32"/>
        <v>1288429.5315141976</v>
      </c>
      <c r="AR67" s="23">
        <f t="array" aca="1" ref="AR67" ca="1">SUM(IF(lsc_start_date=AO67,lsc_amount,0))</f>
        <v>0</v>
      </c>
      <c r="AS67" s="24">
        <f t="shared" ca="1" si="6"/>
        <v>0</v>
      </c>
      <c r="AT67" s="24">
        <f t="shared" ca="1" si="7"/>
        <v>0</v>
      </c>
      <c r="AU67" s="24">
        <f t="shared" ca="1" si="8"/>
        <v>0</v>
      </c>
      <c r="AV67" s="25">
        <f t="shared" ca="1" si="9"/>
        <v>0</v>
      </c>
      <c r="AW67" s="23">
        <f t="array" aca="1" ref="AW67" ca="1">SUM(IF(rcs_start_date&lt;=AO67,1,0)*IF(rcs_end_date&gt;=AO67,1,0)*rcs_amount*(1+rcs_escalation/100)^(INT((AP67-rcs_months_since_start)/12))*IF(MOD((AP67-rcs_months_since_start),rcs_frequency)=0,1,0)*IF(rcs_frequency=13,0,1))+SUM(IF(rcs_start_date=AO67,rcs_amount,0)*IF(rcs_frequency=13,1,0))</f>
        <v>5264.3635200000008</v>
      </c>
      <c r="AX67" s="24">
        <f t="shared" ca="1" si="10"/>
        <v>0</v>
      </c>
      <c r="AY67" s="24">
        <f t="shared" ca="1" si="11"/>
        <v>0</v>
      </c>
      <c r="AZ67" s="24">
        <f t="shared" ca="1" si="12"/>
        <v>0</v>
      </c>
      <c r="BA67" s="25">
        <f t="shared" ca="1" si="13"/>
        <v>5264.3635200000008</v>
      </c>
      <c r="BB67" s="23">
        <f t="array" aca="1" ref="BB67" ca="1">SUM(IF(w_start_date&lt;=AO67,1,0)*IF(w_end_date&gt;=AO67,1,0)*w_amount*(1+w_escalation/100)^(INT((AP67-w_months_since_start)/12))*IF(MOD(AP67-w_months_since_start,w_frequency)=0,1,0)*IF(w_frequency=13,0,1))+SUM(IF(w_start_date=AO67,w_amount,0)*IF(w_frequency=13,1,0))</f>
        <v>0</v>
      </c>
      <c r="BC67" s="25">
        <f t="shared" ca="1" si="14"/>
        <v>0</v>
      </c>
      <c r="BD67" s="24" t="b">
        <f t="shared" ca="1" si="15"/>
        <v>0</v>
      </c>
      <c r="BE67" s="24" t="b">
        <f t="shared" ca="1" si="16"/>
        <v>1</v>
      </c>
      <c r="BF67" s="23">
        <f t="array" aca="1" ref="BF67" ca="1">SUM(IF(BD67,1,0)*IF(ap_start_date&lt;=AO67,1,0)*IF(ap_end_date&gt;=AO67,1,0)*ap_amount*(1+ap_escalation/100)^(INT((AP67-ap_months_since_start)/12))*IF(MOD(AP67-ap_months_since_start,ap_frequency)=0,1,0))</f>
        <v>0</v>
      </c>
      <c r="BG67" s="24">
        <f t="shared" ca="1" si="17"/>
        <v>0</v>
      </c>
      <c r="BH67" s="24">
        <f t="shared" ca="1" si="18"/>
        <v>0</v>
      </c>
      <c r="BI67">
        <f t="shared" ca="1" si="19"/>
        <v>0</v>
      </c>
      <c r="BJ67" s="24">
        <f t="shared" ca="1" si="20"/>
        <v>0</v>
      </c>
      <c r="BK67">
        <f t="shared" ca="1" si="21"/>
        <v>0</v>
      </c>
      <c r="BL67" s="25">
        <f t="shared" ca="1" si="22"/>
        <v>0</v>
      </c>
      <c r="BM67" s="32">
        <f t="shared" ca="1" si="1"/>
        <v>1303017.9652078212</v>
      </c>
      <c r="BN67" s="23">
        <f t="shared" ca="1" si="23"/>
        <v>0</v>
      </c>
      <c r="BO67" s="24">
        <f t="shared" ca="1" si="24"/>
        <v>0</v>
      </c>
      <c r="BP67" s="25">
        <f t="shared" ca="1" si="25"/>
        <v>0</v>
      </c>
      <c r="BQ67" s="34">
        <f t="shared" ca="1" si="26"/>
        <v>47452</v>
      </c>
      <c r="BR67" s="23">
        <f t="shared" ca="1" si="27"/>
        <v>1303017.9652078212</v>
      </c>
      <c r="BS67" s="24">
        <f t="shared" ca="1" si="28"/>
        <v>5264.3635200000008</v>
      </c>
      <c r="BT67" s="24">
        <f t="shared" ca="1" si="62"/>
        <v>63172.362239999995</v>
      </c>
      <c r="BU67" s="24">
        <f t="shared" ca="1" si="29"/>
        <v>0</v>
      </c>
      <c r="BV67" s="24">
        <f t="shared" ca="1" si="63"/>
        <v>0</v>
      </c>
      <c r="BW67" s="24">
        <f t="shared" ca="1" si="30"/>
        <v>0</v>
      </c>
      <c r="BX67" s="25">
        <f t="shared" ca="1" si="64"/>
        <v>0</v>
      </c>
      <c r="BY67" s="23">
        <f t="shared" ca="1" si="2"/>
        <v>1070985.786198722</v>
      </c>
      <c r="BZ67" s="24">
        <f t="shared" ca="1" si="3"/>
        <v>4341.0882971345145</v>
      </c>
      <c r="CA67" s="24">
        <f t="shared" ca="1" si="65"/>
        <v>53041.336037023044</v>
      </c>
      <c r="CB67" s="24">
        <f t="shared" ca="1" si="4"/>
        <v>0</v>
      </c>
      <c r="CC67" s="24">
        <f t="shared" ca="1" si="66"/>
        <v>0</v>
      </c>
      <c r="CD67" s="24">
        <f t="shared" ca="1" si="5"/>
        <v>0</v>
      </c>
      <c r="CE67" s="25">
        <f t="shared" ca="1" si="67"/>
        <v>0</v>
      </c>
      <c r="CF67" s="23">
        <f t="shared" ca="1" si="68"/>
        <v>0</v>
      </c>
      <c r="CG67" s="25">
        <f t="array" aca="1" ref="CG67" ca="1">SUM(BF56:BF67/(1+inflation/100)^(AP56:AP67/12))</f>
        <v>0</v>
      </c>
      <c r="CH67" s="32">
        <f ca="1">IFERROR(IF(MOD(AP67-ap_months_since_start,12)=0,ap_drawdown/100*(AQ67+AV67+BA67-BC67),CH66),0)</f>
        <v>198833.14696408427</v>
      </c>
      <c r="EL67" s="21">
        <f t="shared" ca="1" si="60"/>
        <v>6</v>
      </c>
      <c r="EM67" t="str">
        <f t="shared" ca="1" si="106"/>
        <v/>
      </c>
      <c r="EN67" t="str">
        <f t="shared" ca="1" si="107"/>
        <v/>
      </c>
      <c r="EO67" t="str">
        <f t="shared" ca="1" si="108"/>
        <v/>
      </c>
      <c r="EP67" s="1" t="str">
        <f t="shared" ca="1" si="109"/>
        <v/>
      </c>
      <c r="EQ67" s="1" t="str">
        <f t="shared" ca="1" si="110"/>
        <v/>
      </c>
      <c r="ER67" t="str">
        <f t="shared" ca="1" si="111"/>
        <v/>
      </c>
      <c r="ES67" t="str">
        <f t="shared" si="112"/>
        <v/>
      </c>
      <c r="ET67">
        <v>0</v>
      </c>
      <c r="EU67" s="22">
        <v>58</v>
      </c>
      <c r="EX67" s="21" t="str">
        <f ca="1">IF(EX66="","",IF(EX66+1&lt;=MAX('Financial Planning Tool'!$EL$10:$EL$209),EX66+1,""))</f>
        <v/>
      </c>
      <c r="EY67" t="str">
        <f ca="1">IF(EX67&lt;&gt;"",VLOOKUP(EX67,'Financial Planning Tool'!$EL$10:$ER$209,2,FALSE),"")</f>
        <v/>
      </c>
      <c r="EZ67" t="str">
        <f ca="1">IF(EX67&lt;&gt;"",VLOOKUP(EX67,'Financial Planning Tool'!$EL$10:$ER$209,3,FALSE),"")</f>
        <v/>
      </c>
      <c r="FA67" t="str">
        <f ca="1">IF(EX67&lt;&gt;"",VLOOKUP(EX67,'Financial Planning Tool'!$EL$10:$ER$209,4,FALSE),"")</f>
        <v/>
      </c>
      <c r="FB67" t="str">
        <f t="shared" ca="1" si="61"/>
        <v/>
      </c>
      <c r="FC67" s="1" t="str">
        <f ca="1">IF(EX67&lt;&gt;"",VLOOKUP(EX67,'Financial Planning Tool'!$EL$10:$ER$209,5,FALSE),"")</f>
        <v/>
      </c>
      <c r="FD67" s="1" t="str">
        <f ca="1">IF(EX67&lt;&gt;"",VLOOKUP(EX67,'Financial Planning Tool'!$EL$10:$ER$209,6,FALSE),"")</f>
        <v/>
      </c>
      <c r="FE67" t="str">
        <f ca="1">IF(EX67&lt;&gt;"",VLOOKUP(EX67,'Financial Planning Tool'!$EL$10:$ER$209,7,FALSE),"")</f>
        <v/>
      </c>
      <c r="FF67" t="str">
        <f ca="1">IF(EX67&lt;&gt;"",VLOOKUP(EX67,'Financial Planning Tool'!$EL$10:$ES$209,8,FALSE),"")</f>
        <v/>
      </c>
      <c r="FG67" t="str">
        <f ca="1">IF(EX67&lt;&gt;"",VLOOKUP(EX67,'Financial Planning Tool'!$EL$10:$ET$209,9,FALSE),"")</f>
        <v/>
      </c>
      <c r="FH67" t="str">
        <f t="shared" ca="1" si="86"/>
        <v/>
      </c>
      <c r="FI67" s="22" t="str">
        <f t="shared" ca="1" si="87"/>
        <v/>
      </c>
    </row>
    <row r="68" spans="1:165" x14ac:dyDescent="0.25">
      <c r="A68" s="20"/>
      <c r="B68" s="78" t="s">
        <v>201</v>
      </c>
      <c r="C68" s="76"/>
      <c r="D68" s="126">
        <v>45627</v>
      </c>
      <c r="E68" s="127">
        <v>0</v>
      </c>
      <c r="F68" s="77"/>
      <c r="H68" s="5">
        <f t="shared" ca="1" si="92"/>
        <v>50739</v>
      </c>
      <c r="I68" s="8">
        <f t="shared" ca="1" si="93"/>
        <v>68</v>
      </c>
      <c r="J68" s="12" t="str">
        <f t="shared" ca="1" si="95"/>
        <v/>
      </c>
      <c r="K68" s="12" t="str">
        <f t="shared" ca="1" si="96"/>
        <v/>
      </c>
      <c r="L68" s="12" t="str">
        <f t="shared" ca="1" si="97"/>
        <v/>
      </c>
      <c r="M68" s="12" t="str">
        <f t="shared" ca="1" si="98"/>
        <v/>
      </c>
      <c r="N68" s="12">
        <f t="shared" ca="1" si="99"/>
        <v>-400943.86</v>
      </c>
      <c r="O68" s="12">
        <f t="shared" ca="1" si="100"/>
        <v>-236554.8</v>
      </c>
      <c r="P68" s="12">
        <f t="shared" ca="1" si="101"/>
        <v>2077710.89</v>
      </c>
      <c r="Q68" s="12">
        <f t="shared" ca="1" si="102"/>
        <v>1199826.27</v>
      </c>
      <c r="S68" s="18"/>
      <c r="T68" s="5">
        <f t="shared" ca="1" si="103"/>
        <v>50739</v>
      </c>
      <c r="U68" s="8">
        <f t="shared" ca="1" si="104"/>
        <v>68</v>
      </c>
      <c r="V68" s="12"/>
      <c r="W68" s="12"/>
      <c r="X68" s="12"/>
      <c r="Y68" s="12"/>
      <c r="Z68" s="12"/>
      <c r="AA68" s="12"/>
      <c r="AB68" s="12">
        <v>1468596.81</v>
      </c>
      <c r="AC68" s="12">
        <v>848078.07</v>
      </c>
      <c r="AE68" s="21">
        <v>15</v>
      </c>
      <c r="AF68" s="22">
        <f t="shared" ca="1" si="91"/>
        <v>1</v>
      </c>
      <c r="AI68" s="21">
        <f t="shared" ca="1" si="94"/>
        <v>1</v>
      </c>
      <c r="AJ68" s="22">
        <v>0</v>
      </c>
      <c r="AN68" s="32">
        <f t="shared" ca="1" si="0"/>
        <v>59.916666666666664</v>
      </c>
      <c r="AO68" s="53">
        <f t="shared" ca="1" si="31"/>
        <v>47453</v>
      </c>
      <c r="AP68" s="22">
        <v>61</v>
      </c>
      <c r="AQ68" s="32">
        <f t="shared" ca="1" si="32"/>
        <v>1303017.9652078212</v>
      </c>
      <c r="AR68" s="23">
        <f t="array" aca="1" ref="AR68" ca="1">SUM(IF(lsc_start_date=AO68,lsc_amount,0))</f>
        <v>0</v>
      </c>
      <c r="AS68" s="24">
        <f t="shared" ca="1" si="6"/>
        <v>0</v>
      </c>
      <c r="AT68" s="24">
        <f t="shared" ca="1" si="7"/>
        <v>0</v>
      </c>
      <c r="AU68" s="24">
        <f t="shared" ca="1" si="8"/>
        <v>0</v>
      </c>
      <c r="AV68" s="25">
        <f t="shared" ca="1" si="9"/>
        <v>0</v>
      </c>
      <c r="AW68" s="23">
        <f t="array" aca="1" ref="AW68" ca="1">SUM(IF(rcs_start_date&lt;=AO68,1,0)*IF(rcs_end_date&gt;=AO68,1,0)*rcs_amount*(1+rcs_escalation/100)^(INT((AP68-rcs_months_since_start)/12))*IF(MOD((AP68-rcs_months_since_start),rcs_frequency)=0,1,0)*IF(rcs_frequency=13,0,1))+SUM(IF(rcs_start_date=AO68,rcs_amount,0)*IF(rcs_frequency=13,1,0))</f>
        <v>5474.938060800001</v>
      </c>
      <c r="AX68" s="24">
        <f t="shared" ca="1" si="10"/>
        <v>0</v>
      </c>
      <c r="AY68" s="24">
        <f t="shared" ca="1" si="11"/>
        <v>0</v>
      </c>
      <c r="AZ68" s="24">
        <f t="shared" ca="1" si="12"/>
        <v>0</v>
      </c>
      <c r="BA68" s="25">
        <f t="shared" ca="1" si="13"/>
        <v>5474.938060800001</v>
      </c>
      <c r="BB68" s="23">
        <f t="array" aca="1" ref="BB68" ca="1">SUM(IF(w_start_date&lt;=AO68,1,0)*IF(w_end_date&gt;=AO68,1,0)*w_amount*(1+w_escalation/100)^(INT((AP68-w_months_since_start)/12))*IF(MOD(AP68-w_months_since_start,w_frequency)=0,1,0)*IF(w_frequency=13,0,1))+SUM(IF(w_start_date=AO68,w_amount,0)*IF(w_frequency=13,1,0))</f>
        <v>0</v>
      </c>
      <c r="BC68" s="25">
        <f t="shared" ca="1" si="14"/>
        <v>0</v>
      </c>
      <c r="BD68" s="24" t="b">
        <f t="shared" ca="1" si="15"/>
        <v>0</v>
      </c>
      <c r="BE68" s="24" t="b">
        <f t="shared" ca="1" si="16"/>
        <v>1</v>
      </c>
      <c r="BF68" s="23">
        <f t="array" aca="1" ref="BF68" ca="1">SUM(IF(BD68,1,0)*IF(ap_start_date&lt;=AO68,1,0)*IF(ap_end_date&gt;=AO68,1,0)*ap_amount*(1+ap_escalation/100)^(INT((AP68-ap_months_since_start)/12))*IF(MOD(AP68-ap_months_since_start,ap_frequency)=0,1,0))</f>
        <v>0</v>
      </c>
      <c r="BG68" s="24">
        <f t="shared" ca="1" si="17"/>
        <v>0</v>
      </c>
      <c r="BH68" s="24">
        <f t="shared" ca="1" si="18"/>
        <v>0</v>
      </c>
      <c r="BI68">
        <f t="shared" ca="1" si="19"/>
        <v>0</v>
      </c>
      <c r="BJ68" s="24">
        <f t="shared" ca="1" si="20"/>
        <v>0</v>
      </c>
      <c r="BK68">
        <f t="shared" ca="1" si="21"/>
        <v>0</v>
      </c>
      <c r="BL68" s="25">
        <f t="shared" ca="1" si="22"/>
        <v>0</v>
      </c>
      <c r="BM68" s="32">
        <f t="shared" ca="1" si="1"/>
        <v>1317923.6346793487</v>
      </c>
      <c r="BN68" s="23">
        <f t="shared" ca="1" si="23"/>
        <v>0</v>
      </c>
      <c r="BO68" s="24">
        <f t="shared" ca="1" si="24"/>
        <v>0</v>
      </c>
      <c r="BP68" s="25">
        <f t="shared" ca="1" si="25"/>
        <v>0</v>
      </c>
      <c r="BQ68" s="34">
        <f t="shared" ca="1" si="26"/>
        <v>47483</v>
      </c>
      <c r="BR68" s="23">
        <f t="shared" ca="1" si="27"/>
        <v>1317923.6346793487</v>
      </c>
      <c r="BS68" s="24">
        <f t="shared" ca="1" si="28"/>
        <v>5474.938060800001</v>
      </c>
      <c r="BT68" s="24">
        <f t="shared" ca="1" si="62"/>
        <v>63382.936780799995</v>
      </c>
      <c r="BU68" s="24">
        <f t="shared" ca="1" si="29"/>
        <v>0</v>
      </c>
      <c r="BV68" s="24">
        <f t="shared" ca="1" si="63"/>
        <v>0</v>
      </c>
      <c r="BW68" s="24">
        <f t="shared" ca="1" si="30"/>
        <v>0</v>
      </c>
      <c r="BX68" s="25">
        <f t="shared" ca="1" si="64"/>
        <v>0</v>
      </c>
      <c r="BY68" s="23">
        <f t="shared" ca="1" si="2"/>
        <v>1079702.4949710397</v>
      </c>
      <c r="BZ68" s="24">
        <f t="shared" ca="1" si="3"/>
        <v>4500</v>
      </c>
      <c r="CA68" s="24">
        <f t="shared" ca="1" si="65"/>
        <v>53041.336037023044</v>
      </c>
      <c r="CB68" s="24">
        <f t="shared" ca="1" si="4"/>
        <v>0</v>
      </c>
      <c r="CC68" s="24">
        <f t="shared" ca="1" si="66"/>
        <v>0</v>
      </c>
      <c r="CD68" s="24">
        <f t="shared" ca="1" si="5"/>
        <v>0</v>
      </c>
      <c r="CE68" s="25">
        <f t="shared" ca="1" si="67"/>
        <v>0</v>
      </c>
      <c r="CF68" s="23">
        <f t="shared" ca="1" si="68"/>
        <v>0</v>
      </c>
      <c r="CG68" s="25">
        <f t="array" aca="1" ref="CG68" ca="1">SUM(BF57:BF68/(1+inflation/100)^(AP57:AP68/12))</f>
        <v>0</v>
      </c>
      <c r="CH68" s="32">
        <f ca="1">IFERROR(IF(MOD(AP68-ap_months_since_start,12)=0,ap_drawdown/100*(AQ68+AV68+BA68-BC68),CH67),0)</f>
        <v>198833.14696408427</v>
      </c>
      <c r="EL68" s="21">
        <f t="shared" ca="1" si="60"/>
        <v>6</v>
      </c>
      <c r="EM68" t="str">
        <f t="shared" ca="1" si="106"/>
        <v/>
      </c>
      <c r="EN68" t="str">
        <f t="shared" ca="1" si="107"/>
        <v/>
      </c>
      <c r="EO68" t="str">
        <f t="shared" ca="1" si="108"/>
        <v/>
      </c>
      <c r="EP68" s="1" t="str">
        <f t="shared" ca="1" si="109"/>
        <v/>
      </c>
      <c r="EQ68" s="1" t="str">
        <f t="shared" ca="1" si="110"/>
        <v/>
      </c>
      <c r="ER68" t="str">
        <f t="shared" ca="1" si="111"/>
        <v/>
      </c>
      <c r="ES68" t="str">
        <f t="shared" si="112"/>
        <v/>
      </c>
      <c r="ET68">
        <v>0</v>
      </c>
      <c r="EU68" s="22">
        <v>59</v>
      </c>
      <c r="EX68" s="21" t="str">
        <f ca="1">IF(EX67="","",IF(EX67+1&lt;=MAX('Financial Planning Tool'!$EL$10:$EL$209),EX67+1,""))</f>
        <v/>
      </c>
      <c r="EY68" t="str">
        <f ca="1">IF(EX68&lt;&gt;"",VLOOKUP(EX68,'Financial Planning Tool'!$EL$10:$ER$209,2,FALSE),"")</f>
        <v/>
      </c>
      <c r="EZ68" t="str">
        <f ca="1">IF(EX68&lt;&gt;"",VLOOKUP(EX68,'Financial Planning Tool'!$EL$10:$ER$209,3,FALSE),"")</f>
        <v/>
      </c>
      <c r="FA68" t="str">
        <f ca="1">IF(EX68&lt;&gt;"",VLOOKUP(EX68,'Financial Planning Tool'!$EL$10:$ER$209,4,FALSE),"")</f>
        <v/>
      </c>
      <c r="FB68" t="str">
        <f t="shared" ca="1" si="61"/>
        <v/>
      </c>
      <c r="FC68" s="1" t="str">
        <f ca="1">IF(EX68&lt;&gt;"",VLOOKUP(EX68,'Financial Planning Tool'!$EL$10:$ER$209,5,FALSE),"")</f>
        <v/>
      </c>
      <c r="FD68" s="1" t="str">
        <f ca="1">IF(EX68&lt;&gt;"",VLOOKUP(EX68,'Financial Planning Tool'!$EL$10:$ER$209,6,FALSE),"")</f>
        <v/>
      </c>
      <c r="FE68" t="str">
        <f ca="1">IF(EX68&lt;&gt;"",VLOOKUP(EX68,'Financial Planning Tool'!$EL$10:$ER$209,7,FALSE),"")</f>
        <v/>
      </c>
      <c r="FF68" t="str">
        <f ca="1">IF(EX68&lt;&gt;"",VLOOKUP(EX68,'Financial Planning Tool'!$EL$10:$ES$209,8,FALSE),"")</f>
        <v/>
      </c>
      <c r="FG68" t="str">
        <f ca="1">IF(EX68&lt;&gt;"",VLOOKUP(EX68,'Financial Planning Tool'!$EL$10:$ET$209,9,FALSE),"")</f>
        <v/>
      </c>
      <c r="FH68" t="str">
        <f t="shared" ca="1" si="86"/>
        <v/>
      </c>
      <c r="FI68" s="22" t="str">
        <f t="shared" ca="1" si="87"/>
        <v/>
      </c>
    </row>
    <row r="69" spans="1:165" x14ac:dyDescent="0.25">
      <c r="A69" s="20"/>
      <c r="B69" s="78" t="s">
        <v>216</v>
      </c>
      <c r="C69" s="76"/>
      <c r="D69" s="126">
        <v>49614</v>
      </c>
      <c r="E69" s="127">
        <v>10.923287671232877</v>
      </c>
      <c r="F69" s="77"/>
      <c r="H69" s="5">
        <f t="shared" ca="1" si="92"/>
        <v>51104</v>
      </c>
      <c r="I69" s="8">
        <f t="shared" ca="1" si="93"/>
        <v>69</v>
      </c>
      <c r="J69" s="12" t="str">
        <f t="shared" ca="1" si="95"/>
        <v/>
      </c>
      <c r="K69" s="12" t="str">
        <f t="shared" ca="1" si="96"/>
        <v/>
      </c>
      <c r="L69" s="12" t="str">
        <f t="shared" ca="1" si="97"/>
        <v/>
      </c>
      <c r="M69" s="12" t="str">
        <f t="shared" ca="1" si="98"/>
        <v/>
      </c>
      <c r="N69" s="12">
        <f t="shared" ca="1" si="99"/>
        <v>-363488.11</v>
      </c>
      <c r="O69" s="12">
        <f t="shared" ca="1" si="100"/>
        <v>-206207.79</v>
      </c>
      <c r="P69" s="12">
        <f t="shared" ca="1" si="101"/>
        <v>1883613.34</v>
      </c>
      <c r="Q69" s="12">
        <f t="shared" ca="1" si="102"/>
        <v>1045903.62</v>
      </c>
      <c r="S69" s="18"/>
      <c r="T69" s="5">
        <f t="shared" ca="1" si="103"/>
        <v>51104</v>
      </c>
      <c r="U69" s="8">
        <f t="shared" ca="1" si="104"/>
        <v>69</v>
      </c>
      <c r="V69" s="12"/>
      <c r="W69" s="12"/>
      <c r="X69" s="12"/>
      <c r="Y69" s="12"/>
      <c r="Z69" s="12"/>
      <c r="AA69" s="12"/>
      <c r="AB69" s="12">
        <v>1586084.56</v>
      </c>
      <c r="AC69" s="12">
        <v>880696.45</v>
      </c>
      <c r="AE69" s="21">
        <v>16</v>
      </c>
      <c r="AF69" s="22">
        <f t="shared" ca="1" si="91"/>
        <v>1</v>
      </c>
      <c r="AI69" s="21">
        <f t="shared" ca="1" si="94"/>
        <v>1</v>
      </c>
      <c r="AJ69" s="22">
        <v>0</v>
      </c>
      <c r="AN69" s="32">
        <f t="shared" ca="1" si="0"/>
        <v>60</v>
      </c>
      <c r="AO69" s="53">
        <f t="shared" ca="1" si="31"/>
        <v>47484</v>
      </c>
      <c r="AP69" s="22">
        <v>62</v>
      </c>
      <c r="AQ69" s="32">
        <f t="shared" ca="1" si="32"/>
        <v>1317923.6346793487</v>
      </c>
      <c r="AR69" s="23">
        <f t="array" aca="1" ref="AR69" ca="1">SUM(IF(lsc_start_date=AO69,lsc_amount,0))</f>
        <v>0</v>
      </c>
      <c r="AS69" s="24">
        <f t="shared" ca="1" si="6"/>
        <v>0</v>
      </c>
      <c r="AT69" s="24">
        <f t="shared" ca="1" si="7"/>
        <v>0</v>
      </c>
      <c r="AU69" s="24">
        <f t="shared" ca="1" si="8"/>
        <v>0</v>
      </c>
      <c r="AV69" s="25">
        <f t="shared" ca="1" si="9"/>
        <v>0</v>
      </c>
      <c r="AW69" s="23">
        <f t="array" aca="1" ref="AW69" ca="1">SUM(IF(rcs_start_date&lt;=AO69,1,0)*IF(rcs_end_date&gt;=AO69,1,0)*rcs_amount*(1+rcs_escalation/100)^(INT((AP69-rcs_months_since_start)/12))*IF(MOD((AP69-rcs_months_since_start),rcs_frequency)=0,1,0)*IF(rcs_frequency=13,0,1))+SUM(IF(rcs_start_date=AO69,rcs_amount,0)*IF(rcs_frequency=13,1,0))</f>
        <v>5474.938060800001</v>
      </c>
      <c r="AX69" s="24">
        <f t="shared" ca="1" si="10"/>
        <v>0</v>
      </c>
      <c r="AY69" s="24">
        <f t="shared" ca="1" si="11"/>
        <v>0</v>
      </c>
      <c r="AZ69" s="24">
        <f t="shared" ca="1" si="12"/>
        <v>0</v>
      </c>
      <c r="BA69" s="25">
        <f t="shared" ca="1" si="13"/>
        <v>5474.938060800001</v>
      </c>
      <c r="BB69" s="23">
        <f t="array" aca="1" ref="BB69" ca="1">SUM(IF(w_start_date&lt;=AO69,1,0)*IF(w_end_date&gt;=AO69,1,0)*w_amount*(1+w_escalation/100)^(INT((AP69-w_months_since_start)/12))*IF(MOD(AP69-w_months_since_start,w_frequency)=0,1,0)*IF(w_frequency=13,0,1))+SUM(IF(w_start_date=AO69,w_amount,0)*IF(w_frequency=13,1,0))</f>
        <v>0</v>
      </c>
      <c r="BC69" s="25">
        <f t="shared" ca="1" si="14"/>
        <v>0</v>
      </c>
      <c r="BD69" s="24" t="b">
        <f t="shared" ca="1" si="15"/>
        <v>0</v>
      </c>
      <c r="BE69" s="24" t="b">
        <f t="shared" ca="1" si="16"/>
        <v>1</v>
      </c>
      <c r="BF69" s="23">
        <f t="array" aca="1" ref="BF69" ca="1">SUM(IF(BD69,1,0)*IF(ap_start_date&lt;=AO69,1,0)*IF(ap_end_date&gt;=AO69,1,0)*ap_amount*(1+ap_escalation/100)^(INT((AP69-ap_months_since_start)/12))*IF(MOD(AP69-ap_months_since_start,ap_frequency)=0,1,0))</f>
        <v>0</v>
      </c>
      <c r="BG69" s="24">
        <f t="shared" ca="1" si="17"/>
        <v>0</v>
      </c>
      <c r="BH69" s="24">
        <f t="shared" ca="1" si="18"/>
        <v>0</v>
      </c>
      <c r="BI69">
        <f t="shared" ca="1" si="19"/>
        <v>0</v>
      </c>
      <c r="BJ69" s="24">
        <f t="shared" ca="1" si="20"/>
        <v>0</v>
      </c>
      <c r="BK69">
        <f t="shared" ca="1" si="21"/>
        <v>0</v>
      </c>
      <c r="BL69" s="25">
        <f t="shared" ca="1" si="22"/>
        <v>0</v>
      </c>
      <c r="BM69" s="32">
        <f t="shared" ca="1" si="1"/>
        <v>1332936.7341300009</v>
      </c>
      <c r="BN69" s="23">
        <f t="shared" ca="1" si="23"/>
        <v>0</v>
      </c>
      <c r="BO69" s="24">
        <f t="shared" ca="1" si="24"/>
        <v>0</v>
      </c>
      <c r="BP69" s="25">
        <f t="shared" ca="1" si="25"/>
        <v>0</v>
      </c>
      <c r="BQ69" s="34">
        <f t="shared" ca="1" si="26"/>
        <v>47514</v>
      </c>
      <c r="BR69" s="23">
        <f t="shared" ca="1" si="27"/>
        <v>1332936.7341300009</v>
      </c>
      <c r="BS69" s="24">
        <f t="shared" ca="1" si="28"/>
        <v>5474.938060800001</v>
      </c>
      <c r="BT69" s="24">
        <f t="shared" ca="1" si="62"/>
        <v>63593.511321599995</v>
      </c>
      <c r="BU69" s="24">
        <f t="shared" ca="1" si="29"/>
        <v>0</v>
      </c>
      <c r="BV69" s="24">
        <f t="shared" ca="1" si="63"/>
        <v>0</v>
      </c>
      <c r="BW69" s="24">
        <f t="shared" ca="1" si="30"/>
        <v>0</v>
      </c>
      <c r="BX69" s="25">
        <f t="shared" ca="1" si="64"/>
        <v>0</v>
      </c>
      <c r="BY69" s="23">
        <f t="shared" ca="1" si="2"/>
        <v>1088438.6384325298</v>
      </c>
      <c r="BZ69" s="24">
        <f t="shared" ca="1" si="3"/>
        <v>4485.3162417835301</v>
      </c>
      <c r="CA69" s="24">
        <f t="shared" ca="1" si="65"/>
        <v>53041.336037023037</v>
      </c>
      <c r="CB69" s="24">
        <f t="shared" ca="1" si="4"/>
        <v>0</v>
      </c>
      <c r="CC69" s="24">
        <f t="shared" ca="1" si="66"/>
        <v>0</v>
      </c>
      <c r="CD69" s="24">
        <f t="shared" ca="1" si="5"/>
        <v>0</v>
      </c>
      <c r="CE69" s="25">
        <f t="shared" ca="1" si="67"/>
        <v>0</v>
      </c>
      <c r="CF69" s="23">
        <f t="shared" ca="1" si="68"/>
        <v>0</v>
      </c>
      <c r="CG69" s="25">
        <f t="array" aca="1" ref="CG69" ca="1">SUM(BF58:BF69/(1+inflation/100)^(AP58:AP69/12))</f>
        <v>0</v>
      </c>
      <c r="CH69" s="32">
        <f ca="1">IFERROR(IF(MOD(AP69-ap_months_since_start,12)=0,ap_drawdown/100*(AQ69+AV69+BA69-BC69),CH68),0)</f>
        <v>198833.14696408427</v>
      </c>
      <c r="EL69" s="21">
        <f t="shared" ca="1" si="60"/>
        <v>6</v>
      </c>
      <c r="EM69" t="str">
        <f t="shared" ca="1" si="106"/>
        <v/>
      </c>
      <c r="EN69" t="str">
        <f t="shared" ca="1" si="107"/>
        <v/>
      </c>
      <c r="EO69" t="str">
        <f t="shared" ca="1" si="108"/>
        <v/>
      </c>
      <c r="EP69" s="1" t="str">
        <f t="shared" ca="1" si="109"/>
        <v/>
      </c>
      <c r="EQ69" s="1" t="str">
        <f t="shared" ca="1" si="110"/>
        <v/>
      </c>
      <c r="ER69" t="str">
        <f t="shared" ca="1" si="111"/>
        <v/>
      </c>
      <c r="ES69" t="str">
        <f t="shared" si="112"/>
        <v/>
      </c>
      <c r="ET69">
        <v>0</v>
      </c>
      <c r="EU69" s="22">
        <v>60</v>
      </c>
      <c r="EX69" s="21" t="str">
        <f ca="1">IF(EX68="","",IF(EX68+1&lt;=MAX('Financial Planning Tool'!$EL$10:$EL$209),EX68+1,""))</f>
        <v/>
      </c>
      <c r="EY69" t="str">
        <f ca="1">IF(EX69&lt;&gt;"",VLOOKUP(EX69,'Financial Planning Tool'!$EL$10:$ER$209,2,FALSE),"")</f>
        <v/>
      </c>
      <c r="EZ69" t="str">
        <f ca="1">IF(EX69&lt;&gt;"",VLOOKUP(EX69,'Financial Planning Tool'!$EL$10:$ER$209,3,FALSE),"")</f>
        <v/>
      </c>
      <c r="FA69" t="str">
        <f ca="1">IF(EX69&lt;&gt;"",VLOOKUP(EX69,'Financial Planning Tool'!$EL$10:$ER$209,4,FALSE),"")</f>
        <v/>
      </c>
      <c r="FB69" t="str">
        <f t="shared" ca="1" si="61"/>
        <v/>
      </c>
      <c r="FC69" s="1" t="str">
        <f ca="1">IF(EX69&lt;&gt;"",VLOOKUP(EX69,'Financial Planning Tool'!$EL$10:$ER$209,5,FALSE),"")</f>
        <v/>
      </c>
      <c r="FD69" s="1" t="str">
        <f ca="1">IF(EX69&lt;&gt;"",VLOOKUP(EX69,'Financial Planning Tool'!$EL$10:$ER$209,6,FALSE),"")</f>
        <v/>
      </c>
      <c r="FE69" t="str">
        <f ca="1">IF(EX69&lt;&gt;"",VLOOKUP(EX69,'Financial Planning Tool'!$EL$10:$ER$209,7,FALSE),"")</f>
        <v/>
      </c>
      <c r="FF69" t="str">
        <f ca="1">IF(EX69&lt;&gt;"",VLOOKUP(EX69,'Financial Planning Tool'!$EL$10:$ES$209,8,FALSE),"")</f>
        <v/>
      </c>
      <c r="FG69" t="str">
        <f ca="1">IF(EX69&lt;&gt;"",VLOOKUP(EX69,'Financial Planning Tool'!$EL$10:$ET$209,9,FALSE),"")</f>
        <v/>
      </c>
      <c r="FH69" t="str">
        <f t="shared" ca="1" si="86"/>
        <v/>
      </c>
      <c r="FI69" s="22" t="str">
        <f t="shared" ca="1" si="87"/>
        <v/>
      </c>
    </row>
    <row r="70" spans="1:165" x14ac:dyDescent="0.25">
      <c r="A70" s="20"/>
      <c r="B70" s="78" t="str">
        <f>"      Annual escalation"&amp;IF(inflation&lt;&gt;""," (inflation rate is "&amp;inflation&amp;"%)","")</f>
        <v xml:space="preserve">      Annual escalation (inflation rate is 4%)</v>
      </c>
      <c r="C70" s="76"/>
      <c r="D70" s="128">
        <v>4</v>
      </c>
      <c r="E70" s="129">
        <v>0</v>
      </c>
      <c r="F70" s="77"/>
      <c r="H70" s="5">
        <f t="shared" ca="1" si="92"/>
        <v>51470</v>
      </c>
      <c r="I70" s="8">
        <f t="shared" ca="1" si="93"/>
        <v>70</v>
      </c>
      <c r="J70" s="12" t="str">
        <f t="shared" ca="1" si="95"/>
        <v/>
      </c>
      <c r="K70" s="12" t="str">
        <f t="shared" ca="1" si="96"/>
        <v/>
      </c>
      <c r="L70" s="12" t="str">
        <f t="shared" ca="1" si="97"/>
        <v/>
      </c>
      <c r="M70" s="12" t="str">
        <f t="shared" ca="1" si="98"/>
        <v/>
      </c>
      <c r="N70" s="12">
        <f t="shared" ca="1" si="99"/>
        <v>-329531.44</v>
      </c>
      <c r="O70" s="12">
        <f t="shared" ca="1" si="100"/>
        <v>-179753.92</v>
      </c>
      <c r="P70" s="12">
        <f t="shared" ca="1" si="101"/>
        <v>1707648.17</v>
      </c>
      <c r="Q70" s="12">
        <f t="shared" ca="1" si="102"/>
        <v>911727.32</v>
      </c>
      <c r="S70" s="18"/>
      <c r="T70" s="5">
        <f t="shared" ca="1" si="103"/>
        <v>51470</v>
      </c>
      <c r="U70" s="8">
        <f t="shared" ca="1" si="104"/>
        <v>70</v>
      </c>
      <c r="V70" s="12"/>
      <c r="W70" s="12"/>
      <c r="X70" s="12"/>
      <c r="Y70" s="12"/>
      <c r="Z70" s="12"/>
      <c r="AA70" s="12"/>
      <c r="AB70" s="12">
        <v>1712971.32</v>
      </c>
      <c r="AC70" s="12">
        <v>914569.39</v>
      </c>
      <c r="AE70" s="21">
        <v>17</v>
      </c>
      <c r="AF70" s="22">
        <f t="shared" ca="1" si="91"/>
        <v>1</v>
      </c>
      <c r="AI70" s="21">
        <f t="shared" ca="1" si="94"/>
        <v>1</v>
      </c>
      <c r="AJ70" s="22">
        <v>0</v>
      </c>
      <c r="AN70" s="32">
        <f t="shared" ca="1" si="0"/>
        <v>60.083333333333336</v>
      </c>
      <c r="AO70" s="53">
        <f t="shared" ca="1" si="31"/>
        <v>47515</v>
      </c>
      <c r="AP70" s="22">
        <v>63</v>
      </c>
      <c r="AQ70" s="32">
        <f t="shared" ca="1" si="32"/>
        <v>1332936.7341300009</v>
      </c>
      <c r="AR70" s="23">
        <f t="array" aca="1" ref="AR70" ca="1">SUM(IF(lsc_start_date=AO70,lsc_amount,0))</f>
        <v>0</v>
      </c>
      <c r="AS70" s="24">
        <f t="shared" ca="1" si="6"/>
        <v>0</v>
      </c>
      <c r="AT70" s="24">
        <f t="shared" ca="1" si="7"/>
        <v>0</v>
      </c>
      <c r="AU70" s="24">
        <f t="shared" ca="1" si="8"/>
        <v>0</v>
      </c>
      <c r="AV70" s="25">
        <f t="shared" ca="1" si="9"/>
        <v>0</v>
      </c>
      <c r="AW70" s="23">
        <f t="array" aca="1" ref="AW70" ca="1">SUM(IF(rcs_start_date&lt;=AO70,1,0)*IF(rcs_end_date&gt;=AO70,1,0)*rcs_amount*(1+rcs_escalation/100)^(INT((AP70-rcs_months_since_start)/12))*IF(MOD((AP70-rcs_months_since_start),rcs_frequency)=0,1,0)*IF(rcs_frequency=13,0,1))+SUM(IF(rcs_start_date=AO70,rcs_amount,0)*IF(rcs_frequency=13,1,0))</f>
        <v>5474.938060800001</v>
      </c>
      <c r="AX70" s="24">
        <f t="shared" ca="1" si="10"/>
        <v>0</v>
      </c>
      <c r="AY70" s="24">
        <f t="shared" ca="1" si="11"/>
        <v>0</v>
      </c>
      <c r="AZ70" s="24">
        <f t="shared" ca="1" si="12"/>
        <v>0</v>
      </c>
      <c r="BA70" s="25">
        <f t="shared" ca="1" si="13"/>
        <v>5474.938060800001</v>
      </c>
      <c r="BB70" s="23">
        <f t="array" aca="1" ref="BB70" ca="1">SUM(IF(w_start_date&lt;=AO70,1,0)*IF(w_end_date&gt;=AO70,1,0)*w_amount*(1+w_escalation/100)^(INT((AP70-w_months_since_start)/12))*IF(MOD(AP70-w_months_since_start,w_frequency)=0,1,0)*IF(w_frequency=13,0,1))+SUM(IF(w_start_date=AO70,w_amount,0)*IF(w_frequency=13,1,0))</f>
        <v>0</v>
      </c>
      <c r="BC70" s="25">
        <f t="shared" ca="1" si="14"/>
        <v>0</v>
      </c>
      <c r="BD70" s="24" t="b">
        <f t="shared" ca="1" si="15"/>
        <v>0</v>
      </c>
      <c r="BE70" s="24" t="b">
        <f t="shared" ca="1" si="16"/>
        <v>1</v>
      </c>
      <c r="BF70" s="23">
        <f t="array" aca="1" ref="BF70" ca="1">SUM(IF(BD70,1,0)*IF(ap_start_date&lt;=AO70,1,0)*IF(ap_end_date&gt;=AO70,1,0)*ap_amount*(1+ap_escalation/100)^(INT((AP70-ap_months_since_start)/12))*IF(MOD(AP70-ap_months_since_start,ap_frequency)=0,1,0))</f>
        <v>0</v>
      </c>
      <c r="BG70" s="24">
        <f t="shared" ca="1" si="17"/>
        <v>0</v>
      </c>
      <c r="BH70" s="24">
        <f t="shared" ca="1" si="18"/>
        <v>0</v>
      </c>
      <c r="BI70">
        <f t="shared" ca="1" si="19"/>
        <v>0</v>
      </c>
      <c r="BJ70" s="24">
        <f t="shared" ca="1" si="20"/>
        <v>0</v>
      </c>
      <c r="BK70">
        <f t="shared" ca="1" si="21"/>
        <v>0</v>
      </c>
      <c r="BL70" s="25">
        <f t="shared" ca="1" si="22"/>
        <v>0</v>
      </c>
      <c r="BM70" s="32">
        <f t="shared" ca="1" si="1"/>
        <v>1348058.0378423713</v>
      </c>
      <c r="BN70" s="23">
        <f t="shared" ca="1" si="23"/>
        <v>0</v>
      </c>
      <c r="BO70" s="24">
        <f t="shared" ca="1" si="24"/>
        <v>0</v>
      </c>
      <c r="BP70" s="25">
        <f t="shared" ca="1" si="25"/>
        <v>0</v>
      </c>
      <c r="BQ70" s="34">
        <f t="shared" ca="1" si="26"/>
        <v>47542</v>
      </c>
      <c r="BR70" s="23">
        <f t="shared" ca="1" si="27"/>
        <v>1348058.0378423713</v>
      </c>
      <c r="BS70" s="24">
        <f t="shared" ca="1" si="28"/>
        <v>5474.938060800001</v>
      </c>
      <c r="BT70" s="24">
        <f t="shared" ca="1" si="62"/>
        <v>63804.085862399996</v>
      </c>
      <c r="BU70" s="24">
        <f t="shared" ca="1" si="29"/>
        <v>0</v>
      </c>
      <c r="BV70" s="24">
        <f t="shared" ca="1" si="63"/>
        <v>0</v>
      </c>
      <c r="BW70" s="24">
        <f t="shared" ca="1" si="30"/>
        <v>0</v>
      </c>
      <c r="BX70" s="25">
        <f t="shared" ca="1" si="64"/>
        <v>0</v>
      </c>
      <c r="BY70" s="23">
        <f t="shared" ca="1" si="2"/>
        <v>1097194.3408835155</v>
      </c>
      <c r="BZ70" s="24">
        <f t="shared" ca="1" si="3"/>
        <v>4470.6803975126968</v>
      </c>
      <c r="CA70" s="24">
        <f t="shared" ca="1" si="65"/>
        <v>53041.336037023037</v>
      </c>
      <c r="CB70" s="24">
        <f t="shared" ca="1" si="4"/>
        <v>0</v>
      </c>
      <c r="CC70" s="24">
        <f t="shared" ca="1" si="66"/>
        <v>0</v>
      </c>
      <c r="CD70" s="24">
        <f t="shared" ca="1" si="5"/>
        <v>0</v>
      </c>
      <c r="CE70" s="25">
        <f t="shared" ca="1" si="67"/>
        <v>0</v>
      </c>
      <c r="CF70" s="23">
        <f t="shared" ca="1" si="68"/>
        <v>0</v>
      </c>
      <c r="CG70" s="25">
        <f t="array" aca="1" ref="CG70" ca="1">SUM(BF59:BF70/(1+inflation/100)^(AP59:AP70/12))</f>
        <v>0</v>
      </c>
      <c r="CH70" s="32">
        <f ca="1">IFERROR(IF(MOD(AP70-ap_months_since_start,12)=0,ap_drawdown/100*(AQ70+AV70+BA70-BC70),CH69),0)</f>
        <v>198833.14696408427</v>
      </c>
      <c r="EL70" s="21">
        <f t="shared" ca="1" si="60"/>
        <v>6</v>
      </c>
      <c r="EM70" t="str">
        <f t="shared" ca="1" si="106"/>
        <v/>
      </c>
      <c r="EN70" t="str">
        <f t="shared" ca="1" si="107"/>
        <v/>
      </c>
      <c r="EO70" t="str">
        <f t="shared" ca="1" si="108"/>
        <v/>
      </c>
      <c r="EP70" s="1" t="str">
        <f t="shared" ca="1" si="109"/>
        <v/>
      </c>
      <c r="EQ70" s="1" t="str">
        <f t="shared" ca="1" si="110"/>
        <v/>
      </c>
      <c r="ER70" t="str">
        <f t="shared" ca="1" si="111"/>
        <v/>
      </c>
      <c r="ES70" t="str">
        <f t="shared" si="112"/>
        <v/>
      </c>
      <c r="ET70">
        <v>0</v>
      </c>
      <c r="EU70" s="22">
        <v>61</v>
      </c>
      <c r="EX70" s="21" t="str">
        <f ca="1">IF(EX69="","",IF(EX69+1&lt;=MAX('Financial Planning Tool'!$EL$10:$EL$209),EX69+1,""))</f>
        <v/>
      </c>
      <c r="EY70" t="str">
        <f ca="1">IF(EX70&lt;&gt;"",VLOOKUP(EX70,'Financial Planning Tool'!$EL$10:$ER$209,2,FALSE),"")</f>
        <v/>
      </c>
      <c r="EZ70" t="str">
        <f ca="1">IF(EX70&lt;&gt;"",VLOOKUP(EX70,'Financial Planning Tool'!$EL$10:$ER$209,3,FALSE),"")</f>
        <v/>
      </c>
      <c r="FA70" t="str">
        <f ca="1">IF(EX70&lt;&gt;"",VLOOKUP(EX70,'Financial Planning Tool'!$EL$10:$ER$209,4,FALSE),"")</f>
        <v/>
      </c>
      <c r="FB70" t="str">
        <f t="shared" ca="1" si="61"/>
        <v/>
      </c>
      <c r="FC70" s="1" t="str">
        <f ca="1">IF(EX70&lt;&gt;"",VLOOKUP(EX70,'Financial Planning Tool'!$EL$10:$ER$209,5,FALSE),"")</f>
        <v/>
      </c>
      <c r="FD70" s="1" t="str">
        <f ca="1">IF(EX70&lt;&gt;"",VLOOKUP(EX70,'Financial Planning Tool'!$EL$10:$ER$209,6,FALSE),"")</f>
        <v/>
      </c>
      <c r="FE70" t="str">
        <f ca="1">IF(EX70&lt;&gt;"",VLOOKUP(EX70,'Financial Planning Tool'!$EL$10:$ER$209,7,FALSE),"")</f>
        <v/>
      </c>
      <c r="FF70" t="str">
        <f ca="1">IF(EX70&lt;&gt;"",VLOOKUP(EX70,'Financial Planning Tool'!$EL$10:$ES$209,8,FALSE),"")</f>
        <v/>
      </c>
      <c r="FG70" t="str">
        <f ca="1">IF(EX70&lt;&gt;"",VLOOKUP(EX70,'Financial Planning Tool'!$EL$10:$ET$209,9,FALSE),"")</f>
        <v/>
      </c>
      <c r="FH70" t="str">
        <f t="shared" ca="1" si="86"/>
        <v/>
      </c>
      <c r="FI70" s="22" t="str">
        <f t="shared" ca="1" si="87"/>
        <v/>
      </c>
    </row>
    <row r="71" spans="1:165" x14ac:dyDescent="0.25">
      <c r="A71" s="20"/>
      <c r="B71" s="133" t="s">
        <v>218</v>
      </c>
      <c r="C71" s="134"/>
      <c r="D71" s="166" t="s">
        <v>219</v>
      </c>
      <c r="E71" s="167"/>
      <c r="F71" s="135"/>
      <c r="H71" s="5">
        <f t="shared" ca="1" si="92"/>
        <v>51835</v>
      </c>
      <c r="I71" s="8">
        <f t="shared" ca="1" si="93"/>
        <v>71</v>
      </c>
      <c r="J71" s="12" t="str">
        <f t="shared" ca="1" si="95"/>
        <v/>
      </c>
      <c r="K71" s="12" t="str">
        <f t="shared" ca="1" si="96"/>
        <v/>
      </c>
      <c r="L71" s="12" t="str">
        <f t="shared" ca="1" si="97"/>
        <v/>
      </c>
      <c r="M71" s="12" t="str">
        <f t="shared" ca="1" si="98"/>
        <v/>
      </c>
      <c r="N71" s="12">
        <f t="shared" ca="1" si="99"/>
        <v>-298746.96000000002</v>
      </c>
      <c r="O71" s="12">
        <f t="shared" ca="1" si="100"/>
        <v>-156693.75</v>
      </c>
      <c r="P71" s="12">
        <f t="shared" ca="1" si="101"/>
        <v>1548121.49</v>
      </c>
      <c r="Q71" s="12">
        <f t="shared" ca="1" si="102"/>
        <v>794764.15</v>
      </c>
      <c r="S71" s="18"/>
      <c r="T71" s="5">
        <f t="shared" ca="1" si="103"/>
        <v>51835</v>
      </c>
      <c r="U71" s="8">
        <f t="shared" ca="1" si="104"/>
        <v>71</v>
      </c>
      <c r="V71" s="12"/>
      <c r="W71" s="12"/>
      <c r="X71" s="12"/>
      <c r="Y71" s="12"/>
      <c r="Z71" s="12"/>
      <c r="AA71" s="12"/>
      <c r="AB71" s="12">
        <v>1850009.03</v>
      </c>
      <c r="AC71" s="12">
        <v>949745.14</v>
      </c>
      <c r="AE71" s="21">
        <v>18</v>
      </c>
      <c r="AF71" s="22">
        <f t="shared" ca="1" si="91"/>
        <v>1</v>
      </c>
      <c r="AI71" s="21">
        <f t="shared" ca="1" si="94"/>
        <v>1</v>
      </c>
      <c r="AJ71" s="22">
        <v>0</v>
      </c>
      <c r="AN71" s="32">
        <f t="shared" ca="1" si="0"/>
        <v>60.166666666666664</v>
      </c>
      <c r="AO71" s="53">
        <f t="shared" ca="1" si="31"/>
        <v>47543</v>
      </c>
      <c r="AP71" s="22">
        <v>64</v>
      </c>
      <c r="AQ71" s="32">
        <f t="shared" ca="1" si="32"/>
        <v>1348058.0378423713</v>
      </c>
      <c r="AR71" s="23">
        <f t="array" aca="1" ref="AR71" ca="1">SUM(IF(lsc_start_date=AO71,lsc_amount,0))</f>
        <v>0</v>
      </c>
      <c r="AS71" s="24">
        <f t="shared" ca="1" si="6"/>
        <v>0</v>
      </c>
      <c r="AT71" s="24">
        <f t="shared" ca="1" si="7"/>
        <v>0</v>
      </c>
      <c r="AU71" s="24">
        <f t="shared" ca="1" si="8"/>
        <v>0</v>
      </c>
      <c r="AV71" s="25">
        <f t="shared" ca="1" si="9"/>
        <v>0</v>
      </c>
      <c r="AW71" s="23">
        <f t="array" aca="1" ref="AW71" ca="1">SUM(IF(rcs_start_date&lt;=AO71,1,0)*IF(rcs_end_date&gt;=AO71,1,0)*rcs_amount*(1+rcs_escalation/100)^(INT((AP71-rcs_months_since_start)/12))*IF(MOD((AP71-rcs_months_since_start),rcs_frequency)=0,1,0)*IF(rcs_frequency=13,0,1))+SUM(IF(rcs_start_date=AO71,rcs_amount,0)*IF(rcs_frequency=13,1,0))</f>
        <v>5474.938060800001</v>
      </c>
      <c r="AX71" s="24">
        <f t="shared" ca="1" si="10"/>
        <v>0</v>
      </c>
      <c r="AY71" s="24">
        <f t="shared" ca="1" si="11"/>
        <v>0</v>
      </c>
      <c r="AZ71" s="24">
        <f t="shared" ca="1" si="12"/>
        <v>0</v>
      </c>
      <c r="BA71" s="25">
        <f t="shared" ca="1" si="13"/>
        <v>5474.938060800001</v>
      </c>
      <c r="BB71" s="23">
        <f t="array" aca="1" ref="BB71" ca="1">SUM(IF(w_start_date&lt;=AO71,1,0)*IF(w_end_date&gt;=AO71,1,0)*w_amount*(1+w_escalation/100)^(INT((AP71-w_months_since_start)/12))*IF(MOD(AP71-w_months_since_start,w_frequency)=0,1,0)*IF(w_frequency=13,0,1))+SUM(IF(w_start_date=AO71,w_amount,0)*IF(w_frequency=13,1,0))</f>
        <v>0</v>
      </c>
      <c r="BC71" s="25">
        <f t="shared" ca="1" si="14"/>
        <v>0</v>
      </c>
      <c r="BD71" s="24" t="b">
        <f t="shared" ca="1" si="15"/>
        <v>0</v>
      </c>
      <c r="BE71" s="24" t="b">
        <f t="shared" ca="1" si="16"/>
        <v>1</v>
      </c>
      <c r="BF71" s="23">
        <f t="array" aca="1" ref="BF71" ca="1">SUM(IF(BD71,1,0)*IF(ap_start_date&lt;=AO71,1,0)*IF(ap_end_date&gt;=AO71,1,0)*ap_amount*(1+ap_escalation/100)^(INT((AP71-ap_months_since_start)/12))*IF(MOD(AP71-ap_months_since_start,ap_frequency)=0,1,0))</f>
        <v>0</v>
      </c>
      <c r="BG71" s="24">
        <f t="shared" ca="1" si="17"/>
        <v>0</v>
      </c>
      <c r="BH71" s="24">
        <f t="shared" ca="1" si="18"/>
        <v>0</v>
      </c>
      <c r="BI71">
        <f t="shared" ca="1" si="19"/>
        <v>0</v>
      </c>
      <c r="BJ71" s="24">
        <f t="shared" ca="1" si="20"/>
        <v>0</v>
      </c>
      <c r="BK71">
        <f t="shared" ca="1" si="21"/>
        <v>0</v>
      </c>
      <c r="BL71" s="25">
        <f t="shared" ca="1" si="22"/>
        <v>0</v>
      </c>
      <c r="BM71" s="32">
        <f t="shared" ca="1" si="1"/>
        <v>1363288.3256795581</v>
      </c>
      <c r="BN71" s="23">
        <f t="shared" ca="1" si="23"/>
        <v>0</v>
      </c>
      <c r="BO71" s="24">
        <f t="shared" ca="1" si="24"/>
        <v>0</v>
      </c>
      <c r="BP71" s="25">
        <f t="shared" ca="1" si="25"/>
        <v>0</v>
      </c>
      <c r="BQ71" s="34">
        <f t="shared" ca="1" si="26"/>
        <v>47573</v>
      </c>
      <c r="BR71" s="23">
        <f t="shared" ca="1" si="27"/>
        <v>1363288.3256795581</v>
      </c>
      <c r="BS71" s="24">
        <f t="shared" ca="1" si="28"/>
        <v>5474.938060800001</v>
      </c>
      <c r="BT71" s="24">
        <f t="shared" ca="1" si="62"/>
        <v>64014.660403199996</v>
      </c>
      <c r="BU71" s="24">
        <f t="shared" ca="1" si="29"/>
        <v>0</v>
      </c>
      <c r="BV71" s="24">
        <f t="shared" ca="1" si="63"/>
        <v>0</v>
      </c>
      <c r="BW71" s="24">
        <f t="shared" ca="1" si="30"/>
        <v>0</v>
      </c>
      <c r="BX71" s="25">
        <f t="shared" ca="1" si="64"/>
        <v>0</v>
      </c>
      <c r="BY71" s="23">
        <f t="shared" ca="1" si="2"/>
        <v>1105969.7269547118</v>
      </c>
      <c r="BZ71" s="24">
        <f t="shared" ca="1" si="3"/>
        <v>4456.0923108415445</v>
      </c>
      <c r="CA71" s="24">
        <f t="shared" ca="1" si="65"/>
        <v>53041.336037023037</v>
      </c>
      <c r="CB71" s="24">
        <f t="shared" ca="1" si="4"/>
        <v>0</v>
      </c>
      <c r="CC71" s="24">
        <f t="shared" ca="1" si="66"/>
        <v>0</v>
      </c>
      <c r="CD71" s="24">
        <f t="shared" ca="1" si="5"/>
        <v>0</v>
      </c>
      <c r="CE71" s="25">
        <f t="shared" ca="1" si="67"/>
        <v>0</v>
      </c>
      <c r="CF71" s="23">
        <f t="shared" ca="1" si="68"/>
        <v>0</v>
      </c>
      <c r="CG71" s="25">
        <f t="array" aca="1" ref="CG71" ca="1">SUM(BF60:BF71/(1+inflation/100)^(AP60:AP71/12))</f>
        <v>0</v>
      </c>
      <c r="CH71" s="32">
        <f ca="1">IFERROR(IF(MOD(AP71-ap_months_since_start,12)=0,ap_drawdown/100*(AQ71+AV71+BA71-BC71),CH70),0)</f>
        <v>198833.14696408427</v>
      </c>
      <c r="EL71" s="21">
        <f t="shared" ca="1" si="60"/>
        <v>6</v>
      </c>
      <c r="EM71" t="str">
        <f t="shared" ca="1" si="106"/>
        <v/>
      </c>
      <c r="EN71" t="str">
        <f t="shared" ca="1" si="107"/>
        <v/>
      </c>
      <c r="EO71" t="str">
        <f t="shared" ca="1" si="108"/>
        <v/>
      </c>
      <c r="EP71" s="1" t="str">
        <f t="shared" ca="1" si="109"/>
        <v/>
      </c>
      <c r="EQ71" s="1" t="str">
        <f t="shared" ca="1" si="110"/>
        <v/>
      </c>
      <c r="ER71" t="str">
        <f t="shared" ca="1" si="111"/>
        <v/>
      </c>
      <c r="ES71" t="str">
        <f t="shared" si="112"/>
        <v/>
      </c>
      <c r="ET71">
        <v>0</v>
      </c>
      <c r="EU71" s="22">
        <v>62</v>
      </c>
      <c r="EX71" s="21" t="str">
        <f ca="1">IF(EX70="","",IF(EX70+1&lt;=MAX('Financial Planning Tool'!$EL$10:$EL$209),EX70+1,""))</f>
        <v/>
      </c>
      <c r="EY71" t="str">
        <f ca="1">IF(EX71&lt;&gt;"",VLOOKUP(EX71,'Financial Planning Tool'!$EL$10:$ER$209,2,FALSE),"")</f>
        <v/>
      </c>
      <c r="EZ71" t="str">
        <f ca="1">IF(EX71&lt;&gt;"",VLOOKUP(EX71,'Financial Planning Tool'!$EL$10:$ER$209,3,FALSE),"")</f>
        <v/>
      </c>
      <c r="FA71" t="str">
        <f ca="1">IF(EX71&lt;&gt;"",VLOOKUP(EX71,'Financial Planning Tool'!$EL$10:$ER$209,4,FALSE),"")</f>
        <v/>
      </c>
      <c r="FB71" t="str">
        <f t="shared" ca="1" si="61"/>
        <v/>
      </c>
      <c r="FC71" s="1" t="str">
        <f ca="1">IF(EX71&lt;&gt;"",VLOOKUP(EX71,'Financial Planning Tool'!$EL$10:$ER$209,5,FALSE),"")</f>
        <v/>
      </c>
      <c r="FD71" s="1" t="str">
        <f ca="1">IF(EX71&lt;&gt;"",VLOOKUP(EX71,'Financial Planning Tool'!$EL$10:$ER$209,6,FALSE),"")</f>
        <v/>
      </c>
      <c r="FE71" t="str">
        <f ca="1">IF(EX71&lt;&gt;"",VLOOKUP(EX71,'Financial Planning Tool'!$EL$10:$ER$209,7,FALSE),"")</f>
        <v/>
      </c>
      <c r="FF71" t="str">
        <f ca="1">IF(EX71&lt;&gt;"",VLOOKUP(EX71,'Financial Planning Tool'!$EL$10:$ES$209,8,FALSE),"")</f>
        <v/>
      </c>
      <c r="FG71" t="str">
        <f ca="1">IF(EX71&lt;&gt;"",VLOOKUP(EX71,'Financial Planning Tool'!$EL$10:$ET$209,9,FALSE),"")</f>
        <v/>
      </c>
      <c r="FH71" t="str">
        <f t="shared" ca="1" si="86"/>
        <v/>
      </c>
      <c r="FI71" s="22" t="str">
        <f t="shared" ca="1" si="87"/>
        <v/>
      </c>
    </row>
    <row r="72" spans="1:165" x14ac:dyDescent="0.25">
      <c r="A72" s="20"/>
      <c r="B72" s="78" t="s">
        <v>203</v>
      </c>
      <c r="C72" s="76"/>
      <c r="D72" s="149" t="s">
        <v>121</v>
      </c>
      <c r="E72" s="150"/>
      <c r="F72" s="77"/>
      <c r="G72" s="18"/>
      <c r="H72" s="5">
        <f t="shared" ca="1" si="92"/>
        <v>52200</v>
      </c>
      <c r="I72" s="8">
        <f t="shared" ca="1" si="93"/>
        <v>72</v>
      </c>
      <c r="J72" s="12" t="str">
        <f t="shared" ca="1" si="95"/>
        <v/>
      </c>
      <c r="K72" s="12" t="str">
        <f t="shared" ca="1" si="96"/>
        <v/>
      </c>
      <c r="L72" s="12" t="str">
        <f t="shared" ca="1" si="97"/>
        <v/>
      </c>
      <c r="M72" s="12" t="str">
        <f t="shared" ca="1" si="98"/>
        <v/>
      </c>
      <c r="N72" s="12">
        <f t="shared" ca="1" si="99"/>
        <v>-270838.34000000003</v>
      </c>
      <c r="O72" s="12">
        <f t="shared" ca="1" si="100"/>
        <v>-136591.91</v>
      </c>
      <c r="P72" s="12">
        <f t="shared" ca="1" si="101"/>
        <v>1403497.62</v>
      </c>
      <c r="Q72" s="12">
        <f t="shared" ca="1" si="102"/>
        <v>692805.89</v>
      </c>
      <c r="S72" s="18"/>
      <c r="T72" s="5">
        <f t="shared" ca="1" si="103"/>
        <v>52200</v>
      </c>
      <c r="U72" s="8">
        <f t="shared" ca="1" si="104"/>
        <v>72</v>
      </c>
      <c r="V72" s="12"/>
      <c r="W72" s="12"/>
      <c r="X72" s="12"/>
      <c r="Y72" s="12"/>
      <c r="Z72" s="12"/>
      <c r="AA72" s="12"/>
      <c r="AB72" s="12">
        <v>1998009.75</v>
      </c>
      <c r="AC72" s="12">
        <v>986273.8</v>
      </c>
      <c r="AE72" s="21">
        <v>19</v>
      </c>
      <c r="AF72" s="22">
        <f t="shared" ca="1" si="91"/>
        <v>1</v>
      </c>
      <c r="AI72" s="21">
        <f t="shared" ca="1" si="94"/>
        <v>1</v>
      </c>
      <c r="AJ72" s="22">
        <v>0</v>
      </c>
      <c r="AN72" s="32">
        <f t="shared" ref="AN72:AN135" ca="1" si="113">IF(AND(Date_of_birth&lt;&gt;"",Date_of_birth&lt;&gt;"Please enter date of birth"),YEARFRAC(Date_of_birth,AO72),AP72/12)</f>
        <v>60.25</v>
      </c>
      <c r="AO72" s="53">
        <f t="shared" ca="1" si="31"/>
        <v>47574</v>
      </c>
      <c r="AP72" s="22">
        <v>65</v>
      </c>
      <c r="AQ72" s="32">
        <f t="shared" ca="1" si="32"/>
        <v>1363288.3256795581</v>
      </c>
      <c r="AR72" s="23">
        <f t="array" aca="1" ref="AR72" ca="1">SUM(IF(lsc_start_date=AO72,lsc_amount,0))</f>
        <v>0</v>
      </c>
      <c r="AS72" s="24">
        <f t="shared" ca="1" si="6"/>
        <v>0</v>
      </c>
      <c r="AT72" s="24">
        <f t="shared" ca="1" si="7"/>
        <v>0</v>
      </c>
      <c r="AU72" s="24">
        <f t="shared" ca="1" si="8"/>
        <v>0</v>
      </c>
      <c r="AV72" s="25">
        <f t="shared" ca="1" si="9"/>
        <v>0</v>
      </c>
      <c r="AW72" s="23">
        <f t="array" aca="1" ref="AW72" ca="1">SUM(IF(rcs_start_date&lt;=AO72,1,0)*IF(rcs_end_date&gt;=AO72,1,0)*rcs_amount*(1+rcs_escalation/100)^(INT((AP72-rcs_months_since_start)/12))*IF(MOD((AP72-rcs_months_since_start),rcs_frequency)=0,1,0)*IF(rcs_frequency=13,0,1))+SUM(IF(rcs_start_date=AO72,rcs_amount,0)*IF(rcs_frequency=13,1,0))</f>
        <v>5474.938060800001</v>
      </c>
      <c r="AX72" s="24">
        <f t="shared" ca="1" si="10"/>
        <v>0</v>
      </c>
      <c r="AY72" s="24">
        <f t="shared" ca="1" si="11"/>
        <v>0</v>
      </c>
      <c r="AZ72" s="24">
        <f t="shared" ca="1" si="12"/>
        <v>0</v>
      </c>
      <c r="BA72" s="25">
        <f t="shared" ca="1" si="13"/>
        <v>5474.938060800001</v>
      </c>
      <c r="BB72" s="23">
        <f t="array" aca="1" ref="BB72" ca="1">SUM(IF(w_start_date&lt;=AO72,1,0)*IF(w_end_date&gt;=AO72,1,0)*w_amount*(1+w_escalation/100)^(INT((AP72-w_months_since_start)/12))*IF(MOD(AP72-w_months_since_start,w_frequency)=0,1,0)*IF(w_frequency=13,0,1))+SUM(IF(w_start_date=AO72,w_amount,0)*IF(w_frequency=13,1,0))</f>
        <v>0</v>
      </c>
      <c r="BC72" s="25">
        <f t="shared" ca="1" si="14"/>
        <v>0</v>
      </c>
      <c r="BD72" s="24" t="b">
        <f t="shared" ca="1" si="15"/>
        <v>0</v>
      </c>
      <c r="BE72" s="24" t="b">
        <f t="shared" ca="1" si="16"/>
        <v>1</v>
      </c>
      <c r="BF72" s="23">
        <f t="array" aca="1" ref="BF72" ca="1">SUM(IF(BD72,1,0)*IF(ap_start_date&lt;=AO72,1,0)*IF(ap_end_date&gt;=AO72,1,0)*ap_amount*(1+ap_escalation/100)^(INT((AP72-ap_months_since_start)/12))*IF(MOD(AP72-ap_months_since_start,ap_frequency)=0,1,0))</f>
        <v>0</v>
      </c>
      <c r="BG72" s="24">
        <f t="shared" ca="1" si="17"/>
        <v>0</v>
      </c>
      <c r="BH72" s="24">
        <f t="shared" ca="1" si="18"/>
        <v>0</v>
      </c>
      <c r="BI72">
        <f t="shared" ca="1" si="19"/>
        <v>0</v>
      </c>
      <c r="BJ72" s="24">
        <f t="shared" ca="1" si="20"/>
        <v>0</v>
      </c>
      <c r="BK72">
        <f t="shared" ca="1" si="21"/>
        <v>0</v>
      </c>
      <c r="BL72" s="25">
        <f t="shared" ca="1" si="22"/>
        <v>0</v>
      </c>
      <c r="BM72" s="32">
        <f t="shared" ref="BM72:BM135" ca="1" si="114">(AQ72+AV72+BA72-BC72-BL72)*(1+NomRetn/100)^(1/12)</f>
        <v>1378628.3831253855</v>
      </c>
      <c r="BN72" s="23">
        <f t="shared" ca="1" si="23"/>
        <v>0</v>
      </c>
      <c r="BO72" s="24">
        <f t="shared" ca="1" si="24"/>
        <v>0</v>
      </c>
      <c r="BP72" s="25">
        <f t="shared" ca="1" si="25"/>
        <v>0</v>
      </c>
      <c r="BQ72" s="34">
        <f t="shared" ca="1" si="26"/>
        <v>47603</v>
      </c>
      <c r="BR72" s="23">
        <f t="shared" ca="1" si="27"/>
        <v>1378628.3831253855</v>
      </c>
      <c r="BS72" s="24">
        <f t="shared" ca="1" si="28"/>
        <v>5474.938060800001</v>
      </c>
      <c r="BT72" s="24">
        <f t="shared" ca="1" si="62"/>
        <v>64225.234943999996</v>
      </c>
      <c r="BU72" s="24">
        <f t="shared" ca="1" si="29"/>
        <v>0</v>
      </c>
      <c r="BV72" s="24">
        <f t="shared" ca="1" si="63"/>
        <v>0</v>
      </c>
      <c r="BW72" s="24">
        <f t="shared" ca="1" si="30"/>
        <v>0</v>
      </c>
      <c r="BX72" s="25">
        <f t="shared" ca="1" si="64"/>
        <v>0</v>
      </c>
      <c r="BY72" s="23">
        <f t="shared" ref="BY72:BY135" ca="1" si="115">BR72*(1+inflation/100)^(-$AP72/12)</f>
        <v>1114764.9216090317</v>
      </c>
      <c r="BZ72" s="24">
        <f t="shared" ref="BZ72:BZ135" ca="1" si="116">BS72*(1+inflation/100)^(-(AP72-1)/12)</f>
        <v>4441.5518259342853</v>
      </c>
      <c r="CA72" s="24">
        <f t="shared" ca="1" si="65"/>
        <v>53041.336037023044</v>
      </c>
      <c r="CB72" s="24">
        <f t="shared" ref="CB72:CB135" ca="1" si="117">BU72*(1+inflation/100)^(-($AP72-1)/12)</f>
        <v>0</v>
      </c>
      <c r="CC72" s="24">
        <f t="shared" ca="1" si="66"/>
        <v>0</v>
      </c>
      <c r="CD72" s="24">
        <f t="shared" ref="CD72:CD135" ca="1" si="118">BW72*(1+inflation/100)^(-($AP72-1)/12)</f>
        <v>0</v>
      </c>
      <c r="CE72" s="25">
        <f t="shared" ca="1" si="67"/>
        <v>0</v>
      </c>
      <c r="CF72" s="23">
        <f t="shared" ca="1" si="68"/>
        <v>0</v>
      </c>
      <c r="CG72" s="25">
        <f t="array" aca="1" ref="CG72" ca="1">SUM(BF61:BF72/(1+inflation/100)^(AP61:AP72/12))</f>
        <v>0</v>
      </c>
      <c r="CH72" s="32">
        <f ca="1">IFERROR(IF(MOD(AP72-ap_months_since_start,12)=0,ap_drawdown/100*(AQ72+AV72+BA72-BC72),CH71),0)</f>
        <v>198833.14696408427</v>
      </c>
      <c r="EL72" s="21">
        <f t="shared" ca="1" si="60"/>
        <v>6</v>
      </c>
      <c r="EM72" t="str">
        <f t="shared" ca="1" si="106"/>
        <v/>
      </c>
      <c r="EN72" t="str">
        <f t="shared" ca="1" si="107"/>
        <v/>
      </c>
      <c r="EO72" t="str">
        <f t="shared" ca="1" si="108"/>
        <v/>
      </c>
      <c r="EP72" s="1" t="str">
        <f t="shared" ca="1" si="109"/>
        <v/>
      </c>
      <c r="EQ72" s="1" t="str">
        <f t="shared" ca="1" si="110"/>
        <v/>
      </c>
      <c r="ER72" t="str">
        <f t="shared" ca="1" si="111"/>
        <v/>
      </c>
      <c r="ES72" t="str">
        <f t="shared" si="112"/>
        <v/>
      </c>
      <c r="ET72">
        <v>0</v>
      </c>
      <c r="EU72" s="22">
        <v>63</v>
      </c>
      <c r="EX72" s="21" t="str">
        <f ca="1">IF(EX71="","",IF(EX71+1&lt;=MAX('Financial Planning Tool'!$EL$10:$EL$209),EX71+1,""))</f>
        <v/>
      </c>
      <c r="EY72" t="str">
        <f ca="1">IF(EX72&lt;&gt;"",VLOOKUP(EX72,'Financial Planning Tool'!$EL$10:$ER$209,2,FALSE),"")</f>
        <v/>
      </c>
      <c r="EZ72" t="str">
        <f ca="1">IF(EX72&lt;&gt;"",VLOOKUP(EX72,'Financial Planning Tool'!$EL$10:$ER$209,3,FALSE),"")</f>
        <v/>
      </c>
      <c r="FA72" t="str">
        <f ca="1">IF(EX72&lt;&gt;"",VLOOKUP(EX72,'Financial Planning Tool'!$EL$10:$ER$209,4,FALSE),"")</f>
        <v/>
      </c>
      <c r="FB72" t="str">
        <f t="shared" ca="1" si="61"/>
        <v/>
      </c>
      <c r="FC72" s="1" t="str">
        <f ca="1">IF(EX72&lt;&gt;"",VLOOKUP(EX72,'Financial Planning Tool'!$EL$10:$ER$209,5,FALSE),"")</f>
        <v/>
      </c>
      <c r="FD72" s="1" t="str">
        <f ca="1">IF(EX72&lt;&gt;"",VLOOKUP(EX72,'Financial Planning Tool'!$EL$10:$ER$209,6,FALSE),"")</f>
        <v/>
      </c>
      <c r="FE72" t="str">
        <f ca="1">IF(EX72&lt;&gt;"",VLOOKUP(EX72,'Financial Planning Tool'!$EL$10:$ER$209,7,FALSE),"")</f>
        <v/>
      </c>
      <c r="FF72" t="str">
        <f ca="1">IF(EX72&lt;&gt;"",VLOOKUP(EX72,'Financial Planning Tool'!$EL$10:$ES$209,8,FALSE),"")</f>
        <v/>
      </c>
      <c r="FG72" t="str">
        <f ca="1">IF(EX72&lt;&gt;"",VLOOKUP(EX72,'Financial Planning Tool'!$EL$10:$ET$209,9,FALSE),"")</f>
        <v/>
      </c>
      <c r="FH72" t="str">
        <f t="shared" ca="1" si="86"/>
        <v/>
      </c>
      <c r="FI72" s="22" t="str">
        <f t="shared" ca="1" si="87"/>
        <v/>
      </c>
    </row>
    <row r="73" spans="1:165" x14ac:dyDescent="0.25">
      <c r="A73" s="20"/>
      <c r="B73" s="78" t="str">
        <f>IFERROR(IF(VLOOKUP($D$72,freq_options,2,FALSE)=0,amount_wording1,amount_wording2 &amp; VLOOKUP($D$72,freq_options,2,FALSE)),amount_wording2)</f>
        <v xml:space="preserve">      Starting amount per month</v>
      </c>
      <c r="C73" s="76"/>
      <c r="D73" s="124">
        <v>3000</v>
      </c>
      <c r="E73" s="125">
        <v>3000</v>
      </c>
      <c r="F73" s="77"/>
      <c r="H73" s="5">
        <f t="shared" ca="1" si="92"/>
        <v>52565</v>
      </c>
      <c r="I73" s="8">
        <f t="shared" ca="1" si="93"/>
        <v>73</v>
      </c>
      <c r="J73" s="12" t="str">
        <f t="shared" ca="1" si="95"/>
        <v/>
      </c>
      <c r="K73" s="12" t="str">
        <f t="shared" ca="1" si="96"/>
        <v/>
      </c>
      <c r="L73" s="12" t="str">
        <f t="shared" ca="1" si="97"/>
        <v/>
      </c>
      <c r="M73" s="12" t="str">
        <f t="shared" ca="1" si="98"/>
        <v/>
      </c>
      <c r="N73" s="12">
        <f t="shared" ca="1" si="99"/>
        <v>-245536.91</v>
      </c>
      <c r="O73" s="12">
        <f t="shared" ca="1" si="100"/>
        <v>-119068.88</v>
      </c>
      <c r="P73" s="12">
        <f t="shared" ca="1" si="101"/>
        <v>1272384.3600000001</v>
      </c>
      <c r="Q73" s="12">
        <f t="shared" ca="1" si="102"/>
        <v>603927.6</v>
      </c>
      <c r="S73" s="18"/>
      <c r="T73" s="5">
        <f t="shared" ca="1" si="103"/>
        <v>52565</v>
      </c>
      <c r="U73" s="8">
        <f t="shared" ca="1" si="104"/>
        <v>73</v>
      </c>
      <c r="V73" s="12"/>
      <c r="W73" s="12"/>
      <c r="X73" s="12"/>
      <c r="Y73" s="12"/>
      <c r="Z73" s="12"/>
      <c r="AA73" s="12"/>
      <c r="AB73" s="12">
        <v>2157850.5299999998</v>
      </c>
      <c r="AC73" s="12">
        <v>1024207.41</v>
      </c>
      <c r="AE73" s="21">
        <v>20</v>
      </c>
      <c r="AF73" s="22">
        <f t="shared" ca="1" si="91"/>
        <v>1</v>
      </c>
      <c r="AI73" s="21">
        <f t="shared" ca="1" si="94"/>
        <v>1</v>
      </c>
      <c r="AJ73" s="22">
        <v>0</v>
      </c>
      <c r="AN73" s="32">
        <f t="shared" ca="1" si="113"/>
        <v>60.333333333333336</v>
      </c>
      <c r="AO73" s="53">
        <f t="shared" ca="1" si="31"/>
        <v>47604</v>
      </c>
      <c r="AP73" s="22">
        <v>66</v>
      </c>
      <c r="AQ73" s="32">
        <f t="shared" ca="1" si="32"/>
        <v>1378628.3831253855</v>
      </c>
      <c r="AR73" s="23">
        <f t="array" aca="1" ref="AR73" ca="1">SUM(IF(lsc_start_date=AO73,lsc_amount,0))</f>
        <v>0</v>
      </c>
      <c r="AS73" s="24">
        <f t="shared" ref="AS73:AS136" ca="1" si="119">AR73*$D$34/100</f>
        <v>0</v>
      </c>
      <c r="AT73" s="24">
        <f t="shared" ref="AT73:AT136" ca="1" si="120">AR73*$D$33/100</f>
        <v>0</v>
      </c>
      <c r="AU73" s="24">
        <f t="shared" ref="AU73:AU136" ca="1" si="121">AR73*$D$35/100</f>
        <v>0</v>
      </c>
      <c r="AV73" s="25">
        <f t="shared" ref="AV73:AV136" ca="1" si="122">AR73-AS73-AT73-AU73</f>
        <v>0</v>
      </c>
      <c r="AW73" s="23">
        <f t="array" aca="1" ref="AW73" ca="1">SUM(IF(rcs_start_date&lt;=AO73,1,0)*IF(rcs_end_date&gt;=AO73,1,0)*rcs_amount*(1+rcs_escalation/100)^(INT((AP73-rcs_months_since_start)/12))*IF(MOD((AP73-rcs_months_since_start),rcs_frequency)=0,1,0)*IF(rcs_frequency=13,0,1))+SUM(IF(rcs_start_date=AO73,rcs_amount,0)*IF(rcs_frequency=13,1,0))</f>
        <v>5474.938060800001</v>
      </c>
      <c r="AX73" s="24">
        <f t="shared" ref="AX73:AX136" ca="1" si="123">AW73*$D$34/100</f>
        <v>0</v>
      </c>
      <c r="AY73" s="24">
        <f t="shared" ref="AY73:AY136" ca="1" si="124">AW73*$D$33/100</f>
        <v>0</v>
      </c>
      <c r="AZ73" s="24">
        <f t="shared" ref="AZ73:AZ136" ca="1" si="125">AW73*$D$35/100</f>
        <v>0</v>
      </c>
      <c r="BA73" s="25">
        <f t="shared" ref="BA73:BA136" ca="1" si="126">AW73-AX73-AY73-AZ73</f>
        <v>5474.938060800001</v>
      </c>
      <c r="BB73" s="23">
        <f t="array" aca="1" ref="BB73" ca="1">SUM(IF(w_start_date&lt;=AO73,1,0)*IF(w_end_date&gt;=AO73,1,0)*w_amount*(1+w_escalation/100)^(INT((AP73-w_months_since_start)/12))*IF(MOD(AP73-w_months_since_start,w_frequency)=0,1,0)*IF(w_frequency=13,0,1))+SUM(IF(w_start_date=AO73,w_amount,0)*IF(w_frequency=13,1,0))</f>
        <v>0</v>
      </c>
      <c r="BC73" s="25">
        <f t="shared" ref="BC73:BC136" ca="1" si="127">IF(BB73&gt;AQ73+AV73+BA73,AQ73+AV73+BA73,BB73)</f>
        <v>0</v>
      </c>
      <c r="BD73" s="24" t="b">
        <f t="shared" ref="BD73:BD136" ca="1" si="128">AND($DV$11&lt;=AO73,$DV$11&lt;&gt;0)</f>
        <v>0</v>
      </c>
      <c r="BE73" s="24" t="b">
        <f t="shared" ref="BE73:BE136" ca="1" si="129">$DW$11&lt;&gt;""</f>
        <v>1</v>
      </c>
      <c r="BF73" s="23">
        <f t="array" aca="1" ref="BF73" ca="1">SUM(IF(BD73,1,0)*IF(ap_start_date&lt;=AO73,1,0)*IF(ap_end_date&gt;=AO73,1,0)*ap_amount*(1+ap_escalation/100)^(INT((AP73-ap_months_since_start)/12))*IF(MOD(AP73-ap_months_since_start,ap_frequency)=0,1,0))</f>
        <v>0</v>
      </c>
      <c r="BG73" s="24">
        <f t="shared" ref="BG73:BG136" ca="1" si="130">IF(MOD(YEAR(AO73)*12+MONTH(AO73)-YEAR(Earliest_annuity_payment)*12-MONTH(Earliest_annuity_payment),12)=0,SUM(BF73:BF84),BG72)</f>
        <v>0</v>
      </c>
      <c r="BH73" s="24">
        <f t="shared" ref="BH73:BH136" ca="1" si="131">IF(AO73&gt;=Earliest_annuity_payment,IF(MOD(YEAR(AO73)*12+MONTH(AO73)-YEAR(Earliest_annuity_payment)*12-MONTH(Earliest_annuity_payment),12)=0,(AQ73+AV73+BA73-BC73)*Annuity_min,BH72),0)</f>
        <v>0</v>
      </c>
      <c r="BI73">
        <f t="shared" ref="BI73:BI136" ca="1" si="132">IF(AND(BH73&gt;BG73,BD73),1,0)</f>
        <v>0</v>
      </c>
      <c r="BJ73" s="24">
        <f t="shared" ref="BJ73:BJ136" ca="1" si="133">IF(AO73&gt;=Earliest_annuity_payment,IF(MOD(YEAR(AO73)*12+MONTH(AO73)-YEAR(Earliest_annuity_payment)*12-MONTH(Earliest_annuity_payment),12)=0,(AQ73+AV73+BA73-BC73)*Annuity_cap,BJ72),0)</f>
        <v>0</v>
      </c>
      <c r="BK73">
        <f t="shared" ref="BK73:BK136" ca="1" si="134">IF(BJ73&lt;BG73,1,0)</f>
        <v>0</v>
      </c>
      <c r="BL73" s="25">
        <f t="shared" ref="BL73:BL136" ca="1" si="135">IF(BJ73&lt;BG73,BF73/BG73*BJ73,IF(AND(BH73&gt;BG73,BG73&lt;&gt;0),BF73/BG73*BH73,BF73))</f>
        <v>0</v>
      </c>
      <c r="BM73" s="32">
        <f t="shared" ca="1" si="114"/>
        <v>1394079.001324913</v>
      </c>
      <c r="BN73" s="23">
        <f t="shared" ref="BN73:BN136" ca="1" si="136">BM73*$E$34/1200</f>
        <v>0</v>
      </c>
      <c r="BO73" s="24">
        <f t="shared" ref="BO73:BO136" ca="1" si="137">BM73*$E$33/1200</f>
        <v>0</v>
      </c>
      <c r="BP73" s="25">
        <f t="shared" ref="BP73:BP136" ca="1" si="138">BM73*$E$35/1200</f>
        <v>0</v>
      </c>
      <c r="BQ73" s="34">
        <f t="shared" ref="BQ73:BQ136" ca="1" si="139">EOMONTH(AO73,0)</f>
        <v>47634</v>
      </c>
      <c r="BR73" s="23">
        <f t="shared" ref="BR73:BR136" ca="1" si="140">BM73-BN73-BO73-BP73</f>
        <v>1394079.001324913</v>
      </c>
      <c r="BS73" s="24">
        <f t="shared" ref="BS73:BS136" ca="1" si="141">AV73+BA73</f>
        <v>5474.938060800001</v>
      </c>
      <c r="BT73" s="24">
        <f t="shared" ca="1" si="62"/>
        <v>64435.809484799996</v>
      </c>
      <c r="BU73" s="24">
        <f t="shared" ref="BU73:BU136" ca="1" si="142">-BC73</f>
        <v>0</v>
      </c>
      <c r="BV73" s="24">
        <f t="shared" ca="1" si="63"/>
        <v>0</v>
      </c>
      <c r="BW73" s="24">
        <f t="shared" ref="BW73:BW136" ca="1" si="143">-BL73</f>
        <v>0</v>
      </c>
      <c r="BX73" s="25">
        <f t="shared" ca="1" si="64"/>
        <v>0</v>
      </c>
      <c r="BY73" s="23">
        <f t="shared" ca="1" si="115"/>
        <v>1123580.0501434007</v>
      </c>
      <c r="BZ73" s="24">
        <f t="shared" ca="1" si="116"/>
        <v>4427.0587874636321</v>
      </c>
      <c r="CA73" s="24">
        <f t="shared" ca="1" si="65"/>
        <v>53041.336037023051</v>
      </c>
      <c r="CB73" s="24">
        <f t="shared" ca="1" si="117"/>
        <v>0</v>
      </c>
      <c r="CC73" s="24">
        <f t="shared" ca="1" si="66"/>
        <v>0</v>
      </c>
      <c r="CD73" s="24">
        <f t="shared" ca="1" si="118"/>
        <v>0</v>
      </c>
      <c r="CE73" s="25">
        <f t="shared" ca="1" si="67"/>
        <v>0</v>
      </c>
      <c r="CF73" s="23">
        <f t="shared" ca="1" si="68"/>
        <v>0</v>
      </c>
      <c r="CG73" s="25">
        <f t="array" aca="1" ref="CG73" ca="1">SUM(BF62:BF73/(1+inflation/100)^(AP62:AP73/12))</f>
        <v>0</v>
      </c>
      <c r="CH73" s="32">
        <f ca="1">IFERROR(IF(MOD(AP73-ap_months_since_start,12)=0,ap_drawdown/100*(AQ73+AV73+BA73-BC73),CH72),0)</f>
        <v>198833.14696408427</v>
      </c>
      <c r="EL73" s="21">
        <f t="shared" ca="1" si="60"/>
        <v>6</v>
      </c>
      <c r="EM73" t="str">
        <f t="shared" ca="1" si="106"/>
        <v/>
      </c>
      <c r="EN73" t="str">
        <f t="shared" ca="1" si="107"/>
        <v/>
      </c>
      <c r="EO73" t="str">
        <f t="shared" ca="1" si="108"/>
        <v/>
      </c>
      <c r="EP73" s="1" t="str">
        <f t="shared" ca="1" si="109"/>
        <v/>
      </c>
      <c r="EQ73" s="1" t="str">
        <f t="shared" ca="1" si="110"/>
        <v/>
      </c>
      <c r="ER73" t="str">
        <f t="shared" ca="1" si="111"/>
        <v/>
      </c>
      <c r="ES73" t="str">
        <f t="shared" si="112"/>
        <v/>
      </c>
      <c r="ET73">
        <v>0</v>
      </c>
      <c r="EU73" s="22">
        <v>64</v>
      </c>
      <c r="EX73" s="21" t="str">
        <f ca="1">IF(EX72="","",IF(EX72+1&lt;=MAX('Financial Planning Tool'!$EL$10:$EL$209),EX72+1,""))</f>
        <v/>
      </c>
      <c r="EY73" t="str">
        <f ca="1">IF(EX73&lt;&gt;"",VLOOKUP(EX73,'Financial Planning Tool'!$EL$10:$ER$209,2,FALSE),"")</f>
        <v/>
      </c>
      <c r="EZ73" t="str">
        <f ca="1">IF(EX73&lt;&gt;"",VLOOKUP(EX73,'Financial Planning Tool'!$EL$10:$ER$209,3,FALSE),"")</f>
        <v/>
      </c>
      <c r="FA73" t="str">
        <f ca="1">IF(EX73&lt;&gt;"",VLOOKUP(EX73,'Financial Planning Tool'!$EL$10:$ER$209,4,FALSE),"")</f>
        <v/>
      </c>
      <c r="FB73" t="str">
        <f t="shared" ca="1" si="61"/>
        <v/>
      </c>
      <c r="FC73" s="1" t="str">
        <f ca="1">IF(EX73&lt;&gt;"",VLOOKUP(EX73,'Financial Planning Tool'!$EL$10:$ER$209,5,FALSE),"")</f>
        <v/>
      </c>
      <c r="FD73" s="1" t="str">
        <f ca="1">IF(EX73&lt;&gt;"",VLOOKUP(EX73,'Financial Planning Tool'!$EL$10:$ER$209,6,FALSE),"")</f>
        <v/>
      </c>
      <c r="FE73" t="str">
        <f ca="1">IF(EX73&lt;&gt;"",VLOOKUP(EX73,'Financial Planning Tool'!$EL$10:$ER$209,7,FALSE),"")</f>
        <v/>
      </c>
      <c r="FF73" t="str">
        <f ca="1">IF(EX73&lt;&gt;"",VLOOKUP(EX73,'Financial Planning Tool'!$EL$10:$ES$209,8,FALSE),"")</f>
        <v/>
      </c>
      <c r="FG73" t="str">
        <f ca="1">IF(EX73&lt;&gt;"",VLOOKUP(EX73,'Financial Planning Tool'!$EL$10:$ET$209,9,FALSE),"")</f>
        <v/>
      </c>
      <c r="FH73" t="str">
        <f t="shared" ca="1" si="86"/>
        <v/>
      </c>
      <c r="FI73" s="22" t="str">
        <f t="shared" ca="1" si="87"/>
        <v/>
      </c>
    </row>
    <row r="74" spans="1:165" x14ac:dyDescent="0.25">
      <c r="A74" s="20"/>
      <c r="B74" s="78" t="s">
        <v>201</v>
      </c>
      <c r="C74" s="76"/>
      <c r="D74" s="126">
        <v>45627</v>
      </c>
      <c r="E74" s="127">
        <v>0</v>
      </c>
      <c r="F74" s="77"/>
      <c r="H74" s="5">
        <f t="shared" ca="1" si="92"/>
        <v>52931</v>
      </c>
      <c r="I74" s="8">
        <f t="shared" ca="1" si="93"/>
        <v>74</v>
      </c>
      <c r="J74" s="12" t="str">
        <f t="shared" ca="1" si="95"/>
        <v/>
      </c>
      <c r="K74" s="12" t="str">
        <f t="shared" ca="1" si="96"/>
        <v/>
      </c>
      <c r="L74" s="12" t="str">
        <f t="shared" ca="1" si="97"/>
        <v/>
      </c>
      <c r="M74" s="12" t="str">
        <f t="shared" ca="1" si="98"/>
        <v/>
      </c>
      <c r="N74" s="12">
        <f t="shared" ca="1" si="99"/>
        <v>-222599.11</v>
      </c>
      <c r="O74" s="12">
        <f t="shared" ca="1" si="100"/>
        <v>-103793.84</v>
      </c>
      <c r="P74" s="12">
        <f t="shared" ca="1" si="101"/>
        <v>1153519.56</v>
      </c>
      <c r="Q74" s="12">
        <f t="shared" ca="1" si="102"/>
        <v>526451.27</v>
      </c>
      <c r="S74" s="18"/>
      <c r="T74" s="5">
        <f t="shared" ca="1" si="103"/>
        <v>52931</v>
      </c>
      <c r="U74" s="8">
        <f t="shared" ca="1" si="104"/>
        <v>74</v>
      </c>
      <c r="V74" s="12"/>
      <c r="W74" s="12"/>
      <c r="X74" s="12"/>
      <c r="Y74" s="12"/>
      <c r="Z74" s="12"/>
      <c r="AA74" s="12"/>
      <c r="AB74" s="12">
        <v>2330478.5699999998</v>
      </c>
      <c r="AC74" s="12">
        <v>1063600</v>
      </c>
      <c r="AE74" s="21">
        <v>21</v>
      </c>
      <c r="AF74" s="22">
        <f t="shared" ca="1" si="91"/>
        <v>1</v>
      </c>
      <c r="AI74" s="21">
        <f t="shared" ca="1" si="94"/>
        <v>1</v>
      </c>
      <c r="AJ74" s="22">
        <v>0</v>
      </c>
      <c r="AN74" s="32">
        <f t="shared" ca="1" si="113"/>
        <v>60.416666666666664</v>
      </c>
      <c r="AO74" s="53">
        <f t="shared" ref="AO74:AO137" ca="1" si="144">DATE(YEAR(AO73),MONTH(AO73)+1,1)</f>
        <v>47635</v>
      </c>
      <c r="AP74" s="22">
        <v>67</v>
      </c>
      <c r="AQ74" s="32">
        <f t="shared" ref="AQ74:AQ137" ca="1" si="145">IF(BR73&lt;0,0,BR73)</f>
        <v>1394079.001324913</v>
      </c>
      <c r="AR74" s="23">
        <f t="array" aca="1" ref="AR74" ca="1">SUM(IF(lsc_start_date=AO74,lsc_amount,0))</f>
        <v>0</v>
      </c>
      <c r="AS74" s="24">
        <f t="shared" ca="1" si="119"/>
        <v>0</v>
      </c>
      <c r="AT74" s="24">
        <f t="shared" ca="1" si="120"/>
        <v>0</v>
      </c>
      <c r="AU74" s="24">
        <f t="shared" ca="1" si="121"/>
        <v>0</v>
      </c>
      <c r="AV74" s="25">
        <f t="shared" ca="1" si="122"/>
        <v>0</v>
      </c>
      <c r="AW74" s="23">
        <f t="array" aca="1" ref="AW74" ca="1">SUM(IF(rcs_start_date&lt;=AO74,1,0)*IF(rcs_end_date&gt;=AO74,1,0)*rcs_amount*(1+rcs_escalation/100)^(INT((AP74-rcs_months_since_start)/12))*IF(MOD((AP74-rcs_months_since_start),rcs_frequency)=0,1,0)*IF(rcs_frequency=13,0,1))+SUM(IF(rcs_start_date=AO74,rcs_amount,0)*IF(rcs_frequency=13,1,0))</f>
        <v>5474.938060800001</v>
      </c>
      <c r="AX74" s="24">
        <f t="shared" ca="1" si="123"/>
        <v>0</v>
      </c>
      <c r="AY74" s="24">
        <f t="shared" ca="1" si="124"/>
        <v>0</v>
      </c>
      <c r="AZ74" s="24">
        <f t="shared" ca="1" si="125"/>
        <v>0</v>
      </c>
      <c r="BA74" s="25">
        <f t="shared" ca="1" si="126"/>
        <v>5474.938060800001</v>
      </c>
      <c r="BB74" s="23">
        <f t="array" aca="1" ref="BB74" ca="1">SUM(IF(w_start_date&lt;=AO74,1,0)*IF(w_end_date&gt;=AO74,1,0)*w_amount*(1+w_escalation/100)^(INT((AP74-w_months_since_start)/12))*IF(MOD(AP74-w_months_since_start,w_frequency)=0,1,0)*IF(w_frequency=13,0,1))+SUM(IF(w_start_date=AO74,w_amount,0)*IF(w_frequency=13,1,0))</f>
        <v>0</v>
      </c>
      <c r="BC74" s="25">
        <f t="shared" ca="1" si="127"/>
        <v>0</v>
      </c>
      <c r="BD74" s="24" t="b">
        <f t="shared" ca="1" si="128"/>
        <v>0</v>
      </c>
      <c r="BE74" s="24" t="b">
        <f t="shared" ca="1" si="129"/>
        <v>1</v>
      </c>
      <c r="BF74" s="23">
        <f t="array" aca="1" ref="BF74" ca="1">SUM(IF(BD74,1,0)*IF(ap_start_date&lt;=AO74,1,0)*IF(ap_end_date&gt;=AO74,1,0)*ap_amount*(1+ap_escalation/100)^(INT((AP74-ap_months_since_start)/12))*IF(MOD(AP74-ap_months_since_start,ap_frequency)=0,1,0))</f>
        <v>0</v>
      </c>
      <c r="BG74" s="24">
        <f t="shared" ca="1" si="130"/>
        <v>0</v>
      </c>
      <c r="BH74" s="24">
        <f t="shared" ca="1" si="131"/>
        <v>0</v>
      </c>
      <c r="BI74">
        <f t="shared" ca="1" si="132"/>
        <v>0</v>
      </c>
      <c r="BJ74" s="24">
        <f t="shared" ca="1" si="133"/>
        <v>0</v>
      </c>
      <c r="BK74">
        <f t="shared" ca="1" si="134"/>
        <v>0</v>
      </c>
      <c r="BL74" s="25">
        <f t="shared" ca="1" si="135"/>
        <v>0</v>
      </c>
      <c r="BM74" s="32">
        <f t="shared" ca="1" si="114"/>
        <v>1409640.9771252386</v>
      </c>
      <c r="BN74" s="23">
        <f t="shared" ca="1" si="136"/>
        <v>0</v>
      </c>
      <c r="BO74" s="24">
        <f t="shared" ca="1" si="137"/>
        <v>0</v>
      </c>
      <c r="BP74" s="25">
        <f t="shared" ca="1" si="138"/>
        <v>0</v>
      </c>
      <c r="BQ74" s="34">
        <f t="shared" ca="1" si="139"/>
        <v>47664</v>
      </c>
      <c r="BR74" s="23">
        <f t="shared" ca="1" si="140"/>
        <v>1409640.9771252386</v>
      </c>
      <c r="BS74" s="24">
        <f t="shared" ca="1" si="141"/>
        <v>5474.938060800001</v>
      </c>
      <c r="BT74" s="24">
        <f t="shared" ca="1" si="62"/>
        <v>64646.384025599997</v>
      </c>
      <c r="BU74" s="24">
        <f t="shared" ca="1" si="142"/>
        <v>0</v>
      </c>
      <c r="BV74" s="24">
        <f t="shared" ca="1" si="63"/>
        <v>0</v>
      </c>
      <c r="BW74" s="24">
        <f t="shared" ca="1" si="143"/>
        <v>0</v>
      </c>
      <c r="BX74" s="25">
        <f t="shared" ca="1" si="64"/>
        <v>0</v>
      </c>
      <c r="BY74" s="23">
        <f t="shared" ca="1" si="115"/>
        <v>1132415.2381905746</v>
      </c>
      <c r="BZ74" s="24">
        <f t="shared" ca="1" si="116"/>
        <v>4412.6130406091406</v>
      </c>
      <c r="CA74" s="24">
        <f t="shared" ca="1" si="65"/>
        <v>53041.336037023051</v>
      </c>
      <c r="CB74" s="24">
        <f t="shared" ca="1" si="117"/>
        <v>0</v>
      </c>
      <c r="CC74" s="24">
        <f t="shared" ca="1" si="66"/>
        <v>0</v>
      </c>
      <c r="CD74" s="24">
        <f t="shared" ca="1" si="118"/>
        <v>0</v>
      </c>
      <c r="CE74" s="25">
        <f t="shared" ca="1" si="67"/>
        <v>0</v>
      </c>
      <c r="CF74" s="23">
        <f t="shared" ca="1" si="68"/>
        <v>0</v>
      </c>
      <c r="CG74" s="25">
        <f t="array" aca="1" ref="CG74" ca="1">SUM(BF63:BF74/(1+inflation/100)^(AP63:AP74/12))</f>
        <v>0</v>
      </c>
      <c r="CH74" s="32">
        <f ca="1">IFERROR(IF(MOD(AP74-ap_months_since_start,12)=0,ap_drawdown/100*(AQ74+AV74+BA74-BC74),CH73),0)</f>
        <v>198833.14696408427</v>
      </c>
      <c r="EL74" s="21">
        <f t="shared" ca="1" si="60"/>
        <v>6</v>
      </c>
      <c r="EM74" t="str">
        <f t="shared" ca="1" si="106"/>
        <v/>
      </c>
      <c r="EN74" t="str">
        <f t="shared" ca="1" si="107"/>
        <v/>
      </c>
      <c r="EO74" t="str">
        <f t="shared" ca="1" si="108"/>
        <v/>
      </c>
      <c r="EP74" s="1" t="str">
        <f t="shared" ca="1" si="109"/>
        <v/>
      </c>
      <c r="EQ74" s="1" t="str">
        <f t="shared" ca="1" si="110"/>
        <v/>
      </c>
      <c r="ER74" t="str">
        <f t="shared" ca="1" si="111"/>
        <v/>
      </c>
      <c r="ES74" t="str">
        <f t="shared" si="112"/>
        <v/>
      </c>
      <c r="ET74">
        <v>0</v>
      </c>
      <c r="EU74" s="22">
        <v>65</v>
      </c>
      <c r="EX74" s="21" t="str">
        <f ca="1">IF(EX73="","",IF(EX73+1&lt;=MAX('Financial Planning Tool'!$EL$10:$EL$209),EX73+1,""))</f>
        <v/>
      </c>
      <c r="EY74" t="str">
        <f ca="1">IF(EX74&lt;&gt;"",VLOOKUP(EX74,'Financial Planning Tool'!$EL$10:$ER$209,2,FALSE),"")</f>
        <v/>
      </c>
      <c r="EZ74" t="str">
        <f ca="1">IF(EX74&lt;&gt;"",VLOOKUP(EX74,'Financial Planning Tool'!$EL$10:$ER$209,3,FALSE),"")</f>
        <v/>
      </c>
      <c r="FA74" t="str">
        <f ca="1">IF(EX74&lt;&gt;"",VLOOKUP(EX74,'Financial Planning Tool'!$EL$10:$ER$209,4,FALSE),"")</f>
        <v/>
      </c>
      <c r="FB74" t="str">
        <f t="shared" ca="1" si="61"/>
        <v/>
      </c>
      <c r="FC74" s="1" t="str">
        <f ca="1">IF(EX74&lt;&gt;"",VLOOKUP(EX74,'Financial Planning Tool'!$EL$10:$ER$209,5,FALSE),"")</f>
        <v/>
      </c>
      <c r="FD74" s="1" t="str">
        <f ca="1">IF(EX74&lt;&gt;"",VLOOKUP(EX74,'Financial Planning Tool'!$EL$10:$ER$209,6,FALSE),"")</f>
        <v/>
      </c>
      <c r="FE74" t="str">
        <f ca="1">IF(EX74&lt;&gt;"",VLOOKUP(EX74,'Financial Planning Tool'!$EL$10:$ER$209,7,FALSE),"")</f>
        <v/>
      </c>
      <c r="FF74" t="str">
        <f ca="1">IF(EX74&lt;&gt;"",VLOOKUP(EX74,'Financial Planning Tool'!$EL$10:$ES$209,8,FALSE),"")</f>
        <v/>
      </c>
      <c r="FG74" t="str">
        <f ca="1">IF(EX74&lt;&gt;"",VLOOKUP(EX74,'Financial Planning Tool'!$EL$10:$ET$209,9,FALSE),"")</f>
        <v/>
      </c>
      <c r="FH74" t="str">
        <f t="shared" ca="1" si="86"/>
        <v/>
      </c>
      <c r="FI74" s="22" t="str">
        <f t="shared" ca="1" si="87"/>
        <v/>
      </c>
    </row>
    <row r="75" spans="1:165" x14ac:dyDescent="0.25">
      <c r="A75" s="20"/>
      <c r="B75" s="78" t="s">
        <v>216</v>
      </c>
      <c r="C75" s="76"/>
      <c r="D75" s="126">
        <v>49614</v>
      </c>
      <c r="E75" s="127">
        <v>10.923287671232877</v>
      </c>
      <c r="F75" s="77"/>
      <c r="H75" s="5">
        <f t="shared" ca="1" si="92"/>
        <v>53296</v>
      </c>
      <c r="I75" s="8">
        <f t="shared" ca="1" si="93"/>
        <v>75</v>
      </c>
      <c r="J75" s="12" t="str">
        <f t="shared" ca="1" si="95"/>
        <v/>
      </c>
      <c r="K75" s="12" t="str">
        <f t="shared" ca="1" si="96"/>
        <v/>
      </c>
      <c r="L75" s="12" t="str">
        <f t="shared" ca="1" si="97"/>
        <v/>
      </c>
      <c r="M75" s="12" t="str">
        <f t="shared" ca="1" si="98"/>
        <v/>
      </c>
      <c r="N75" s="12">
        <f t="shared" ca="1" si="99"/>
        <v>-201804.13</v>
      </c>
      <c r="O75" s="12">
        <f t="shared" ca="1" si="100"/>
        <v>-90478.39</v>
      </c>
      <c r="P75" s="12">
        <f t="shared" ca="1" si="101"/>
        <v>1045758.98</v>
      </c>
      <c r="Q75" s="12">
        <f t="shared" ca="1" si="102"/>
        <v>458914.18</v>
      </c>
      <c r="S75" s="18"/>
      <c r="T75" s="5">
        <f t="shared" ca="1" si="103"/>
        <v>53296</v>
      </c>
      <c r="U75" s="8">
        <f t="shared" ca="1" si="104"/>
        <v>75</v>
      </c>
      <c r="V75" s="12"/>
      <c r="W75" s="12"/>
      <c r="X75" s="12"/>
      <c r="Y75" s="12"/>
      <c r="Z75" s="12"/>
      <c r="AA75" s="12"/>
      <c r="AB75" s="12">
        <v>2516916.86</v>
      </c>
      <c r="AC75" s="12">
        <v>1104507.69</v>
      </c>
      <c r="AE75" s="21">
        <v>22</v>
      </c>
      <c r="AF75" s="22">
        <f t="shared" ca="1" si="91"/>
        <v>1</v>
      </c>
      <c r="AI75" s="21">
        <f t="shared" ca="1" si="94"/>
        <v>1</v>
      </c>
      <c r="AJ75" s="22">
        <v>0</v>
      </c>
      <c r="AN75" s="32">
        <f t="shared" ca="1" si="113"/>
        <v>60.5</v>
      </c>
      <c r="AO75" s="53">
        <f t="shared" ca="1" si="144"/>
        <v>47665</v>
      </c>
      <c r="AP75" s="22">
        <v>68</v>
      </c>
      <c r="AQ75" s="32">
        <f t="shared" ca="1" si="145"/>
        <v>1409640.9771252386</v>
      </c>
      <c r="AR75" s="23">
        <f t="array" aca="1" ref="AR75" ca="1">SUM(IF(lsc_start_date=AO75,lsc_amount,0))</f>
        <v>0</v>
      </c>
      <c r="AS75" s="24">
        <f t="shared" ca="1" si="119"/>
        <v>0</v>
      </c>
      <c r="AT75" s="24">
        <f t="shared" ca="1" si="120"/>
        <v>0</v>
      </c>
      <c r="AU75" s="24">
        <f t="shared" ca="1" si="121"/>
        <v>0</v>
      </c>
      <c r="AV75" s="25">
        <f t="shared" ca="1" si="122"/>
        <v>0</v>
      </c>
      <c r="AW75" s="23">
        <f t="array" aca="1" ref="AW75" ca="1">SUM(IF(rcs_start_date&lt;=AO75,1,0)*IF(rcs_end_date&gt;=AO75,1,0)*rcs_amount*(1+rcs_escalation/100)^(INT((AP75-rcs_months_since_start)/12))*IF(MOD((AP75-rcs_months_since_start),rcs_frequency)=0,1,0)*IF(rcs_frequency=13,0,1))+SUM(IF(rcs_start_date=AO75,rcs_amount,0)*IF(rcs_frequency=13,1,0))</f>
        <v>5474.938060800001</v>
      </c>
      <c r="AX75" s="24">
        <f t="shared" ca="1" si="123"/>
        <v>0</v>
      </c>
      <c r="AY75" s="24">
        <f t="shared" ca="1" si="124"/>
        <v>0</v>
      </c>
      <c r="AZ75" s="24">
        <f t="shared" ca="1" si="125"/>
        <v>0</v>
      </c>
      <c r="BA75" s="25">
        <f t="shared" ca="1" si="126"/>
        <v>5474.938060800001</v>
      </c>
      <c r="BB75" s="23">
        <f t="array" aca="1" ref="BB75" ca="1">SUM(IF(w_start_date&lt;=AO75,1,0)*IF(w_end_date&gt;=AO75,1,0)*w_amount*(1+w_escalation/100)^(INT((AP75-w_months_since_start)/12))*IF(MOD(AP75-w_months_since_start,w_frequency)=0,1,0)*IF(w_frequency=13,0,1))+SUM(IF(w_start_date=AO75,w_amount,0)*IF(w_frequency=13,1,0))</f>
        <v>0</v>
      </c>
      <c r="BC75" s="25">
        <f t="shared" ca="1" si="127"/>
        <v>0</v>
      </c>
      <c r="BD75" s="24" t="b">
        <f t="shared" ca="1" si="128"/>
        <v>0</v>
      </c>
      <c r="BE75" s="24" t="b">
        <f t="shared" ca="1" si="129"/>
        <v>1</v>
      </c>
      <c r="BF75" s="23">
        <f t="array" aca="1" ref="BF75" ca="1">SUM(IF(BD75,1,0)*IF(ap_start_date&lt;=AO75,1,0)*IF(ap_end_date&gt;=AO75,1,0)*ap_amount*(1+ap_escalation/100)^(INT((AP75-ap_months_since_start)/12))*IF(MOD(AP75-ap_months_since_start,ap_frequency)=0,1,0))</f>
        <v>0</v>
      </c>
      <c r="BG75" s="24">
        <f t="shared" ca="1" si="130"/>
        <v>0</v>
      </c>
      <c r="BH75" s="24">
        <f t="shared" ca="1" si="131"/>
        <v>0</v>
      </c>
      <c r="BI75">
        <f t="shared" ca="1" si="132"/>
        <v>0</v>
      </c>
      <c r="BJ75" s="24">
        <f t="shared" ca="1" si="133"/>
        <v>0</v>
      </c>
      <c r="BK75">
        <f t="shared" ca="1" si="134"/>
        <v>0</v>
      </c>
      <c r="BL75" s="25">
        <f t="shared" ca="1" si="135"/>
        <v>0</v>
      </c>
      <c r="BM75" s="32">
        <f t="shared" ca="1" si="114"/>
        <v>1425315.1131165952</v>
      </c>
      <c r="BN75" s="23">
        <f t="shared" ca="1" si="136"/>
        <v>0</v>
      </c>
      <c r="BO75" s="24">
        <f t="shared" ca="1" si="137"/>
        <v>0</v>
      </c>
      <c r="BP75" s="25">
        <f t="shared" ca="1" si="138"/>
        <v>0</v>
      </c>
      <c r="BQ75" s="34">
        <f t="shared" ca="1" si="139"/>
        <v>47695</v>
      </c>
      <c r="BR75" s="23">
        <f t="shared" ca="1" si="140"/>
        <v>1425315.1131165952</v>
      </c>
      <c r="BS75" s="24">
        <f t="shared" ca="1" si="141"/>
        <v>5474.938060800001</v>
      </c>
      <c r="BT75" s="24">
        <f t="shared" ca="1" si="62"/>
        <v>64856.958566399997</v>
      </c>
      <c r="BU75" s="24">
        <f t="shared" ca="1" si="142"/>
        <v>0</v>
      </c>
      <c r="BV75" s="24">
        <f t="shared" ca="1" si="63"/>
        <v>0</v>
      </c>
      <c r="BW75" s="24">
        <f t="shared" ca="1" si="143"/>
        <v>0</v>
      </c>
      <c r="BX75" s="25">
        <f t="shared" ca="1" si="64"/>
        <v>0</v>
      </c>
      <c r="BY75" s="23">
        <f t="shared" ca="1" si="115"/>
        <v>1141270.6117209624</v>
      </c>
      <c r="BZ75" s="24">
        <f t="shared" ca="1" si="116"/>
        <v>4398.2144310555532</v>
      </c>
      <c r="CA75" s="24">
        <f t="shared" ca="1" si="65"/>
        <v>53041.336037023044</v>
      </c>
      <c r="CB75" s="24">
        <f t="shared" ca="1" si="117"/>
        <v>0</v>
      </c>
      <c r="CC75" s="24">
        <f t="shared" ca="1" si="66"/>
        <v>0</v>
      </c>
      <c r="CD75" s="24">
        <f t="shared" ca="1" si="118"/>
        <v>0</v>
      </c>
      <c r="CE75" s="25">
        <f t="shared" ca="1" si="67"/>
        <v>0</v>
      </c>
      <c r="CF75" s="23">
        <f t="shared" ca="1" si="68"/>
        <v>0</v>
      </c>
      <c r="CG75" s="25">
        <f t="array" aca="1" ref="CG75" ca="1">SUM(BF64:BF75/(1+inflation/100)^(AP64:AP75/12))</f>
        <v>0</v>
      </c>
      <c r="CH75" s="32">
        <f ca="1">IFERROR(IF(MOD(AP75-ap_months_since_start,12)=0,ap_drawdown/100*(AQ75+AV75+BA75-BC75),CH74),0)</f>
        <v>198833.14696408427</v>
      </c>
      <c r="EL75" s="21">
        <f t="shared" ca="1" si="60"/>
        <v>6</v>
      </c>
      <c r="EM75" t="str">
        <f t="shared" ca="1" si="106"/>
        <v/>
      </c>
      <c r="EN75" t="str">
        <f t="shared" ca="1" si="107"/>
        <v/>
      </c>
      <c r="EO75" t="str">
        <f t="shared" ca="1" si="108"/>
        <v/>
      </c>
      <c r="EP75" s="1" t="str">
        <f t="shared" ca="1" si="109"/>
        <v/>
      </c>
      <c r="EQ75" s="1" t="str">
        <f t="shared" ca="1" si="110"/>
        <v/>
      </c>
      <c r="ER75" t="str">
        <f t="shared" ca="1" si="111"/>
        <v/>
      </c>
      <c r="ES75" t="str">
        <f t="shared" si="112"/>
        <v/>
      </c>
      <c r="ET75">
        <v>0</v>
      </c>
      <c r="EU75" s="22">
        <v>66</v>
      </c>
      <c r="EX75" s="21" t="str">
        <f ca="1">IF(EX74="","",IF(EX74+1&lt;=MAX('Financial Planning Tool'!$EL$10:$EL$209),EX74+1,""))</f>
        <v/>
      </c>
      <c r="EY75" t="str">
        <f ca="1">IF(EX75&lt;&gt;"",VLOOKUP(EX75,'Financial Planning Tool'!$EL$10:$ER$209,2,FALSE),"")</f>
        <v/>
      </c>
      <c r="EZ75" t="str">
        <f ca="1">IF(EX75&lt;&gt;"",VLOOKUP(EX75,'Financial Planning Tool'!$EL$10:$ER$209,3,FALSE),"")</f>
        <v/>
      </c>
      <c r="FA75" t="str">
        <f ca="1">IF(EX75&lt;&gt;"",VLOOKUP(EX75,'Financial Planning Tool'!$EL$10:$ER$209,4,FALSE),"")</f>
        <v/>
      </c>
      <c r="FB75" t="str">
        <f t="shared" ca="1" si="61"/>
        <v/>
      </c>
      <c r="FC75" s="1" t="str">
        <f ca="1">IF(EX75&lt;&gt;"",VLOOKUP(EX75,'Financial Planning Tool'!$EL$10:$ER$209,5,FALSE),"")</f>
        <v/>
      </c>
      <c r="FD75" s="1" t="str">
        <f ca="1">IF(EX75&lt;&gt;"",VLOOKUP(EX75,'Financial Planning Tool'!$EL$10:$ER$209,6,FALSE),"")</f>
        <v/>
      </c>
      <c r="FE75" t="str">
        <f ca="1">IF(EX75&lt;&gt;"",VLOOKUP(EX75,'Financial Planning Tool'!$EL$10:$ER$209,7,FALSE),"")</f>
        <v/>
      </c>
      <c r="FF75" t="str">
        <f ca="1">IF(EX75&lt;&gt;"",VLOOKUP(EX75,'Financial Planning Tool'!$EL$10:$ES$209,8,FALSE),"")</f>
        <v/>
      </c>
      <c r="FG75" t="str">
        <f ca="1">IF(EX75&lt;&gt;"",VLOOKUP(EX75,'Financial Planning Tool'!$EL$10:$ET$209,9,FALSE),"")</f>
        <v/>
      </c>
      <c r="FH75" t="str">
        <f t="shared" ref="FH75:FH106" ca="1" si="146">IF(AdjVarType="Escalation",FE75,IF(AdjVarType="Drawdown",FG75,FA75))</f>
        <v/>
      </c>
      <c r="FI75" s="22" t="str">
        <f t="shared" ref="FI75:FI106" ca="1" si="147">IF(AdjVarType="Escalation",IFERROR(FE75-inflation,FE75),IF(AdjVarType="Drawdown",FG75,FB75))</f>
        <v/>
      </c>
    </row>
    <row r="76" spans="1:165" x14ac:dyDescent="0.25">
      <c r="A76" s="20"/>
      <c r="B76" s="78" t="str">
        <f>"      Annual escalation"&amp;IF(inflation&lt;&gt;""," (inflation rate is "&amp;inflation&amp;"%)","")</f>
        <v xml:space="preserve">      Annual escalation (inflation rate is 4%)</v>
      </c>
      <c r="C76" s="76"/>
      <c r="D76" s="128">
        <v>4</v>
      </c>
      <c r="E76" s="129">
        <v>0</v>
      </c>
      <c r="F76" s="77"/>
      <c r="H76" s="5">
        <f t="shared" ca="1" si="92"/>
        <v>53661</v>
      </c>
      <c r="I76" s="8">
        <f t="shared" ca="1" si="93"/>
        <v>76</v>
      </c>
      <c r="J76" s="12" t="str">
        <f t="shared" ca="1" si="95"/>
        <v/>
      </c>
      <c r="K76" s="12" t="str">
        <f t="shared" ca="1" si="96"/>
        <v/>
      </c>
      <c r="L76" s="12" t="str">
        <f t="shared" ca="1" si="97"/>
        <v/>
      </c>
      <c r="M76" s="12" t="str">
        <f t="shared" ca="1" si="98"/>
        <v/>
      </c>
      <c r="N76" s="12">
        <f t="shared" ca="1" si="99"/>
        <v>-182951.81</v>
      </c>
      <c r="O76" s="12">
        <f t="shared" ca="1" si="100"/>
        <v>-78871.149999999994</v>
      </c>
      <c r="P76" s="12">
        <f t="shared" ca="1" si="101"/>
        <v>948065.28000000003</v>
      </c>
      <c r="Q76" s="12">
        <f t="shared" ca="1" si="102"/>
        <v>400041.25</v>
      </c>
      <c r="S76" s="18"/>
      <c r="T76" s="5">
        <f t="shared" ca="1" si="103"/>
        <v>53661</v>
      </c>
      <c r="U76" s="8">
        <f t="shared" ca="1" si="104"/>
        <v>76</v>
      </c>
      <c r="V76" s="12"/>
      <c r="W76" s="12"/>
      <c r="X76" s="12"/>
      <c r="Y76" s="12"/>
      <c r="Z76" s="12"/>
      <c r="AA76" s="12"/>
      <c r="AB76" s="12">
        <v>2718270.21</v>
      </c>
      <c r="AC76" s="12">
        <v>1146988.76</v>
      </c>
      <c r="AE76" s="21">
        <v>23</v>
      </c>
      <c r="AF76" s="22">
        <f t="shared" ca="1" si="91"/>
        <v>1</v>
      </c>
      <c r="AI76" s="21">
        <f t="shared" ca="1" si="94"/>
        <v>1</v>
      </c>
      <c r="AJ76" s="22">
        <v>0</v>
      </c>
      <c r="AN76" s="32">
        <f t="shared" ca="1" si="113"/>
        <v>60.583333333333336</v>
      </c>
      <c r="AO76" s="53">
        <f t="shared" ca="1" si="144"/>
        <v>47696</v>
      </c>
      <c r="AP76" s="22">
        <v>69</v>
      </c>
      <c r="AQ76" s="32">
        <f t="shared" ca="1" si="145"/>
        <v>1425315.1131165952</v>
      </c>
      <c r="AR76" s="23">
        <f t="array" aca="1" ref="AR76" ca="1">SUM(IF(lsc_start_date=AO76,lsc_amount,0))</f>
        <v>0</v>
      </c>
      <c r="AS76" s="24">
        <f t="shared" ca="1" si="119"/>
        <v>0</v>
      </c>
      <c r="AT76" s="24">
        <f t="shared" ca="1" si="120"/>
        <v>0</v>
      </c>
      <c r="AU76" s="24">
        <f t="shared" ca="1" si="121"/>
        <v>0</v>
      </c>
      <c r="AV76" s="25">
        <f t="shared" ca="1" si="122"/>
        <v>0</v>
      </c>
      <c r="AW76" s="23">
        <f t="array" aca="1" ref="AW76" ca="1">SUM(IF(rcs_start_date&lt;=AO76,1,0)*IF(rcs_end_date&gt;=AO76,1,0)*rcs_amount*(1+rcs_escalation/100)^(INT((AP76-rcs_months_since_start)/12))*IF(MOD((AP76-rcs_months_since_start),rcs_frequency)=0,1,0)*IF(rcs_frequency=13,0,1))+SUM(IF(rcs_start_date=AO76,rcs_amount,0)*IF(rcs_frequency=13,1,0))</f>
        <v>5474.938060800001</v>
      </c>
      <c r="AX76" s="24">
        <f t="shared" ca="1" si="123"/>
        <v>0</v>
      </c>
      <c r="AY76" s="24">
        <f t="shared" ca="1" si="124"/>
        <v>0</v>
      </c>
      <c r="AZ76" s="24">
        <f t="shared" ca="1" si="125"/>
        <v>0</v>
      </c>
      <c r="BA76" s="25">
        <f t="shared" ca="1" si="126"/>
        <v>5474.938060800001</v>
      </c>
      <c r="BB76" s="23">
        <f t="array" aca="1" ref="BB76" ca="1">SUM(IF(w_start_date&lt;=AO76,1,0)*IF(w_end_date&gt;=AO76,1,0)*w_amount*(1+w_escalation/100)^(INT((AP76-w_months_since_start)/12))*IF(MOD(AP76-w_months_since_start,w_frequency)=0,1,0)*IF(w_frequency=13,0,1))+SUM(IF(w_start_date=AO76,w_amount,0)*IF(w_frequency=13,1,0))</f>
        <v>0</v>
      </c>
      <c r="BC76" s="25">
        <f t="shared" ca="1" si="127"/>
        <v>0</v>
      </c>
      <c r="BD76" s="24" t="b">
        <f t="shared" ca="1" si="128"/>
        <v>0</v>
      </c>
      <c r="BE76" s="24" t="b">
        <f t="shared" ca="1" si="129"/>
        <v>1</v>
      </c>
      <c r="BF76" s="23">
        <f t="array" aca="1" ref="BF76" ca="1">SUM(IF(BD76,1,0)*IF(ap_start_date&lt;=AO76,1,0)*IF(ap_end_date&gt;=AO76,1,0)*ap_amount*(1+ap_escalation/100)^(INT((AP76-ap_months_since_start)/12))*IF(MOD(AP76-ap_months_since_start,ap_frequency)=0,1,0))</f>
        <v>0</v>
      </c>
      <c r="BG76" s="24">
        <f t="shared" ca="1" si="130"/>
        <v>0</v>
      </c>
      <c r="BH76" s="24">
        <f t="shared" ca="1" si="131"/>
        <v>0</v>
      </c>
      <c r="BI76">
        <f t="shared" ca="1" si="132"/>
        <v>0</v>
      </c>
      <c r="BJ76" s="24">
        <f t="shared" ca="1" si="133"/>
        <v>0</v>
      </c>
      <c r="BK76">
        <f t="shared" ca="1" si="134"/>
        <v>0</v>
      </c>
      <c r="BL76" s="25">
        <f t="shared" ca="1" si="135"/>
        <v>0</v>
      </c>
      <c r="BM76" s="32">
        <f t="shared" ca="1" si="114"/>
        <v>1441102.2176737424</v>
      </c>
      <c r="BN76" s="23">
        <f t="shared" ca="1" si="136"/>
        <v>0</v>
      </c>
      <c r="BO76" s="24">
        <f t="shared" ca="1" si="137"/>
        <v>0</v>
      </c>
      <c r="BP76" s="25">
        <f t="shared" ca="1" si="138"/>
        <v>0</v>
      </c>
      <c r="BQ76" s="34">
        <f t="shared" ca="1" si="139"/>
        <v>47726</v>
      </c>
      <c r="BR76" s="23">
        <f t="shared" ca="1" si="140"/>
        <v>1441102.2176737424</v>
      </c>
      <c r="BS76" s="24">
        <f t="shared" ca="1" si="141"/>
        <v>5474.938060800001</v>
      </c>
      <c r="BT76" s="24">
        <f t="shared" ca="1" si="62"/>
        <v>65067.533107199997</v>
      </c>
      <c r="BU76" s="24">
        <f t="shared" ca="1" si="142"/>
        <v>0</v>
      </c>
      <c r="BV76" s="24">
        <f t="shared" ca="1" si="63"/>
        <v>0</v>
      </c>
      <c r="BW76" s="24">
        <f t="shared" ca="1" si="143"/>
        <v>0</v>
      </c>
      <c r="BX76" s="25">
        <f t="shared" ca="1" si="64"/>
        <v>0</v>
      </c>
      <c r="BY76" s="23">
        <f t="shared" ca="1" si="115"/>
        <v>1150146.2970444576</v>
      </c>
      <c r="BZ76" s="24">
        <f t="shared" ca="1" si="116"/>
        <v>4383.8628049911513</v>
      </c>
      <c r="CA76" s="24">
        <f t="shared" ca="1" si="65"/>
        <v>53041.336037023037</v>
      </c>
      <c r="CB76" s="24">
        <f t="shared" ca="1" si="117"/>
        <v>0</v>
      </c>
      <c r="CC76" s="24">
        <f t="shared" ca="1" si="66"/>
        <v>0</v>
      </c>
      <c r="CD76" s="24">
        <f t="shared" ca="1" si="118"/>
        <v>0</v>
      </c>
      <c r="CE76" s="25">
        <f t="shared" ca="1" si="67"/>
        <v>0</v>
      </c>
      <c r="CF76" s="23">
        <f t="shared" ca="1" si="68"/>
        <v>0</v>
      </c>
      <c r="CG76" s="25">
        <f t="array" aca="1" ref="CG76" ca="1">SUM(BF65:BF76/(1+inflation/100)^(AP65:AP76/12))</f>
        <v>0</v>
      </c>
      <c r="CH76" s="32">
        <f ca="1">IFERROR(IF(MOD(AP76-ap_months_since_start,12)=0,ap_drawdown/100*(AQ76+AV76+BA76-BC76),CH75),0)</f>
        <v>198833.14696408427</v>
      </c>
      <c r="EL76" s="21">
        <f t="shared" ref="EL76:EL139" ca="1" si="148">IF(EM76&lt;&gt;"",IF(EL75="",1,EL75+1),EL75)</f>
        <v>6</v>
      </c>
      <c r="EM76" t="str">
        <f t="shared" ca="1" si="106"/>
        <v/>
      </c>
      <c r="EN76" t="str">
        <f t="shared" ca="1" si="107"/>
        <v/>
      </c>
      <c r="EO76" t="str">
        <f t="shared" ca="1" si="108"/>
        <v/>
      </c>
      <c r="EP76" s="1" t="str">
        <f t="shared" ca="1" si="109"/>
        <v/>
      </c>
      <c r="EQ76" s="1" t="str">
        <f t="shared" ca="1" si="110"/>
        <v/>
      </c>
      <c r="ER76" t="str">
        <f t="shared" ca="1" si="111"/>
        <v/>
      </c>
      <c r="ES76" t="str">
        <f t="shared" si="112"/>
        <v/>
      </c>
      <c r="ET76">
        <v>0</v>
      </c>
      <c r="EU76" s="22">
        <v>67</v>
      </c>
      <c r="EX76" s="21" t="str">
        <f ca="1">IF(EX75="","",IF(EX75+1&lt;=MAX('Financial Planning Tool'!$EL$10:$EL$209),EX75+1,""))</f>
        <v/>
      </c>
      <c r="EY76" t="str">
        <f ca="1">IF(EX76&lt;&gt;"",VLOOKUP(EX76,'Financial Planning Tool'!$EL$10:$ER$209,2,FALSE),"")</f>
        <v/>
      </c>
      <c r="EZ76" t="str">
        <f ca="1">IF(EX76&lt;&gt;"",VLOOKUP(EX76,'Financial Planning Tool'!$EL$10:$ER$209,3,FALSE),"")</f>
        <v/>
      </c>
      <c r="FA76" t="str">
        <f ca="1">IF(EX76&lt;&gt;"",VLOOKUP(EX76,'Financial Planning Tool'!$EL$10:$ER$209,4,FALSE),"")</f>
        <v/>
      </c>
      <c r="FB76" t="str">
        <f t="shared" ref="FB76:FB139" ca="1" si="149">IF(FA76&lt;&gt;"",FA76/(1+inflation/100)^(YEARFRAC(date_start,FC76)),"")</f>
        <v/>
      </c>
      <c r="FC76" s="1" t="str">
        <f ca="1">IF(EX76&lt;&gt;"",VLOOKUP(EX76,'Financial Planning Tool'!$EL$10:$ER$209,5,FALSE),"")</f>
        <v/>
      </c>
      <c r="FD76" s="1" t="str">
        <f ca="1">IF(EX76&lt;&gt;"",VLOOKUP(EX76,'Financial Planning Tool'!$EL$10:$ER$209,6,FALSE),"")</f>
        <v/>
      </c>
      <c r="FE76" t="str">
        <f ca="1">IF(EX76&lt;&gt;"",VLOOKUP(EX76,'Financial Planning Tool'!$EL$10:$ER$209,7,FALSE),"")</f>
        <v/>
      </c>
      <c r="FF76" t="str">
        <f ca="1">IF(EX76&lt;&gt;"",VLOOKUP(EX76,'Financial Planning Tool'!$EL$10:$ES$209,8,FALSE),"")</f>
        <v/>
      </c>
      <c r="FG76" t="str">
        <f ca="1">IF(EX76&lt;&gt;"",VLOOKUP(EX76,'Financial Planning Tool'!$EL$10:$ET$209,9,FALSE),"")</f>
        <v/>
      </c>
      <c r="FH76" t="str">
        <f t="shared" ca="1" si="146"/>
        <v/>
      </c>
      <c r="FI76" s="22" t="str">
        <f t="shared" ca="1" si="147"/>
        <v/>
      </c>
    </row>
    <row r="77" spans="1:165" x14ac:dyDescent="0.25">
      <c r="A77" s="20"/>
      <c r="B77" s="78"/>
      <c r="C77" s="76"/>
      <c r="D77" s="76"/>
      <c r="E77" s="76"/>
      <c r="F77" s="77"/>
      <c r="H77" s="5">
        <f t="shared" ca="1" si="92"/>
        <v>54026</v>
      </c>
      <c r="I77" s="8">
        <f t="shared" ca="1" si="93"/>
        <v>77</v>
      </c>
      <c r="J77" s="12" t="str">
        <f t="shared" ca="1" si="95"/>
        <v/>
      </c>
      <c r="K77" s="12" t="str">
        <f t="shared" ca="1" si="96"/>
        <v/>
      </c>
      <c r="L77" s="12" t="str">
        <f t="shared" ca="1" si="97"/>
        <v/>
      </c>
      <c r="M77" s="12" t="str">
        <f t="shared" ca="1" si="98"/>
        <v/>
      </c>
      <c r="N77" s="12">
        <f t="shared" ca="1" si="99"/>
        <v>-165860.64000000001</v>
      </c>
      <c r="O77" s="12">
        <f t="shared" ca="1" si="100"/>
        <v>-68752.97</v>
      </c>
      <c r="P77" s="12">
        <f t="shared" ca="1" si="101"/>
        <v>859498.03</v>
      </c>
      <c r="Q77" s="12">
        <f t="shared" ca="1" si="102"/>
        <v>348720.98</v>
      </c>
      <c r="S77" s="18"/>
      <c r="T77" s="5">
        <f t="shared" ca="1" si="103"/>
        <v>54026</v>
      </c>
      <c r="U77" s="8">
        <f t="shared" ca="1" si="104"/>
        <v>77</v>
      </c>
      <c r="V77" s="12"/>
      <c r="W77" s="12"/>
      <c r="X77" s="12"/>
      <c r="Y77" s="12"/>
      <c r="Z77" s="12"/>
      <c r="AA77" s="12"/>
      <c r="AB77" s="12">
        <v>2935731.82</v>
      </c>
      <c r="AC77" s="12">
        <v>1191103.71</v>
      </c>
      <c r="AE77" s="21">
        <v>24</v>
      </c>
      <c r="AF77" s="22">
        <f t="shared" ca="1" si="91"/>
        <v>1</v>
      </c>
      <c r="AI77" s="21">
        <f t="shared" ca="1" si="94"/>
        <v>1</v>
      </c>
      <c r="AJ77" s="22">
        <v>0</v>
      </c>
      <c r="AN77" s="32">
        <f t="shared" ca="1" si="113"/>
        <v>60.666666666666664</v>
      </c>
      <c r="AO77" s="53">
        <f t="shared" ca="1" si="144"/>
        <v>47727</v>
      </c>
      <c r="AP77" s="22">
        <v>70</v>
      </c>
      <c r="AQ77" s="32">
        <f t="shared" ca="1" si="145"/>
        <v>1441102.2176737424</v>
      </c>
      <c r="AR77" s="23">
        <f t="array" aca="1" ref="AR77" ca="1">SUM(IF(lsc_start_date=AO77,lsc_amount,0))</f>
        <v>0</v>
      </c>
      <c r="AS77" s="24">
        <f t="shared" ca="1" si="119"/>
        <v>0</v>
      </c>
      <c r="AT77" s="24">
        <f t="shared" ca="1" si="120"/>
        <v>0</v>
      </c>
      <c r="AU77" s="24">
        <f t="shared" ca="1" si="121"/>
        <v>0</v>
      </c>
      <c r="AV77" s="25">
        <f t="shared" ca="1" si="122"/>
        <v>0</v>
      </c>
      <c r="AW77" s="23">
        <f t="array" aca="1" ref="AW77" ca="1">SUM(IF(rcs_start_date&lt;=AO77,1,0)*IF(rcs_end_date&gt;=AO77,1,0)*rcs_amount*(1+rcs_escalation/100)^(INT((AP77-rcs_months_since_start)/12))*IF(MOD((AP77-rcs_months_since_start),rcs_frequency)=0,1,0)*IF(rcs_frequency=13,0,1))+SUM(IF(rcs_start_date=AO77,rcs_amount,0)*IF(rcs_frequency=13,1,0))</f>
        <v>5474.938060800001</v>
      </c>
      <c r="AX77" s="24">
        <f t="shared" ca="1" si="123"/>
        <v>0</v>
      </c>
      <c r="AY77" s="24">
        <f t="shared" ca="1" si="124"/>
        <v>0</v>
      </c>
      <c r="AZ77" s="24">
        <f t="shared" ca="1" si="125"/>
        <v>0</v>
      </c>
      <c r="BA77" s="25">
        <f t="shared" ca="1" si="126"/>
        <v>5474.938060800001</v>
      </c>
      <c r="BB77" s="23">
        <f t="array" aca="1" ref="BB77" ca="1">SUM(IF(w_start_date&lt;=AO77,1,0)*IF(w_end_date&gt;=AO77,1,0)*w_amount*(1+w_escalation/100)^(INT((AP77-w_months_since_start)/12))*IF(MOD(AP77-w_months_since_start,w_frequency)=0,1,0)*IF(w_frequency=13,0,1))+SUM(IF(w_start_date=AO77,w_amount,0)*IF(w_frequency=13,1,0))</f>
        <v>0</v>
      </c>
      <c r="BC77" s="25">
        <f t="shared" ca="1" si="127"/>
        <v>0</v>
      </c>
      <c r="BD77" s="24" t="b">
        <f t="shared" ca="1" si="128"/>
        <v>0</v>
      </c>
      <c r="BE77" s="24" t="b">
        <f t="shared" ca="1" si="129"/>
        <v>1</v>
      </c>
      <c r="BF77" s="23">
        <f t="array" aca="1" ref="BF77" ca="1">SUM(IF(BD77,1,0)*IF(ap_start_date&lt;=AO77,1,0)*IF(ap_end_date&gt;=AO77,1,0)*ap_amount*(1+ap_escalation/100)^(INT((AP77-ap_months_since_start)/12))*IF(MOD(AP77-ap_months_since_start,ap_frequency)=0,1,0))</f>
        <v>0</v>
      </c>
      <c r="BG77" s="24">
        <f t="shared" ca="1" si="130"/>
        <v>0</v>
      </c>
      <c r="BH77" s="24">
        <f t="shared" ca="1" si="131"/>
        <v>0</v>
      </c>
      <c r="BI77">
        <f t="shared" ca="1" si="132"/>
        <v>0</v>
      </c>
      <c r="BJ77" s="24">
        <f t="shared" ca="1" si="133"/>
        <v>0</v>
      </c>
      <c r="BK77">
        <f t="shared" ca="1" si="134"/>
        <v>0</v>
      </c>
      <c r="BL77" s="25">
        <f t="shared" ca="1" si="135"/>
        <v>0</v>
      </c>
      <c r="BM77" s="32">
        <f t="shared" ca="1" si="114"/>
        <v>1457003.1049976589</v>
      </c>
      <c r="BN77" s="23">
        <f t="shared" ca="1" si="136"/>
        <v>0</v>
      </c>
      <c r="BO77" s="24">
        <f t="shared" ca="1" si="137"/>
        <v>0</v>
      </c>
      <c r="BP77" s="25">
        <f t="shared" ca="1" si="138"/>
        <v>0</v>
      </c>
      <c r="BQ77" s="34">
        <f t="shared" ca="1" si="139"/>
        <v>47756</v>
      </c>
      <c r="BR77" s="23">
        <f t="shared" ca="1" si="140"/>
        <v>1457003.1049976589</v>
      </c>
      <c r="BS77" s="24">
        <f t="shared" ca="1" si="141"/>
        <v>5474.938060800001</v>
      </c>
      <c r="BT77" s="24">
        <f t="shared" ca="1" si="62"/>
        <v>65278.107647999997</v>
      </c>
      <c r="BU77" s="24">
        <f t="shared" ca="1" si="142"/>
        <v>0</v>
      </c>
      <c r="BV77" s="24">
        <f t="shared" ca="1" si="63"/>
        <v>0</v>
      </c>
      <c r="BW77" s="24">
        <f t="shared" ca="1" si="143"/>
        <v>0</v>
      </c>
      <c r="BX77" s="25">
        <f t="shared" ca="1" si="64"/>
        <v>0</v>
      </c>
      <c r="BY77" s="23">
        <f t="shared" ca="1" si="115"/>
        <v>1159042.4208122718</v>
      </c>
      <c r="BZ77" s="24">
        <f t="shared" ca="1" si="116"/>
        <v>4369.5580091061147</v>
      </c>
      <c r="CA77" s="24">
        <f t="shared" ca="1" si="65"/>
        <v>53041.336037023037</v>
      </c>
      <c r="CB77" s="24">
        <f t="shared" ca="1" si="117"/>
        <v>0</v>
      </c>
      <c r="CC77" s="24">
        <f t="shared" ca="1" si="66"/>
        <v>0</v>
      </c>
      <c r="CD77" s="24">
        <f t="shared" ca="1" si="118"/>
        <v>0</v>
      </c>
      <c r="CE77" s="25">
        <f t="shared" ca="1" si="67"/>
        <v>0</v>
      </c>
      <c r="CF77" s="23">
        <f t="shared" ca="1" si="68"/>
        <v>0</v>
      </c>
      <c r="CG77" s="25">
        <f t="array" aca="1" ref="CG77" ca="1">SUM(BF66:BF77/(1+inflation/100)^(AP66:AP77/12))</f>
        <v>0</v>
      </c>
      <c r="CH77" s="32">
        <f ca="1">IFERROR(IF(MOD(AP77-ap_months_since_start,12)=0,ap_drawdown/100*(AQ77+AV77+BA77-BC77),CH76),0)</f>
        <v>198833.14696408427</v>
      </c>
      <c r="EL77" s="21">
        <f t="shared" ca="1" si="148"/>
        <v>6</v>
      </c>
      <c r="EM77" t="str">
        <f t="shared" ca="1" si="106"/>
        <v/>
      </c>
      <c r="EN77" t="str">
        <f t="shared" ca="1" si="107"/>
        <v/>
      </c>
      <c r="EO77" t="str">
        <f t="shared" ca="1" si="108"/>
        <v/>
      </c>
      <c r="EP77" s="1" t="str">
        <f t="shared" ca="1" si="109"/>
        <v/>
      </c>
      <c r="EQ77" s="1" t="str">
        <f t="shared" ca="1" si="110"/>
        <v/>
      </c>
      <c r="ER77" t="str">
        <f t="shared" ca="1" si="111"/>
        <v/>
      </c>
      <c r="ES77" t="str">
        <f t="shared" si="112"/>
        <v/>
      </c>
      <c r="ET77">
        <v>0</v>
      </c>
      <c r="EU77" s="22">
        <v>68</v>
      </c>
      <c r="EX77" s="21" t="str">
        <f ca="1">IF(EX76="","",IF(EX76+1&lt;=MAX('Financial Planning Tool'!$EL$10:$EL$209),EX76+1,""))</f>
        <v/>
      </c>
      <c r="EY77" t="str">
        <f ca="1">IF(EX77&lt;&gt;"",VLOOKUP(EX77,'Financial Planning Tool'!$EL$10:$ER$209,2,FALSE),"")</f>
        <v/>
      </c>
      <c r="EZ77" t="str">
        <f ca="1">IF(EX77&lt;&gt;"",VLOOKUP(EX77,'Financial Planning Tool'!$EL$10:$ER$209,3,FALSE),"")</f>
        <v/>
      </c>
      <c r="FA77" t="str">
        <f ca="1">IF(EX77&lt;&gt;"",VLOOKUP(EX77,'Financial Planning Tool'!$EL$10:$ER$209,4,FALSE),"")</f>
        <v/>
      </c>
      <c r="FB77" t="str">
        <f t="shared" ca="1" si="149"/>
        <v/>
      </c>
      <c r="FC77" s="1" t="str">
        <f ca="1">IF(EX77&lt;&gt;"",VLOOKUP(EX77,'Financial Planning Tool'!$EL$10:$ER$209,5,FALSE),"")</f>
        <v/>
      </c>
      <c r="FD77" s="1" t="str">
        <f ca="1">IF(EX77&lt;&gt;"",VLOOKUP(EX77,'Financial Planning Tool'!$EL$10:$ER$209,6,FALSE),"")</f>
        <v/>
      </c>
      <c r="FE77" t="str">
        <f ca="1">IF(EX77&lt;&gt;"",VLOOKUP(EX77,'Financial Planning Tool'!$EL$10:$ER$209,7,FALSE),"")</f>
        <v/>
      </c>
      <c r="FF77" t="str">
        <f ca="1">IF(EX77&lt;&gt;"",VLOOKUP(EX77,'Financial Planning Tool'!$EL$10:$ES$209,8,FALSE),"")</f>
        <v/>
      </c>
      <c r="FG77" t="str">
        <f ca="1">IF(EX77&lt;&gt;"",VLOOKUP(EX77,'Financial Planning Tool'!$EL$10:$ET$209,9,FALSE),"")</f>
        <v/>
      </c>
      <c r="FH77" t="str">
        <f t="shared" ca="1" si="146"/>
        <v/>
      </c>
      <c r="FI77" s="22" t="str">
        <f t="shared" ca="1" si="147"/>
        <v/>
      </c>
    </row>
    <row r="78" spans="1:165" x14ac:dyDescent="0.25">
      <c r="A78" s="20"/>
      <c r="B78" s="78"/>
      <c r="C78" s="76"/>
      <c r="D78" s="76"/>
      <c r="E78" s="76"/>
      <c r="F78" s="77"/>
      <c r="H78" s="5">
        <f t="shared" ca="1" si="92"/>
        <v>54392</v>
      </c>
      <c r="I78" s="8">
        <f t="shared" ca="1" si="93"/>
        <v>78</v>
      </c>
      <c r="J78" s="12" t="str">
        <f t="shared" ca="1" si="95"/>
        <v/>
      </c>
      <c r="K78" s="12" t="str">
        <f t="shared" ca="1" si="96"/>
        <v/>
      </c>
      <c r="L78" s="12" t="str">
        <f t="shared" ca="1" si="97"/>
        <v/>
      </c>
      <c r="M78" s="12" t="str">
        <f t="shared" ca="1" si="98"/>
        <v/>
      </c>
      <c r="N78" s="12">
        <f t="shared" ca="1" si="99"/>
        <v>-150366.12</v>
      </c>
      <c r="O78" s="12">
        <f t="shared" ca="1" si="100"/>
        <v>-59932.83</v>
      </c>
      <c r="P78" s="12">
        <f t="shared" ca="1" si="101"/>
        <v>779204.63</v>
      </c>
      <c r="Q78" s="12">
        <f t="shared" ca="1" si="102"/>
        <v>303984.46000000002</v>
      </c>
      <c r="S78" s="18"/>
      <c r="T78" s="5">
        <f t="shared" ca="1" si="103"/>
        <v>54392</v>
      </c>
      <c r="U78" s="8">
        <f t="shared" ca="1" si="104"/>
        <v>78</v>
      </c>
      <c r="V78" s="12"/>
      <c r="W78" s="12"/>
      <c r="X78" s="12"/>
      <c r="Y78" s="12"/>
      <c r="Z78" s="12"/>
      <c r="AA78" s="12"/>
      <c r="AB78" s="12">
        <v>3170590.37</v>
      </c>
      <c r="AC78" s="12">
        <v>1236915.3899999999</v>
      </c>
      <c r="AE78" s="21">
        <v>25</v>
      </c>
      <c r="AF78" s="22">
        <f t="shared" ca="1" si="91"/>
        <v>1</v>
      </c>
      <c r="AI78" s="21">
        <f t="shared" ca="1" si="94"/>
        <v>1</v>
      </c>
      <c r="AJ78" s="22">
        <v>0</v>
      </c>
      <c r="AN78" s="32">
        <f t="shared" ca="1" si="113"/>
        <v>60.75</v>
      </c>
      <c r="AO78" s="53">
        <f t="shared" ca="1" si="144"/>
        <v>47757</v>
      </c>
      <c r="AP78" s="22">
        <v>71</v>
      </c>
      <c r="AQ78" s="32">
        <f t="shared" ca="1" si="145"/>
        <v>1457003.1049976589</v>
      </c>
      <c r="AR78" s="23">
        <f t="array" aca="1" ref="AR78" ca="1">SUM(IF(lsc_start_date=AO78,lsc_amount,0))</f>
        <v>0</v>
      </c>
      <c r="AS78" s="24">
        <f t="shared" ca="1" si="119"/>
        <v>0</v>
      </c>
      <c r="AT78" s="24">
        <f t="shared" ca="1" si="120"/>
        <v>0</v>
      </c>
      <c r="AU78" s="24">
        <f t="shared" ca="1" si="121"/>
        <v>0</v>
      </c>
      <c r="AV78" s="25">
        <f t="shared" ca="1" si="122"/>
        <v>0</v>
      </c>
      <c r="AW78" s="23">
        <f t="array" aca="1" ref="AW78" ca="1">SUM(IF(rcs_start_date&lt;=AO78,1,0)*IF(rcs_end_date&gt;=AO78,1,0)*rcs_amount*(1+rcs_escalation/100)^(INT((AP78-rcs_months_since_start)/12))*IF(MOD((AP78-rcs_months_since_start),rcs_frequency)=0,1,0)*IF(rcs_frequency=13,0,1))+SUM(IF(rcs_start_date=AO78,rcs_amount,0)*IF(rcs_frequency=13,1,0))</f>
        <v>5474.938060800001</v>
      </c>
      <c r="AX78" s="24">
        <f t="shared" ca="1" si="123"/>
        <v>0</v>
      </c>
      <c r="AY78" s="24">
        <f t="shared" ca="1" si="124"/>
        <v>0</v>
      </c>
      <c r="AZ78" s="24">
        <f t="shared" ca="1" si="125"/>
        <v>0</v>
      </c>
      <c r="BA78" s="25">
        <f t="shared" ca="1" si="126"/>
        <v>5474.938060800001</v>
      </c>
      <c r="BB78" s="23">
        <f t="array" aca="1" ref="BB78" ca="1">SUM(IF(w_start_date&lt;=AO78,1,0)*IF(w_end_date&gt;=AO78,1,0)*w_amount*(1+w_escalation/100)^(INT((AP78-w_months_since_start)/12))*IF(MOD(AP78-w_months_since_start,w_frequency)=0,1,0)*IF(w_frequency=13,0,1))+SUM(IF(w_start_date=AO78,w_amount,0)*IF(w_frequency=13,1,0))</f>
        <v>0</v>
      </c>
      <c r="BC78" s="25">
        <f t="shared" ca="1" si="127"/>
        <v>0</v>
      </c>
      <c r="BD78" s="24" t="b">
        <f t="shared" ca="1" si="128"/>
        <v>0</v>
      </c>
      <c r="BE78" s="24" t="b">
        <f t="shared" ca="1" si="129"/>
        <v>1</v>
      </c>
      <c r="BF78" s="23">
        <f t="array" aca="1" ref="BF78" ca="1">SUM(IF(BD78,1,0)*IF(ap_start_date&lt;=AO78,1,0)*IF(ap_end_date&gt;=AO78,1,0)*ap_amount*(1+ap_escalation/100)^(INT((AP78-ap_months_since_start)/12))*IF(MOD(AP78-ap_months_since_start,ap_frequency)=0,1,0))</f>
        <v>0</v>
      </c>
      <c r="BG78" s="24">
        <f t="shared" ca="1" si="130"/>
        <v>0</v>
      </c>
      <c r="BH78" s="24">
        <f t="shared" ca="1" si="131"/>
        <v>0</v>
      </c>
      <c r="BI78">
        <f t="shared" ca="1" si="132"/>
        <v>0</v>
      </c>
      <c r="BJ78" s="24">
        <f t="shared" ca="1" si="133"/>
        <v>0</v>
      </c>
      <c r="BK78">
        <f t="shared" ca="1" si="134"/>
        <v>0</v>
      </c>
      <c r="BL78" s="25">
        <f t="shared" ca="1" si="135"/>
        <v>0</v>
      </c>
      <c r="BM78" s="32">
        <f t="shared" ca="1" si="114"/>
        <v>1473018.5951575323</v>
      </c>
      <c r="BN78" s="23">
        <f t="shared" ca="1" si="136"/>
        <v>0</v>
      </c>
      <c r="BO78" s="24">
        <f t="shared" ca="1" si="137"/>
        <v>0</v>
      </c>
      <c r="BP78" s="25">
        <f t="shared" ca="1" si="138"/>
        <v>0</v>
      </c>
      <c r="BQ78" s="34">
        <f t="shared" ca="1" si="139"/>
        <v>47787</v>
      </c>
      <c r="BR78" s="23">
        <f t="shared" ca="1" si="140"/>
        <v>1473018.5951575323</v>
      </c>
      <c r="BS78" s="24">
        <f t="shared" ca="1" si="141"/>
        <v>5474.938060800001</v>
      </c>
      <c r="BT78" s="24">
        <f t="shared" ca="1" si="62"/>
        <v>65488.682188799998</v>
      </c>
      <c r="BU78" s="24">
        <f t="shared" ca="1" si="142"/>
        <v>0</v>
      </c>
      <c r="BV78" s="24">
        <f t="shared" ca="1" si="63"/>
        <v>0</v>
      </c>
      <c r="BW78" s="24">
        <f t="shared" ca="1" si="143"/>
        <v>0</v>
      </c>
      <c r="BX78" s="25">
        <f t="shared" ca="1" si="64"/>
        <v>0</v>
      </c>
      <c r="BY78" s="23">
        <f t="shared" ca="1" si="115"/>
        <v>1167959.1100187749</v>
      </c>
      <c r="BZ78" s="24">
        <f t="shared" ca="1" si="116"/>
        <v>4355.2998905908808</v>
      </c>
      <c r="CA78" s="24">
        <f t="shared" ca="1" si="65"/>
        <v>53041.336037023044</v>
      </c>
      <c r="CB78" s="24">
        <f t="shared" ca="1" si="117"/>
        <v>0</v>
      </c>
      <c r="CC78" s="24">
        <f t="shared" ca="1" si="66"/>
        <v>0</v>
      </c>
      <c r="CD78" s="24">
        <f t="shared" ca="1" si="118"/>
        <v>0</v>
      </c>
      <c r="CE78" s="25">
        <f t="shared" ca="1" si="67"/>
        <v>0</v>
      </c>
      <c r="CF78" s="23">
        <f t="shared" ca="1" si="68"/>
        <v>0</v>
      </c>
      <c r="CG78" s="25">
        <f t="array" aca="1" ref="CG78" ca="1">SUM(BF67:BF78/(1+inflation/100)^(AP67:AP78/12))</f>
        <v>0</v>
      </c>
      <c r="CH78" s="32">
        <f ca="1">IFERROR(IF(MOD(AP78-ap_months_since_start,12)=0,ap_drawdown/100*(AQ78+AV78+BA78-BC78),CH77),0)</f>
        <v>198833.14696408427</v>
      </c>
      <c r="EL78" s="21">
        <f t="shared" ca="1" si="148"/>
        <v>6</v>
      </c>
      <c r="EM78" t="str">
        <f t="shared" ca="1" si="106"/>
        <v/>
      </c>
      <c r="EN78" t="str">
        <f t="shared" ca="1" si="107"/>
        <v/>
      </c>
      <c r="EO78" t="str">
        <f t="shared" ca="1" si="108"/>
        <v/>
      </c>
      <c r="EP78" s="1" t="str">
        <f t="shared" ca="1" si="109"/>
        <v/>
      </c>
      <c r="EQ78" s="1" t="str">
        <f t="shared" ca="1" si="110"/>
        <v/>
      </c>
      <c r="ER78" t="str">
        <f t="shared" ca="1" si="111"/>
        <v/>
      </c>
      <c r="ES78" t="str">
        <f t="shared" si="112"/>
        <v/>
      </c>
      <c r="ET78">
        <v>0</v>
      </c>
      <c r="EU78" s="22">
        <v>69</v>
      </c>
      <c r="EX78" s="21" t="str">
        <f ca="1">IF(EX77="","",IF(EX77+1&lt;=MAX('Financial Planning Tool'!$EL$10:$EL$209),EX77+1,""))</f>
        <v/>
      </c>
      <c r="EY78" t="str">
        <f ca="1">IF(EX78&lt;&gt;"",VLOOKUP(EX78,'Financial Planning Tool'!$EL$10:$ER$209,2,FALSE),"")</f>
        <v/>
      </c>
      <c r="EZ78" t="str">
        <f ca="1">IF(EX78&lt;&gt;"",VLOOKUP(EX78,'Financial Planning Tool'!$EL$10:$ER$209,3,FALSE),"")</f>
        <v/>
      </c>
      <c r="FA78" t="str">
        <f ca="1">IF(EX78&lt;&gt;"",VLOOKUP(EX78,'Financial Planning Tool'!$EL$10:$ER$209,4,FALSE),"")</f>
        <v/>
      </c>
      <c r="FB78" t="str">
        <f t="shared" ca="1" si="149"/>
        <v/>
      </c>
      <c r="FC78" s="1" t="str">
        <f ca="1">IF(EX78&lt;&gt;"",VLOOKUP(EX78,'Financial Planning Tool'!$EL$10:$ER$209,5,FALSE),"")</f>
        <v/>
      </c>
      <c r="FD78" s="1" t="str">
        <f ca="1">IF(EX78&lt;&gt;"",VLOOKUP(EX78,'Financial Planning Tool'!$EL$10:$ER$209,6,FALSE),"")</f>
        <v/>
      </c>
      <c r="FE78" t="str">
        <f ca="1">IF(EX78&lt;&gt;"",VLOOKUP(EX78,'Financial Planning Tool'!$EL$10:$ER$209,7,FALSE),"")</f>
        <v/>
      </c>
      <c r="FF78" t="str">
        <f ca="1">IF(EX78&lt;&gt;"",VLOOKUP(EX78,'Financial Planning Tool'!$EL$10:$ES$209,8,FALSE),"")</f>
        <v/>
      </c>
      <c r="FG78" t="str">
        <f ca="1">IF(EX78&lt;&gt;"",VLOOKUP(EX78,'Financial Planning Tool'!$EL$10:$ET$209,9,FALSE),"")</f>
        <v/>
      </c>
      <c r="FH78" t="str">
        <f t="shared" ca="1" si="146"/>
        <v/>
      </c>
      <c r="FI78" s="22" t="str">
        <f t="shared" ca="1" si="147"/>
        <v/>
      </c>
    </row>
    <row r="79" spans="1:165" x14ac:dyDescent="0.25">
      <c r="A79" s="20"/>
      <c r="B79" s="78"/>
      <c r="C79" s="76"/>
      <c r="D79" s="76"/>
      <c r="E79" s="76"/>
      <c r="F79" s="77"/>
      <c r="G79" s="89"/>
      <c r="H79" s="5">
        <f t="shared" ca="1" si="92"/>
        <v>54757</v>
      </c>
      <c r="I79" s="8">
        <f t="shared" ca="1" si="93"/>
        <v>79</v>
      </c>
      <c r="J79" s="12" t="str">
        <f t="shared" ca="1" si="95"/>
        <v/>
      </c>
      <c r="K79" s="12" t="str">
        <f t="shared" ca="1" si="96"/>
        <v/>
      </c>
      <c r="L79" s="12" t="str">
        <f t="shared" ca="1" si="97"/>
        <v/>
      </c>
      <c r="M79" s="12" t="str">
        <f t="shared" ca="1" si="98"/>
        <v/>
      </c>
      <c r="N79" s="12">
        <f t="shared" ca="1" si="99"/>
        <v>-136319.07</v>
      </c>
      <c r="O79" s="12">
        <f t="shared" ca="1" si="100"/>
        <v>-52244.2</v>
      </c>
      <c r="P79" s="12">
        <f t="shared" ca="1" si="101"/>
        <v>706412.16</v>
      </c>
      <c r="Q79" s="12">
        <f t="shared" ca="1" si="102"/>
        <v>264987.07</v>
      </c>
      <c r="S79" s="18"/>
      <c r="T79" s="5">
        <f t="shared" ca="1" si="103"/>
        <v>54757</v>
      </c>
      <c r="U79" s="8">
        <f t="shared" ca="1" si="104"/>
        <v>79</v>
      </c>
      <c r="V79" s="12"/>
      <c r="W79" s="12"/>
      <c r="X79" s="12"/>
      <c r="Y79" s="12"/>
      <c r="Z79" s="12"/>
      <c r="AA79" s="12"/>
      <c r="AB79" s="12">
        <v>3424237.6</v>
      </c>
      <c r="AC79" s="12">
        <v>1284489.06</v>
      </c>
      <c r="AE79" s="21">
        <v>26</v>
      </c>
      <c r="AF79" s="22">
        <f t="shared" ca="1" si="91"/>
        <v>1</v>
      </c>
      <c r="AI79" s="21">
        <f t="shared" ca="1" si="94"/>
        <v>1</v>
      </c>
      <c r="AJ79" s="22">
        <v>0</v>
      </c>
      <c r="AN79" s="32">
        <f t="shared" ca="1" si="113"/>
        <v>60.833333333333336</v>
      </c>
      <c r="AO79" s="53">
        <f t="shared" ca="1" si="144"/>
        <v>47788</v>
      </c>
      <c r="AP79" s="22">
        <v>72</v>
      </c>
      <c r="AQ79" s="32">
        <f t="shared" ca="1" si="145"/>
        <v>1473018.5951575323</v>
      </c>
      <c r="AR79" s="23">
        <f t="array" aca="1" ref="AR79" ca="1">SUM(IF(lsc_start_date=AO79,lsc_amount,0))</f>
        <v>0</v>
      </c>
      <c r="AS79" s="24">
        <f t="shared" ca="1" si="119"/>
        <v>0</v>
      </c>
      <c r="AT79" s="24">
        <f t="shared" ca="1" si="120"/>
        <v>0</v>
      </c>
      <c r="AU79" s="24">
        <f t="shared" ca="1" si="121"/>
        <v>0</v>
      </c>
      <c r="AV79" s="25">
        <f t="shared" ca="1" si="122"/>
        <v>0</v>
      </c>
      <c r="AW79" s="23">
        <f t="array" aca="1" ref="AW79" ca="1">SUM(IF(rcs_start_date&lt;=AO79,1,0)*IF(rcs_end_date&gt;=AO79,1,0)*rcs_amount*(1+rcs_escalation/100)^(INT((AP79-rcs_months_since_start)/12))*IF(MOD((AP79-rcs_months_since_start),rcs_frequency)=0,1,0)*IF(rcs_frequency=13,0,1))+SUM(IF(rcs_start_date=AO79,rcs_amount,0)*IF(rcs_frequency=13,1,0))</f>
        <v>5474.938060800001</v>
      </c>
      <c r="AX79" s="24">
        <f t="shared" ca="1" si="123"/>
        <v>0</v>
      </c>
      <c r="AY79" s="24">
        <f t="shared" ca="1" si="124"/>
        <v>0</v>
      </c>
      <c r="AZ79" s="24">
        <f t="shared" ca="1" si="125"/>
        <v>0</v>
      </c>
      <c r="BA79" s="25">
        <f t="shared" ca="1" si="126"/>
        <v>5474.938060800001</v>
      </c>
      <c r="BB79" s="23">
        <f t="array" aca="1" ref="BB79" ca="1">SUM(IF(w_start_date&lt;=AO79,1,0)*IF(w_end_date&gt;=AO79,1,0)*w_amount*(1+w_escalation/100)^(INT((AP79-w_months_since_start)/12))*IF(MOD(AP79-w_months_since_start,w_frequency)=0,1,0)*IF(w_frequency=13,0,1))+SUM(IF(w_start_date=AO79,w_amount,0)*IF(w_frequency=13,1,0))</f>
        <v>0</v>
      </c>
      <c r="BC79" s="25">
        <f t="shared" ca="1" si="127"/>
        <v>0</v>
      </c>
      <c r="BD79" s="24" t="b">
        <f t="shared" ca="1" si="128"/>
        <v>0</v>
      </c>
      <c r="BE79" s="24" t="b">
        <f t="shared" ca="1" si="129"/>
        <v>1</v>
      </c>
      <c r="BF79" s="23">
        <f t="array" aca="1" ref="BF79" ca="1">SUM(IF(BD79,1,0)*IF(ap_start_date&lt;=AO79,1,0)*IF(ap_end_date&gt;=AO79,1,0)*ap_amount*(1+ap_escalation/100)^(INT((AP79-ap_months_since_start)/12))*IF(MOD(AP79-ap_months_since_start,ap_frequency)=0,1,0))</f>
        <v>0</v>
      </c>
      <c r="BG79" s="24">
        <f t="shared" ca="1" si="130"/>
        <v>0</v>
      </c>
      <c r="BH79" s="24">
        <f t="shared" ca="1" si="131"/>
        <v>0</v>
      </c>
      <c r="BI79">
        <f t="shared" ca="1" si="132"/>
        <v>0</v>
      </c>
      <c r="BJ79" s="24">
        <f t="shared" ca="1" si="133"/>
        <v>0</v>
      </c>
      <c r="BK79">
        <f t="shared" ca="1" si="134"/>
        <v>0</v>
      </c>
      <c r="BL79" s="25">
        <f t="shared" ca="1" si="135"/>
        <v>0</v>
      </c>
      <c r="BM79" s="32">
        <f t="shared" ca="1" si="114"/>
        <v>1489149.5141330541</v>
      </c>
      <c r="BN79" s="23">
        <f t="shared" ca="1" si="136"/>
        <v>0</v>
      </c>
      <c r="BO79" s="24">
        <f t="shared" ca="1" si="137"/>
        <v>0</v>
      </c>
      <c r="BP79" s="25">
        <f t="shared" ca="1" si="138"/>
        <v>0</v>
      </c>
      <c r="BQ79" s="34">
        <f t="shared" ca="1" si="139"/>
        <v>47817</v>
      </c>
      <c r="BR79" s="23">
        <f t="shared" ca="1" si="140"/>
        <v>1489149.5141330541</v>
      </c>
      <c r="BS79" s="24">
        <f t="shared" ca="1" si="141"/>
        <v>5474.938060800001</v>
      </c>
      <c r="BT79" s="24">
        <f t="shared" ca="1" si="62"/>
        <v>65699.256729600005</v>
      </c>
      <c r="BU79" s="24">
        <f t="shared" ca="1" si="142"/>
        <v>0</v>
      </c>
      <c r="BV79" s="24">
        <f t="shared" ca="1" si="63"/>
        <v>0</v>
      </c>
      <c r="BW79" s="24">
        <f t="shared" ca="1" si="143"/>
        <v>0</v>
      </c>
      <c r="BX79" s="25">
        <f t="shared" ca="1" si="64"/>
        <v>0</v>
      </c>
      <c r="BY79" s="23">
        <f t="shared" ca="1" si="115"/>
        <v>1176896.4920033414</v>
      </c>
      <c r="BZ79" s="24">
        <f t="shared" ca="1" si="116"/>
        <v>4341.0882971345145</v>
      </c>
      <c r="CA79" s="24">
        <f t="shared" ca="1" si="65"/>
        <v>53041.336037023044</v>
      </c>
      <c r="CB79" s="24">
        <f t="shared" ca="1" si="117"/>
        <v>0</v>
      </c>
      <c r="CC79" s="24">
        <f t="shared" ca="1" si="66"/>
        <v>0</v>
      </c>
      <c r="CD79" s="24">
        <f t="shared" ca="1" si="118"/>
        <v>0</v>
      </c>
      <c r="CE79" s="25">
        <f t="shared" ca="1" si="67"/>
        <v>0</v>
      </c>
      <c r="CF79" s="23">
        <f t="shared" ca="1" si="68"/>
        <v>0</v>
      </c>
      <c r="CG79" s="25">
        <f t="array" aca="1" ref="CG79" ca="1">SUM(BF68:BF79/(1+inflation/100)^(AP68:AP79/12))</f>
        <v>0</v>
      </c>
      <c r="CH79" s="32">
        <f ca="1">IFERROR(IF(MOD(AP79-ap_months_since_start,12)=0,ap_drawdown/100*(AQ79+AV79+BA79-BC79),CH78),0)</f>
        <v>227235.76504786551</v>
      </c>
      <c r="EL79" s="21">
        <f t="shared" ca="1" si="148"/>
        <v>6</v>
      </c>
      <c r="EM79" t="str">
        <f t="shared" ca="1" si="106"/>
        <v/>
      </c>
      <c r="EN79" t="str">
        <f t="shared" ca="1" si="107"/>
        <v/>
      </c>
      <c r="EO79" t="str">
        <f t="shared" ca="1" si="108"/>
        <v/>
      </c>
      <c r="EP79" s="1" t="str">
        <f t="shared" ca="1" si="109"/>
        <v/>
      </c>
      <c r="EQ79" s="1" t="str">
        <f t="shared" ca="1" si="110"/>
        <v/>
      </c>
      <c r="ER79" t="str">
        <f t="shared" ca="1" si="111"/>
        <v/>
      </c>
      <c r="ES79" t="str">
        <f t="shared" si="112"/>
        <v/>
      </c>
      <c r="ET79">
        <v>0</v>
      </c>
      <c r="EU79" s="22">
        <v>70</v>
      </c>
      <c r="EX79" s="21" t="str">
        <f ca="1">IF(EX78="","",IF(EX78+1&lt;=MAX('Financial Planning Tool'!$EL$10:$EL$209),EX78+1,""))</f>
        <v/>
      </c>
      <c r="EY79" t="str">
        <f ca="1">IF(EX79&lt;&gt;"",VLOOKUP(EX79,'Financial Planning Tool'!$EL$10:$ER$209,2,FALSE),"")</f>
        <v/>
      </c>
      <c r="EZ79" t="str">
        <f ca="1">IF(EX79&lt;&gt;"",VLOOKUP(EX79,'Financial Planning Tool'!$EL$10:$ER$209,3,FALSE),"")</f>
        <v/>
      </c>
      <c r="FA79" t="str">
        <f ca="1">IF(EX79&lt;&gt;"",VLOOKUP(EX79,'Financial Planning Tool'!$EL$10:$ER$209,4,FALSE),"")</f>
        <v/>
      </c>
      <c r="FB79" t="str">
        <f t="shared" ca="1" si="149"/>
        <v/>
      </c>
      <c r="FC79" s="1" t="str">
        <f ca="1">IF(EX79&lt;&gt;"",VLOOKUP(EX79,'Financial Planning Tool'!$EL$10:$ER$209,5,FALSE),"")</f>
        <v/>
      </c>
      <c r="FD79" s="1" t="str">
        <f ca="1">IF(EX79&lt;&gt;"",VLOOKUP(EX79,'Financial Planning Tool'!$EL$10:$ER$209,6,FALSE),"")</f>
        <v/>
      </c>
      <c r="FE79" t="str">
        <f ca="1">IF(EX79&lt;&gt;"",VLOOKUP(EX79,'Financial Planning Tool'!$EL$10:$ER$209,7,FALSE),"")</f>
        <v/>
      </c>
      <c r="FF79" t="str">
        <f ca="1">IF(EX79&lt;&gt;"",VLOOKUP(EX79,'Financial Planning Tool'!$EL$10:$ES$209,8,FALSE),"")</f>
        <v/>
      </c>
      <c r="FG79" t="str">
        <f ca="1">IF(EX79&lt;&gt;"",VLOOKUP(EX79,'Financial Planning Tool'!$EL$10:$ET$209,9,FALSE),"")</f>
        <v/>
      </c>
      <c r="FH79" t="str">
        <f t="shared" ca="1" si="146"/>
        <v/>
      </c>
      <c r="FI79" s="22" t="str">
        <f t="shared" ca="1" si="147"/>
        <v/>
      </c>
    </row>
    <row r="80" spans="1:165" x14ac:dyDescent="0.25">
      <c r="A80" s="20">
        <v>0</v>
      </c>
      <c r="B80" s="83" t="s">
        <v>13</v>
      </c>
      <c r="C80" s="84"/>
      <c r="D80" s="87"/>
      <c r="E80" s="84"/>
      <c r="F80" s="85"/>
      <c r="G80" s="8"/>
      <c r="H80" s="5">
        <f t="shared" ca="1" si="92"/>
        <v>55122</v>
      </c>
      <c r="I80" s="8">
        <f t="shared" ca="1" si="93"/>
        <v>80</v>
      </c>
      <c r="J80" s="12" t="str">
        <f t="shared" ca="1" si="95"/>
        <v/>
      </c>
      <c r="K80" s="12" t="str">
        <f t="shared" ca="1" si="96"/>
        <v/>
      </c>
      <c r="L80" s="12" t="str">
        <f t="shared" ca="1" si="97"/>
        <v/>
      </c>
      <c r="M80" s="12" t="str">
        <f t="shared" ca="1" si="98"/>
        <v/>
      </c>
      <c r="N80" s="12">
        <f t="shared" ca="1" si="99"/>
        <v>-123584.29</v>
      </c>
      <c r="O80" s="12">
        <f t="shared" ca="1" si="100"/>
        <v>-45541.93</v>
      </c>
      <c r="P80" s="12">
        <f t="shared" ca="1" si="101"/>
        <v>640419.89</v>
      </c>
      <c r="Q80" s="12">
        <f t="shared" ca="1" si="102"/>
        <v>230992.56</v>
      </c>
      <c r="S80" s="18"/>
      <c r="T80" s="5">
        <f t="shared" ca="1" si="103"/>
        <v>55122</v>
      </c>
      <c r="U80" s="8">
        <f t="shared" ca="1" si="104"/>
        <v>80</v>
      </c>
      <c r="V80" s="12"/>
      <c r="W80" s="12"/>
      <c r="X80" s="12"/>
      <c r="Y80" s="12"/>
      <c r="Z80" s="12"/>
      <c r="AA80" s="12"/>
      <c r="AB80" s="12">
        <v>3698176.61</v>
      </c>
      <c r="AC80" s="12">
        <v>1333892.48</v>
      </c>
      <c r="AE80" s="21">
        <v>27</v>
      </c>
      <c r="AF80" s="22">
        <f t="shared" ca="1" si="91"/>
        <v>1</v>
      </c>
      <c r="AI80" s="21">
        <f t="shared" ca="1" si="94"/>
        <v>1</v>
      </c>
      <c r="AJ80" s="22">
        <v>0</v>
      </c>
      <c r="AN80" s="32">
        <f t="shared" ca="1" si="113"/>
        <v>60.916666666666664</v>
      </c>
      <c r="AO80" s="53">
        <f t="shared" ca="1" si="144"/>
        <v>47818</v>
      </c>
      <c r="AP80" s="22">
        <v>73</v>
      </c>
      <c r="AQ80" s="32">
        <f t="shared" ca="1" si="145"/>
        <v>1489149.5141330541</v>
      </c>
      <c r="AR80" s="23">
        <f t="array" aca="1" ref="AR80" ca="1">SUM(IF(lsc_start_date=AO80,lsc_amount,0))</f>
        <v>0</v>
      </c>
      <c r="AS80" s="24">
        <f t="shared" ca="1" si="119"/>
        <v>0</v>
      </c>
      <c r="AT80" s="24">
        <f t="shared" ca="1" si="120"/>
        <v>0</v>
      </c>
      <c r="AU80" s="24">
        <f t="shared" ca="1" si="121"/>
        <v>0</v>
      </c>
      <c r="AV80" s="25">
        <f t="shared" ca="1" si="122"/>
        <v>0</v>
      </c>
      <c r="AW80" s="23">
        <f t="array" aca="1" ref="AW80" ca="1">SUM(IF(rcs_start_date&lt;=AO80,1,0)*IF(rcs_end_date&gt;=AO80,1,0)*rcs_amount*(1+rcs_escalation/100)^(INT((AP80-rcs_months_since_start)/12))*IF(MOD((AP80-rcs_months_since_start),rcs_frequency)=0,1,0)*IF(rcs_frequency=13,0,1))+SUM(IF(rcs_start_date=AO80,rcs_amount,0)*IF(rcs_frequency=13,1,0))</f>
        <v>5693.9355832320016</v>
      </c>
      <c r="AX80" s="24">
        <f t="shared" ca="1" si="123"/>
        <v>0</v>
      </c>
      <c r="AY80" s="24">
        <f t="shared" ca="1" si="124"/>
        <v>0</v>
      </c>
      <c r="AZ80" s="24">
        <f t="shared" ca="1" si="125"/>
        <v>0</v>
      </c>
      <c r="BA80" s="25">
        <f t="shared" ca="1" si="126"/>
        <v>5693.9355832320016</v>
      </c>
      <c r="BB80" s="23">
        <f t="array" aca="1" ref="BB80" ca="1">SUM(IF(w_start_date&lt;=AO80,1,0)*IF(w_end_date&gt;=AO80,1,0)*w_amount*(1+w_escalation/100)^(INT((AP80-w_months_since_start)/12))*IF(MOD(AP80-w_months_since_start,w_frequency)=0,1,0)*IF(w_frequency=13,0,1))+SUM(IF(w_start_date=AO80,w_amount,0)*IF(w_frequency=13,1,0))</f>
        <v>0</v>
      </c>
      <c r="BC80" s="25">
        <f t="shared" ca="1" si="127"/>
        <v>0</v>
      </c>
      <c r="BD80" s="24" t="b">
        <f t="shared" ca="1" si="128"/>
        <v>0</v>
      </c>
      <c r="BE80" s="24" t="b">
        <f t="shared" ca="1" si="129"/>
        <v>1</v>
      </c>
      <c r="BF80" s="23">
        <f t="array" aca="1" ref="BF80" ca="1">SUM(IF(BD80,1,0)*IF(ap_start_date&lt;=AO80,1,0)*IF(ap_end_date&gt;=AO80,1,0)*ap_amount*(1+ap_escalation/100)^(INT((AP80-ap_months_since_start)/12))*IF(MOD(AP80-ap_months_since_start,ap_frequency)=0,1,0))</f>
        <v>0</v>
      </c>
      <c r="BG80" s="24">
        <f t="shared" ca="1" si="130"/>
        <v>0</v>
      </c>
      <c r="BH80" s="24">
        <f t="shared" ca="1" si="131"/>
        <v>0</v>
      </c>
      <c r="BI80">
        <f t="shared" ca="1" si="132"/>
        <v>0</v>
      </c>
      <c r="BJ80" s="24">
        <f t="shared" ca="1" si="133"/>
        <v>0</v>
      </c>
      <c r="BK80">
        <f t="shared" ca="1" si="134"/>
        <v>0</v>
      </c>
      <c r="BL80" s="25">
        <f t="shared" ca="1" si="135"/>
        <v>0</v>
      </c>
      <c r="BM80" s="32">
        <f t="shared" ca="1" si="114"/>
        <v>1505617.2697654006</v>
      </c>
      <c r="BN80" s="23">
        <f t="shared" ca="1" si="136"/>
        <v>0</v>
      </c>
      <c r="BO80" s="24">
        <f t="shared" ca="1" si="137"/>
        <v>0</v>
      </c>
      <c r="BP80" s="25">
        <f t="shared" ca="1" si="138"/>
        <v>0</v>
      </c>
      <c r="BQ80" s="34">
        <f t="shared" ca="1" si="139"/>
        <v>47848</v>
      </c>
      <c r="BR80" s="23">
        <f t="shared" ca="1" si="140"/>
        <v>1505617.2697654006</v>
      </c>
      <c r="BS80" s="24">
        <f t="shared" ca="1" si="141"/>
        <v>5693.9355832320016</v>
      </c>
      <c r="BT80" s="24">
        <f t="shared" ca="1" si="62"/>
        <v>65918.254252031998</v>
      </c>
      <c r="BU80" s="24">
        <f t="shared" ca="1" si="142"/>
        <v>0</v>
      </c>
      <c r="BV80" s="24">
        <f t="shared" ca="1" si="63"/>
        <v>0</v>
      </c>
      <c r="BW80" s="24">
        <f t="shared" ca="1" si="143"/>
        <v>0</v>
      </c>
      <c r="BX80" s="25">
        <f t="shared" ca="1" si="64"/>
        <v>0</v>
      </c>
      <c r="BY80" s="23">
        <f t="shared" ca="1" si="115"/>
        <v>1186028.4499662851</v>
      </c>
      <c r="BZ80" s="24">
        <f t="shared" ca="1" si="116"/>
        <v>4500</v>
      </c>
      <c r="CA80" s="24">
        <f t="shared" ca="1" si="65"/>
        <v>53041.336037023044</v>
      </c>
      <c r="CB80" s="24">
        <f t="shared" ca="1" si="117"/>
        <v>0</v>
      </c>
      <c r="CC80" s="24">
        <f t="shared" ca="1" si="66"/>
        <v>0</v>
      </c>
      <c r="CD80" s="24">
        <f t="shared" ca="1" si="118"/>
        <v>0</v>
      </c>
      <c r="CE80" s="25">
        <f t="shared" ca="1" si="67"/>
        <v>0</v>
      </c>
      <c r="CF80" s="23">
        <f t="shared" ca="1" si="68"/>
        <v>0</v>
      </c>
      <c r="CG80" s="25">
        <f t="array" aca="1" ref="CG80" ca="1">SUM(BF69:BF80/(1+inflation/100)^(AP69:AP80/12))</f>
        <v>0</v>
      </c>
      <c r="CH80" s="32">
        <f ca="1">IFERROR(IF(MOD(AP80-ap_months_since_start,12)=0,ap_drawdown/100*(AQ80+AV80+BA80-BC80),CH79),0)</f>
        <v>227235.76504786551</v>
      </c>
      <c r="EL80" s="21">
        <f t="shared" ca="1" si="148"/>
        <v>6</v>
      </c>
      <c r="EM80" t="str">
        <f t="shared" ca="1" si="106"/>
        <v/>
      </c>
      <c r="EN80" t="str">
        <f t="shared" ca="1" si="107"/>
        <v/>
      </c>
      <c r="EO80" t="str">
        <f t="shared" ca="1" si="108"/>
        <v/>
      </c>
      <c r="EP80" s="1" t="str">
        <f t="shared" ca="1" si="109"/>
        <v/>
      </c>
      <c r="EQ80" s="1" t="str">
        <f t="shared" ca="1" si="110"/>
        <v/>
      </c>
      <c r="ER80" t="str">
        <f t="shared" ca="1" si="111"/>
        <v/>
      </c>
      <c r="ES80" t="str">
        <f t="shared" si="112"/>
        <v/>
      </c>
      <c r="ET80">
        <v>0</v>
      </c>
      <c r="EU80" s="22">
        <v>71</v>
      </c>
      <c r="EX80" s="21" t="str">
        <f ca="1">IF(EX79="","",IF(EX79+1&lt;=MAX('Financial Planning Tool'!$EL$10:$EL$209),EX79+1,""))</f>
        <v/>
      </c>
      <c r="EY80" t="str">
        <f ca="1">IF(EX80&lt;&gt;"",VLOOKUP(EX80,'Financial Planning Tool'!$EL$10:$ER$209,2,FALSE),"")</f>
        <v/>
      </c>
      <c r="EZ80" t="str">
        <f ca="1">IF(EX80&lt;&gt;"",VLOOKUP(EX80,'Financial Planning Tool'!$EL$10:$ER$209,3,FALSE),"")</f>
        <v/>
      </c>
      <c r="FA80" t="str">
        <f ca="1">IF(EX80&lt;&gt;"",VLOOKUP(EX80,'Financial Planning Tool'!$EL$10:$ER$209,4,FALSE),"")</f>
        <v/>
      </c>
      <c r="FB80" t="str">
        <f t="shared" ca="1" si="149"/>
        <v/>
      </c>
      <c r="FC80" s="1" t="str">
        <f ca="1">IF(EX80&lt;&gt;"",VLOOKUP(EX80,'Financial Planning Tool'!$EL$10:$ER$209,5,FALSE),"")</f>
        <v/>
      </c>
      <c r="FD80" s="1" t="str">
        <f ca="1">IF(EX80&lt;&gt;"",VLOOKUP(EX80,'Financial Planning Tool'!$EL$10:$ER$209,6,FALSE),"")</f>
        <v/>
      </c>
      <c r="FE80" t="str">
        <f ca="1">IF(EX80&lt;&gt;"",VLOOKUP(EX80,'Financial Planning Tool'!$EL$10:$ER$209,7,FALSE),"")</f>
        <v/>
      </c>
      <c r="FF80" t="str">
        <f ca="1">IF(EX80&lt;&gt;"",VLOOKUP(EX80,'Financial Planning Tool'!$EL$10:$ES$209,8,FALSE),"")</f>
        <v/>
      </c>
      <c r="FG80" t="str">
        <f ca="1">IF(EX80&lt;&gt;"",VLOOKUP(EX80,'Financial Planning Tool'!$EL$10:$ET$209,9,FALSE),"")</f>
        <v/>
      </c>
      <c r="FH80" t="str">
        <f t="shared" ca="1" si="146"/>
        <v/>
      </c>
      <c r="FI80" s="22" t="str">
        <f t="shared" ca="1" si="147"/>
        <v/>
      </c>
    </row>
    <row r="81" spans="1:165" x14ac:dyDescent="0.25">
      <c r="A81" s="20"/>
      <c r="B81" s="86"/>
      <c r="C81" s="84"/>
      <c r="D81" s="84"/>
      <c r="E81" s="84"/>
      <c r="F81" s="85"/>
      <c r="G81" s="8"/>
      <c r="H81" s="5">
        <f t="shared" ca="1" si="92"/>
        <v>55487</v>
      </c>
      <c r="I81" s="8">
        <f t="shared" ca="1" si="93"/>
        <v>81</v>
      </c>
      <c r="J81" s="12" t="str">
        <f t="shared" ca="1" si="95"/>
        <v/>
      </c>
      <c r="K81" s="12" t="str">
        <f t="shared" ca="1" si="96"/>
        <v/>
      </c>
      <c r="L81" s="12" t="str">
        <f t="shared" ca="1" si="97"/>
        <v/>
      </c>
      <c r="M81" s="12" t="str">
        <f t="shared" ca="1" si="98"/>
        <v/>
      </c>
      <c r="N81" s="12">
        <f t="shared" ca="1" si="99"/>
        <v>-112039.18</v>
      </c>
      <c r="O81" s="12">
        <f t="shared" ca="1" si="100"/>
        <v>-39699.47</v>
      </c>
      <c r="P81" s="12">
        <f t="shared" ca="1" si="101"/>
        <v>580592.54</v>
      </c>
      <c r="Q81" s="12">
        <f t="shared" ca="1" si="102"/>
        <v>201359.11</v>
      </c>
      <c r="S81" s="18"/>
      <c r="T81" s="5">
        <f t="shared" ca="1" si="103"/>
        <v>55487</v>
      </c>
      <c r="U81" s="8">
        <f t="shared" ca="1" si="104"/>
        <v>81</v>
      </c>
      <c r="V81" s="12"/>
      <c r="W81" s="12"/>
      <c r="X81" s="12"/>
      <c r="Y81" s="12"/>
      <c r="Z81" s="12"/>
      <c r="AA81" s="12"/>
      <c r="AB81" s="12">
        <v>3994030.73</v>
      </c>
      <c r="AC81" s="12">
        <v>1385196.04</v>
      </c>
      <c r="AE81" s="21">
        <v>28</v>
      </c>
      <c r="AF81" s="22">
        <f t="shared" ca="1" si="91"/>
        <v>1</v>
      </c>
      <c r="AI81" s="21">
        <f t="shared" ca="1" si="94"/>
        <v>1</v>
      </c>
      <c r="AJ81" s="22">
        <v>0</v>
      </c>
      <c r="AN81" s="32">
        <f t="shared" ca="1" si="113"/>
        <v>61</v>
      </c>
      <c r="AO81" s="53">
        <f t="shared" ca="1" si="144"/>
        <v>47849</v>
      </c>
      <c r="AP81" s="22">
        <v>74</v>
      </c>
      <c r="AQ81" s="32">
        <f t="shared" ca="1" si="145"/>
        <v>1505617.2697654006</v>
      </c>
      <c r="AR81" s="23">
        <f t="array" aca="1" ref="AR81" ca="1">SUM(IF(lsc_start_date=AO81,lsc_amount,0))</f>
        <v>0</v>
      </c>
      <c r="AS81" s="24">
        <f t="shared" ca="1" si="119"/>
        <v>0</v>
      </c>
      <c r="AT81" s="24">
        <f t="shared" ca="1" si="120"/>
        <v>0</v>
      </c>
      <c r="AU81" s="24">
        <f t="shared" ca="1" si="121"/>
        <v>0</v>
      </c>
      <c r="AV81" s="25">
        <f t="shared" ca="1" si="122"/>
        <v>0</v>
      </c>
      <c r="AW81" s="23">
        <f t="array" aca="1" ref="AW81" ca="1">SUM(IF(rcs_start_date&lt;=AO81,1,0)*IF(rcs_end_date&gt;=AO81,1,0)*rcs_amount*(1+rcs_escalation/100)^(INT((AP81-rcs_months_since_start)/12))*IF(MOD((AP81-rcs_months_since_start),rcs_frequency)=0,1,0)*IF(rcs_frequency=13,0,1))+SUM(IF(rcs_start_date=AO81,rcs_amount,0)*IF(rcs_frequency=13,1,0))</f>
        <v>5693.9355832320016</v>
      </c>
      <c r="AX81" s="24">
        <f t="shared" ca="1" si="123"/>
        <v>0</v>
      </c>
      <c r="AY81" s="24">
        <f t="shared" ca="1" si="124"/>
        <v>0</v>
      </c>
      <c r="AZ81" s="24">
        <f t="shared" ca="1" si="125"/>
        <v>0</v>
      </c>
      <c r="BA81" s="25">
        <f t="shared" ca="1" si="126"/>
        <v>5693.9355832320016</v>
      </c>
      <c r="BB81" s="23">
        <f t="array" aca="1" ref="BB81" ca="1">SUM(IF(w_start_date&lt;=AO81,1,0)*IF(w_end_date&gt;=AO81,1,0)*w_amount*(1+w_escalation/100)^(INT((AP81-w_months_since_start)/12))*IF(MOD(AP81-w_months_since_start,w_frequency)=0,1,0)*IF(w_frequency=13,0,1))+SUM(IF(w_start_date=AO81,w_amount,0)*IF(w_frequency=13,1,0))</f>
        <v>0</v>
      </c>
      <c r="BC81" s="25">
        <f t="shared" ca="1" si="127"/>
        <v>0</v>
      </c>
      <c r="BD81" s="24" t="b">
        <f t="shared" ca="1" si="128"/>
        <v>0</v>
      </c>
      <c r="BE81" s="24" t="b">
        <f t="shared" ca="1" si="129"/>
        <v>1</v>
      </c>
      <c r="BF81" s="23">
        <f t="array" aca="1" ref="BF81" ca="1">SUM(IF(BD81,1,0)*IF(ap_start_date&lt;=AO81,1,0)*IF(ap_end_date&gt;=AO81,1,0)*ap_amount*(1+ap_escalation/100)^(INT((AP81-ap_months_since_start)/12))*IF(MOD(AP81-ap_months_since_start,ap_frequency)=0,1,0))</f>
        <v>0</v>
      </c>
      <c r="BG81" s="24">
        <f t="shared" ca="1" si="130"/>
        <v>0</v>
      </c>
      <c r="BH81" s="24">
        <f t="shared" ca="1" si="131"/>
        <v>0</v>
      </c>
      <c r="BI81">
        <f t="shared" ca="1" si="132"/>
        <v>0</v>
      </c>
      <c r="BJ81" s="24">
        <f t="shared" ca="1" si="133"/>
        <v>0</v>
      </c>
      <c r="BK81">
        <f t="shared" ca="1" si="134"/>
        <v>0</v>
      </c>
      <c r="BL81" s="25">
        <f t="shared" ca="1" si="135"/>
        <v>0</v>
      </c>
      <c r="BM81" s="32">
        <f t="shared" ca="1" si="114"/>
        <v>1522203.7138368804</v>
      </c>
      <c r="BN81" s="23">
        <f t="shared" ca="1" si="136"/>
        <v>0</v>
      </c>
      <c r="BO81" s="24">
        <f t="shared" ca="1" si="137"/>
        <v>0</v>
      </c>
      <c r="BP81" s="25">
        <f t="shared" ca="1" si="138"/>
        <v>0</v>
      </c>
      <c r="BQ81" s="34">
        <f t="shared" ca="1" si="139"/>
        <v>47879</v>
      </c>
      <c r="BR81" s="23">
        <f t="shared" ca="1" si="140"/>
        <v>1522203.7138368804</v>
      </c>
      <c r="BS81" s="24">
        <f t="shared" ca="1" si="141"/>
        <v>5693.9355832320016</v>
      </c>
      <c r="BT81" s="24">
        <f t="shared" ca="1" si="62"/>
        <v>66137.251774464006</v>
      </c>
      <c r="BU81" s="24">
        <f t="shared" ca="1" si="142"/>
        <v>0</v>
      </c>
      <c r="BV81" s="24">
        <f t="shared" ca="1" si="63"/>
        <v>0</v>
      </c>
      <c r="BW81" s="24">
        <f t="shared" ca="1" si="143"/>
        <v>0</v>
      </c>
      <c r="BX81" s="25">
        <f t="shared" ca="1" si="64"/>
        <v>0</v>
      </c>
      <c r="BY81" s="23">
        <f t="shared" ca="1" si="115"/>
        <v>1195181.4707058452</v>
      </c>
      <c r="BZ81" s="24">
        <f t="shared" ca="1" si="116"/>
        <v>4485.316241783531</v>
      </c>
      <c r="CA81" s="24">
        <f t="shared" ca="1" si="65"/>
        <v>53041.336037023044</v>
      </c>
      <c r="CB81" s="24">
        <f t="shared" ca="1" si="117"/>
        <v>0</v>
      </c>
      <c r="CC81" s="24">
        <f t="shared" ca="1" si="66"/>
        <v>0</v>
      </c>
      <c r="CD81" s="24">
        <f t="shared" ca="1" si="118"/>
        <v>0</v>
      </c>
      <c r="CE81" s="25">
        <f t="shared" ca="1" si="67"/>
        <v>0</v>
      </c>
      <c r="CF81" s="23">
        <f t="shared" ca="1" si="68"/>
        <v>0</v>
      </c>
      <c r="CG81" s="25">
        <f t="array" aca="1" ref="CG81" ca="1">SUM(BF70:BF81/(1+inflation/100)^(AP70:AP81/12))</f>
        <v>0</v>
      </c>
      <c r="CH81" s="32">
        <f ca="1">IFERROR(IF(MOD(AP81-ap_months_since_start,12)=0,ap_drawdown/100*(AQ81+AV81+BA81-BC81),CH80),0)</f>
        <v>227235.76504786551</v>
      </c>
      <c r="EL81" s="21">
        <f t="shared" ca="1" si="148"/>
        <v>6</v>
      </c>
      <c r="EM81" t="str">
        <f t="shared" ca="1" si="106"/>
        <v/>
      </c>
      <c r="EN81" t="str">
        <f t="shared" ca="1" si="107"/>
        <v/>
      </c>
      <c r="EO81" t="str">
        <f t="shared" ca="1" si="108"/>
        <v/>
      </c>
      <c r="EP81" s="1" t="str">
        <f t="shared" ca="1" si="109"/>
        <v/>
      </c>
      <c r="EQ81" s="1" t="str">
        <f t="shared" ca="1" si="110"/>
        <v/>
      </c>
      <c r="ER81" t="str">
        <f t="shared" ca="1" si="111"/>
        <v/>
      </c>
      <c r="ES81" t="str">
        <f t="shared" si="112"/>
        <v/>
      </c>
      <c r="ET81">
        <v>0</v>
      </c>
      <c r="EU81" s="22">
        <v>72</v>
      </c>
      <c r="EX81" s="21" t="str">
        <f ca="1">IF(EX80="","",IF(EX80+1&lt;=MAX('Financial Planning Tool'!$EL$10:$EL$209),EX80+1,""))</f>
        <v/>
      </c>
      <c r="EY81" t="str">
        <f ca="1">IF(EX81&lt;&gt;"",VLOOKUP(EX81,'Financial Planning Tool'!$EL$10:$ER$209,2,FALSE),"")</f>
        <v/>
      </c>
      <c r="EZ81" t="str">
        <f ca="1">IF(EX81&lt;&gt;"",VLOOKUP(EX81,'Financial Planning Tool'!$EL$10:$ER$209,3,FALSE),"")</f>
        <v/>
      </c>
      <c r="FA81" t="str">
        <f ca="1">IF(EX81&lt;&gt;"",VLOOKUP(EX81,'Financial Planning Tool'!$EL$10:$ER$209,4,FALSE),"")</f>
        <v/>
      </c>
      <c r="FB81" t="str">
        <f t="shared" ca="1" si="149"/>
        <v/>
      </c>
      <c r="FC81" s="1" t="str">
        <f ca="1">IF(EX81&lt;&gt;"",VLOOKUP(EX81,'Financial Planning Tool'!$EL$10:$ER$209,5,FALSE),"")</f>
        <v/>
      </c>
      <c r="FD81" s="1" t="str">
        <f ca="1">IF(EX81&lt;&gt;"",VLOOKUP(EX81,'Financial Planning Tool'!$EL$10:$ER$209,6,FALSE),"")</f>
        <v/>
      </c>
      <c r="FE81" t="str">
        <f ca="1">IF(EX81&lt;&gt;"",VLOOKUP(EX81,'Financial Planning Tool'!$EL$10:$ER$209,7,FALSE),"")</f>
        <v/>
      </c>
      <c r="FF81" t="str">
        <f ca="1">IF(EX81&lt;&gt;"",VLOOKUP(EX81,'Financial Planning Tool'!$EL$10:$ES$209,8,FALSE),"")</f>
        <v/>
      </c>
      <c r="FG81" t="str">
        <f ca="1">IF(EX81&lt;&gt;"",VLOOKUP(EX81,'Financial Planning Tool'!$EL$10:$ET$209,9,FALSE),"")</f>
        <v/>
      </c>
      <c r="FH81" t="str">
        <f t="shared" ca="1" si="146"/>
        <v/>
      </c>
      <c r="FI81" s="22" t="str">
        <f t="shared" ca="1" si="147"/>
        <v/>
      </c>
    </row>
    <row r="82" spans="1:165" ht="12.75" customHeight="1" x14ac:dyDescent="0.25">
      <c r="A82" s="20"/>
      <c r="B82" s="86"/>
      <c r="C82" s="84"/>
      <c r="D82" s="155" t="str">
        <f ca="1">IF(SUM(Withdrawal_requested)-SUM(Withdrawal_allowed)&gt;0,"Not all withdrawals can be funded, the maximum is withdrawn instead","")</f>
        <v/>
      </c>
      <c r="E82" s="155"/>
      <c r="F82" s="85"/>
      <c r="G82" s="8"/>
      <c r="H82" s="5">
        <f t="shared" ca="1" si="92"/>
        <v>55853</v>
      </c>
      <c r="I82" s="8">
        <f t="shared" ca="1" si="93"/>
        <v>82</v>
      </c>
      <c r="J82" s="12" t="str">
        <f t="shared" ca="1" si="95"/>
        <v/>
      </c>
      <c r="K82" s="12" t="str">
        <f t="shared" ca="1" si="96"/>
        <v/>
      </c>
      <c r="L82" s="12" t="str">
        <f t="shared" ca="1" si="97"/>
        <v/>
      </c>
      <c r="M82" s="12" t="str">
        <f t="shared" ca="1" si="98"/>
        <v/>
      </c>
      <c r="N82" s="12">
        <f t="shared" ca="1" si="99"/>
        <v>-101572.59</v>
      </c>
      <c r="O82" s="12">
        <f t="shared" ca="1" si="100"/>
        <v>-34606.53</v>
      </c>
      <c r="P82" s="12">
        <f t="shared" ca="1" si="101"/>
        <v>526354.19999999995</v>
      </c>
      <c r="Q82" s="12">
        <f t="shared" ca="1" si="102"/>
        <v>175527.27</v>
      </c>
      <c r="S82" s="18"/>
      <c r="T82" s="5">
        <f t="shared" ca="1" si="103"/>
        <v>55853</v>
      </c>
      <c r="U82" s="8">
        <f t="shared" ca="1" si="104"/>
        <v>82</v>
      </c>
      <c r="V82" s="12"/>
      <c r="W82" s="12"/>
      <c r="X82" s="12"/>
      <c r="Y82" s="12"/>
      <c r="Z82" s="12"/>
      <c r="AA82" s="12"/>
      <c r="AB82" s="12">
        <v>4313553.1900000004</v>
      </c>
      <c r="AC82" s="12">
        <v>1438472.81</v>
      </c>
      <c r="AE82" s="21">
        <v>29</v>
      </c>
      <c r="AF82" s="22">
        <f t="shared" ca="1" si="91"/>
        <v>1</v>
      </c>
      <c r="AI82" s="21">
        <f t="shared" ca="1" si="94"/>
        <v>1</v>
      </c>
      <c r="AJ82" s="22">
        <v>0</v>
      </c>
      <c r="AN82" s="32">
        <f t="shared" ca="1" si="113"/>
        <v>61.083333333333336</v>
      </c>
      <c r="AO82" s="53">
        <f t="shared" ca="1" si="144"/>
        <v>47880</v>
      </c>
      <c r="AP82" s="22">
        <v>75</v>
      </c>
      <c r="AQ82" s="32">
        <f t="shared" ca="1" si="145"/>
        <v>1522203.7138368804</v>
      </c>
      <c r="AR82" s="23">
        <f t="array" aca="1" ref="AR82" ca="1">SUM(IF(lsc_start_date=AO82,lsc_amount,0))</f>
        <v>0</v>
      </c>
      <c r="AS82" s="24">
        <f t="shared" ca="1" si="119"/>
        <v>0</v>
      </c>
      <c r="AT82" s="24">
        <f t="shared" ca="1" si="120"/>
        <v>0</v>
      </c>
      <c r="AU82" s="24">
        <f t="shared" ca="1" si="121"/>
        <v>0</v>
      </c>
      <c r="AV82" s="25">
        <f t="shared" ca="1" si="122"/>
        <v>0</v>
      </c>
      <c r="AW82" s="23">
        <f t="array" aca="1" ref="AW82" ca="1">SUM(IF(rcs_start_date&lt;=AO82,1,0)*IF(rcs_end_date&gt;=AO82,1,0)*rcs_amount*(1+rcs_escalation/100)^(INT((AP82-rcs_months_since_start)/12))*IF(MOD((AP82-rcs_months_since_start),rcs_frequency)=0,1,0)*IF(rcs_frequency=13,0,1))+SUM(IF(rcs_start_date=AO82,rcs_amount,0)*IF(rcs_frequency=13,1,0))</f>
        <v>5693.9355832320016</v>
      </c>
      <c r="AX82" s="24">
        <f t="shared" ca="1" si="123"/>
        <v>0</v>
      </c>
      <c r="AY82" s="24">
        <f t="shared" ca="1" si="124"/>
        <v>0</v>
      </c>
      <c r="AZ82" s="24">
        <f t="shared" ca="1" si="125"/>
        <v>0</v>
      </c>
      <c r="BA82" s="25">
        <f t="shared" ca="1" si="126"/>
        <v>5693.9355832320016</v>
      </c>
      <c r="BB82" s="23">
        <f t="array" aca="1" ref="BB82" ca="1">SUM(IF(w_start_date&lt;=AO82,1,0)*IF(w_end_date&gt;=AO82,1,0)*w_amount*(1+w_escalation/100)^(INT((AP82-w_months_since_start)/12))*IF(MOD(AP82-w_months_since_start,w_frequency)=0,1,0)*IF(w_frequency=13,0,1))+SUM(IF(w_start_date=AO82,w_amount,0)*IF(w_frequency=13,1,0))</f>
        <v>0</v>
      </c>
      <c r="BC82" s="25">
        <f t="shared" ca="1" si="127"/>
        <v>0</v>
      </c>
      <c r="BD82" s="24" t="b">
        <f t="shared" ca="1" si="128"/>
        <v>0</v>
      </c>
      <c r="BE82" s="24" t="b">
        <f t="shared" ca="1" si="129"/>
        <v>1</v>
      </c>
      <c r="BF82" s="23">
        <f t="array" aca="1" ref="BF82" ca="1">SUM(IF(BD82,1,0)*IF(ap_start_date&lt;=AO82,1,0)*IF(ap_end_date&gt;=AO82,1,0)*ap_amount*(1+ap_escalation/100)^(INT((AP82-ap_months_since_start)/12))*IF(MOD(AP82-ap_months_since_start,ap_frequency)=0,1,0))</f>
        <v>0</v>
      </c>
      <c r="BG82" s="24">
        <f t="shared" ca="1" si="130"/>
        <v>0</v>
      </c>
      <c r="BH82" s="24">
        <f t="shared" ca="1" si="131"/>
        <v>0</v>
      </c>
      <c r="BI82">
        <f t="shared" ca="1" si="132"/>
        <v>0</v>
      </c>
      <c r="BJ82" s="24">
        <f t="shared" ca="1" si="133"/>
        <v>0</v>
      </c>
      <c r="BK82">
        <f t="shared" ca="1" si="134"/>
        <v>0</v>
      </c>
      <c r="BL82" s="25">
        <f t="shared" ca="1" si="135"/>
        <v>0</v>
      </c>
      <c r="BM82" s="32">
        <f t="shared" ca="1" si="114"/>
        <v>1538909.7017734484</v>
      </c>
      <c r="BN82" s="23">
        <f t="shared" ca="1" si="136"/>
        <v>0</v>
      </c>
      <c r="BO82" s="24">
        <f t="shared" ca="1" si="137"/>
        <v>0</v>
      </c>
      <c r="BP82" s="25">
        <f t="shared" ca="1" si="138"/>
        <v>0</v>
      </c>
      <c r="BQ82" s="34">
        <f t="shared" ca="1" si="139"/>
        <v>47907</v>
      </c>
      <c r="BR82" s="23">
        <f t="shared" ca="1" si="140"/>
        <v>1538909.7017734484</v>
      </c>
      <c r="BS82" s="24">
        <f t="shared" ca="1" si="141"/>
        <v>5693.9355832320016</v>
      </c>
      <c r="BT82" s="24">
        <f t="shared" ca="1" si="62"/>
        <v>66356.249296896</v>
      </c>
      <c r="BU82" s="24">
        <f t="shared" ca="1" si="142"/>
        <v>0</v>
      </c>
      <c r="BV82" s="24">
        <f t="shared" ca="1" si="63"/>
        <v>0</v>
      </c>
      <c r="BW82" s="24">
        <f t="shared" ca="1" si="143"/>
        <v>0</v>
      </c>
      <c r="BX82" s="25">
        <f t="shared" ca="1" si="64"/>
        <v>0</v>
      </c>
      <c r="BY82" s="23">
        <f t="shared" ca="1" si="115"/>
        <v>1204355.6849056655</v>
      </c>
      <c r="BZ82" s="24">
        <f t="shared" ca="1" si="116"/>
        <v>4470.6803975126968</v>
      </c>
      <c r="CA82" s="24">
        <f t="shared" ca="1" si="65"/>
        <v>53041.336037023044</v>
      </c>
      <c r="CB82" s="24">
        <f t="shared" ca="1" si="117"/>
        <v>0</v>
      </c>
      <c r="CC82" s="24">
        <f t="shared" ca="1" si="66"/>
        <v>0</v>
      </c>
      <c r="CD82" s="24">
        <f t="shared" ca="1" si="118"/>
        <v>0</v>
      </c>
      <c r="CE82" s="25">
        <f t="shared" ca="1" si="67"/>
        <v>0</v>
      </c>
      <c r="CF82" s="23">
        <f t="shared" ca="1" si="68"/>
        <v>0</v>
      </c>
      <c r="CG82" s="25">
        <f t="array" aca="1" ref="CG82" ca="1">SUM(BF71:BF82/(1+inflation/100)^(AP71:AP82/12))</f>
        <v>0</v>
      </c>
      <c r="CH82" s="32">
        <f ca="1">IFERROR(IF(MOD(AP82-ap_months_since_start,12)=0,ap_drawdown/100*(AQ82+AV82+BA82-BC82),CH81),0)</f>
        <v>227235.76504786551</v>
      </c>
      <c r="EL82" s="21">
        <f t="shared" ca="1" si="148"/>
        <v>6</v>
      </c>
      <c r="EM82" t="str">
        <f t="shared" ca="1" si="106"/>
        <v/>
      </c>
      <c r="EN82" t="str">
        <f t="shared" ca="1" si="107"/>
        <v/>
      </c>
      <c r="EO82" t="str">
        <f t="shared" ca="1" si="108"/>
        <v/>
      </c>
      <c r="EP82" s="1" t="str">
        <f t="shared" ca="1" si="109"/>
        <v/>
      </c>
      <c r="EQ82" s="1" t="str">
        <f t="shared" ca="1" si="110"/>
        <v/>
      </c>
      <c r="ER82" t="str">
        <f t="shared" ca="1" si="111"/>
        <v/>
      </c>
      <c r="ES82" t="str">
        <f t="shared" si="112"/>
        <v/>
      </c>
      <c r="ET82">
        <v>0</v>
      </c>
      <c r="EU82" s="22">
        <v>73</v>
      </c>
      <c r="EX82" s="21" t="str">
        <f ca="1">IF(EX81="","",IF(EX81+1&lt;=MAX('Financial Planning Tool'!$EL$10:$EL$209),EX81+1,""))</f>
        <v/>
      </c>
      <c r="EY82" t="str">
        <f ca="1">IF(EX82&lt;&gt;"",VLOOKUP(EX82,'Financial Planning Tool'!$EL$10:$ER$209,2,FALSE),"")</f>
        <v/>
      </c>
      <c r="EZ82" t="str">
        <f ca="1">IF(EX82&lt;&gt;"",VLOOKUP(EX82,'Financial Planning Tool'!$EL$10:$ER$209,3,FALSE),"")</f>
        <v/>
      </c>
      <c r="FA82" t="str">
        <f ca="1">IF(EX82&lt;&gt;"",VLOOKUP(EX82,'Financial Planning Tool'!$EL$10:$ER$209,4,FALSE),"")</f>
        <v/>
      </c>
      <c r="FB82" t="str">
        <f t="shared" ca="1" si="149"/>
        <v/>
      </c>
      <c r="FC82" s="1" t="str">
        <f ca="1">IF(EX82&lt;&gt;"",VLOOKUP(EX82,'Financial Planning Tool'!$EL$10:$ER$209,5,FALSE),"")</f>
        <v/>
      </c>
      <c r="FD82" s="1" t="str">
        <f ca="1">IF(EX82&lt;&gt;"",VLOOKUP(EX82,'Financial Planning Tool'!$EL$10:$ER$209,6,FALSE),"")</f>
        <v/>
      </c>
      <c r="FE82" t="str">
        <f ca="1">IF(EX82&lt;&gt;"",VLOOKUP(EX82,'Financial Planning Tool'!$EL$10:$ER$209,7,FALSE),"")</f>
        <v/>
      </c>
      <c r="FF82" t="str">
        <f ca="1">IF(EX82&lt;&gt;"",VLOOKUP(EX82,'Financial Planning Tool'!$EL$10:$ES$209,8,FALSE),"")</f>
        <v/>
      </c>
      <c r="FG82" t="str">
        <f ca="1">IF(EX82&lt;&gt;"",VLOOKUP(EX82,'Financial Planning Tool'!$EL$10:$ET$209,9,FALSE),"")</f>
        <v/>
      </c>
      <c r="FH82" t="str">
        <f t="shared" ca="1" si="146"/>
        <v/>
      </c>
      <c r="FI82" s="22" t="str">
        <f t="shared" ca="1" si="147"/>
        <v/>
      </c>
    </row>
    <row r="83" spans="1:165" x14ac:dyDescent="0.25">
      <c r="A83" s="20"/>
      <c r="B83" s="86"/>
      <c r="C83" s="84"/>
      <c r="D83" s="155"/>
      <c r="E83" s="155"/>
      <c r="F83" s="85"/>
      <c r="G83" s="8"/>
      <c r="H83" s="5">
        <f t="shared" ca="1" si="92"/>
        <v>56218</v>
      </c>
      <c r="I83" s="8">
        <f t="shared" ca="1" si="93"/>
        <v>83</v>
      </c>
      <c r="J83" s="12" t="str">
        <f t="shared" ca="1" si="95"/>
        <v/>
      </c>
      <c r="K83" s="12" t="str">
        <f t="shared" ca="1" si="96"/>
        <v/>
      </c>
      <c r="L83" s="12" t="str">
        <f t="shared" ca="1" si="97"/>
        <v/>
      </c>
      <c r="M83" s="12" t="str">
        <f t="shared" ca="1" si="98"/>
        <v/>
      </c>
      <c r="N83" s="12">
        <f t="shared" ca="1" si="99"/>
        <v>-92083.79</v>
      </c>
      <c r="O83" s="12">
        <f t="shared" ca="1" si="100"/>
        <v>-30166.94</v>
      </c>
      <c r="P83" s="12">
        <f t="shared" ca="1" si="101"/>
        <v>477182.75</v>
      </c>
      <c r="Q83" s="12">
        <f t="shared" ca="1" si="102"/>
        <v>153009.32</v>
      </c>
      <c r="S83" s="18"/>
      <c r="T83" s="5">
        <f t="shared" ca="1" si="103"/>
        <v>56218</v>
      </c>
      <c r="U83" s="8">
        <f t="shared" ca="1" si="104"/>
        <v>83</v>
      </c>
      <c r="V83" s="12"/>
      <c r="W83" s="12"/>
      <c r="X83" s="12"/>
      <c r="Y83" s="12"/>
      <c r="Z83" s="12"/>
      <c r="AA83" s="12"/>
      <c r="AB83" s="12">
        <v>4658637.45</v>
      </c>
      <c r="AC83" s="12">
        <v>1493798.69</v>
      </c>
      <c r="AE83" s="21">
        <v>30</v>
      </c>
      <c r="AF83" s="22">
        <f t="shared" ca="1" si="91"/>
        <v>1</v>
      </c>
      <c r="AI83" s="21">
        <f t="shared" ca="1" si="94"/>
        <v>1</v>
      </c>
      <c r="AJ83" s="22">
        <v>0</v>
      </c>
      <c r="AN83" s="32">
        <f t="shared" ca="1" si="113"/>
        <v>61.166666666666664</v>
      </c>
      <c r="AO83" s="53">
        <f t="shared" ca="1" si="144"/>
        <v>47908</v>
      </c>
      <c r="AP83" s="22">
        <v>76</v>
      </c>
      <c r="AQ83" s="32">
        <f t="shared" ca="1" si="145"/>
        <v>1538909.7017734484</v>
      </c>
      <c r="AR83" s="23">
        <f t="array" aca="1" ref="AR83" ca="1">SUM(IF(lsc_start_date=AO83,lsc_amount,0))</f>
        <v>0</v>
      </c>
      <c r="AS83" s="24">
        <f t="shared" ca="1" si="119"/>
        <v>0</v>
      </c>
      <c r="AT83" s="24">
        <f t="shared" ca="1" si="120"/>
        <v>0</v>
      </c>
      <c r="AU83" s="24">
        <f t="shared" ca="1" si="121"/>
        <v>0</v>
      </c>
      <c r="AV83" s="25">
        <f t="shared" ca="1" si="122"/>
        <v>0</v>
      </c>
      <c r="AW83" s="23">
        <f t="array" aca="1" ref="AW83" ca="1">SUM(IF(rcs_start_date&lt;=AO83,1,0)*IF(rcs_end_date&gt;=AO83,1,0)*rcs_amount*(1+rcs_escalation/100)^(INT((AP83-rcs_months_since_start)/12))*IF(MOD((AP83-rcs_months_since_start),rcs_frequency)=0,1,0)*IF(rcs_frequency=13,0,1))+SUM(IF(rcs_start_date=AO83,rcs_amount,0)*IF(rcs_frequency=13,1,0))</f>
        <v>5693.9355832320016</v>
      </c>
      <c r="AX83" s="24">
        <f t="shared" ca="1" si="123"/>
        <v>0</v>
      </c>
      <c r="AY83" s="24">
        <f t="shared" ca="1" si="124"/>
        <v>0</v>
      </c>
      <c r="AZ83" s="24">
        <f t="shared" ca="1" si="125"/>
        <v>0</v>
      </c>
      <c r="BA83" s="25">
        <f t="shared" ca="1" si="126"/>
        <v>5693.9355832320016</v>
      </c>
      <c r="BB83" s="23">
        <f t="array" aca="1" ref="BB83" ca="1">SUM(IF(w_start_date&lt;=AO83,1,0)*IF(w_end_date&gt;=AO83,1,0)*w_amount*(1+w_escalation/100)^(INT((AP83-w_months_since_start)/12))*IF(MOD(AP83-w_months_since_start,w_frequency)=0,1,0)*IF(w_frequency=13,0,1))+SUM(IF(w_start_date=AO83,w_amount,0)*IF(w_frequency=13,1,0))</f>
        <v>0</v>
      </c>
      <c r="BC83" s="25">
        <f t="shared" ca="1" si="127"/>
        <v>0</v>
      </c>
      <c r="BD83" s="24" t="b">
        <f t="shared" ca="1" si="128"/>
        <v>0</v>
      </c>
      <c r="BE83" s="24" t="b">
        <f t="shared" ca="1" si="129"/>
        <v>1</v>
      </c>
      <c r="BF83" s="23">
        <f t="array" aca="1" ref="BF83" ca="1">SUM(IF(BD83,1,0)*IF(ap_start_date&lt;=AO83,1,0)*IF(ap_end_date&gt;=AO83,1,0)*ap_amount*(1+ap_escalation/100)^(INT((AP83-ap_months_since_start)/12))*IF(MOD(AP83-ap_months_since_start,ap_frequency)=0,1,0))</f>
        <v>0</v>
      </c>
      <c r="BG83" s="24">
        <f t="shared" ca="1" si="130"/>
        <v>0</v>
      </c>
      <c r="BH83" s="24">
        <f t="shared" ca="1" si="131"/>
        <v>0</v>
      </c>
      <c r="BI83">
        <f t="shared" ca="1" si="132"/>
        <v>0</v>
      </c>
      <c r="BJ83" s="24">
        <f t="shared" ca="1" si="133"/>
        <v>0</v>
      </c>
      <c r="BK83">
        <f t="shared" ca="1" si="134"/>
        <v>0</v>
      </c>
      <c r="BL83" s="25">
        <f t="shared" ca="1" si="135"/>
        <v>0</v>
      </c>
      <c r="BM83" s="32">
        <f t="shared" ca="1" si="114"/>
        <v>1555736.0951663908</v>
      </c>
      <c r="BN83" s="23">
        <f t="shared" ca="1" si="136"/>
        <v>0</v>
      </c>
      <c r="BO83" s="24">
        <f t="shared" ca="1" si="137"/>
        <v>0</v>
      </c>
      <c r="BP83" s="25">
        <f t="shared" ca="1" si="138"/>
        <v>0</v>
      </c>
      <c r="BQ83" s="34">
        <f t="shared" ca="1" si="139"/>
        <v>47938</v>
      </c>
      <c r="BR83" s="23">
        <f t="shared" ca="1" si="140"/>
        <v>1555736.0951663908</v>
      </c>
      <c r="BS83" s="24">
        <f t="shared" ca="1" si="141"/>
        <v>5693.9355832320016</v>
      </c>
      <c r="BT83" s="24">
        <f t="shared" ca="1" si="62"/>
        <v>66575.246819328007</v>
      </c>
      <c r="BU83" s="24">
        <f t="shared" ca="1" si="142"/>
        <v>0</v>
      </c>
      <c r="BV83" s="24">
        <f t="shared" ca="1" si="63"/>
        <v>0</v>
      </c>
      <c r="BW83" s="24">
        <f t="shared" ca="1" si="143"/>
        <v>0</v>
      </c>
      <c r="BX83" s="25">
        <f t="shared" ca="1" si="64"/>
        <v>0</v>
      </c>
      <c r="BY83" s="23">
        <f t="shared" ca="1" si="115"/>
        <v>1213551.223604809</v>
      </c>
      <c r="BZ83" s="24">
        <f t="shared" ca="1" si="116"/>
        <v>4456.0923108415436</v>
      </c>
      <c r="CA83" s="24">
        <f t="shared" ca="1" si="65"/>
        <v>53041.336037023044</v>
      </c>
      <c r="CB83" s="24">
        <f t="shared" ca="1" si="117"/>
        <v>0</v>
      </c>
      <c r="CC83" s="24">
        <f t="shared" ca="1" si="66"/>
        <v>0</v>
      </c>
      <c r="CD83" s="24">
        <f t="shared" ca="1" si="118"/>
        <v>0</v>
      </c>
      <c r="CE83" s="25">
        <f t="shared" ca="1" si="67"/>
        <v>0</v>
      </c>
      <c r="CF83" s="23">
        <f t="shared" ca="1" si="68"/>
        <v>0</v>
      </c>
      <c r="CG83" s="25">
        <f t="array" aca="1" ref="CG83" ca="1">SUM(BF72:BF83/(1+inflation/100)^(AP72:AP83/12))</f>
        <v>0</v>
      </c>
      <c r="CH83" s="32">
        <f ca="1">IFERROR(IF(MOD(AP83-ap_months_since_start,12)=0,ap_drawdown/100*(AQ83+AV83+BA83-BC83),CH82),0)</f>
        <v>227235.76504786551</v>
      </c>
      <c r="EL83" s="21">
        <f t="shared" ca="1" si="148"/>
        <v>6</v>
      </c>
      <c r="EM83" t="str">
        <f t="shared" ca="1" si="106"/>
        <v/>
      </c>
      <c r="EN83" t="str">
        <f t="shared" ca="1" si="107"/>
        <v/>
      </c>
      <c r="EO83" t="str">
        <f t="shared" ca="1" si="108"/>
        <v/>
      </c>
      <c r="EP83" s="1" t="str">
        <f t="shared" ca="1" si="109"/>
        <v/>
      </c>
      <c r="EQ83" s="1" t="str">
        <f t="shared" ca="1" si="110"/>
        <v/>
      </c>
      <c r="ER83" t="str">
        <f t="shared" ca="1" si="111"/>
        <v/>
      </c>
      <c r="ES83" t="str">
        <f t="shared" si="112"/>
        <v/>
      </c>
      <c r="ET83">
        <v>0</v>
      </c>
      <c r="EU83" s="22">
        <v>74</v>
      </c>
      <c r="EX83" s="21" t="str">
        <f ca="1">IF(EX82="","",IF(EX82+1&lt;=MAX('Financial Planning Tool'!$EL$10:$EL$209),EX82+1,""))</f>
        <v/>
      </c>
      <c r="EY83" t="str">
        <f ca="1">IF(EX83&lt;&gt;"",VLOOKUP(EX83,'Financial Planning Tool'!$EL$10:$ER$209,2,FALSE),"")</f>
        <v/>
      </c>
      <c r="EZ83" t="str">
        <f ca="1">IF(EX83&lt;&gt;"",VLOOKUP(EX83,'Financial Planning Tool'!$EL$10:$ER$209,3,FALSE),"")</f>
        <v/>
      </c>
      <c r="FA83" t="str">
        <f ca="1">IF(EX83&lt;&gt;"",VLOOKUP(EX83,'Financial Planning Tool'!$EL$10:$ER$209,4,FALSE),"")</f>
        <v/>
      </c>
      <c r="FB83" t="str">
        <f t="shared" ca="1" si="149"/>
        <v/>
      </c>
      <c r="FC83" s="1" t="str">
        <f ca="1">IF(EX83&lt;&gt;"",VLOOKUP(EX83,'Financial Planning Tool'!$EL$10:$ER$209,5,FALSE),"")</f>
        <v/>
      </c>
      <c r="FD83" s="1" t="str">
        <f ca="1">IF(EX83&lt;&gt;"",VLOOKUP(EX83,'Financial Planning Tool'!$EL$10:$ER$209,6,FALSE),"")</f>
        <v/>
      </c>
      <c r="FE83" t="str">
        <f ca="1">IF(EX83&lt;&gt;"",VLOOKUP(EX83,'Financial Planning Tool'!$EL$10:$ER$209,7,FALSE),"")</f>
        <v/>
      </c>
      <c r="FF83" t="str">
        <f ca="1">IF(EX83&lt;&gt;"",VLOOKUP(EX83,'Financial Planning Tool'!$EL$10:$ES$209,8,FALSE),"")</f>
        <v/>
      </c>
      <c r="FG83" t="str">
        <f ca="1">IF(EX83&lt;&gt;"",VLOOKUP(EX83,'Financial Planning Tool'!$EL$10:$ET$209,9,FALSE),"")</f>
        <v/>
      </c>
      <c r="FH83" t="str">
        <f t="shared" ca="1" si="146"/>
        <v/>
      </c>
      <c r="FI83" s="22" t="str">
        <f t="shared" ca="1" si="147"/>
        <v/>
      </c>
    </row>
    <row r="84" spans="1:165" x14ac:dyDescent="0.25">
      <c r="A84" s="20">
        <v>1</v>
      </c>
      <c r="B84" s="75" t="s">
        <v>14</v>
      </c>
      <c r="C84" s="76"/>
      <c r="D84" s="79"/>
      <c r="E84" s="76"/>
      <c r="F84" s="77"/>
      <c r="G84" s="8"/>
      <c r="H84" s="5">
        <f t="shared" ca="1" si="92"/>
        <v>56583</v>
      </c>
      <c r="I84" s="8">
        <f t="shared" ca="1" si="93"/>
        <v>84</v>
      </c>
      <c r="J84" s="12" t="str">
        <f t="shared" ca="1" si="95"/>
        <v/>
      </c>
      <c r="K84" s="12" t="str">
        <f t="shared" ca="1" si="96"/>
        <v/>
      </c>
      <c r="L84" s="12" t="str">
        <f t="shared" ca="1" si="97"/>
        <v/>
      </c>
      <c r="M84" s="12" t="str">
        <f t="shared" ca="1" si="98"/>
        <v/>
      </c>
      <c r="N84" s="12">
        <f t="shared" ca="1" si="99"/>
        <v>-83481.42</v>
      </c>
      <c r="O84" s="12">
        <f t="shared" ca="1" si="100"/>
        <v>-26296.9</v>
      </c>
      <c r="P84" s="12">
        <f t="shared" ca="1" si="101"/>
        <v>432604.84</v>
      </c>
      <c r="Q84" s="12">
        <f t="shared" ca="1" si="102"/>
        <v>133380.15</v>
      </c>
      <c r="S84" s="18"/>
      <c r="T84" s="5">
        <f t="shared" ca="1" si="103"/>
        <v>56583</v>
      </c>
      <c r="U84" s="8">
        <f t="shared" ca="1" si="104"/>
        <v>84</v>
      </c>
      <c r="V84" s="12"/>
      <c r="W84" s="12"/>
      <c r="X84" s="12"/>
      <c r="Y84" s="12"/>
      <c r="Z84" s="12"/>
      <c r="AA84" s="12"/>
      <c r="AB84" s="12">
        <v>5031328.4400000004</v>
      </c>
      <c r="AC84" s="12">
        <v>1551252.48</v>
      </c>
      <c r="AE84" s="21">
        <v>31</v>
      </c>
      <c r="AF84" s="22">
        <f t="shared" ca="1" si="91"/>
        <v>1</v>
      </c>
      <c r="AI84" s="21">
        <f t="shared" ca="1" si="94"/>
        <v>1</v>
      </c>
      <c r="AJ84" s="22">
        <v>0</v>
      </c>
      <c r="AN84" s="32">
        <f t="shared" ca="1" si="113"/>
        <v>61.25</v>
      </c>
      <c r="AO84" s="53">
        <f t="shared" ca="1" si="144"/>
        <v>47939</v>
      </c>
      <c r="AP84" s="22">
        <v>77</v>
      </c>
      <c r="AQ84" s="32">
        <f t="shared" ca="1" si="145"/>
        <v>1555736.0951663908</v>
      </c>
      <c r="AR84" s="23">
        <f t="array" aca="1" ref="AR84" ca="1">SUM(IF(lsc_start_date=AO84,lsc_amount,0))</f>
        <v>0</v>
      </c>
      <c r="AS84" s="24">
        <f t="shared" ca="1" si="119"/>
        <v>0</v>
      </c>
      <c r="AT84" s="24">
        <f t="shared" ca="1" si="120"/>
        <v>0</v>
      </c>
      <c r="AU84" s="24">
        <f t="shared" ca="1" si="121"/>
        <v>0</v>
      </c>
      <c r="AV84" s="25">
        <f t="shared" ca="1" si="122"/>
        <v>0</v>
      </c>
      <c r="AW84" s="23">
        <f t="array" aca="1" ref="AW84" ca="1">SUM(IF(rcs_start_date&lt;=AO84,1,0)*IF(rcs_end_date&gt;=AO84,1,0)*rcs_amount*(1+rcs_escalation/100)^(INT((AP84-rcs_months_since_start)/12))*IF(MOD((AP84-rcs_months_since_start),rcs_frequency)=0,1,0)*IF(rcs_frequency=13,0,1))+SUM(IF(rcs_start_date=AO84,rcs_amount,0)*IF(rcs_frequency=13,1,0))</f>
        <v>5693.9355832320016</v>
      </c>
      <c r="AX84" s="24">
        <f t="shared" ca="1" si="123"/>
        <v>0</v>
      </c>
      <c r="AY84" s="24">
        <f t="shared" ca="1" si="124"/>
        <v>0</v>
      </c>
      <c r="AZ84" s="24">
        <f t="shared" ca="1" si="125"/>
        <v>0</v>
      </c>
      <c r="BA84" s="25">
        <f t="shared" ca="1" si="126"/>
        <v>5693.9355832320016</v>
      </c>
      <c r="BB84" s="23">
        <f t="array" aca="1" ref="BB84" ca="1">SUM(IF(w_start_date&lt;=AO84,1,0)*IF(w_end_date&gt;=AO84,1,0)*w_amount*(1+w_escalation/100)^(INT((AP84-w_months_since_start)/12))*IF(MOD(AP84-w_months_since_start,w_frequency)=0,1,0)*IF(w_frequency=13,0,1))+SUM(IF(w_start_date=AO84,w_amount,0)*IF(w_frequency=13,1,0))</f>
        <v>0</v>
      </c>
      <c r="BC84" s="25">
        <f t="shared" ca="1" si="127"/>
        <v>0</v>
      </c>
      <c r="BD84" s="24" t="b">
        <f t="shared" ca="1" si="128"/>
        <v>0</v>
      </c>
      <c r="BE84" s="24" t="b">
        <f t="shared" ca="1" si="129"/>
        <v>1</v>
      </c>
      <c r="BF84" s="23">
        <f t="array" aca="1" ref="BF84" ca="1">SUM(IF(BD84,1,0)*IF(ap_start_date&lt;=AO84,1,0)*IF(ap_end_date&gt;=AO84,1,0)*ap_amount*(1+ap_escalation/100)^(INT((AP84-ap_months_since_start)/12))*IF(MOD(AP84-ap_months_since_start,ap_frequency)=0,1,0))</f>
        <v>0</v>
      </c>
      <c r="BG84" s="24">
        <f t="shared" ca="1" si="130"/>
        <v>0</v>
      </c>
      <c r="BH84" s="24">
        <f t="shared" ca="1" si="131"/>
        <v>0</v>
      </c>
      <c r="BI84">
        <f t="shared" ca="1" si="132"/>
        <v>0</v>
      </c>
      <c r="BJ84" s="24">
        <f t="shared" ca="1" si="133"/>
        <v>0</v>
      </c>
      <c r="BK84">
        <f t="shared" ca="1" si="134"/>
        <v>0</v>
      </c>
      <c r="BL84" s="25">
        <f t="shared" ca="1" si="135"/>
        <v>0</v>
      </c>
      <c r="BM84" s="32">
        <f t="shared" ca="1" si="114"/>
        <v>1572683.7618167605</v>
      </c>
      <c r="BN84" s="23">
        <f t="shared" ca="1" si="136"/>
        <v>0</v>
      </c>
      <c r="BO84" s="24">
        <f t="shared" ca="1" si="137"/>
        <v>0</v>
      </c>
      <c r="BP84" s="25">
        <f t="shared" ca="1" si="138"/>
        <v>0</v>
      </c>
      <c r="BQ84" s="34">
        <f t="shared" ca="1" si="139"/>
        <v>47968</v>
      </c>
      <c r="BR84" s="23">
        <f t="shared" ca="1" si="140"/>
        <v>1572683.7618167605</v>
      </c>
      <c r="BS84" s="24">
        <f t="shared" ca="1" si="141"/>
        <v>5693.9355832320016</v>
      </c>
      <c r="BT84" s="24">
        <f t="shared" ref="BT84:BT147" ca="1" si="150">SUM(BS73:BS84)</f>
        <v>66794.244341760001</v>
      </c>
      <c r="BU84" s="24">
        <f t="shared" ca="1" si="142"/>
        <v>0</v>
      </c>
      <c r="BV84" s="24">
        <f t="shared" ref="BV84:BV147" ca="1" si="151">SUM(BU73:BU84)</f>
        <v>0</v>
      </c>
      <c r="BW84" s="24">
        <f t="shared" ca="1" si="143"/>
        <v>0</v>
      </c>
      <c r="BX84" s="25">
        <f t="shared" ref="BX84:BX147" ca="1" si="152">SUM(BW73:BW84)</f>
        <v>0</v>
      </c>
      <c r="BY84" s="23">
        <f t="shared" ca="1" si="115"/>
        <v>1222768.2181996626</v>
      </c>
      <c r="BZ84" s="24">
        <f t="shared" ca="1" si="116"/>
        <v>4441.5518259342853</v>
      </c>
      <c r="CA84" s="24">
        <f t="shared" ref="CA84:CA147" ca="1" si="153">SUM(BZ73:BZ84)</f>
        <v>53041.336037023044</v>
      </c>
      <c r="CB84" s="24">
        <f t="shared" ca="1" si="117"/>
        <v>0</v>
      </c>
      <c r="CC84" s="24">
        <f t="shared" ref="CC84:CC147" ca="1" si="154">SUM(CB73:CB84)</f>
        <v>0</v>
      </c>
      <c r="CD84" s="24">
        <f t="shared" ca="1" si="118"/>
        <v>0</v>
      </c>
      <c r="CE84" s="25">
        <f t="shared" ref="CE84:CE147" ca="1" si="155">SUM(CD73:CD84)</f>
        <v>0</v>
      </c>
      <c r="CF84" s="23">
        <f t="shared" ref="CF84:CF147" ca="1" si="156">SUM(BF73:BF84)</f>
        <v>0</v>
      </c>
      <c r="CG84" s="25">
        <f t="array" aca="1" ref="CG84" ca="1">SUM(BF73:BF84/(1+inflation/100)^(AP73:AP84/12))</f>
        <v>0</v>
      </c>
      <c r="CH84" s="32">
        <f ca="1">IFERROR(IF(MOD(AP84-ap_months_since_start,12)=0,ap_drawdown/100*(AQ84+AV84+BA84-BC84),CH83),0)</f>
        <v>227235.76504786551</v>
      </c>
      <c r="EL84" s="21">
        <f t="shared" ca="1" si="148"/>
        <v>6</v>
      </c>
      <c r="EM84" t="str">
        <f t="shared" ca="1" si="106"/>
        <v/>
      </c>
      <c r="EN84" t="str">
        <f t="shared" ca="1" si="107"/>
        <v/>
      </c>
      <c r="EO84" t="str">
        <f t="shared" ca="1" si="108"/>
        <v/>
      </c>
      <c r="EP84" s="1" t="str">
        <f t="shared" ca="1" si="109"/>
        <v/>
      </c>
      <c r="EQ84" s="1" t="str">
        <f t="shared" ca="1" si="110"/>
        <v/>
      </c>
      <c r="ER84" t="str">
        <f t="shared" ca="1" si="111"/>
        <v/>
      </c>
      <c r="ES84" t="str">
        <f t="shared" si="112"/>
        <v/>
      </c>
      <c r="ET84">
        <v>0</v>
      </c>
      <c r="EU84" s="22">
        <v>75</v>
      </c>
      <c r="EX84" s="21" t="str">
        <f ca="1">IF(EX83="","",IF(EX83+1&lt;=MAX('Financial Planning Tool'!$EL$10:$EL$209),EX83+1,""))</f>
        <v/>
      </c>
      <c r="EY84" t="str">
        <f ca="1">IF(EX84&lt;&gt;"",VLOOKUP(EX84,'Financial Planning Tool'!$EL$10:$ER$209,2,FALSE),"")</f>
        <v/>
      </c>
      <c r="EZ84" t="str">
        <f ca="1">IF(EX84&lt;&gt;"",VLOOKUP(EX84,'Financial Planning Tool'!$EL$10:$ER$209,3,FALSE),"")</f>
        <v/>
      </c>
      <c r="FA84" t="str">
        <f ca="1">IF(EX84&lt;&gt;"",VLOOKUP(EX84,'Financial Planning Tool'!$EL$10:$ER$209,4,FALSE),"")</f>
        <v/>
      </c>
      <c r="FB84" t="str">
        <f t="shared" ca="1" si="149"/>
        <v/>
      </c>
      <c r="FC84" s="1" t="str">
        <f ca="1">IF(EX84&lt;&gt;"",VLOOKUP(EX84,'Financial Planning Tool'!$EL$10:$ER$209,5,FALSE),"")</f>
        <v/>
      </c>
      <c r="FD84" s="1" t="str">
        <f ca="1">IF(EX84&lt;&gt;"",VLOOKUP(EX84,'Financial Planning Tool'!$EL$10:$ER$209,6,FALSE),"")</f>
        <v/>
      </c>
      <c r="FE84" t="str">
        <f ca="1">IF(EX84&lt;&gt;"",VLOOKUP(EX84,'Financial Planning Tool'!$EL$10:$ER$209,7,FALSE),"")</f>
        <v/>
      </c>
      <c r="FF84" t="str">
        <f ca="1">IF(EX84&lt;&gt;"",VLOOKUP(EX84,'Financial Planning Tool'!$EL$10:$ES$209,8,FALSE),"")</f>
        <v/>
      </c>
      <c r="FG84" t="str">
        <f ca="1">IF(EX84&lt;&gt;"",VLOOKUP(EX84,'Financial Planning Tool'!$EL$10:$ET$209,9,FALSE),"")</f>
        <v/>
      </c>
      <c r="FH84" t="str">
        <f t="shared" ca="1" si="146"/>
        <v/>
      </c>
      <c r="FI84" s="22" t="str">
        <f t="shared" ca="1" si="147"/>
        <v/>
      </c>
    </row>
    <row r="85" spans="1:165" x14ac:dyDescent="0.25">
      <c r="A85" s="20"/>
      <c r="B85" s="78" t="s">
        <v>206</v>
      </c>
      <c r="C85" s="76"/>
      <c r="D85" s="151" t="s">
        <v>207</v>
      </c>
      <c r="E85" s="152"/>
      <c r="F85" s="77"/>
      <c r="G85" s="8"/>
      <c r="H85" s="5">
        <f t="shared" ca="1" si="92"/>
        <v>56948</v>
      </c>
      <c r="I85" s="8">
        <f t="shared" ca="1" si="93"/>
        <v>85</v>
      </c>
      <c r="J85" s="12" t="str">
        <f t="shared" ca="1" si="95"/>
        <v/>
      </c>
      <c r="K85" s="12" t="str">
        <f t="shared" ca="1" si="96"/>
        <v/>
      </c>
      <c r="L85" s="12" t="str">
        <f t="shared" ca="1" si="97"/>
        <v/>
      </c>
      <c r="M85" s="12" t="str">
        <f t="shared" ca="1" si="98"/>
        <v/>
      </c>
      <c r="N85" s="12">
        <f t="shared" ca="1" si="99"/>
        <v>-75682.67</v>
      </c>
      <c r="O85" s="12">
        <f t="shared" ca="1" si="100"/>
        <v>-22923.34</v>
      </c>
      <c r="P85" s="12">
        <f t="shared" ca="1" si="101"/>
        <v>392191.35</v>
      </c>
      <c r="Q85" s="12">
        <f t="shared" ca="1" si="102"/>
        <v>116269.15</v>
      </c>
      <c r="S85" s="18"/>
      <c r="T85" s="5">
        <f t="shared" ca="1" si="103"/>
        <v>56948</v>
      </c>
      <c r="U85" s="8">
        <f t="shared" ca="1" si="104"/>
        <v>85</v>
      </c>
      <c r="V85" s="12"/>
      <c r="W85" s="12"/>
      <c r="X85" s="12"/>
      <c r="Y85" s="12"/>
      <c r="Z85" s="12"/>
      <c r="AA85" s="12"/>
      <c r="AB85" s="12">
        <v>5433834.7199999997</v>
      </c>
      <c r="AC85" s="12">
        <v>1610916.04</v>
      </c>
      <c r="AE85" s="21">
        <v>32</v>
      </c>
      <c r="AF85" s="22">
        <f t="shared" ca="1" si="91"/>
        <v>1</v>
      </c>
      <c r="AI85" s="21">
        <f t="shared" ca="1" si="94"/>
        <v>1</v>
      </c>
      <c r="AJ85" s="22">
        <v>0</v>
      </c>
      <c r="AN85" s="32">
        <f t="shared" ca="1" si="113"/>
        <v>61.333333333333336</v>
      </c>
      <c r="AO85" s="53">
        <f t="shared" ca="1" si="144"/>
        <v>47969</v>
      </c>
      <c r="AP85" s="22">
        <v>78</v>
      </c>
      <c r="AQ85" s="32">
        <f t="shared" ca="1" si="145"/>
        <v>1572683.7618167605</v>
      </c>
      <c r="AR85" s="23">
        <f t="array" aca="1" ref="AR85" ca="1">SUM(IF(lsc_start_date=AO85,lsc_amount,0))</f>
        <v>0</v>
      </c>
      <c r="AS85" s="24">
        <f t="shared" ca="1" si="119"/>
        <v>0</v>
      </c>
      <c r="AT85" s="24">
        <f t="shared" ca="1" si="120"/>
        <v>0</v>
      </c>
      <c r="AU85" s="24">
        <f t="shared" ca="1" si="121"/>
        <v>0</v>
      </c>
      <c r="AV85" s="25">
        <f t="shared" ca="1" si="122"/>
        <v>0</v>
      </c>
      <c r="AW85" s="23">
        <f t="array" aca="1" ref="AW85" ca="1">SUM(IF(rcs_start_date&lt;=AO85,1,0)*IF(rcs_end_date&gt;=AO85,1,0)*rcs_amount*(1+rcs_escalation/100)^(INT((AP85-rcs_months_since_start)/12))*IF(MOD((AP85-rcs_months_since_start),rcs_frequency)=0,1,0)*IF(rcs_frequency=13,0,1))+SUM(IF(rcs_start_date=AO85,rcs_amount,0)*IF(rcs_frequency=13,1,0))</f>
        <v>5693.9355832320016</v>
      </c>
      <c r="AX85" s="24">
        <f t="shared" ca="1" si="123"/>
        <v>0</v>
      </c>
      <c r="AY85" s="24">
        <f t="shared" ca="1" si="124"/>
        <v>0</v>
      </c>
      <c r="AZ85" s="24">
        <f t="shared" ca="1" si="125"/>
        <v>0</v>
      </c>
      <c r="BA85" s="25">
        <f t="shared" ca="1" si="126"/>
        <v>5693.9355832320016</v>
      </c>
      <c r="BB85" s="23">
        <f t="array" aca="1" ref="BB85" ca="1">SUM(IF(w_start_date&lt;=AO85,1,0)*IF(w_end_date&gt;=AO85,1,0)*w_amount*(1+w_escalation/100)^(INT((AP85-w_months_since_start)/12))*IF(MOD(AP85-w_months_since_start,w_frequency)=0,1,0)*IF(w_frequency=13,0,1))+SUM(IF(w_start_date=AO85,w_amount,0)*IF(w_frequency=13,1,0))</f>
        <v>0</v>
      </c>
      <c r="BC85" s="25">
        <f t="shared" ca="1" si="127"/>
        <v>0</v>
      </c>
      <c r="BD85" s="24" t="b">
        <f t="shared" ca="1" si="128"/>
        <v>0</v>
      </c>
      <c r="BE85" s="24" t="b">
        <f t="shared" ca="1" si="129"/>
        <v>1</v>
      </c>
      <c r="BF85" s="23">
        <f t="array" aca="1" ref="BF85" ca="1">SUM(IF(BD85,1,0)*IF(ap_start_date&lt;=AO85,1,0)*IF(ap_end_date&gt;=AO85,1,0)*ap_amount*(1+ap_escalation/100)^(INT((AP85-ap_months_since_start)/12))*IF(MOD(AP85-ap_months_since_start,ap_frequency)=0,1,0))</f>
        <v>0</v>
      </c>
      <c r="BG85" s="24">
        <f t="shared" ca="1" si="130"/>
        <v>0</v>
      </c>
      <c r="BH85" s="24">
        <f t="shared" ca="1" si="131"/>
        <v>0</v>
      </c>
      <c r="BI85">
        <f t="shared" ca="1" si="132"/>
        <v>0</v>
      </c>
      <c r="BJ85" s="24">
        <f t="shared" ca="1" si="133"/>
        <v>0</v>
      </c>
      <c r="BK85">
        <f t="shared" ca="1" si="134"/>
        <v>0</v>
      </c>
      <c r="BL85" s="25">
        <f t="shared" ca="1" si="135"/>
        <v>0</v>
      </c>
      <c r="BM85" s="32">
        <f t="shared" ca="1" si="114"/>
        <v>1589753.5757801337</v>
      </c>
      <c r="BN85" s="23">
        <f t="shared" ca="1" si="136"/>
        <v>0</v>
      </c>
      <c r="BO85" s="24">
        <f t="shared" ca="1" si="137"/>
        <v>0</v>
      </c>
      <c r="BP85" s="25">
        <f t="shared" ca="1" si="138"/>
        <v>0</v>
      </c>
      <c r="BQ85" s="34">
        <f t="shared" ca="1" si="139"/>
        <v>47999</v>
      </c>
      <c r="BR85" s="23">
        <f t="shared" ca="1" si="140"/>
        <v>1589753.5757801337</v>
      </c>
      <c r="BS85" s="24">
        <f t="shared" ca="1" si="141"/>
        <v>5693.9355832320016</v>
      </c>
      <c r="BT85" s="24">
        <f t="shared" ca="1" si="150"/>
        <v>67013.241864192009</v>
      </c>
      <c r="BU85" s="24">
        <f t="shared" ca="1" si="142"/>
        <v>0</v>
      </c>
      <c r="BV85" s="24">
        <f t="shared" ca="1" si="151"/>
        <v>0</v>
      </c>
      <c r="BW85" s="24">
        <f t="shared" ca="1" si="143"/>
        <v>0</v>
      </c>
      <c r="BX85" s="25">
        <f t="shared" ca="1" si="152"/>
        <v>0</v>
      </c>
      <c r="BY85" s="23">
        <f t="shared" ca="1" si="115"/>
        <v>1232006.8004458495</v>
      </c>
      <c r="BZ85" s="24">
        <f t="shared" ca="1" si="116"/>
        <v>4427.0587874636321</v>
      </c>
      <c r="CA85" s="24">
        <f t="shared" ca="1" si="153"/>
        <v>53041.336037023051</v>
      </c>
      <c r="CB85" s="24">
        <f t="shared" ca="1" si="117"/>
        <v>0</v>
      </c>
      <c r="CC85" s="24">
        <f t="shared" ca="1" si="154"/>
        <v>0</v>
      </c>
      <c r="CD85" s="24">
        <f t="shared" ca="1" si="118"/>
        <v>0</v>
      </c>
      <c r="CE85" s="25">
        <f t="shared" ca="1" si="155"/>
        <v>0</v>
      </c>
      <c r="CF85" s="23">
        <f t="shared" ca="1" si="156"/>
        <v>0</v>
      </c>
      <c r="CG85" s="25">
        <f t="array" aca="1" ref="CG85" ca="1">SUM(BF74:BF85/(1+inflation/100)^(AP74:AP85/12))</f>
        <v>0</v>
      </c>
      <c r="CH85" s="32">
        <f ca="1">IFERROR(IF(MOD(AP85-ap_months_since_start,12)=0,ap_drawdown/100*(AQ85+AV85+BA85-BC85),CH84),0)</f>
        <v>227235.76504786551</v>
      </c>
      <c r="EL85" s="21">
        <f t="shared" ca="1" si="148"/>
        <v>6</v>
      </c>
      <c r="EM85" t="str">
        <f t="shared" ca="1" si="106"/>
        <v/>
      </c>
      <c r="EN85" t="str">
        <f t="shared" ca="1" si="107"/>
        <v/>
      </c>
      <c r="EO85" t="str">
        <f t="shared" ca="1" si="108"/>
        <v/>
      </c>
      <c r="EP85" s="1" t="str">
        <f t="shared" ca="1" si="109"/>
        <v/>
      </c>
      <c r="EQ85" s="1" t="str">
        <f t="shared" ca="1" si="110"/>
        <v/>
      </c>
      <c r="ER85" t="str">
        <f t="shared" ca="1" si="111"/>
        <v/>
      </c>
      <c r="ES85" t="str">
        <f t="shared" si="112"/>
        <v/>
      </c>
      <c r="ET85">
        <v>0</v>
      </c>
      <c r="EU85" s="22">
        <v>76</v>
      </c>
      <c r="EX85" s="21" t="str">
        <f ca="1">IF(EX84="","",IF(EX84+1&lt;=MAX('Financial Planning Tool'!$EL$10:$EL$209),EX84+1,""))</f>
        <v/>
      </c>
      <c r="EY85" t="str">
        <f ca="1">IF(EX85&lt;&gt;"",VLOOKUP(EX85,'Financial Planning Tool'!$EL$10:$ER$209,2,FALSE),"")</f>
        <v/>
      </c>
      <c r="EZ85" t="str">
        <f ca="1">IF(EX85&lt;&gt;"",VLOOKUP(EX85,'Financial Planning Tool'!$EL$10:$ER$209,3,FALSE),"")</f>
        <v/>
      </c>
      <c r="FA85" t="str">
        <f ca="1">IF(EX85&lt;&gt;"",VLOOKUP(EX85,'Financial Planning Tool'!$EL$10:$ER$209,4,FALSE),"")</f>
        <v/>
      </c>
      <c r="FB85" t="str">
        <f t="shared" ca="1" si="149"/>
        <v/>
      </c>
      <c r="FC85" s="1" t="str">
        <f ca="1">IF(EX85&lt;&gt;"",VLOOKUP(EX85,'Financial Planning Tool'!$EL$10:$ER$209,5,FALSE),"")</f>
        <v/>
      </c>
      <c r="FD85" s="1" t="str">
        <f ca="1">IF(EX85&lt;&gt;"",VLOOKUP(EX85,'Financial Planning Tool'!$EL$10:$ER$209,6,FALSE),"")</f>
        <v/>
      </c>
      <c r="FE85" t="str">
        <f ca="1">IF(EX85&lt;&gt;"",VLOOKUP(EX85,'Financial Planning Tool'!$EL$10:$ER$209,7,FALSE),"")</f>
        <v/>
      </c>
      <c r="FF85" t="str">
        <f ca="1">IF(EX85&lt;&gt;"",VLOOKUP(EX85,'Financial Planning Tool'!$EL$10:$ES$209,8,FALSE),"")</f>
        <v/>
      </c>
      <c r="FG85" t="str">
        <f ca="1">IF(EX85&lt;&gt;"",VLOOKUP(EX85,'Financial Planning Tool'!$EL$10:$ET$209,9,FALSE),"")</f>
        <v/>
      </c>
      <c r="FH85" t="str">
        <f t="shared" ca="1" si="146"/>
        <v/>
      </c>
      <c r="FI85" s="22" t="str">
        <f t="shared" ca="1" si="147"/>
        <v/>
      </c>
    </row>
    <row r="86" spans="1:165" x14ac:dyDescent="0.25">
      <c r="A86" s="20"/>
      <c r="B86" s="78" t="s">
        <v>203</v>
      </c>
      <c r="C86" s="76"/>
      <c r="D86" s="153" t="s">
        <v>121</v>
      </c>
      <c r="E86" s="154"/>
      <c r="F86" s="77"/>
      <c r="G86" s="18"/>
      <c r="H86" s="5">
        <f t="shared" ca="1" si="92"/>
        <v>57314</v>
      </c>
      <c r="I86" s="8">
        <f t="shared" ca="1" si="93"/>
        <v>86</v>
      </c>
      <c r="J86" s="12" t="str">
        <f t="shared" ca="1" si="95"/>
        <v/>
      </c>
      <c r="K86" s="12" t="str">
        <f t="shared" ca="1" si="96"/>
        <v/>
      </c>
      <c r="L86" s="12" t="str">
        <f t="shared" ca="1" si="97"/>
        <v/>
      </c>
      <c r="M86" s="12" t="str">
        <f t="shared" ca="1" si="98"/>
        <v/>
      </c>
      <c r="N86" s="12">
        <f t="shared" ca="1" si="99"/>
        <v>-68612.479999999996</v>
      </c>
      <c r="O86" s="12">
        <f t="shared" ca="1" si="100"/>
        <v>-19982.560000000001</v>
      </c>
      <c r="P86" s="12">
        <f t="shared" ca="1" si="101"/>
        <v>355553.25</v>
      </c>
      <c r="Q86" s="12">
        <f t="shared" ca="1" si="102"/>
        <v>101353.28</v>
      </c>
      <c r="S86" s="18"/>
      <c r="T86" s="5">
        <f t="shared" ca="1" si="103"/>
        <v>57314</v>
      </c>
      <c r="U86" s="8">
        <f t="shared" ca="1" si="104"/>
        <v>86</v>
      </c>
      <c r="V86" s="12"/>
      <c r="W86" s="12"/>
      <c r="X86" s="12"/>
      <c r="Y86" s="12"/>
      <c r="Z86" s="12"/>
      <c r="AA86" s="12"/>
      <c r="AB86" s="12">
        <v>5868541.5</v>
      </c>
      <c r="AC86" s="12">
        <v>1672874.35</v>
      </c>
      <c r="AE86" s="21">
        <v>33</v>
      </c>
      <c r="AF86" s="22">
        <f t="shared" ref="AF86:AF117" ca="1" si="157">IF(OR(N87=0,N87=""),0,1)</f>
        <v>1</v>
      </c>
      <c r="AI86" s="21">
        <f t="shared" ca="1" si="94"/>
        <v>1</v>
      </c>
      <c r="AJ86" s="22">
        <v>0</v>
      </c>
      <c r="AN86" s="32">
        <f t="shared" ca="1" si="113"/>
        <v>61.416666666666664</v>
      </c>
      <c r="AO86" s="53">
        <f t="shared" ca="1" si="144"/>
        <v>48000</v>
      </c>
      <c r="AP86" s="22">
        <v>79</v>
      </c>
      <c r="AQ86" s="32">
        <f t="shared" ca="1" si="145"/>
        <v>1589753.5757801337</v>
      </c>
      <c r="AR86" s="23">
        <f t="array" aca="1" ref="AR86" ca="1">SUM(IF(lsc_start_date=AO86,lsc_amount,0))</f>
        <v>0</v>
      </c>
      <c r="AS86" s="24">
        <f t="shared" ca="1" si="119"/>
        <v>0</v>
      </c>
      <c r="AT86" s="24">
        <f t="shared" ca="1" si="120"/>
        <v>0</v>
      </c>
      <c r="AU86" s="24">
        <f t="shared" ca="1" si="121"/>
        <v>0</v>
      </c>
      <c r="AV86" s="25">
        <f t="shared" ca="1" si="122"/>
        <v>0</v>
      </c>
      <c r="AW86" s="23">
        <f t="array" aca="1" ref="AW86" ca="1">SUM(IF(rcs_start_date&lt;=AO86,1,0)*IF(rcs_end_date&gt;=AO86,1,0)*rcs_amount*(1+rcs_escalation/100)^(INT((AP86-rcs_months_since_start)/12))*IF(MOD((AP86-rcs_months_since_start),rcs_frequency)=0,1,0)*IF(rcs_frequency=13,0,1))+SUM(IF(rcs_start_date=AO86,rcs_amount,0)*IF(rcs_frequency=13,1,0))</f>
        <v>5693.9355832320016</v>
      </c>
      <c r="AX86" s="24">
        <f t="shared" ca="1" si="123"/>
        <v>0</v>
      </c>
      <c r="AY86" s="24">
        <f t="shared" ca="1" si="124"/>
        <v>0</v>
      </c>
      <c r="AZ86" s="24">
        <f t="shared" ca="1" si="125"/>
        <v>0</v>
      </c>
      <c r="BA86" s="25">
        <f t="shared" ca="1" si="126"/>
        <v>5693.9355832320016</v>
      </c>
      <c r="BB86" s="23">
        <f t="array" aca="1" ref="BB86" ca="1">SUM(IF(w_start_date&lt;=AO86,1,0)*IF(w_end_date&gt;=AO86,1,0)*w_amount*(1+w_escalation/100)^(INT((AP86-w_months_since_start)/12))*IF(MOD(AP86-w_months_since_start,w_frequency)=0,1,0)*IF(w_frequency=13,0,1))+SUM(IF(w_start_date=AO86,w_amount,0)*IF(w_frequency=13,1,0))</f>
        <v>0</v>
      </c>
      <c r="BC86" s="25">
        <f t="shared" ca="1" si="127"/>
        <v>0</v>
      </c>
      <c r="BD86" s="24" t="b">
        <f t="shared" ca="1" si="128"/>
        <v>0</v>
      </c>
      <c r="BE86" s="24" t="b">
        <f t="shared" ca="1" si="129"/>
        <v>1</v>
      </c>
      <c r="BF86" s="23">
        <f t="array" aca="1" ref="BF86" ca="1">SUM(IF(BD86,1,0)*IF(ap_start_date&lt;=AO86,1,0)*IF(ap_end_date&gt;=AO86,1,0)*ap_amount*(1+ap_escalation/100)^(INT((AP86-ap_months_since_start)/12))*IF(MOD(AP86-ap_months_since_start,ap_frequency)=0,1,0))</f>
        <v>0</v>
      </c>
      <c r="BG86" s="24">
        <f t="shared" ca="1" si="130"/>
        <v>0</v>
      </c>
      <c r="BH86" s="24">
        <f t="shared" ca="1" si="131"/>
        <v>0</v>
      </c>
      <c r="BI86">
        <f t="shared" ca="1" si="132"/>
        <v>0</v>
      </c>
      <c r="BJ86" s="24">
        <f t="shared" ca="1" si="133"/>
        <v>0</v>
      </c>
      <c r="BK86">
        <f t="shared" ca="1" si="134"/>
        <v>0</v>
      </c>
      <c r="BL86" s="25">
        <f t="shared" ca="1" si="135"/>
        <v>0</v>
      </c>
      <c r="BM86" s="32">
        <f t="shared" ca="1" si="114"/>
        <v>1606946.4174116871</v>
      </c>
      <c r="BN86" s="23">
        <f t="shared" ca="1" si="136"/>
        <v>0</v>
      </c>
      <c r="BO86" s="24">
        <f t="shared" ca="1" si="137"/>
        <v>0</v>
      </c>
      <c r="BP86" s="25">
        <f t="shared" ca="1" si="138"/>
        <v>0</v>
      </c>
      <c r="BQ86" s="34">
        <f t="shared" ca="1" si="139"/>
        <v>48029</v>
      </c>
      <c r="BR86" s="23">
        <f t="shared" ca="1" si="140"/>
        <v>1606946.4174116871</v>
      </c>
      <c r="BS86" s="24">
        <f t="shared" ca="1" si="141"/>
        <v>5693.9355832320016</v>
      </c>
      <c r="BT86" s="24">
        <f t="shared" ca="1" si="150"/>
        <v>67232.239386624002</v>
      </c>
      <c r="BU86" s="24">
        <f t="shared" ca="1" si="142"/>
        <v>0</v>
      </c>
      <c r="BV86" s="24">
        <f t="shared" ca="1" si="151"/>
        <v>0</v>
      </c>
      <c r="BW86" s="24">
        <f t="shared" ca="1" si="143"/>
        <v>0</v>
      </c>
      <c r="BX86" s="25">
        <f t="shared" ca="1" si="152"/>
        <v>0</v>
      </c>
      <c r="BY86" s="23">
        <f t="shared" ca="1" si="115"/>
        <v>1241267.1024601453</v>
      </c>
      <c r="BZ86" s="24">
        <f t="shared" ca="1" si="116"/>
        <v>4412.6130406091415</v>
      </c>
      <c r="CA86" s="24">
        <f t="shared" ca="1" si="153"/>
        <v>53041.336037023051</v>
      </c>
      <c r="CB86" s="24">
        <f t="shared" ca="1" si="117"/>
        <v>0</v>
      </c>
      <c r="CC86" s="24">
        <f t="shared" ca="1" si="154"/>
        <v>0</v>
      </c>
      <c r="CD86" s="24">
        <f t="shared" ca="1" si="118"/>
        <v>0</v>
      </c>
      <c r="CE86" s="25">
        <f t="shared" ca="1" si="155"/>
        <v>0</v>
      </c>
      <c r="CF86" s="23">
        <f t="shared" ca="1" si="156"/>
        <v>0</v>
      </c>
      <c r="CG86" s="25">
        <f t="array" aca="1" ref="CG86" ca="1">SUM(BF75:BF86/(1+inflation/100)^(AP75:AP86/12))</f>
        <v>0</v>
      </c>
      <c r="CH86" s="32">
        <f ca="1">IFERROR(IF(MOD(AP86-ap_months_since_start,12)=0,ap_drawdown/100*(AQ86+AV86+BA86-BC86),CH85),0)</f>
        <v>227235.76504786551</v>
      </c>
      <c r="EL86" s="21">
        <f t="shared" ca="1" si="148"/>
        <v>6</v>
      </c>
      <c r="EM86" t="str">
        <f t="shared" ca="1" si="106"/>
        <v/>
      </c>
      <c r="EN86" t="str">
        <f t="shared" ca="1" si="107"/>
        <v/>
      </c>
      <c r="EO86" t="str">
        <f t="shared" ca="1" si="108"/>
        <v/>
      </c>
      <c r="EP86" s="1" t="str">
        <f t="shared" ca="1" si="109"/>
        <v/>
      </c>
      <c r="EQ86" s="1" t="str">
        <f t="shared" ca="1" si="110"/>
        <v/>
      </c>
      <c r="ER86" t="str">
        <f t="shared" ca="1" si="111"/>
        <v/>
      </c>
      <c r="ES86" t="str">
        <f t="shared" si="112"/>
        <v/>
      </c>
      <c r="ET86">
        <v>0</v>
      </c>
      <c r="EU86" s="22">
        <v>77</v>
      </c>
      <c r="EX86" s="21" t="str">
        <f ca="1">IF(EX85="","",IF(EX85+1&lt;=MAX('Financial Planning Tool'!$EL$10:$EL$209),EX85+1,""))</f>
        <v/>
      </c>
      <c r="EY86" t="str">
        <f ca="1">IF(EX86&lt;&gt;"",VLOOKUP(EX86,'Financial Planning Tool'!$EL$10:$ER$209,2,FALSE),"")</f>
        <v/>
      </c>
      <c r="EZ86" t="str">
        <f ca="1">IF(EX86&lt;&gt;"",VLOOKUP(EX86,'Financial Planning Tool'!$EL$10:$ER$209,3,FALSE),"")</f>
        <v/>
      </c>
      <c r="FA86" t="str">
        <f ca="1">IF(EX86&lt;&gt;"",VLOOKUP(EX86,'Financial Planning Tool'!$EL$10:$ER$209,4,FALSE),"")</f>
        <v/>
      </c>
      <c r="FB86" t="str">
        <f t="shared" ca="1" si="149"/>
        <v/>
      </c>
      <c r="FC86" s="1" t="str">
        <f ca="1">IF(EX86&lt;&gt;"",VLOOKUP(EX86,'Financial Planning Tool'!$EL$10:$ER$209,5,FALSE),"")</f>
        <v/>
      </c>
      <c r="FD86" s="1" t="str">
        <f ca="1">IF(EX86&lt;&gt;"",VLOOKUP(EX86,'Financial Planning Tool'!$EL$10:$ER$209,6,FALSE),"")</f>
        <v/>
      </c>
      <c r="FE86" t="str">
        <f ca="1">IF(EX86&lt;&gt;"",VLOOKUP(EX86,'Financial Planning Tool'!$EL$10:$ER$209,7,FALSE),"")</f>
        <v/>
      </c>
      <c r="FF86" t="str">
        <f ca="1">IF(EX86&lt;&gt;"",VLOOKUP(EX86,'Financial Planning Tool'!$EL$10:$ES$209,8,FALSE),"")</f>
        <v/>
      </c>
      <c r="FG86" t="str">
        <f ca="1">IF(EX86&lt;&gt;"",VLOOKUP(EX86,'Financial Planning Tool'!$EL$10:$ET$209,9,FALSE),"")</f>
        <v/>
      </c>
      <c r="FH86" t="str">
        <f t="shared" ca="1" si="146"/>
        <v/>
      </c>
      <c r="FI86" s="22" t="str">
        <f t="shared" ca="1" si="147"/>
        <v/>
      </c>
    </row>
    <row r="87" spans="1:165" x14ac:dyDescent="0.25">
      <c r="A87" s="20"/>
      <c r="B87" s="78" t="str">
        <f>IFERROR(IF(VLOOKUP($D$86,freq_options,2,FALSE)=0,amount_wording1,amount_wording2 &amp; VLOOKUP($D$86,freq_options,2,FALSE)),amount_wording2)</f>
        <v xml:space="preserve">      Starting amount per month</v>
      </c>
      <c r="C87" s="76"/>
      <c r="D87" s="124">
        <v>35000</v>
      </c>
      <c r="E87" s="125">
        <v>22809.76216752395</v>
      </c>
      <c r="F87" s="77"/>
      <c r="G87" s="18"/>
      <c r="H87" s="5">
        <f t="shared" ref="H87:H118" ca="1" si="158">DATE(YEAR($AO$8)+$AE86,MONTH($AO$8),DAY($AO$8))-1</f>
        <v>57679</v>
      </c>
      <c r="I87" s="8">
        <f t="shared" ref="I87:I118" ca="1" si="159">IFERROR(IF(Date_of_birth&lt;&gt;"",FLOOR(YEARFRAC($C$20,H87),1),AE86),AE86)</f>
        <v>87</v>
      </c>
      <c r="J87" s="12" t="str">
        <f t="shared" ca="1" si="95"/>
        <v/>
      </c>
      <c r="K87" s="12" t="str">
        <f t="shared" ca="1" si="96"/>
        <v/>
      </c>
      <c r="L87" s="12" t="str">
        <f t="shared" ca="1" si="97"/>
        <v/>
      </c>
      <c r="M87" s="12" t="str">
        <f t="shared" ca="1" si="98"/>
        <v/>
      </c>
      <c r="N87" s="12">
        <f t="shared" ca="1" si="99"/>
        <v>-62202.77</v>
      </c>
      <c r="O87" s="12">
        <f t="shared" ca="1" si="100"/>
        <v>-17419.05</v>
      </c>
      <c r="P87" s="12">
        <f t="shared" ca="1" si="101"/>
        <v>322337.84000000003</v>
      </c>
      <c r="Q87" s="12">
        <f t="shared" ca="1" si="102"/>
        <v>88350.92</v>
      </c>
      <c r="S87" s="18"/>
      <c r="T87" s="5">
        <f t="shared" ca="1" si="103"/>
        <v>57679</v>
      </c>
      <c r="U87" s="8">
        <f t="shared" ca="1" si="104"/>
        <v>87</v>
      </c>
      <c r="V87" s="12"/>
      <c r="W87" s="12"/>
      <c r="X87" s="12"/>
      <c r="Y87" s="12"/>
      <c r="Z87" s="12"/>
      <c r="AA87" s="12"/>
      <c r="AB87" s="12">
        <v>6338024.8200000003</v>
      </c>
      <c r="AC87" s="12">
        <v>1737215.67</v>
      </c>
      <c r="AE87" s="21">
        <v>34</v>
      </c>
      <c r="AF87" s="22">
        <f t="shared" ca="1" si="157"/>
        <v>1</v>
      </c>
      <c r="AI87" s="21">
        <f t="shared" ca="1" si="94"/>
        <v>1</v>
      </c>
      <c r="AJ87" s="22">
        <v>0</v>
      </c>
      <c r="AN87" s="32">
        <f t="shared" ca="1" si="113"/>
        <v>61.5</v>
      </c>
      <c r="AO87" s="53">
        <f t="shared" ca="1" si="144"/>
        <v>48030</v>
      </c>
      <c r="AP87" s="22">
        <v>80</v>
      </c>
      <c r="AQ87" s="32">
        <f t="shared" ca="1" si="145"/>
        <v>1606946.4174116871</v>
      </c>
      <c r="AR87" s="23">
        <f t="array" aca="1" ref="AR87" ca="1">SUM(IF(lsc_start_date=AO87,lsc_amount,0))</f>
        <v>0</v>
      </c>
      <c r="AS87" s="24">
        <f t="shared" ca="1" si="119"/>
        <v>0</v>
      </c>
      <c r="AT87" s="24">
        <f t="shared" ca="1" si="120"/>
        <v>0</v>
      </c>
      <c r="AU87" s="24">
        <f t="shared" ca="1" si="121"/>
        <v>0</v>
      </c>
      <c r="AV87" s="25">
        <f t="shared" ca="1" si="122"/>
        <v>0</v>
      </c>
      <c r="AW87" s="23">
        <f t="array" aca="1" ref="AW87" ca="1">SUM(IF(rcs_start_date&lt;=AO87,1,0)*IF(rcs_end_date&gt;=AO87,1,0)*rcs_amount*(1+rcs_escalation/100)^(INT((AP87-rcs_months_since_start)/12))*IF(MOD((AP87-rcs_months_since_start),rcs_frequency)=0,1,0)*IF(rcs_frequency=13,0,1))+SUM(IF(rcs_start_date=AO87,rcs_amount,0)*IF(rcs_frequency=13,1,0))</f>
        <v>5693.9355832320016</v>
      </c>
      <c r="AX87" s="24">
        <f t="shared" ca="1" si="123"/>
        <v>0</v>
      </c>
      <c r="AY87" s="24">
        <f t="shared" ca="1" si="124"/>
        <v>0</v>
      </c>
      <c r="AZ87" s="24">
        <f t="shared" ca="1" si="125"/>
        <v>0</v>
      </c>
      <c r="BA87" s="25">
        <f t="shared" ca="1" si="126"/>
        <v>5693.9355832320016</v>
      </c>
      <c r="BB87" s="23">
        <f t="array" aca="1" ref="BB87" ca="1">SUM(IF(w_start_date&lt;=AO87,1,0)*IF(w_end_date&gt;=AO87,1,0)*w_amount*(1+w_escalation/100)^(INT((AP87-w_months_since_start)/12))*IF(MOD(AP87-w_months_since_start,w_frequency)=0,1,0)*IF(w_frequency=13,0,1))+SUM(IF(w_start_date=AO87,w_amount,0)*IF(w_frequency=13,1,0))</f>
        <v>0</v>
      </c>
      <c r="BC87" s="25">
        <f t="shared" ca="1" si="127"/>
        <v>0</v>
      </c>
      <c r="BD87" s="24" t="b">
        <f t="shared" ca="1" si="128"/>
        <v>0</v>
      </c>
      <c r="BE87" s="24" t="b">
        <f t="shared" ca="1" si="129"/>
        <v>1</v>
      </c>
      <c r="BF87" s="23">
        <f t="array" aca="1" ref="BF87" ca="1">SUM(IF(BD87,1,0)*IF(ap_start_date&lt;=AO87,1,0)*IF(ap_end_date&gt;=AO87,1,0)*ap_amount*(1+ap_escalation/100)^(INT((AP87-ap_months_since_start)/12))*IF(MOD(AP87-ap_months_since_start,ap_frequency)=0,1,0))</f>
        <v>0</v>
      </c>
      <c r="BG87" s="24">
        <f t="shared" ca="1" si="130"/>
        <v>0</v>
      </c>
      <c r="BH87" s="24">
        <f t="shared" ca="1" si="131"/>
        <v>0</v>
      </c>
      <c r="BI87">
        <f t="shared" ca="1" si="132"/>
        <v>0</v>
      </c>
      <c r="BJ87" s="24">
        <f t="shared" ca="1" si="133"/>
        <v>0</v>
      </c>
      <c r="BK87">
        <f t="shared" ca="1" si="134"/>
        <v>0</v>
      </c>
      <c r="BL87" s="25">
        <f t="shared" ca="1" si="135"/>
        <v>0</v>
      </c>
      <c r="BM87" s="32">
        <f t="shared" ca="1" si="114"/>
        <v>1624263.1734116024</v>
      </c>
      <c r="BN87" s="23">
        <f t="shared" ca="1" si="136"/>
        <v>0</v>
      </c>
      <c r="BO87" s="24">
        <f t="shared" ca="1" si="137"/>
        <v>0</v>
      </c>
      <c r="BP87" s="25">
        <f t="shared" ca="1" si="138"/>
        <v>0</v>
      </c>
      <c r="BQ87" s="34">
        <f t="shared" ca="1" si="139"/>
        <v>48060</v>
      </c>
      <c r="BR87" s="23">
        <f t="shared" ca="1" si="140"/>
        <v>1624263.1734116024</v>
      </c>
      <c r="BS87" s="24">
        <f t="shared" ca="1" si="141"/>
        <v>5693.9355832320016</v>
      </c>
      <c r="BT87" s="24">
        <f t="shared" ca="1" si="150"/>
        <v>67451.23690905601</v>
      </c>
      <c r="BU87" s="24">
        <f t="shared" ca="1" si="142"/>
        <v>0</v>
      </c>
      <c r="BV87" s="24">
        <f t="shared" ca="1" si="151"/>
        <v>0</v>
      </c>
      <c r="BW87" s="24">
        <f t="shared" ca="1" si="143"/>
        <v>0</v>
      </c>
      <c r="BX87" s="25">
        <f t="shared" ca="1" si="152"/>
        <v>0</v>
      </c>
      <c r="BY87" s="23">
        <f t="shared" ca="1" si="115"/>
        <v>1250549.2567224021</v>
      </c>
      <c r="BZ87" s="24">
        <f t="shared" ca="1" si="116"/>
        <v>4398.2144310555541</v>
      </c>
      <c r="CA87" s="24">
        <f t="shared" ca="1" si="153"/>
        <v>53041.336037023044</v>
      </c>
      <c r="CB87" s="24">
        <f t="shared" ca="1" si="117"/>
        <v>0</v>
      </c>
      <c r="CC87" s="24">
        <f t="shared" ca="1" si="154"/>
        <v>0</v>
      </c>
      <c r="CD87" s="24">
        <f t="shared" ca="1" si="118"/>
        <v>0</v>
      </c>
      <c r="CE87" s="25">
        <f t="shared" ca="1" si="155"/>
        <v>0</v>
      </c>
      <c r="CF87" s="23">
        <f t="shared" ca="1" si="156"/>
        <v>0</v>
      </c>
      <c r="CG87" s="25">
        <f t="array" aca="1" ref="CG87" ca="1">SUM(BF76:BF87/(1+inflation/100)^(AP76:AP87/12))</f>
        <v>0</v>
      </c>
      <c r="CH87" s="32">
        <f ca="1">IFERROR(IF(MOD(AP87-ap_months_since_start,12)=0,ap_drawdown/100*(AQ87+AV87+BA87-BC87),CH86),0)</f>
        <v>227235.76504786551</v>
      </c>
      <c r="EL87" s="21">
        <f t="shared" ca="1" si="148"/>
        <v>6</v>
      </c>
      <c r="EM87" t="str">
        <f t="shared" ca="1" si="106"/>
        <v/>
      </c>
      <c r="EN87" t="str">
        <f t="shared" ca="1" si="107"/>
        <v/>
      </c>
      <c r="EO87" t="str">
        <f t="shared" ca="1" si="108"/>
        <v/>
      </c>
      <c r="EP87" s="1" t="str">
        <f t="shared" ca="1" si="109"/>
        <v/>
      </c>
      <c r="EQ87" s="1" t="str">
        <f t="shared" ca="1" si="110"/>
        <v/>
      </c>
      <c r="ER87" t="str">
        <f t="shared" ca="1" si="111"/>
        <v/>
      </c>
      <c r="ES87" t="str">
        <f t="shared" si="112"/>
        <v/>
      </c>
      <c r="ET87">
        <v>0</v>
      </c>
      <c r="EU87" s="22">
        <v>78</v>
      </c>
      <c r="EX87" s="21" t="str">
        <f ca="1">IF(EX86="","",IF(EX86+1&lt;=MAX('Financial Planning Tool'!$EL$10:$EL$209),EX86+1,""))</f>
        <v/>
      </c>
      <c r="EY87" t="str">
        <f ca="1">IF(EX87&lt;&gt;"",VLOOKUP(EX87,'Financial Planning Tool'!$EL$10:$ER$209,2,FALSE),"")</f>
        <v/>
      </c>
      <c r="EZ87" t="str">
        <f ca="1">IF(EX87&lt;&gt;"",VLOOKUP(EX87,'Financial Planning Tool'!$EL$10:$ER$209,3,FALSE),"")</f>
        <v/>
      </c>
      <c r="FA87" t="str">
        <f ca="1">IF(EX87&lt;&gt;"",VLOOKUP(EX87,'Financial Planning Tool'!$EL$10:$ER$209,4,FALSE),"")</f>
        <v/>
      </c>
      <c r="FB87" t="str">
        <f t="shared" ca="1" si="149"/>
        <v/>
      </c>
      <c r="FC87" s="1" t="str">
        <f ca="1">IF(EX87&lt;&gt;"",VLOOKUP(EX87,'Financial Planning Tool'!$EL$10:$ER$209,5,FALSE),"")</f>
        <v/>
      </c>
      <c r="FD87" s="1" t="str">
        <f ca="1">IF(EX87&lt;&gt;"",VLOOKUP(EX87,'Financial Planning Tool'!$EL$10:$ER$209,6,FALSE),"")</f>
        <v/>
      </c>
      <c r="FE87" t="str">
        <f ca="1">IF(EX87&lt;&gt;"",VLOOKUP(EX87,'Financial Planning Tool'!$EL$10:$ER$209,7,FALSE),"")</f>
        <v/>
      </c>
      <c r="FF87" t="str">
        <f ca="1">IF(EX87&lt;&gt;"",VLOOKUP(EX87,'Financial Planning Tool'!$EL$10:$ES$209,8,FALSE),"")</f>
        <v/>
      </c>
      <c r="FG87" t="str">
        <f ca="1">IF(EX87&lt;&gt;"",VLOOKUP(EX87,'Financial Planning Tool'!$EL$10:$ET$209,9,FALSE),"")</f>
        <v/>
      </c>
      <c r="FH87" t="str">
        <f t="shared" ca="1" si="146"/>
        <v/>
      </c>
      <c r="FI87" s="22" t="str">
        <f t="shared" ca="1" si="147"/>
        <v/>
      </c>
    </row>
    <row r="88" spans="1:165" x14ac:dyDescent="0.25">
      <c r="A88" s="20"/>
      <c r="B88" s="78" t="s">
        <v>201</v>
      </c>
      <c r="C88" s="76"/>
      <c r="D88" s="126">
        <v>49614</v>
      </c>
      <c r="E88" s="127">
        <v>10.923287671232877</v>
      </c>
      <c r="F88" s="77"/>
      <c r="G88" s="18"/>
      <c r="H88" s="5">
        <f t="shared" ca="1" si="158"/>
        <v>58044</v>
      </c>
      <c r="I88" s="8">
        <f t="shared" ca="1" si="159"/>
        <v>88</v>
      </c>
      <c r="J88" s="12" t="str">
        <f t="shared" ca="1" si="95"/>
        <v/>
      </c>
      <c r="K88" s="12" t="str">
        <f t="shared" ca="1" si="96"/>
        <v/>
      </c>
      <c r="L88" s="12" t="str">
        <f t="shared" ca="1" si="97"/>
        <v/>
      </c>
      <c r="M88" s="12" t="str">
        <f t="shared" ca="1" si="98"/>
        <v/>
      </c>
      <c r="N88" s="12">
        <f t="shared" ca="1" si="99"/>
        <v>-56391.86</v>
      </c>
      <c r="O88" s="12">
        <f t="shared" ca="1" si="100"/>
        <v>-15184.41</v>
      </c>
      <c r="P88" s="12">
        <f t="shared" ca="1" si="101"/>
        <v>292225.38</v>
      </c>
      <c r="Q88" s="12">
        <f t="shared" ca="1" si="102"/>
        <v>77016.61</v>
      </c>
      <c r="S88" s="18"/>
      <c r="T88" s="5">
        <f t="shared" ca="1" si="103"/>
        <v>58044</v>
      </c>
      <c r="U88" s="8">
        <f t="shared" ca="1" si="104"/>
        <v>88</v>
      </c>
      <c r="V88" s="12"/>
      <c r="W88" s="12"/>
      <c r="X88" s="12"/>
      <c r="Y88" s="12"/>
      <c r="Z88" s="12"/>
      <c r="AA88" s="12"/>
      <c r="AB88" s="12">
        <v>6845066.7999999998</v>
      </c>
      <c r="AC88" s="12">
        <v>1804031.66</v>
      </c>
      <c r="AE88" s="21">
        <v>35</v>
      </c>
      <c r="AF88" s="22">
        <f t="shared" ca="1" si="157"/>
        <v>1</v>
      </c>
      <c r="AI88" s="21">
        <f t="shared" ca="1" si="94"/>
        <v>1</v>
      </c>
      <c r="AJ88" s="22">
        <v>0</v>
      </c>
      <c r="AN88" s="32">
        <f t="shared" ca="1" si="113"/>
        <v>61.583333333333336</v>
      </c>
      <c r="AO88" s="53">
        <f t="shared" ca="1" si="144"/>
        <v>48061</v>
      </c>
      <c r="AP88" s="22">
        <v>81</v>
      </c>
      <c r="AQ88" s="32">
        <f t="shared" ca="1" si="145"/>
        <v>1624263.1734116024</v>
      </c>
      <c r="AR88" s="23">
        <f t="array" aca="1" ref="AR88" ca="1">SUM(IF(lsc_start_date=AO88,lsc_amount,0))</f>
        <v>0</v>
      </c>
      <c r="AS88" s="24">
        <f t="shared" ca="1" si="119"/>
        <v>0</v>
      </c>
      <c r="AT88" s="24">
        <f t="shared" ca="1" si="120"/>
        <v>0</v>
      </c>
      <c r="AU88" s="24">
        <f t="shared" ca="1" si="121"/>
        <v>0</v>
      </c>
      <c r="AV88" s="25">
        <f t="shared" ca="1" si="122"/>
        <v>0</v>
      </c>
      <c r="AW88" s="23">
        <f t="array" aca="1" ref="AW88" ca="1">SUM(IF(rcs_start_date&lt;=AO88,1,0)*IF(rcs_end_date&gt;=AO88,1,0)*rcs_amount*(1+rcs_escalation/100)^(INT((AP88-rcs_months_since_start)/12))*IF(MOD((AP88-rcs_months_since_start),rcs_frequency)=0,1,0)*IF(rcs_frequency=13,0,1))+SUM(IF(rcs_start_date=AO88,rcs_amount,0)*IF(rcs_frequency=13,1,0))</f>
        <v>5693.9355832320016</v>
      </c>
      <c r="AX88" s="24">
        <f t="shared" ca="1" si="123"/>
        <v>0</v>
      </c>
      <c r="AY88" s="24">
        <f t="shared" ca="1" si="124"/>
        <v>0</v>
      </c>
      <c r="AZ88" s="24">
        <f t="shared" ca="1" si="125"/>
        <v>0</v>
      </c>
      <c r="BA88" s="25">
        <f t="shared" ca="1" si="126"/>
        <v>5693.9355832320016</v>
      </c>
      <c r="BB88" s="23">
        <f t="array" aca="1" ref="BB88" ca="1">SUM(IF(w_start_date&lt;=AO88,1,0)*IF(w_end_date&gt;=AO88,1,0)*w_amount*(1+w_escalation/100)^(INT((AP88-w_months_since_start)/12))*IF(MOD(AP88-w_months_since_start,w_frequency)=0,1,0)*IF(w_frequency=13,0,1))+SUM(IF(w_start_date=AO88,w_amount,0)*IF(w_frequency=13,1,0))</f>
        <v>0</v>
      </c>
      <c r="BC88" s="25">
        <f t="shared" ca="1" si="127"/>
        <v>0</v>
      </c>
      <c r="BD88" s="24" t="b">
        <f t="shared" ca="1" si="128"/>
        <v>0</v>
      </c>
      <c r="BE88" s="24" t="b">
        <f t="shared" ca="1" si="129"/>
        <v>1</v>
      </c>
      <c r="BF88" s="23">
        <f t="array" aca="1" ref="BF88" ca="1">SUM(IF(BD88,1,0)*IF(ap_start_date&lt;=AO88,1,0)*IF(ap_end_date&gt;=AO88,1,0)*ap_amount*(1+ap_escalation/100)^(INT((AP88-ap_months_since_start)/12))*IF(MOD(AP88-ap_months_since_start,ap_frequency)=0,1,0))</f>
        <v>0</v>
      </c>
      <c r="BG88" s="24">
        <f t="shared" ca="1" si="130"/>
        <v>0</v>
      </c>
      <c r="BH88" s="24">
        <f t="shared" ca="1" si="131"/>
        <v>0</v>
      </c>
      <c r="BI88">
        <f t="shared" ca="1" si="132"/>
        <v>0</v>
      </c>
      <c r="BJ88" s="24">
        <f t="shared" ca="1" si="133"/>
        <v>0</v>
      </c>
      <c r="BK88">
        <f t="shared" ca="1" si="134"/>
        <v>0</v>
      </c>
      <c r="BL88" s="25">
        <f t="shared" ca="1" si="135"/>
        <v>0</v>
      </c>
      <c r="BM88" s="32">
        <f t="shared" ca="1" si="114"/>
        <v>1641704.7368707957</v>
      </c>
      <c r="BN88" s="23">
        <f t="shared" ca="1" si="136"/>
        <v>0</v>
      </c>
      <c r="BO88" s="24">
        <f t="shared" ca="1" si="137"/>
        <v>0</v>
      </c>
      <c r="BP88" s="25">
        <f t="shared" ca="1" si="138"/>
        <v>0</v>
      </c>
      <c r="BQ88" s="34">
        <f t="shared" ca="1" si="139"/>
        <v>48091</v>
      </c>
      <c r="BR88" s="23">
        <f t="shared" ca="1" si="140"/>
        <v>1641704.7368707957</v>
      </c>
      <c r="BS88" s="24">
        <f t="shared" ca="1" si="141"/>
        <v>5693.9355832320016</v>
      </c>
      <c r="BT88" s="24">
        <f t="shared" ca="1" si="150"/>
        <v>67670.234431488003</v>
      </c>
      <c r="BU88" s="24">
        <f t="shared" ca="1" si="142"/>
        <v>0</v>
      </c>
      <c r="BV88" s="24">
        <f t="shared" ca="1" si="151"/>
        <v>0</v>
      </c>
      <c r="BW88" s="24">
        <f t="shared" ca="1" si="143"/>
        <v>0</v>
      </c>
      <c r="BX88" s="25">
        <f t="shared" ca="1" si="152"/>
        <v>0</v>
      </c>
      <c r="BY88" s="23">
        <f t="shared" ca="1" si="115"/>
        <v>1259853.3960774783</v>
      </c>
      <c r="BZ88" s="24">
        <f t="shared" ca="1" si="116"/>
        <v>4383.8628049911513</v>
      </c>
      <c r="CA88" s="24">
        <f t="shared" ca="1" si="153"/>
        <v>53041.336037023037</v>
      </c>
      <c r="CB88" s="24">
        <f t="shared" ca="1" si="117"/>
        <v>0</v>
      </c>
      <c r="CC88" s="24">
        <f t="shared" ca="1" si="154"/>
        <v>0</v>
      </c>
      <c r="CD88" s="24">
        <f t="shared" ca="1" si="118"/>
        <v>0</v>
      </c>
      <c r="CE88" s="25">
        <f t="shared" ca="1" si="155"/>
        <v>0</v>
      </c>
      <c r="CF88" s="23">
        <f t="shared" ca="1" si="156"/>
        <v>0</v>
      </c>
      <c r="CG88" s="25">
        <f t="array" aca="1" ref="CG88" ca="1">SUM(BF77:BF88/(1+inflation/100)^(AP77:AP88/12))</f>
        <v>0</v>
      </c>
      <c r="CH88" s="32">
        <f ca="1">IFERROR(IF(MOD(AP88-ap_months_since_start,12)=0,ap_drawdown/100*(AQ88+AV88+BA88-BC88),CH87),0)</f>
        <v>227235.76504786551</v>
      </c>
      <c r="EL88" s="21">
        <f t="shared" ca="1" si="148"/>
        <v>6</v>
      </c>
      <c r="EM88" t="str">
        <f t="shared" ca="1" si="106"/>
        <v/>
      </c>
      <c r="EN88" t="str">
        <f t="shared" ca="1" si="107"/>
        <v/>
      </c>
      <c r="EO88" t="str">
        <f t="shared" ca="1" si="108"/>
        <v/>
      </c>
      <c r="EP88" s="1" t="str">
        <f t="shared" ca="1" si="109"/>
        <v/>
      </c>
      <c r="EQ88" s="1" t="str">
        <f t="shared" ca="1" si="110"/>
        <v/>
      </c>
      <c r="ER88" t="str">
        <f t="shared" ca="1" si="111"/>
        <v/>
      </c>
      <c r="ES88" t="str">
        <f t="shared" si="112"/>
        <v/>
      </c>
      <c r="ET88">
        <v>0</v>
      </c>
      <c r="EU88" s="22">
        <v>79</v>
      </c>
      <c r="EX88" s="21" t="str">
        <f ca="1">IF(EX87="","",IF(EX87+1&lt;=MAX('Financial Planning Tool'!$EL$10:$EL$209),EX87+1,""))</f>
        <v/>
      </c>
      <c r="EY88" t="str">
        <f ca="1">IF(EX88&lt;&gt;"",VLOOKUP(EX88,'Financial Planning Tool'!$EL$10:$ER$209,2,FALSE),"")</f>
        <v/>
      </c>
      <c r="EZ88" t="str">
        <f ca="1">IF(EX88&lt;&gt;"",VLOOKUP(EX88,'Financial Planning Tool'!$EL$10:$ER$209,3,FALSE),"")</f>
        <v/>
      </c>
      <c r="FA88" t="str">
        <f ca="1">IF(EX88&lt;&gt;"",VLOOKUP(EX88,'Financial Planning Tool'!$EL$10:$ER$209,4,FALSE),"")</f>
        <v/>
      </c>
      <c r="FB88" t="str">
        <f t="shared" ca="1" si="149"/>
        <v/>
      </c>
      <c r="FC88" s="1" t="str">
        <f ca="1">IF(EX88&lt;&gt;"",VLOOKUP(EX88,'Financial Planning Tool'!$EL$10:$ER$209,5,FALSE),"")</f>
        <v/>
      </c>
      <c r="FD88" s="1" t="str">
        <f ca="1">IF(EX88&lt;&gt;"",VLOOKUP(EX88,'Financial Planning Tool'!$EL$10:$ER$209,6,FALSE),"")</f>
        <v/>
      </c>
      <c r="FE88" t="str">
        <f ca="1">IF(EX88&lt;&gt;"",VLOOKUP(EX88,'Financial Planning Tool'!$EL$10:$ER$209,7,FALSE),"")</f>
        <v/>
      </c>
      <c r="FF88" t="str">
        <f ca="1">IF(EX88&lt;&gt;"",VLOOKUP(EX88,'Financial Planning Tool'!$EL$10:$ES$209,8,FALSE),"")</f>
        <v/>
      </c>
      <c r="FG88" t="str">
        <f ca="1">IF(EX88&lt;&gt;"",VLOOKUP(EX88,'Financial Planning Tool'!$EL$10:$ET$209,9,FALSE),"")</f>
        <v/>
      </c>
      <c r="FH88" t="str">
        <f t="shared" ca="1" si="146"/>
        <v/>
      </c>
      <c r="FI88" s="22" t="str">
        <f t="shared" ca="1" si="147"/>
        <v/>
      </c>
    </row>
    <row r="89" spans="1:165" x14ac:dyDescent="0.25">
      <c r="A89" s="20"/>
      <c r="B89" s="78" t="str">
        <f>"      Annual escalation"&amp;IF(inflation&lt;&gt;""," (inflation rate is "&amp;inflation&amp;"%)","")</f>
        <v xml:space="preserve">      Annual escalation (inflation rate is 4%)</v>
      </c>
      <c r="C89" s="76"/>
      <c r="D89" s="128">
        <v>4</v>
      </c>
      <c r="E89" s="129">
        <v>0</v>
      </c>
      <c r="F89" s="77"/>
      <c r="G89" s="18"/>
      <c r="H89" s="5">
        <f t="shared" ca="1" si="158"/>
        <v>58409</v>
      </c>
      <c r="I89" s="8">
        <f t="shared" ca="1" si="159"/>
        <v>89</v>
      </c>
      <c r="J89" s="12" t="str">
        <f t="shared" ca="1" si="95"/>
        <v/>
      </c>
      <c r="K89" s="12" t="str">
        <f t="shared" ca="1" si="96"/>
        <v/>
      </c>
      <c r="L89" s="12" t="str">
        <f t="shared" ca="1" si="97"/>
        <v/>
      </c>
      <c r="M89" s="12" t="str">
        <f t="shared" ca="1" si="98"/>
        <v/>
      </c>
      <c r="N89" s="12">
        <f t="shared" ca="1" si="99"/>
        <v>-51123.79</v>
      </c>
      <c r="O89" s="12">
        <f t="shared" ca="1" si="100"/>
        <v>-13236.44</v>
      </c>
      <c r="P89" s="12">
        <f t="shared" ca="1" si="101"/>
        <v>264926</v>
      </c>
      <c r="Q89" s="12">
        <f t="shared" ca="1" si="102"/>
        <v>67136.350000000006</v>
      </c>
      <c r="S89" s="18"/>
      <c r="T89" s="5">
        <f t="shared" ca="1" si="103"/>
        <v>58409</v>
      </c>
      <c r="U89" s="8">
        <f t="shared" ca="1" si="104"/>
        <v>89</v>
      </c>
      <c r="V89" s="12"/>
      <c r="W89" s="12"/>
      <c r="X89" s="12"/>
      <c r="Y89" s="12"/>
      <c r="Z89" s="12"/>
      <c r="AA89" s="12"/>
      <c r="AB89" s="12">
        <v>7392672.1500000004</v>
      </c>
      <c r="AC89" s="12">
        <v>1873417.49</v>
      </c>
      <c r="AE89" s="21">
        <v>36</v>
      </c>
      <c r="AF89" s="22">
        <f t="shared" ca="1" si="157"/>
        <v>1</v>
      </c>
      <c r="AI89" s="21">
        <f t="shared" ca="1" si="94"/>
        <v>1</v>
      </c>
      <c r="AJ89" s="22">
        <v>0</v>
      </c>
      <c r="AN89" s="32">
        <f t="shared" ca="1" si="113"/>
        <v>61.666666666666664</v>
      </c>
      <c r="AO89" s="53">
        <f t="shared" ca="1" si="144"/>
        <v>48092</v>
      </c>
      <c r="AP89" s="22">
        <v>82</v>
      </c>
      <c r="AQ89" s="32">
        <f t="shared" ca="1" si="145"/>
        <v>1641704.7368707957</v>
      </c>
      <c r="AR89" s="23">
        <f t="array" aca="1" ref="AR89" ca="1">SUM(IF(lsc_start_date=AO89,lsc_amount,0))</f>
        <v>0</v>
      </c>
      <c r="AS89" s="24">
        <f t="shared" ca="1" si="119"/>
        <v>0</v>
      </c>
      <c r="AT89" s="24">
        <f t="shared" ca="1" si="120"/>
        <v>0</v>
      </c>
      <c r="AU89" s="24">
        <f t="shared" ca="1" si="121"/>
        <v>0</v>
      </c>
      <c r="AV89" s="25">
        <f t="shared" ca="1" si="122"/>
        <v>0</v>
      </c>
      <c r="AW89" s="23">
        <f t="array" aca="1" ref="AW89" ca="1">SUM(IF(rcs_start_date&lt;=AO89,1,0)*IF(rcs_end_date&gt;=AO89,1,0)*rcs_amount*(1+rcs_escalation/100)^(INT((AP89-rcs_months_since_start)/12))*IF(MOD((AP89-rcs_months_since_start),rcs_frequency)=0,1,0)*IF(rcs_frequency=13,0,1))+SUM(IF(rcs_start_date=AO89,rcs_amount,0)*IF(rcs_frequency=13,1,0))</f>
        <v>5693.9355832320016</v>
      </c>
      <c r="AX89" s="24">
        <f t="shared" ca="1" si="123"/>
        <v>0</v>
      </c>
      <c r="AY89" s="24">
        <f t="shared" ca="1" si="124"/>
        <v>0</v>
      </c>
      <c r="AZ89" s="24">
        <f t="shared" ca="1" si="125"/>
        <v>0</v>
      </c>
      <c r="BA89" s="25">
        <f t="shared" ca="1" si="126"/>
        <v>5693.9355832320016</v>
      </c>
      <c r="BB89" s="23">
        <f t="array" aca="1" ref="BB89" ca="1">SUM(IF(w_start_date&lt;=AO89,1,0)*IF(w_end_date&gt;=AO89,1,0)*w_amount*(1+w_escalation/100)^(INT((AP89-w_months_since_start)/12))*IF(MOD(AP89-w_months_since_start,w_frequency)=0,1,0)*IF(w_frequency=13,0,1))+SUM(IF(w_start_date=AO89,w_amount,0)*IF(w_frequency=13,1,0))</f>
        <v>0</v>
      </c>
      <c r="BC89" s="25">
        <f t="shared" ca="1" si="127"/>
        <v>0</v>
      </c>
      <c r="BD89" s="24" t="b">
        <f t="shared" ca="1" si="128"/>
        <v>0</v>
      </c>
      <c r="BE89" s="24" t="b">
        <f t="shared" ca="1" si="129"/>
        <v>1</v>
      </c>
      <c r="BF89" s="23">
        <f t="array" aca="1" ref="BF89" ca="1">SUM(IF(BD89,1,0)*IF(ap_start_date&lt;=AO89,1,0)*IF(ap_end_date&gt;=AO89,1,0)*ap_amount*(1+ap_escalation/100)^(INT((AP89-ap_months_since_start)/12))*IF(MOD(AP89-ap_months_since_start,ap_frequency)=0,1,0))</f>
        <v>0</v>
      </c>
      <c r="BG89" s="24">
        <f t="shared" ca="1" si="130"/>
        <v>0</v>
      </c>
      <c r="BH89" s="24">
        <f t="shared" ca="1" si="131"/>
        <v>0</v>
      </c>
      <c r="BI89">
        <f t="shared" ca="1" si="132"/>
        <v>0</v>
      </c>
      <c r="BJ89" s="24">
        <f t="shared" ca="1" si="133"/>
        <v>0</v>
      </c>
      <c r="BK89">
        <f t="shared" ca="1" si="134"/>
        <v>0</v>
      </c>
      <c r="BL89" s="25">
        <f t="shared" ca="1" si="135"/>
        <v>0</v>
      </c>
      <c r="BM89" s="32">
        <f t="shared" ca="1" si="114"/>
        <v>1659272.0073169782</v>
      </c>
      <c r="BN89" s="23">
        <f t="shared" ca="1" si="136"/>
        <v>0</v>
      </c>
      <c r="BO89" s="24">
        <f t="shared" ca="1" si="137"/>
        <v>0</v>
      </c>
      <c r="BP89" s="25">
        <f t="shared" ca="1" si="138"/>
        <v>0</v>
      </c>
      <c r="BQ89" s="34">
        <f t="shared" ca="1" si="139"/>
        <v>48121</v>
      </c>
      <c r="BR89" s="23">
        <f t="shared" ca="1" si="140"/>
        <v>1659272.0073169782</v>
      </c>
      <c r="BS89" s="24">
        <f t="shared" ca="1" si="141"/>
        <v>5693.9355832320016</v>
      </c>
      <c r="BT89" s="24">
        <f t="shared" ca="1" si="150"/>
        <v>67889.231953920011</v>
      </c>
      <c r="BU89" s="24">
        <f t="shared" ca="1" si="142"/>
        <v>0</v>
      </c>
      <c r="BV89" s="24">
        <f t="shared" ca="1" si="151"/>
        <v>0</v>
      </c>
      <c r="BW89" s="24">
        <f t="shared" ca="1" si="143"/>
        <v>0</v>
      </c>
      <c r="BX89" s="25">
        <f t="shared" ca="1" si="152"/>
        <v>0</v>
      </c>
      <c r="BY89" s="23">
        <f t="shared" ca="1" si="115"/>
        <v>1269179.6537371711</v>
      </c>
      <c r="BZ89" s="24">
        <f t="shared" ca="1" si="116"/>
        <v>4369.5580091061156</v>
      </c>
      <c r="CA89" s="24">
        <f t="shared" ca="1" si="153"/>
        <v>53041.336037023037</v>
      </c>
      <c r="CB89" s="24">
        <f t="shared" ca="1" si="117"/>
        <v>0</v>
      </c>
      <c r="CC89" s="24">
        <f t="shared" ca="1" si="154"/>
        <v>0</v>
      </c>
      <c r="CD89" s="24">
        <f t="shared" ca="1" si="118"/>
        <v>0</v>
      </c>
      <c r="CE89" s="25">
        <f t="shared" ca="1" si="155"/>
        <v>0</v>
      </c>
      <c r="CF89" s="23">
        <f t="shared" ca="1" si="156"/>
        <v>0</v>
      </c>
      <c r="CG89" s="25">
        <f t="array" aca="1" ref="CG89" ca="1">SUM(BF78:BF89/(1+inflation/100)^(AP78:AP89/12))</f>
        <v>0</v>
      </c>
      <c r="CH89" s="32">
        <f ca="1">IFERROR(IF(MOD(AP89-ap_months_since_start,12)=0,ap_drawdown/100*(AQ89+AV89+BA89-BC89),CH88),0)</f>
        <v>227235.76504786551</v>
      </c>
      <c r="EL89" s="21">
        <f t="shared" ca="1" si="148"/>
        <v>6</v>
      </c>
      <c r="EM89" t="str">
        <f t="shared" ca="1" si="106"/>
        <v/>
      </c>
      <c r="EN89" t="str">
        <f t="shared" ca="1" si="107"/>
        <v/>
      </c>
      <c r="EO89" t="str">
        <f t="shared" ca="1" si="108"/>
        <v/>
      </c>
      <c r="EP89" s="1" t="str">
        <f t="shared" ca="1" si="109"/>
        <v/>
      </c>
      <c r="EQ89" s="1" t="str">
        <f t="shared" ca="1" si="110"/>
        <v/>
      </c>
      <c r="ER89" t="str">
        <f t="shared" ca="1" si="111"/>
        <v/>
      </c>
      <c r="ES89" t="str">
        <f t="shared" si="112"/>
        <v/>
      </c>
      <c r="ET89">
        <v>0</v>
      </c>
      <c r="EU89" s="22">
        <v>80</v>
      </c>
      <c r="EX89" s="21" t="str">
        <f ca="1">IF(EX88="","",IF(EX88+1&lt;=MAX('Financial Planning Tool'!$EL$10:$EL$209),EX88+1,""))</f>
        <v/>
      </c>
      <c r="EY89" t="str">
        <f ca="1">IF(EX89&lt;&gt;"",VLOOKUP(EX89,'Financial Planning Tool'!$EL$10:$ER$209,2,FALSE),"")</f>
        <v/>
      </c>
      <c r="EZ89" t="str">
        <f ca="1">IF(EX89&lt;&gt;"",VLOOKUP(EX89,'Financial Planning Tool'!$EL$10:$ER$209,3,FALSE),"")</f>
        <v/>
      </c>
      <c r="FA89" t="str">
        <f ca="1">IF(EX89&lt;&gt;"",VLOOKUP(EX89,'Financial Planning Tool'!$EL$10:$ER$209,4,FALSE),"")</f>
        <v/>
      </c>
      <c r="FB89" t="str">
        <f t="shared" ca="1" si="149"/>
        <v/>
      </c>
      <c r="FC89" s="1" t="str">
        <f ca="1">IF(EX89&lt;&gt;"",VLOOKUP(EX89,'Financial Planning Tool'!$EL$10:$ER$209,5,FALSE),"")</f>
        <v/>
      </c>
      <c r="FD89" s="1" t="str">
        <f ca="1">IF(EX89&lt;&gt;"",VLOOKUP(EX89,'Financial Planning Tool'!$EL$10:$ER$209,6,FALSE),"")</f>
        <v/>
      </c>
      <c r="FE89" t="str">
        <f ca="1">IF(EX89&lt;&gt;"",VLOOKUP(EX89,'Financial Planning Tool'!$EL$10:$ER$209,7,FALSE),"")</f>
        <v/>
      </c>
      <c r="FF89" t="str">
        <f ca="1">IF(EX89&lt;&gt;"",VLOOKUP(EX89,'Financial Planning Tool'!$EL$10:$ES$209,8,FALSE),"")</f>
        <v/>
      </c>
      <c r="FG89" t="str">
        <f ca="1">IF(EX89&lt;&gt;"",VLOOKUP(EX89,'Financial Planning Tool'!$EL$10:$ET$209,9,FALSE),"")</f>
        <v/>
      </c>
      <c r="FH89" t="str">
        <f t="shared" ca="1" si="146"/>
        <v/>
      </c>
      <c r="FI89" s="22" t="str">
        <f t="shared" ca="1" si="147"/>
        <v/>
      </c>
    </row>
    <row r="90" spans="1:165" x14ac:dyDescent="0.25">
      <c r="A90" s="20"/>
      <c r="B90" s="78" t="s">
        <v>208</v>
      </c>
      <c r="C90" s="76"/>
      <c r="D90" s="138">
        <v>15.369412171403061</v>
      </c>
      <c r="E90" s="139"/>
      <c r="F90" s="77"/>
      <c r="G90" s="18"/>
      <c r="H90" s="5">
        <f t="shared" ca="1" si="158"/>
        <v>58775</v>
      </c>
      <c r="I90" s="8">
        <f t="shared" ca="1" si="159"/>
        <v>90</v>
      </c>
      <c r="J90" s="12" t="str">
        <f t="shared" ca="1" si="95"/>
        <v/>
      </c>
      <c r="K90" s="12" t="str">
        <f t="shared" ca="1" si="96"/>
        <v/>
      </c>
      <c r="L90" s="12" t="str">
        <f t="shared" ca="1" si="97"/>
        <v/>
      </c>
      <c r="M90" s="12" t="str">
        <f t="shared" ca="1" si="98"/>
        <v/>
      </c>
      <c r="N90" s="12">
        <f t="shared" ca="1" si="99"/>
        <v>-46347.86</v>
      </c>
      <c r="O90" s="12">
        <f t="shared" ca="1" si="100"/>
        <v>-11538.37</v>
      </c>
      <c r="P90" s="12">
        <f t="shared" ca="1" si="101"/>
        <v>240176.89</v>
      </c>
      <c r="Q90" s="12">
        <f t="shared" ca="1" si="102"/>
        <v>58523.6</v>
      </c>
      <c r="S90" s="18"/>
      <c r="T90" s="5">
        <f t="shared" ca="1" si="103"/>
        <v>58775</v>
      </c>
      <c r="U90" s="8">
        <f t="shared" ca="1" si="104"/>
        <v>90</v>
      </c>
      <c r="V90" s="12"/>
      <c r="W90" s="12"/>
      <c r="X90" s="12"/>
      <c r="Y90" s="12"/>
      <c r="Z90" s="12"/>
      <c r="AA90" s="12"/>
      <c r="AB90" s="12">
        <v>7984085.9199999999</v>
      </c>
      <c r="AC90" s="12">
        <v>1945472.01</v>
      </c>
      <c r="AE90" s="21">
        <v>37</v>
      </c>
      <c r="AF90" s="22">
        <f t="shared" ca="1" si="157"/>
        <v>1</v>
      </c>
      <c r="AI90" s="21">
        <f t="shared" ca="1" si="94"/>
        <v>1</v>
      </c>
      <c r="AJ90" s="22">
        <v>0</v>
      </c>
      <c r="AN90" s="32">
        <f t="shared" ca="1" si="113"/>
        <v>61.75</v>
      </c>
      <c r="AO90" s="53">
        <f t="shared" ca="1" si="144"/>
        <v>48122</v>
      </c>
      <c r="AP90" s="22">
        <v>83</v>
      </c>
      <c r="AQ90" s="32">
        <f t="shared" ca="1" si="145"/>
        <v>1659272.0073169782</v>
      </c>
      <c r="AR90" s="23">
        <f t="array" aca="1" ref="AR90" ca="1">SUM(IF(lsc_start_date=AO90,lsc_amount,0))</f>
        <v>0</v>
      </c>
      <c r="AS90" s="24">
        <f t="shared" ca="1" si="119"/>
        <v>0</v>
      </c>
      <c r="AT90" s="24">
        <f t="shared" ca="1" si="120"/>
        <v>0</v>
      </c>
      <c r="AU90" s="24">
        <f t="shared" ca="1" si="121"/>
        <v>0</v>
      </c>
      <c r="AV90" s="25">
        <f t="shared" ca="1" si="122"/>
        <v>0</v>
      </c>
      <c r="AW90" s="23">
        <f t="array" aca="1" ref="AW90" ca="1">SUM(IF(rcs_start_date&lt;=AO90,1,0)*IF(rcs_end_date&gt;=AO90,1,0)*rcs_amount*(1+rcs_escalation/100)^(INT((AP90-rcs_months_since_start)/12))*IF(MOD((AP90-rcs_months_since_start),rcs_frequency)=0,1,0)*IF(rcs_frequency=13,0,1))+SUM(IF(rcs_start_date=AO90,rcs_amount,0)*IF(rcs_frequency=13,1,0))</f>
        <v>5693.9355832320016</v>
      </c>
      <c r="AX90" s="24">
        <f t="shared" ca="1" si="123"/>
        <v>0</v>
      </c>
      <c r="AY90" s="24">
        <f t="shared" ca="1" si="124"/>
        <v>0</v>
      </c>
      <c r="AZ90" s="24">
        <f t="shared" ca="1" si="125"/>
        <v>0</v>
      </c>
      <c r="BA90" s="25">
        <f t="shared" ca="1" si="126"/>
        <v>5693.9355832320016</v>
      </c>
      <c r="BB90" s="23">
        <f t="array" aca="1" ref="BB90" ca="1">SUM(IF(w_start_date&lt;=AO90,1,0)*IF(w_end_date&gt;=AO90,1,0)*w_amount*(1+w_escalation/100)^(INT((AP90-w_months_since_start)/12))*IF(MOD(AP90-w_months_since_start,w_frequency)=0,1,0)*IF(w_frequency=13,0,1))+SUM(IF(w_start_date=AO90,w_amount,0)*IF(w_frequency=13,1,0))</f>
        <v>0</v>
      </c>
      <c r="BC90" s="25">
        <f t="shared" ca="1" si="127"/>
        <v>0</v>
      </c>
      <c r="BD90" s="24" t="b">
        <f t="shared" ca="1" si="128"/>
        <v>0</v>
      </c>
      <c r="BE90" s="24" t="b">
        <f t="shared" ca="1" si="129"/>
        <v>1</v>
      </c>
      <c r="BF90" s="23">
        <f t="array" aca="1" ref="BF90" ca="1">SUM(IF(BD90,1,0)*IF(ap_start_date&lt;=AO90,1,0)*IF(ap_end_date&gt;=AO90,1,0)*ap_amount*(1+ap_escalation/100)^(INT((AP90-ap_months_since_start)/12))*IF(MOD(AP90-ap_months_since_start,ap_frequency)=0,1,0))</f>
        <v>0</v>
      </c>
      <c r="BG90" s="24">
        <f t="shared" ca="1" si="130"/>
        <v>0</v>
      </c>
      <c r="BH90" s="24">
        <f t="shared" ca="1" si="131"/>
        <v>0</v>
      </c>
      <c r="BI90">
        <f t="shared" ca="1" si="132"/>
        <v>0</v>
      </c>
      <c r="BJ90" s="24">
        <f t="shared" ca="1" si="133"/>
        <v>0</v>
      </c>
      <c r="BK90">
        <f t="shared" ca="1" si="134"/>
        <v>0</v>
      </c>
      <c r="BL90" s="25">
        <f t="shared" ca="1" si="135"/>
        <v>0</v>
      </c>
      <c r="BM90" s="32">
        <f t="shared" ca="1" si="114"/>
        <v>1676965.8907610483</v>
      </c>
      <c r="BN90" s="23">
        <f t="shared" ca="1" si="136"/>
        <v>0</v>
      </c>
      <c r="BO90" s="24">
        <f t="shared" ca="1" si="137"/>
        <v>0</v>
      </c>
      <c r="BP90" s="25">
        <f t="shared" ca="1" si="138"/>
        <v>0</v>
      </c>
      <c r="BQ90" s="34">
        <f t="shared" ca="1" si="139"/>
        <v>48152</v>
      </c>
      <c r="BR90" s="23">
        <f t="shared" ca="1" si="140"/>
        <v>1676965.8907610483</v>
      </c>
      <c r="BS90" s="24">
        <f t="shared" ca="1" si="141"/>
        <v>5693.9355832320016</v>
      </c>
      <c r="BT90" s="24">
        <f t="shared" ca="1" si="150"/>
        <v>68108.229476352004</v>
      </c>
      <c r="BU90" s="24">
        <f t="shared" ca="1" si="142"/>
        <v>0</v>
      </c>
      <c r="BV90" s="24">
        <f t="shared" ca="1" si="151"/>
        <v>0</v>
      </c>
      <c r="BW90" s="24">
        <f t="shared" ca="1" si="143"/>
        <v>0</v>
      </c>
      <c r="BX90" s="25">
        <f t="shared" ca="1" si="152"/>
        <v>0</v>
      </c>
      <c r="BY90" s="23">
        <f t="shared" ca="1" si="115"/>
        <v>1278528.1632821595</v>
      </c>
      <c r="BZ90" s="24">
        <f t="shared" ca="1" si="116"/>
        <v>4355.2998905908826</v>
      </c>
      <c r="CA90" s="24">
        <f t="shared" ca="1" si="153"/>
        <v>53041.336037023044</v>
      </c>
      <c r="CB90" s="24">
        <f t="shared" ca="1" si="117"/>
        <v>0</v>
      </c>
      <c r="CC90" s="24">
        <f t="shared" ca="1" si="154"/>
        <v>0</v>
      </c>
      <c r="CD90" s="24">
        <f t="shared" ca="1" si="118"/>
        <v>0</v>
      </c>
      <c r="CE90" s="25">
        <f t="shared" ca="1" si="155"/>
        <v>0</v>
      </c>
      <c r="CF90" s="23">
        <f t="shared" ca="1" si="156"/>
        <v>0</v>
      </c>
      <c r="CG90" s="25">
        <f t="array" aca="1" ref="CG90" ca="1">SUM(BF79:BF90/(1+inflation/100)^(AP79:AP90/12))</f>
        <v>0</v>
      </c>
      <c r="CH90" s="32">
        <f ca="1">IFERROR(IF(MOD(AP90-ap_months_since_start,12)=0,ap_drawdown/100*(AQ90+AV90+BA90-BC90),CH89),0)</f>
        <v>227235.76504786551</v>
      </c>
      <c r="EL90" s="21">
        <f t="shared" ca="1" si="148"/>
        <v>6</v>
      </c>
      <c r="EM90" t="str">
        <f t="shared" ca="1" si="106"/>
        <v/>
      </c>
      <c r="EN90" t="str">
        <f t="shared" ca="1" si="107"/>
        <v/>
      </c>
      <c r="EO90" t="str">
        <f t="shared" ca="1" si="108"/>
        <v/>
      </c>
      <c r="EP90" s="1" t="str">
        <f t="shared" ca="1" si="109"/>
        <v/>
      </c>
      <c r="EQ90" s="1" t="str">
        <f t="shared" ca="1" si="110"/>
        <v/>
      </c>
      <c r="ER90" t="str">
        <f t="shared" ca="1" si="111"/>
        <v/>
      </c>
      <c r="ES90" t="str">
        <f t="shared" si="112"/>
        <v/>
      </c>
      <c r="ET90">
        <v>0</v>
      </c>
      <c r="EU90" s="22">
        <v>81</v>
      </c>
      <c r="EX90" s="21" t="str">
        <f ca="1">IF(EX89="","",IF(EX89+1&lt;=MAX('Financial Planning Tool'!$EL$10:$EL$209),EX89+1,""))</f>
        <v/>
      </c>
      <c r="EY90" t="str">
        <f ca="1">IF(EX90&lt;&gt;"",VLOOKUP(EX90,'Financial Planning Tool'!$EL$10:$ER$209,2,FALSE),"")</f>
        <v/>
      </c>
      <c r="EZ90" t="str">
        <f ca="1">IF(EX90&lt;&gt;"",VLOOKUP(EX90,'Financial Planning Tool'!$EL$10:$ER$209,3,FALSE),"")</f>
        <v/>
      </c>
      <c r="FA90" t="str">
        <f ca="1">IF(EX90&lt;&gt;"",VLOOKUP(EX90,'Financial Planning Tool'!$EL$10:$ER$209,4,FALSE),"")</f>
        <v/>
      </c>
      <c r="FB90" t="str">
        <f t="shared" ca="1" si="149"/>
        <v/>
      </c>
      <c r="FC90" s="1" t="str">
        <f ca="1">IF(EX90&lt;&gt;"",VLOOKUP(EX90,'Financial Planning Tool'!$EL$10:$ER$209,5,FALSE),"")</f>
        <v/>
      </c>
      <c r="FD90" s="1" t="str">
        <f ca="1">IF(EX90&lt;&gt;"",VLOOKUP(EX90,'Financial Planning Tool'!$EL$10:$ER$209,6,FALSE),"")</f>
        <v/>
      </c>
      <c r="FE90" t="str">
        <f ca="1">IF(EX90&lt;&gt;"",VLOOKUP(EX90,'Financial Planning Tool'!$EL$10:$ER$209,7,FALSE),"")</f>
        <v/>
      </c>
      <c r="FF90" t="str">
        <f ca="1">IF(EX90&lt;&gt;"",VLOOKUP(EX90,'Financial Planning Tool'!$EL$10:$ES$209,8,FALSE),"")</f>
        <v/>
      </c>
      <c r="FG90" t="str">
        <f ca="1">IF(EX90&lt;&gt;"",VLOOKUP(EX90,'Financial Planning Tool'!$EL$10:$ET$209,9,FALSE),"")</f>
        <v/>
      </c>
      <c r="FH90" t="str">
        <f t="shared" ca="1" si="146"/>
        <v/>
      </c>
      <c r="FI90" s="22" t="str">
        <f t="shared" ca="1" si="147"/>
        <v/>
      </c>
    </row>
    <row r="91" spans="1:165" x14ac:dyDescent="0.25">
      <c r="B91" s="78"/>
      <c r="C91" s="76"/>
      <c r="D91" s="79"/>
      <c r="E91" s="76"/>
      <c r="F91" s="77"/>
      <c r="G91" s="18"/>
      <c r="H91" s="5">
        <f t="shared" ca="1" si="158"/>
        <v>59140</v>
      </c>
      <c r="I91" s="8">
        <f t="shared" ca="1" si="159"/>
        <v>91</v>
      </c>
      <c r="J91" s="12" t="str">
        <f t="shared" ca="1" si="95"/>
        <v/>
      </c>
      <c r="K91" s="12" t="str">
        <f t="shared" ca="1" si="96"/>
        <v/>
      </c>
      <c r="L91" s="12" t="str">
        <f t="shared" ca="1" si="97"/>
        <v/>
      </c>
      <c r="M91" s="12" t="str">
        <f t="shared" ca="1" si="98"/>
        <v/>
      </c>
      <c r="N91" s="12">
        <f t="shared" ca="1" si="99"/>
        <v>-42018.09</v>
      </c>
      <c r="O91" s="12">
        <f t="shared" ca="1" si="100"/>
        <v>-10058.14</v>
      </c>
      <c r="P91" s="12">
        <f t="shared" ca="1" si="101"/>
        <v>217739.82</v>
      </c>
      <c r="Q91" s="12">
        <f t="shared" ca="1" si="102"/>
        <v>51015.75</v>
      </c>
      <c r="S91" s="18"/>
      <c r="T91" s="5">
        <f t="shared" ca="1" si="103"/>
        <v>59140</v>
      </c>
      <c r="U91" s="8">
        <f t="shared" ca="1" si="104"/>
        <v>91</v>
      </c>
      <c r="V91" s="12"/>
      <c r="W91" s="12"/>
      <c r="X91" s="12"/>
      <c r="Y91" s="12"/>
      <c r="Z91" s="12"/>
      <c r="AA91" s="12"/>
      <c r="AB91" s="12">
        <v>8622812.7899999991</v>
      </c>
      <c r="AC91" s="12">
        <v>2020297.86</v>
      </c>
      <c r="AE91" s="21">
        <v>38</v>
      </c>
      <c r="AF91" s="22">
        <f t="shared" ca="1" si="157"/>
        <v>1</v>
      </c>
      <c r="AI91" s="21">
        <f t="shared" ca="1" si="94"/>
        <v>1</v>
      </c>
      <c r="AJ91" s="22">
        <v>0</v>
      </c>
      <c r="AN91" s="32">
        <f t="shared" ca="1" si="113"/>
        <v>61.833333333333336</v>
      </c>
      <c r="AO91" s="53">
        <f t="shared" ca="1" si="144"/>
        <v>48153</v>
      </c>
      <c r="AP91" s="22">
        <v>84</v>
      </c>
      <c r="AQ91" s="32">
        <f t="shared" ca="1" si="145"/>
        <v>1676965.8907610483</v>
      </c>
      <c r="AR91" s="23">
        <f t="array" aca="1" ref="AR91" ca="1">SUM(IF(lsc_start_date=AO91,lsc_amount,0))</f>
        <v>0</v>
      </c>
      <c r="AS91" s="24">
        <f t="shared" ca="1" si="119"/>
        <v>0</v>
      </c>
      <c r="AT91" s="24">
        <f t="shared" ca="1" si="120"/>
        <v>0</v>
      </c>
      <c r="AU91" s="24">
        <f t="shared" ca="1" si="121"/>
        <v>0</v>
      </c>
      <c r="AV91" s="25">
        <f t="shared" ca="1" si="122"/>
        <v>0</v>
      </c>
      <c r="AW91" s="23">
        <f t="array" aca="1" ref="AW91" ca="1">SUM(IF(rcs_start_date&lt;=AO91,1,0)*IF(rcs_end_date&gt;=AO91,1,0)*rcs_amount*(1+rcs_escalation/100)^(INT((AP91-rcs_months_since_start)/12))*IF(MOD((AP91-rcs_months_since_start),rcs_frequency)=0,1,0)*IF(rcs_frequency=13,0,1))+SUM(IF(rcs_start_date=AO91,rcs_amount,0)*IF(rcs_frequency=13,1,0))</f>
        <v>5693.9355832320016</v>
      </c>
      <c r="AX91" s="24">
        <f t="shared" ca="1" si="123"/>
        <v>0</v>
      </c>
      <c r="AY91" s="24">
        <f t="shared" ca="1" si="124"/>
        <v>0</v>
      </c>
      <c r="AZ91" s="24">
        <f t="shared" ca="1" si="125"/>
        <v>0</v>
      </c>
      <c r="BA91" s="25">
        <f t="shared" ca="1" si="126"/>
        <v>5693.9355832320016</v>
      </c>
      <c r="BB91" s="23">
        <f t="array" aca="1" ref="BB91" ca="1">SUM(IF(w_start_date&lt;=AO91,1,0)*IF(w_end_date&gt;=AO91,1,0)*w_amount*(1+w_escalation/100)^(INT((AP91-w_months_since_start)/12))*IF(MOD(AP91-w_months_since_start,w_frequency)=0,1,0)*IF(w_frequency=13,0,1))+SUM(IF(w_start_date=AO91,w_amount,0)*IF(w_frequency=13,1,0))</f>
        <v>0</v>
      </c>
      <c r="BC91" s="25">
        <f t="shared" ca="1" si="127"/>
        <v>0</v>
      </c>
      <c r="BD91" s="24" t="b">
        <f t="shared" ca="1" si="128"/>
        <v>0</v>
      </c>
      <c r="BE91" s="24" t="b">
        <f t="shared" ca="1" si="129"/>
        <v>1</v>
      </c>
      <c r="BF91" s="23">
        <f t="array" aca="1" ref="BF91" ca="1">SUM(IF(BD91,1,0)*IF(ap_start_date&lt;=AO91,1,0)*IF(ap_end_date&gt;=AO91,1,0)*ap_amount*(1+ap_escalation/100)^(INT((AP91-ap_months_since_start)/12))*IF(MOD(AP91-ap_months_since_start,ap_frequency)=0,1,0))</f>
        <v>0</v>
      </c>
      <c r="BG91" s="24">
        <f t="shared" ca="1" si="130"/>
        <v>0</v>
      </c>
      <c r="BH91" s="24">
        <f t="shared" ca="1" si="131"/>
        <v>0</v>
      </c>
      <c r="BI91">
        <f t="shared" ca="1" si="132"/>
        <v>0</v>
      </c>
      <c r="BJ91" s="24">
        <f t="shared" ca="1" si="133"/>
        <v>0</v>
      </c>
      <c r="BK91">
        <f t="shared" ca="1" si="134"/>
        <v>0</v>
      </c>
      <c r="BL91" s="25">
        <f t="shared" ca="1" si="135"/>
        <v>0</v>
      </c>
      <c r="BM91" s="32">
        <f t="shared" ca="1" si="114"/>
        <v>1694787.2997438179</v>
      </c>
      <c r="BN91" s="23">
        <f t="shared" ca="1" si="136"/>
        <v>0</v>
      </c>
      <c r="BO91" s="24">
        <f t="shared" ca="1" si="137"/>
        <v>0</v>
      </c>
      <c r="BP91" s="25">
        <f t="shared" ca="1" si="138"/>
        <v>0</v>
      </c>
      <c r="BQ91" s="34">
        <f t="shared" ca="1" si="139"/>
        <v>48182</v>
      </c>
      <c r="BR91" s="23">
        <f t="shared" ca="1" si="140"/>
        <v>1694787.2997438179</v>
      </c>
      <c r="BS91" s="24">
        <f t="shared" ca="1" si="141"/>
        <v>5693.9355832320016</v>
      </c>
      <c r="BT91" s="24">
        <f t="shared" ca="1" si="150"/>
        <v>68327.226998784012</v>
      </c>
      <c r="BU91" s="24">
        <f t="shared" ca="1" si="142"/>
        <v>0</v>
      </c>
      <c r="BV91" s="24">
        <f t="shared" ca="1" si="151"/>
        <v>0</v>
      </c>
      <c r="BW91" s="24">
        <f t="shared" ca="1" si="143"/>
        <v>0</v>
      </c>
      <c r="BX91" s="25">
        <f t="shared" ca="1" si="152"/>
        <v>0</v>
      </c>
      <c r="BY91" s="23">
        <f t="shared" ca="1" si="115"/>
        <v>1287899.0586639519</v>
      </c>
      <c r="BZ91" s="24">
        <f t="shared" ca="1" si="116"/>
        <v>4341.0882971345145</v>
      </c>
      <c r="CA91" s="24">
        <f t="shared" ca="1" si="153"/>
        <v>53041.336037023044</v>
      </c>
      <c r="CB91" s="24">
        <f t="shared" ca="1" si="117"/>
        <v>0</v>
      </c>
      <c r="CC91" s="24">
        <f t="shared" ca="1" si="154"/>
        <v>0</v>
      </c>
      <c r="CD91" s="24">
        <f t="shared" ca="1" si="118"/>
        <v>0</v>
      </c>
      <c r="CE91" s="25">
        <f t="shared" ca="1" si="155"/>
        <v>0</v>
      </c>
      <c r="CF91" s="23">
        <f t="shared" ca="1" si="156"/>
        <v>0</v>
      </c>
      <c r="CG91" s="25">
        <f t="array" aca="1" ref="CG91" ca="1">SUM(BF80:BF91/(1+inflation/100)^(AP80:AP91/12))</f>
        <v>0</v>
      </c>
      <c r="CH91" s="32">
        <f ca="1">IFERROR(IF(MOD(AP91-ap_months_since_start,12)=0,ap_drawdown/100*(AQ91+AV91+BA91-BC91),CH90),0)</f>
        <v>258614.92415346741</v>
      </c>
      <c r="EL91" s="21">
        <f t="shared" ca="1" si="148"/>
        <v>6</v>
      </c>
      <c r="EM91" t="str">
        <f t="shared" ca="1" si="106"/>
        <v/>
      </c>
      <c r="EN91" t="str">
        <f t="shared" ca="1" si="107"/>
        <v/>
      </c>
      <c r="EO91" t="str">
        <f t="shared" ca="1" si="108"/>
        <v/>
      </c>
      <c r="EP91" s="1" t="str">
        <f t="shared" ca="1" si="109"/>
        <v/>
      </c>
      <c r="EQ91" s="1" t="str">
        <f t="shared" ca="1" si="110"/>
        <v/>
      </c>
      <c r="ER91" t="str">
        <f t="shared" ca="1" si="111"/>
        <v/>
      </c>
      <c r="ES91" t="str">
        <f t="shared" si="112"/>
        <v/>
      </c>
      <c r="ET91">
        <v>0</v>
      </c>
      <c r="EU91" s="22">
        <v>82</v>
      </c>
      <c r="EX91" s="21" t="str">
        <f ca="1">IF(EX90="","",IF(EX90+1&lt;=MAX('Financial Planning Tool'!$EL$10:$EL$209),EX90+1,""))</f>
        <v/>
      </c>
      <c r="EY91" t="str">
        <f ca="1">IF(EX91&lt;&gt;"",VLOOKUP(EX91,'Financial Planning Tool'!$EL$10:$ER$209,2,FALSE),"")</f>
        <v/>
      </c>
      <c r="EZ91" t="str">
        <f ca="1">IF(EX91&lt;&gt;"",VLOOKUP(EX91,'Financial Planning Tool'!$EL$10:$ER$209,3,FALSE),"")</f>
        <v/>
      </c>
      <c r="FA91" t="str">
        <f ca="1">IF(EX91&lt;&gt;"",VLOOKUP(EX91,'Financial Planning Tool'!$EL$10:$ER$209,4,FALSE),"")</f>
        <v/>
      </c>
      <c r="FB91" t="str">
        <f t="shared" ca="1" si="149"/>
        <v/>
      </c>
      <c r="FC91" s="1" t="str">
        <f ca="1">IF(EX91&lt;&gt;"",VLOOKUP(EX91,'Financial Planning Tool'!$EL$10:$ER$209,5,FALSE),"")</f>
        <v/>
      </c>
      <c r="FD91" s="1" t="str">
        <f ca="1">IF(EX91&lt;&gt;"",VLOOKUP(EX91,'Financial Planning Tool'!$EL$10:$ER$209,6,FALSE),"")</f>
        <v/>
      </c>
      <c r="FE91" t="str">
        <f ca="1">IF(EX91&lt;&gt;"",VLOOKUP(EX91,'Financial Planning Tool'!$EL$10:$ER$209,7,FALSE),"")</f>
        <v/>
      </c>
      <c r="FF91" t="str">
        <f ca="1">IF(EX91&lt;&gt;"",VLOOKUP(EX91,'Financial Planning Tool'!$EL$10:$ES$209,8,FALSE),"")</f>
        <v/>
      </c>
      <c r="FG91" t="str">
        <f ca="1">IF(EX91&lt;&gt;"",VLOOKUP(EX91,'Financial Planning Tool'!$EL$10:$ET$209,9,FALSE),"")</f>
        <v/>
      </c>
      <c r="FH91" t="str">
        <f t="shared" ca="1" si="146"/>
        <v/>
      </c>
      <c r="FI91" s="22" t="str">
        <f t="shared" ca="1" si="147"/>
        <v/>
      </c>
    </row>
    <row r="92" spans="1:165" x14ac:dyDescent="0.25">
      <c r="B92" s="78"/>
      <c r="C92" s="76"/>
      <c r="D92" s="142" t="str">
        <f ca="1">IF(ap&gt;0,IF(SUM(ap_amount)&gt;0,IF(SUM(Min_ap_reached)&gt;0,"The annuity payment minimum will be reached"&amp;IF(Age_year," at age "&amp;FLOOR(INDEX(AN8:AN1207,MATCH(1,$BI$8:$BI$1207,0)),1)," in the year "&amp;YEAR(INDEX(AO8:AO1207,MATCH(1,$BI$8:$BI$1207,0)))),IF(SUM(Max_ap_reached)&gt;0,"The annuity payment maximum will be reached"&amp;IF(Age_year," at age "&amp;FLOOR(INDEX(AN8:AN1207,MATCH(1,$BK$8:$BK$1207,0)),1)," in the year "&amp;YEAR(INDEX(AO8:AO1207,MATCH(1,$BK$8:$BK$1207,0)))),"")),""),"")</f>
        <v>The annuity payment maximum will be reached at age 67</v>
      </c>
      <c r="E92" s="142"/>
      <c r="F92" s="77"/>
      <c r="G92" s="18"/>
      <c r="H92" s="5">
        <f t="shared" ca="1" si="158"/>
        <v>59505</v>
      </c>
      <c r="I92" s="8">
        <f t="shared" ca="1" si="159"/>
        <v>92</v>
      </c>
      <c r="J92" s="12" t="str">
        <f t="shared" ca="1" si="95"/>
        <v/>
      </c>
      <c r="K92" s="12" t="str">
        <f t="shared" ca="1" si="96"/>
        <v/>
      </c>
      <c r="L92" s="12" t="str">
        <f t="shared" ca="1" si="97"/>
        <v/>
      </c>
      <c r="M92" s="12" t="str">
        <f t="shared" ca="1" si="98"/>
        <v/>
      </c>
      <c r="N92" s="12">
        <f t="shared" ca="1" si="99"/>
        <v>-38092.81</v>
      </c>
      <c r="O92" s="12">
        <f t="shared" ca="1" si="100"/>
        <v>-8767.81</v>
      </c>
      <c r="P92" s="12">
        <f t="shared" ca="1" si="101"/>
        <v>197398.8</v>
      </c>
      <c r="Q92" s="12">
        <f t="shared" ca="1" si="102"/>
        <v>44471.07</v>
      </c>
      <c r="S92" s="18"/>
      <c r="T92" s="5">
        <f t="shared" ca="1" si="103"/>
        <v>59505</v>
      </c>
      <c r="U92" s="8">
        <f t="shared" ca="1" si="104"/>
        <v>92</v>
      </c>
      <c r="V92" s="12"/>
      <c r="W92" s="12"/>
      <c r="X92" s="12"/>
      <c r="Y92" s="12"/>
      <c r="Z92" s="12"/>
      <c r="AA92" s="12"/>
      <c r="AB92" s="12">
        <v>9312637.8200000003</v>
      </c>
      <c r="AC92" s="12">
        <v>2098001.62</v>
      </c>
      <c r="AE92" s="21">
        <v>39</v>
      </c>
      <c r="AF92" s="22">
        <f t="shared" ca="1" si="157"/>
        <v>1</v>
      </c>
      <c r="AI92" s="21">
        <f t="shared" ca="1" si="94"/>
        <v>1</v>
      </c>
      <c r="AJ92" s="22">
        <v>0</v>
      </c>
      <c r="AN92" s="32">
        <f t="shared" ca="1" si="113"/>
        <v>61.916666666666664</v>
      </c>
      <c r="AO92" s="53">
        <f t="shared" ca="1" si="144"/>
        <v>48183</v>
      </c>
      <c r="AP92" s="22">
        <v>85</v>
      </c>
      <c r="AQ92" s="32">
        <f t="shared" ca="1" si="145"/>
        <v>1694787.2997438179</v>
      </c>
      <c r="AR92" s="23">
        <f t="array" aca="1" ref="AR92" ca="1">SUM(IF(lsc_start_date=AO92,lsc_amount,0))</f>
        <v>0</v>
      </c>
      <c r="AS92" s="24">
        <f t="shared" ca="1" si="119"/>
        <v>0</v>
      </c>
      <c r="AT92" s="24">
        <f t="shared" ca="1" si="120"/>
        <v>0</v>
      </c>
      <c r="AU92" s="24">
        <f t="shared" ca="1" si="121"/>
        <v>0</v>
      </c>
      <c r="AV92" s="25">
        <f t="shared" ca="1" si="122"/>
        <v>0</v>
      </c>
      <c r="AW92" s="23">
        <f t="array" aca="1" ref="AW92" ca="1">SUM(IF(rcs_start_date&lt;=AO92,1,0)*IF(rcs_end_date&gt;=AO92,1,0)*rcs_amount*(1+rcs_escalation/100)^(INT((AP92-rcs_months_since_start)/12))*IF(MOD((AP92-rcs_months_since_start),rcs_frequency)=0,1,0)*IF(rcs_frequency=13,0,1))+SUM(IF(rcs_start_date=AO92,rcs_amount,0)*IF(rcs_frequency=13,1,0))</f>
        <v>5921.6930065612814</v>
      </c>
      <c r="AX92" s="24">
        <f t="shared" ca="1" si="123"/>
        <v>0</v>
      </c>
      <c r="AY92" s="24">
        <f t="shared" ca="1" si="124"/>
        <v>0</v>
      </c>
      <c r="AZ92" s="24">
        <f t="shared" ca="1" si="125"/>
        <v>0</v>
      </c>
      <c r="BA92" s="25">
        <f t="shared" ca="1" si="126"/>
        <v>5921.6930065612814</v>
      </c>
      <c r="BB92" s="23">
        <f t="array" aca="1" ref="BB92" ca="1">SUM(IF(w_start_date&lt;=AO92,1,0)*IF(w_end_date&gt;=AO92,1,0)*w_amount*(1+w_escalation/100)^(INT((AP92-w_months_since_start)/12))*IF(MOD(AP92-w_months_since_start,w_frequency)=0,1,0)*IF(w_frequency=13,0,1))+SUM(IF(w_start_date=AO92,w_amount,0)*IF(w_frequency=13,1,0))</f>
        <v>0</v>
      </c>
      <c r="BC92" s="25">
        <f t="shared" ca="1" si="127"/>
        <v>0</v>
      </c>
      <c r="BD92" s="24" t="b">
        <f t="shared" ca="1" si="128"/>
        <v>0</v>
      </c>
      <c r="BE92" s="24" t="b">
        <f t="shared" ca="1" si="129"/>
        <v>1</v>
      </c>
      <c r="BF92" s="23">
        <f t="array" aca="1" ref="BF92" ca="1">SUM(IF(BD92,1,0)*IF(ap_start_date&lt;=AO92,1,0)*IF(ap_end_date&gt;=AO92,1,0)*ap_amount*(1+ap_escalation/100)^(INT((AP92-ap_months_since_start)/12))*IF(MOD(AP92-ap_months_since_start,ap_frequency)=0,1,0))</f>
        <v>0</v>
      </c>
      <c r="BG92" s="24">
        <f t="shared" ca="1" si="130"/>
        <v>0</v>
      </c>
      <c r="BH92" s="24">
        <f t="shared" ca="1" si="131"/>
        <v>0</v>
      </c>
      <c r="BI92">
        <f t="shared" ca="1" si="132"/>
        <v>0</v>
      </c>
      <c r="BJ92" s="24">
        <f t="shared" ca="1" si="133"/>
        <v>0</v>
      </c>
      <c r="BK92">
        <f t="shared" ca="1" si="134"/>
        <v>0</v>
      </c>
      <c r="BL92" s="25">
        <f t="shared" ca="1" si="135"/>
        <v>0</v>
      </c>
      <c r="BM92" s="32">
        <f t="shared" ca="1" si="114"/>
        <v>1712966.5523277924</v>
      </c>
      <c r="BN92" s="23">
        <f t="shared" ca="1" si="136"/>
        <v>0</v>
      </c>
      <c r="BO92" s="24">
        <f t="shared" ca="1" si="137"/>
        <v>0</v>
      </c>
      <c r="BP92" s="25">
        <f t="shared" ca="1" si="138"/>
        <v>0</v>
      </c>
      <c r="BQ92" s="34">
        <f t="shared" ca="1" si="139"/>
        <v>48213</v>
      </c>
      <c r="BR92" s="23">
        <f t="shared" ca="1" si="140"/>
        <v>1712966.5523277924</v>
      </c>
      <c r="BS92" s="24">
        <f t="shared" ca="1" si="141"/>
        <v>5921.6930065612814</v>
      </c>
      <c r="BT92" s="24">
        <f t="shared" ca="1" si="150"/>
        <v>68554.984422113281</v>
      </c>
      <c r="BU92" s="24">
        <f t="shared" ca="1" si="142"/>
        <v>0</v>
      </c>
      <c r="BV92" s="24">
        <f t="shared" ca="1" si="151"/>
        <v>0</v>
      </c>
      <c r="BW92" s="24">
        <f t="shared" ca="1" si="143"/>
        <v>0</v>
      </c>
      <c r="BX92" s="25">
        <f t="shared" ca="1" si="152"/>
        <v>0</v>
      </c>
      <c r="BY92" s="23">
        <f t="shared" ca="1" si="115"/>
        <v>1297466.2297209168</v>
      </c>
      <c r="BZ92" s="24">
        <f t="shared" ca="1" si="116"/>
        <v>4500.0000000000009</v>
      </c>
      <c r="CA92" s="24">
        <f t="shared" ca="1" si="153"/>
        <v>53041.336037023044</v>
      </c>
      <c r="CB92" s="24">
        <f t="shared" ca="1" si="117"/>
        <v>0</v>
      </c>
      <c r="CC92" s="24">
        <f t="shared" ca="1" si="154"/>
        <v>0</v>
      </c>
      <c r="CD92" s="24">
        <f t="shared" ca="1" si="118"/>
        <v>0</v>
      </c>
      <c r="CE92" s="25">
        <f t="shared" ca="1" si="155"/>
        <v>0</v>
      </c>
      <c r="CF92" s="23">
        <f t="shared" ca="1" si="156"/>
        <v>0</v>
      </c>
      <c r="CG92" s="25">
        <f t="array" aca="1" ref="CG92" ca="1">SUM(BF81:BF92/(1+inflation/100)^(AP81:AP92/12))</f>
        <v>0</v>
      </c>
      <c r="CH92" s="32">
        <f ca="1">IFERROR(IF(MOD(AP92-ap_months_since_start,12)=0,ap_drawdown/100*(AQ92+AV92+BA92-BC92),CH91),0)</f>
        <v>258614.92415346741</v>
      </c>
      <c r="EL92" s="21">
        <f t="shared" ca="1" si="148"/>
        <v>6</v>
      </c>
      <c r="EM92" t="str">
        <f t="shared" ca="1" si="106"/>
        <v/>
      </c>
      <c r="EN92" t="str">
        <f t="shared" ca="1" si="107"/>
        <v/>
      </c>
      <c r="EO92" t="str">
        <f t="shared" ca="1" si="108"/>
        <v/>
      </c>
      <c r="EP92" s="1" t="str">
        <f t="shared" ca="1" si="109"/>
        <v/>
      </c>
      <c r="EQ92" s="1" t="str">
        <f t="shared" ca="1" si="110"/>
        <v/>
      </c>
      <c r="ER92" t="str">
        <f t="shared" ca="1" si="111"/>
        <v/>
      </c>
      <c r="ES92" t="str">
        <f t="shared" si="112"/>
        <v/>
      </c>
      <c r="ET92">
        <v>0</v>
      </c>
      <c r="EU92" s="22">
        <v>83</v>
      </c>
      <c r="EX92" s="21" t="str">
        <f ca="1">IF(EX91="","",IF(EX91+1&lt;=MAX('Financial Planning Tool'!$EL$10:$EL$209),EX91+1,""))</f>
        <v/>
      </c>
      <c r="EY92" t="str">
        <f ca="1">IF(EX92&lt;&gt;"",VLOOKUP(EX92,'Financial Planning Tool'!$EL$10:$ER$209,2,FALSE),"")</f>
        <v/>
      </c>
      <c r="EZ92" t="str">
        <f ca="1">IF(EX92&lt;&gt;"",VLOOKUP(EX92,'Financial Planning Tool'!$EL$10:$ER$209,3,FALSE),"")</f>
        <v/>
      </c>
      <c r="FA92" t="str">
        <f ca="1">IF(EX92&lt;&gt;"",VLOOKUP(EX92,'Financial Planning Tool'!$EL$10:$ER$209,4,FALSE),"")</f>
        <v/>
      </c>
      <c r="FB92" t="str">
        <f t="shared" ca="1" si="149"/>
        <v/>
      </c>
      <c r="FC92" s="1" t="str">
        <f ca="1">IF(EX92&lt;&gt;"",VLOOKUP(EX92,'Financial Planning Tool'!$EL$10:$ER$209,5,FALSE),"")</f>
        <v/>
      </c>
      <c r="FD92" s="1" t="str">
        <f ca="1">IF(EX92&lt;&gt;"",VLOOKUP(EX92,'Financial Planning Tool'!$EL$10:$ER$209,6,FALSE),"")</f>
        <v/>
      </c>
      <c r="FE92" t="str">
        <f ca="1">IF(EX92&lt;&gt;"",VLOOKUP(EX92,'Financial Planning Tool'!$EL$10:$ER$209,7,FALSE),"")</f>
        <v/>
      </c>
      <c r="FF92" t="str">
        <f ca="1">IF(EX92&lt;&gt;"",VLOOKUP(EX92,'Financial Planning Tool'!$EL$10:$ES$209,8,FALSE),"")</f>
        <v/>
      </c>
      <c r="FG92" t="str">
        <f ca="1">IF(EX92&lt;&gt;"",VLOOKUP(EX92,'Financial Planning Tool'!$EL$10:$ET$209,9,FALSE),"")</f>
        <v/>
      </c>
      <c r="FH92" t="str">
        <f t="shared" ca="1" si="146"/>
        <v/>
      </c>
      <c r="FI92" s="22" t="str">
        <f t="shared" ca="1" si="147"/>
        <v/>
      </c>
    </row>
    <row r="93" spans="1:165" x14ac:dyDescent="0.25">
      <c r="B93" s="80"/>
      <c r="C93" s="81"/>
      <c r="D93" s="143"/>
      <c r="E93" s="143"/>
      <c r="F93" s="82"/>
      <c r="G93" s="18"/>
      <c r="H93" s="5">
        <f t="shared" ca="1" si="158"/>
        <v>59870</v>
      </c>
      <c r="I93" s="8">
        <f t="shared" ca="1" si="159"/>
        <v>93</v>
      </c>
      <c r="J93" s="12" t="str">
        <f t="shared" ca="1" si="95"/>
        <v/>
      </c>
      <c r="K93" s="12" t="str">
        <f t="shared" ca="1" si="96"/>
        <v/>
      </c>
      <c r="L93" s="12" t="str">
        <f t="shared" ca="1" si="97"/>
        <v/>
      </c>
      <c r="M93" s="12" t="str">
        <f t="shared" ca="1" si="98"/>
        <v/>
      </c>
      <c r="N93" s="12">
        <f t="shared" ca="1" si="99"/>
        <v>-34534.22</v>
      </c>
      <c r="O93" s="12">
        <f t="shared" ca="1" si="100"/>
        <v>-7643.01</v>
      </c>
      <c r="P93" s="12">
        <f t="shared" ca="1" si="101"/>
        <v>178958.01</v>
      </c>
      <c r="Q93" s="12">
        <f t="shared" ca="1" si="102"/>
        <v>38765.99</v>
      </c>
      <c r="S93" s="18"/>
      <c r="T93" s="5">
        <f t="shared" ca="1" si="103"/>
        <v>59870</v>
      </c>
      <c r="U93" s="8">
        <f t="shared" ca="1" si="104"/>
        <v>93</v>
      </c>
      <c r="V93" s="12"/>
      <c r="W93" s="12"/>
      <c r="X93" s="12"/>
      <c r="Y93" s="12"/>
      <c r="Z93" s="12"/>
      <c r="AA93" s="12"/>
      <c r="AB93" s="12">
        <v>10057648.84</v>
      </c>
      <c r="AC93" s="12">
        <v>2178693.9900000002</v>
      </c>
      <c r="AE93" s="21">
        <v>40</v>
      </c>
      <c r="AF93" s="22">
        <f t="shared" ca="1" si="157"/>
        <v>1</v>
      </c>
      <c r="AI93" s="21">
        <f t="shared" ca="1" si="94"/>
        <v>1</v>
      </c>
      <c r="AJ93" s="22">
        <v>0</v>
      </c>
      <c r="AN93" s="32">
        <f t="shared" ca="1" si="113"/>
        <v>62</v>
      </c>
      <c r="AO93" s="53">
        <f t="shared" ca="1" si="144"/>
        <v>48214</v>
      </c>
      <c r="AP93" s="22">
        <v>86</v>
      </c>
      <c r="AQ93" s="32">
        <f t="shared" ca="1" si="145"/>
        <v>1712966.5523277924</v>
      </c>
      <c r="AR93" s="23">
        <f t="array" aca="1" ref="AR93" ca="1">SUM(IF(lsc_start_date=AO93,lsc_amount,0))</f>
        <v>0</v>
      </c>
      <c r="AS93" s="24">
        <f t="shared" ca="1" si="119"/>
        <v>0</v>
      </c>
      <c r="AT93" s="24">
        <f t="shared" ca="1" si="120"/>
        <v>0</v>
      </c>
      <c r="AU93" s="24">
        <f t="shared" ca="1" si="121"/>
        <v>0</v>
      </c>
      <c r="AV93" s="25">
        <f t="shared" ca="1" si="122"/>
        <v>0</v>
      </c>
      <c r="AW93" s="23">
        <f t="array" aca="1" ref="AW93" ca="1">SUM(IF(rcs_start_date&lt;=AO93,1,0)*IF(rcs_end_date&gt;=AO93,1,0)*rcs_amount*(1+rcs_escalation/100)^(INT((AP93-rcs_months_since_start)/12))*IF(MOD((AP93-rcs_months_since_start),rcs_frequency)=0,1,0)*IF(rcs_frequency=13,0,1))+SUM(IF(rcs_start_date=AO93,rcs_amount,0)*IF(rcs_frequency=13,1,0))</f>
        <v>5921.6930065612814</v>
      </c>
      <c r="AX93" s="24">
        <f t="shared" ca="1" si="123"/>
        <v>0</v>
      </c>
      <c r="AY93" s="24">
        <f t="shared" ca="1" si="124"/>
        <v>0</v>
      </c>
      <c r="AZ93" s="24">
        <f t="shared" ca="1" si="125"/>
        <v>0</v>
      </c>
      <c r="BA93" s="25">
        <f t="shared" ca="1" si="126"/>
        <v>5921.6930065612814</v>
      </c>
      <c r="BB93" s="23">
        <f t="array" aca="1" ref="BB93" ca="1">SUM(IF(w_start_date&lt;=AO93,1,0)*IF(w_end_date&gt;=AO93,1,0)*w_amount*(1+w_escalation/100)^(INT((AP93-w_months_since_start)/12))*IF(MOD(AP93-w_months_since_start,w_frequency)=0,1,0)*IF(w_frequency=13,0,1))+SUM(IF(w_start_date=AO93,w_amount,0)*IF(w_frequency=13,1,0))</f>
        <v>0</v>
      </c>
      <c r="BC93" s="25">
        <f t="shared" ca="1" si="127"/>
        <v>0</v>
      </c>
      <c r="BD93" s="24" t="b">
        <f t="shared" ca="1" si="128"/>
        <v>0</v>
      </c>
      <c r="BE93" s="24" t="b">
        <f t="shared" ca="1" si="129"/>
        <v>1</v>
      </c>
      <c r="BF93" s="23">
        <f t="array" aca="1" ref="BF93" ca="1">SUM(IF(BD93,1,0)*IF(ap_start_date&lt;=AO93,1,0)*IF(ap_end_date&gt;=AO93,1,0)*ap_amount*(1+ap_escalation/100)^(INT((AP93-ap_months_since_start)/12))*IF(MOD(AP93-ap_months_since_start,ap_frequency)=0,1,0))</f>
        <v>0</v>
      </c>
      <c r="BG93" s="24">
        <f t="shared" ca="1" si="130"/>
        <v>0</v>
      </c>
      <c r="BH93" s="24">
        <f t="shared" ca="1" si="131"/>
        <v>0</v>
      </c>
      <c r="BI93">
        <f t="shared" ca="1" si="132"/>
        <v>0</v>
      </c>
      <c r="BJ93" s="24">
        <f t="shared" ca="1" si="133"/>
        <v>0</v>
      </c>
      <c r="BK93">
        <f t="shared" ca="1" si="134"/>
        <v>0</v>
      </c>
      <c r="BL93" s="25">
        <f t="shared" ca="1" si="135"/>
        <v>0</v>
      </c>
      <c r="BM93" s="32">
        <f t="shared" ca="1" si="114"/>
        <v>1731276.8286627855</v>
      </c>
      <c r="BN93" s="23">
        <f t="shared" ca="1" si="136"/>
        <v>0</v>
      </c>
      <c r="BO93" s="24">
        <f t="shared" ca="1" si="137"/>
        <v>0</v>
      </c>
      <c r="BP93" s="25">
        <f t="shared" ca="1" si="138"/>
        <v>0</v>
      </c>
      <c r="BQ93" s="34">
        <f t="shared" ca="1" si="139"/>
        <v>48244</v>
      </c>
      <c r="BR93" s="23">
        <f t="shared" ca="1" si="140"/>
        <v>1731276.8286627855</v>
      </c>
      <c r="BS93" s="24">
        <f t="shared" ca="1" si="141"/>
        <v>5921.6930065612814</v>
      </c>
      <c r="BT93" s="24">
        <f t="shared" ca="1" si="150"/>
        <v>68782.741845442564</v>
      </c>
      <c r="BU93" s="24">
        <f t="shared" ca="1" si="142"/>
        <v>0</v>
      </c>
      <c r="BV93" s="24">
        <f t="shared" ca="1" si="151"/>
        <v>0</v>
      </c>
      <c r="BW93" s="24">
        <f t="shared" ca="1" si="143"/>
        <v>0</v>
      </c>
      <c r="BX93" s="25">
        <f t="shared" ca="1" si="152"/>
        <v>0</v>
      </c>
      <c r="BY93" s="23">
        <f t="shared" ca="1" si="115"/>
        <v>1307056.1699153772</v>
      </c>
      <c r="BZ93" s="24">
        <f t="shared" ca="1" si="116"/>
        <v>4485.316241783531</v>
      </c>
      <c r="CA93" s="24">
        <f t="shared" ca="1" si="153"/>
        <v>53041.336037023044</v>
      </c>
      <c r="CB93" s="24">
        <f t="shared" ca="1" si="117"/>
        <v>0</v>
      </c>
      <c r="CC93" s="24">
        <f t="shared" ca="1" si="154"/>
        <v>0</v>
      </c>
      <c r="CD93" s="24">
        <f t="shared" ca="1" si="118"/>
        <v>0</v>
      </c>
      <c r="CE93" s="25">
        <f t="shared" ca="1" si="155"/>
        <v>0</v>
      </c>
      <c r="CF93" s="23">
        <f t="shared" ca="1" si="156"/>
        <v>0</v>
      </c>
      <c r="CG93" s="25">
        <f t="array" aca="1" ref="CG93" ca="1">SUM(BF82:BF93/(1+inflation/100)^(AP82:AP93/12))</f>
        <v>0</v>
      </c>
      <c r="CH93" s="32">
        <f ca="1">IFERROR(IF(MOD(AP93-ap_months_since_start,12)=0,ap_drawdown/100*(AQ93+AV93+BA93-BC93),CH92),0)</f>
        <v>258614.92415346741</v>
      </c>
      <c r="EL93" s="21">
        <f t="shared" ca="1" si="148"/>
        <v>6</v>
      </c>
      <c r="EM93" t="str">
        <f t="shared" ca="1" si="106"/>
        <v/>
      </c>
      <c r="EN93" t="str">
        <f t="shared" ca="1" si="107"/>
        <v/>
      </c>
      <c r="EO93" t="str">
        <f t="shared" ca="1" si="108"/>
        <v/>
      </c>
      <c r="EP93" s="1" t="str">
        <f t="shared" ca="1" si="109"/>
        <v/>
      </c>
      <c r="EQ93" s="1" t="str">
        <f t="shared" ca="1" si="110"/>
        <v/>
      </c>
      <c r="ER93" t="str">
        <f t="shared" ca="1" si="111"/>
        <v/>
      </c>
      <c r="ES93" t="str">
        <f t="shared" si="112"/>
        <v/>
      </c>
      <c r="ET93">
        <v>0</v>
      </c>
      <c r="EU93" s="22">
        <v>84</v>
      </c>
      <c r="EX93" s="21" t="str">
        <f ca="1">IF(EX92="","",IF(EX92+1&lt;=MAX('Financial Planning Tool'!$EL$10:$EL$209),EX92+1,""))</f>
        <v/>
      </c>
      <c r="EY93" t="str">
        <f ca="1">IF(EX93&lt;&gt;"",VLOOKUP(EX93,'Financial Planning Tool'!$EL$10:$ER$209,2,FALSE),"")</f>
        <v/>
      </c>
      <c r="EZ93" t="str">
        <f ca="1">IF(EX93&lt;&gt;"",VLOOKUP(EX93,'Financial Planning Tool'!$EL$10:$ER$209,3,FALSE),"")</f>
        <v/>
      </c>
      <c r="FA93" t="str">
        <f ca="1">IF(EX93&lt;&gt;"",VLOOKUP(EX93,'Financial Planning Tool'!$EL$10:$ER$209,4,FALSE),"")</f>
        <v/>
      </c>
      <c r="FB93" t="str">
        <f t="shared" ca="1" si="149"/>
        <v/>
      </c>
      <c r="FC93" s="1" t="str">
        <f ca="1">IF(EX93&lt;&gt;"",VLOOKUP(EX93,'Financial Planning Tool'!$EL$10:$ER$209,5,FALSE),"")</f>
        <v/>
      </c>
      <c r="FD93" s="1" t="str">
        <f ca="1">IF(EX93&lt;&gt;"",VLOOKUP(EX93,'Financial Planning Tool'!$EL$10:$ER$209,6,FALSE),"")</f>
        <v/>
      </c>
      <c r="FE93" t="str">
        <f ca="1">IF(EX93&lt;&gt;"",VLOOKUP(EX93,'Financial Planning Tool'!$EL$10:$ER$209,7,FALSE),"")</f>
        <v/>
      </c>
      <c r="FF93" t="str">
        <f ca="1">IF(EX93&lt;&gt;"",VLOOKUP(EX93,'Financial Planning Tool'!$EL$10:$ES$209,8,FALSE),"")</f>
        <v/>
      </c>
      <c r="FG93" t="str">
        <f ca="1">IF(EX93&lt;&gt;"",VLOOKUP(EX93,'Financial Planning Tool'!$EL$10:$ET$209,9,FALSE),"")</f>
        <v/>
      </c>
      <c r="FH93" t="str">
        <f t="shared" ca="1" si="146"/>
        <v/>
      </c>
      <c r="FI93" s="22" t="str">
        <f t="shared" ca="1" si="147"/>
        <v/>
      </c>
    </row>
    <row r="94" spans="1:165" x14ac:dyDescent="0.25">
      <c r="D94" s="117"/>
      <c r="E94" s="117"/>
      <c r="F94" s="88"/>
      <c r="G94" s="18"/>
      <c r="H94" s="5">
        <f t="shared" ca="1" si="158"/>
        <v>60236</v>
      </c>
      <c r="I94" s="8">
        <f t="shared" ca="1" si="159"/>
        <v>94</v>
      </c>
      <c r="J94" s="12" t="str">
        <f t="shared" ca="1" si="95"/>
        <v/>
      </c>
      <c r="K94" s="12" t="str">
        <f t="shared" ca="1" si="96"/>
        <v/>
      </c>
      <c r="L94" s="12" t="str">
        <f t="shared" ca="1" si="97"/>
        <v/>
      </c>
      <c r="M94" s="12" t="str">
        <f t="shared" ca="1" si="98"/>
        <v/>
      </c>
      <c r="N94" s="12">
        <f t="shared" ca="1" si="99"/>
        <v>-31308.07</v>
      </c>
      <c r="O94" s="12">
        <f t="shared" ca="1" si="100"/>
        <v>-6662.51</v>
      </c>
      <c r="P94" s="12">
        <f t="shared" ca="1" si="101"/>
        <v>162239.94</v>
      </c>
      <c r="Q94" s="12">
        <f t="shared" ca="1" si="102"/>
        <v>33792.800000000003</v>
      </c>
      <c r="S94" s="18"/>
      <c r="T94" s="5">
        <f t="shared" ca="1" si="103"/>
        <v>60236</v>
      </c>
      <c r="U94" s="8">
        <f t="shared" ca="1" si="104"/>
        <v>94</v>
      </c>
      <c r="V94" s="12"/>
      <c r="W94" s="12"/>
      <c r="X94" s="12"/>
      <c r="Y94" s="12"/>
      <c r="Z94" s="12"/>
      <c r="AA94" s="12"/>
      <c r="AB94" s="12">
        <v>10862260.75</v>
      </c>
      <c r="AC94" s="12">
        <v>2262489.91</v>
      </c>
      <c r="AE94" s="21">
        <v>41</v>
      </c>
      <c r="AF94" s="22">
        <f t="shared" ca="1" si="157"/>
        <v>1</v>
      </c>
      <c r="AI94" s="21">
        <f t="shared" ca="1" si="94"/>
        <v>1</v>
      </c>
      <c r="AJ94" s="22">
        <v>0</v>
      </c>
      <c r="AN94" s="32">
        <f t="shared" ca="1" si="113"/>
        <v>62.083333333333336</v>
      </c>
      <c r="AO94" s="53">
        <f t="shared" ca="1" si="144"/>
        <v>48245</v>
      </c>
      <c r="AP94" s="22">
        <v>87</v>
      </c>
      <c r="AQ94" s="32">
        <f t="shared" ca="1" si="145"/>
        <v>1731276.8286627855</v>
      </c>
      <c r="AR94" s="23">
        <f t="array" aca="1" ref="AR94" ca="1">SUM(IF(lsc_start_date=AO94,lsc_amount,0))</f>
        <v>0</v>
      </c>
      <c r="AS94" s="24">
        <f t="shared" ca="1" si="119"/>
        <v>0</v>
      </c>
      <c r="AT94" s="24">
        <f t="shared" ca="1" si="120"/>
        <v>0</v>
      </c>
      <c r="AU94" s="24">
        <f t="shared" ca="1" si="121"/>
        <v>0</v>
      </c>
      <c r="AV94" s="25">
        <f t="shared" ca="1" si="122"/>
        <v>0</v>
      </c>
      <c r="AW94" s="23">
        <f t="array" aca="1" ref="AW94" ca="1">SUM(IF(rcs_start_date&lt;=AO94,1,0)*IF(rcs_end_date&gt;=AO94,1,0)*rcs_amount*(1+rcs_escalation/100)^(INT((AP94-rcs_months_since_start)/12))*IF(MOD((AP94-rcs_months_since_start),rcs_frequency)=0,1,0)*IF(rcs_frequency=13,0,1))+SUM(IF(rcs_start_date=AO94,rcs_amount,0)*IF(rcs_frequency=13,1,0))</f>
        <v>5921.6930065612814</v>
      </c>
      <c r="AX94" s="24">
        <f t="shared" ca="1" si="123"/>
        <v>0</v>
      </c>
      <c r="AY94" s="24">
        <f t="shared" ca="1" si="124"/>
        <v>0</v>
      </c>
      <c r="AZ94" s="24">
        <f t="shared" ca="1" si="125"/>
        <v>0</v>
      </c>
      <c r="BA94" s="25">
        <f t="shared" ca="1" si="126"/>
        <v>5921.6930065612814</v>
      </c>
      <c r="BB94" s="23">
        <f t="array" aca="1" ref="BB94" ca="1">SUM(IF(w_start_date&lt;=AO94,1,0)*IF(w_end_date&gt;=AO94,1,0)*w_amount*(1+w_escalation/100)^(INT((AP94-w_months_since_start)/12))*IF(MOD(AP94-w_months_since_start,w_frequency)=0,1,0)*IF(w_frequency=13,0,1))+SUM(IF(w_start_date=AO94,w_amount,0)*IF(w_frequency=13,1,0))</f>
        <v>0</v>
      </c>
      <c r="BC94" s="25">
        <f t="shared" ca="1" si="127"/>
        <v>0</v>
      </c>
      <c r="BD94" s="24" t="b">
        <f t="shared" ca="1" si="128"/>
        <v>0</v>
      </c>
      <c r="BE94" s="24" t="b">
        <f t="shared" ca="1" si="129"/>
        <v>1</v>
      </c>
      <c r="BF94" s="23">
        <f t="array" aca="1" ref="BF94" ca="1">SUM(IF(BD94,1,0)*IF(ap_start_date&lt;=AO94,1,0)*IF(ap_end_date&gt;=AO94,1,0)*ap_amount*(1+ap_escalation/100)^(INT((AP94-ap_months_since_start)/12))*IF(MOD(AP94-ap_months_since_start,ap_frequency)=0,1,0))</f>
        <v>0</v>
      </c>
      <c r="BG94" s="24">
        <f t="shared" ca="1" si="130"/>
        <v>0</v>
      </c>
      <c r="BH94" s="24">
        <f t="shared" ca="1" si="131"/>
        <v>0</v>
      </c>
      <c r="BI94">
        <f t="shared" ca="1" si="132"/>
        <v>0</v>
      </c>
      <c r="BJ94" s="24">
        <f t="shared" ca="1" si="133"/>
        <v>0</v>
      </c>
      <c r="BK94">
        <f t="shared" ca="1" si="134"/>
        <v>0</v>
      </c>
      <c r="BL94" s="25">
        <f t="shared" ca="1" si="135"/>
        <v>0</v>
      </c>
      <c r="BM94" s="32">
        <f t="shared" ca="1" si="114"/>
        <v>1749719.0730793325</v>
      </c>
      <c r="BN94" s="23">
        <f t="shared" ca="1" si="136"/>
        <v>0</v>
      </c>
      <c r="BO94" s="24">
        <f t="shared" ca="1" si="137"/>
        <v>0</v>
      </c>
      <c r="BP94" s="25">
        <f t="shared" ca="1" si="138"/>
        <v>0</v>
      </c>
      <c r="BQ94" s="34">
        <f t="shared" ca="1" si="139"/>
        <v>48273</v>
      </c>
      <c r="BR94" s="23">
        <f t="shared" ca="1" si="140"/>
        <v>1749719.0730793325</v>
      </c>
      <c r="BS94" s="24">
        <f t="shared" ca="1" si="141"/>
        <v>5921.6930065612814</v>
      </c>
      <c r="BT94" s="24">
        <f t="shared" ca="1" si="150"/>
        <v>69010.499268771848</v>
      </c>
      <c r="BU94" s="24">
        <f t="shared" ca="1" si="142"/>
        <v>0</v>
      </c>
      <c r="BV94" s="24">
        <f t="shared" ca="1" si="151"/>
        <v>0</v>
      </c>
      <c r="BW94" s="24">
        <f t="shared" ca="1" si="143"/>
        <v>0</v>
      </c>
      <c r="BX94" s="25">
        <f t="shared" ca="1" si="152"/>
        <v>0</v>
      </c>
      <c r="BY94" s="23">
        <f t="shared" ca="1" si="115"/>
        <v>1316669.016621188</v>
      </c>
      <c r="BZ94" s="24">
        <f t="shared" ca="1" si="116"/>
        <v>4470.6803975126968</v>
      </c>
      <c r="CA94" s="24">
        <f t="shared" ca="1" si="153"/>
        <v>53041.336037023044</v>
      </c>
      <c r="CB94" s="24">
        <f t="shared" ca="1" si="117"/>
        <v>0</v>
      </c>
      <c r="CC94" s="24">
        <f t="shared" ca="1" si="154"/>
        <v>0</v>
      </c>
      <c r="CD94" s="24">
        <f t="shared" ca="1" si="118"/>
        <v>0</v>
      </c>
      <c r="CE94" s="25">
        <f t="shared" ca="1" si="155"/>
        <v>0</v>
      </c>
      <c r="CF94" s="23">
        <f t="shared" ca="1" si="156"/>
        <v>0</v>
      </c>
      <c r="CG94" s="25">
        <f t="array" aca="1" ref="CG94" ca="1">SUM(BF83:BF94/(1+inflation/100)^(AP83:AP94/12))</f>
        <v>0</v>
      </c>
      <c r="CH94" s="32">
        <f ca="1">IFERROR(IF(MOD(AP94-ap_months_since_start,12)=0,ap_drawdown/100*(AQ94+AV94+BA94-BC94),CH93),0)</f>
        <v>258614.92415346741</v>
      </c>
      <c r="EL94" s="21">
        <f t="shared" ca="1" si="148"/>
        <v>6</v>
      </c>
      <c r="EM94" t="str">
        <f t="shared" ca="1" si="106"/>
        <v/>
      </c>
      <c r="EN94" t="str">
        <f t="shared" ca="1" si="107"/>
        <v/>
      </c>
      <c r="EO94" t="str">
        <f t="shared" ca="1" si="108"/>
        <v/>
      </c>
      <c r="EP94" s="1" t="str">
        <f t="shared" ca="1" si="109"/>
        <v/>
      </c>
      <c r="EQ94" s="1" t="str">
        <f t="shared" ca="1" si="110"/>
        <v/>
      </c>
      <c r="ER94" t="str">
        <f t="shared" ca="1" si="111"/>
        <v/>
      </c>
      <c r="ES94" t="str">
        <f t="shared" si="112"/>
        <v/>
      </c>
      <c r="ET94">
        <v>0</v>
      </c>
      <c r="EU94" s="22">
        <v>85</v>
      </c>
      <c r="EX94" s="21" t="str">
        <f ca="1">IF(EX93="","",IF(EX93+1&lt;=MAX('Financial Planning Tool'!$EL$10:$EL$209),EX93+1,""))</f>
        <v/>
      </c>
      <c r="EY94" t="str">
        <f ca="1">IF(EX94&lt;&gt;"",VLOOKUP(EX94,'Financial Planning Tool'!$EL$10:$ER$209,2,FALSE),"")</f>
        <v/>
      </c>
      <c r="EZ94" t="str">
        <f ca="1">IF(EX94&lt;&gt;"",VLOOKUP(EX94,'Financial Planning Tool'!$EL$10:$ER$209,3,FALSE),"")</f>
        <v/>
      </c>
      <c r="FA94" t="str">
        <f ca="1">IF(EX94&lt;&gt;"",VLOOKUP(EX94,'Financial Planning Tool'!$EL$10:$ER$209,4,FALSE),"")</f>
        <v/>
      </c>
      <c r="FB94" t="str">
        <f t="shared" ca="1" si="149"/>
        <v/>
      </c>
      <c r="FC94" s="1" t="str">
        <f ca="1">IF(EX94&lt;&gt;"",VLOOKUP(EX94,'Financial Planning Tool'!$EL$10:$ER$209,5,FALSE),"")</f>
        <v/>
      </c>
      <c r="FD94" s="1" t="str">
        <f ca="1">IF(EX94&lt;&gt;"",VLOOKUP(EX94,'Financial Planning Tool'!$EL$10:$ER$209,6,FALSE),"")</f>
        <v/>
      </c>
      <c r="FE94" t="str">
        <f ca="1">IF(EX94&lt;&gt;"",VLOOKUP(EX94,'Financial Planning Tool'!$EL$10:$ER$209,7,FALSE),"")</f>
        <v/>
      </c>
      <c r="FF94" t="str">
        <f ca="1">IF(EX94&lt;&gt;"",VLOOKUP(EX94,'Financial Planning Tool'!$EL$10:$ES$209,8,FALSE),"")</f>
        <v/>
      </c>
      <c r="FG94" t="str">
        <f ca="1">IF(EX94&lt;&gt;"",VLOOKUP(EX94,'Financial Planning Tool'!$EL$10:$ET$209,9,FALSE),"")</f>
        <v/>
      </c>
      <c r="FH94" t="str">
        <f t="shared" ca="1" si="146"/>
        <v/>
      </c>
      <c r="FI94" s="22" t="str">
        <f t="shared" ca="1" si="147"/>
        <v/>
      </c>
    </row>
    <row r="95" spans="1:165" x14ac:dyDescent="0.25">
      <c r="B95" s="91" t="s">
        <v>19</v>
      </c>
      <c r="C95" s="92"/>
      <c r="D95" s="118"/>
      <c r="E95" s="118"/>
      <c r="F95" s="93"/>
      <c r="G95" s="18"/>
      <c r="H95" s="5">
        <f t="shared" ca="1" si="158"/>
        <v>60601</v>
      </c>
      <c r="I95" s="8">
        <f t="shared" ca="1" si="159"/>
        <v>95</v>
      </c>
      <c r="J95" s="12" t="str">
        <f t="shared" ca="1" si="95"/>
        <v/>
      </c>
      <c r="K95" s="12" t="str">
        <f t="shared" ca="1" si="96"/>
        <v/>
      </c>
      <c r="L95" s="12" t="str">
        <f t="shared" ca="1" si="97"/>
        <v/>
      </c>
      <c r="M95" s="12" t="str">
        <f t="shared" ca="1" si="98"/>
        <v/>
      </c>
      <c r="N95" s="12">
        <f t="shared" ca="1" si="99"/>
        <v>-28383.3</v>
      </c>
      <c r="O95" s="12">
        <f t="shared" ca="1" si="100"/>
        <v>-5807.79</v>
      </c>
      <c r="P95" s="12">
        <f t="shared" ca="1" si="101"/>
        <v>147083.66</v>
      </c>
      <c r="Q95" s="12">
        <f t="shared" ca="1" si="102"/>
        <v>29457.61</v>
      </c>
      <c r="S95" s="18"/>
      <c r="T95" s="5">
        <f t="shared" ca="1" si="103"/>
        <v>60601</v>
      </c>
      <c r="U95" s="8">
        <f t="shared" ca="1" si="104"/>
        <v>95</v>
      </c>
      <c r="V95" s="12"/>
      <c r="W95" s="12"/>
      <c r="X95" s="12"/>
      <c r="Y95" s="12"/>
      <c r="Z95" s="12"/>
      <c r="AA95" s="12"/>
      <c r="AB95" s="12">
        <v>11731241.609999999</v>
      </c>
      <c r="AC95" s="12">
        <v>2349508.7599999998</v>
      </c>
      <c r="AE95" s="21">
        <v>42</v>
      </c>
      <c r="AF95" s="22">
        <f t="shared" ca="1" si="157"/>
        <v>1</v>
      </c>
      <c r="AI95" s="21">
        <f t="shared" ca="1" si="94"/>
        <v>1</v>
      </c>
      <c r="AJ95" s="22">
        <v>0</v>
      </c>
      <c r="AN95" s="32">
        <f t="shared" ca="1" si="113"/>
        <v>62.166666666666664</v>
      </c>
      <c r="AO95" s="53">
        <f t="shared" ca="1" si="144"/>
        <v>48274</v>
      </c>
      <c r="AP95" s="22">
        <v>88</v>
      </c>
      <c r="AQ95" s="32">
        <f t="shared" ca="1" si="145"/>
        <v>1749719.0730793325</v>
      </c>
      <c r="AR95" s="23">
        <f t="array" aca="1" ref="AR95" ca="1">SUM(IF(lsc_start_date=AO95,lsc_amount,0))</f>
        <v>0</v>
      </c>
      <c r="AS95" s="24">
        <f t="shared" ca="1" si="119"/>
        <v>0</v>
      </c>
      <c r="AT95" s="24">
        <f t="shared" ca="1" si="120"/>
        <v>0</v>
      </c>
      <c r="AU95" s="24">
        <f t="shared" ca="1" si="121"/>
        <v>0</v>
      </c>
      <c r="AV95" s="25">
        <f t="shared" ca="1" si="122"/>
        <v>0</v>
      </c>
      <c r="AW95" s="23">
        <f t="array" aca="1" ref="AW95" ca="1">SUM(IF(rcs_start_date&lt;=AO95,1,0)*IF(rcs_end_date&gt;=AO95,1,0)*rcs_amount*(1+rcs_escalation/100)^(INT((AP95-rcs_months_since_start)/12))*IF(MOD((AP95-rcs_months_since_start),rcs_frequency)=0,1,0)*IF(rcs_frequency=13,0,1))+SUM(IF(rcs_start_date=AO95,rcs_amount,0)*IF(rcs_frequency=13,1,0))</f>
        <v>5921.6930065612814</v>
      </c>
      <c r="AX95" s="24">
        <f t="shared" ca="1" si="123"/>
        <v>0</v>
      </c>
      <c r="AY95" s="24">
        <f t="shared" ca="1" si="124"/>
        <v>0</v>
      </c>
      <c r="AZ95" s="24">
        <f t="shared" ca="1" si="125"/>
        <v>0</v>
      </c>
      <c r="BA95" s="25">
        <f t="shared" ca="1" si="126"/>
        <v>5921.6930065612814</v>
      </c>
      <c r="BB95" s="23">
        <f t="array" aca="1" ref="BB95" ca="1">SUM(IF(w_start_date&lt;=AO95,1,0)*IF(w_end_date&gt;=AO95,1,0)*w_amount*(1+w_escalation/100)^(INT((AP95-w_months_since_start)/12))*IF(MOD(AP95-w_months_since_start,w_frequency)=0,1,0)*IF(w_frequency=13,0,1))+SUM(IF(w_start_date=AO95,w_amount,0)*IF(w_frequency=13,1,0))</f>
        <v>0</v>
      </c>
      <c r="BC95" s="25">
        <f t="shared" ca="1" si="127"/>
        <v>0</v>
      </c>
      <c r="BD95" s="24" t="b">
        <f t="shared" ca="1" si="128"/>
        <v>0</v>
      </c>
      <c r="BE95" s="24" t="b">
        <f t="shared" ca="1" si="129"/>
        <v>1</v>
      </c>
      <c r="BF95" s="23">
        <f t="array" aca="1" ref="BF95" ca="1">SUM(IF(BD95,1,0)*IF(ap_start_date&lt;=AO95,1,0)*IF(ap_end_date&gt;=AO95,1,0)*ap_amount*(1+ap_escalation/100)^(INT((AP95-ap_months_since_start)/12))*IF(MOD(AP95-ap_months_since_start,ap_frequency)=0,1,0))</f>
        <v>0</v>
      </c>
      <c r="BG95" s="24">
        <f t="shared" ca="1" si="130"/>
        <v>0</v>
      </c>
      <c r="BH95" s="24">
        <f t="shared" ca="1" si="131"/>
        <v>0</v>
      </c>
      <c r="BI95">
        <f t="shared" ca="1" si="132"/>
        <v>0</v>
      </c>
      <c r="BJ95" s="24">
        <f t="shared" ca="1" si="133"/>
        <v>0</v>
      </c>
      <c r="BK95">
        <f t="shared" ca="1" si="134"/>
        <v>0</v>
      </c>
      <c r="BL95" s="25">
        <f t="shared" ca="1" si="135"/>
        <v>0</v>
      </c>
      <c r="BM95" s="32">
        <f t="shared" ca="1" si="114"/>
        <v>1768294.2367140648</v>
      </c>
      <c r="BN95" s="23">
        <f t="shared" ca="1" si="136"/>
        <v>0</v>
      </c>
      <c r="BO95" s="24">
        <f t="shared" ca="1" si="137"/>
        <v>0</v>
      </c>
      <c r="BP95" s="25">
        <f t="shared" ca="1" si="138"/>
        <v>0</v>
      </c>
      <c r="BQ95" s="34">
        <f t="shared" ca="1" si="139"/>
        <v>48304</v>
      </c>
      <c r="BR95" s="23">
        <f t="shared" ca="1" si="140"/>
        <v>1768294.2367140648</v>
      </c>
      <c r="BS95" s="24">
        <f t="shared" ca="1" si="141"/>
        <v>5921.6930065612814</v>
      </c>
      <c r="BT95" s="24">
        <f t="shared" ca="1" si="150"/>
        <v>69238.256692101131</v>
      </c>
      <c r="BU95" s="24">
        <f t="shared" ca="1" si="142"/>
        <v>0</v>
      </c>
      <c r="BV95" s="24">
        <f t="shared" ca="1" si="151"/>
        <v>0</v>
      </c>
      <c r="BW95" s="24">
        <f t="shared" ca="1" si="143"/>
        <v>0</v>
      </c>
      <c r="BX95" s="25">
        <f t="shared" ca="1" si="152"/>
        <v>0</v>
      </c>
      <c r="BY95" s="23">
        <f t="shared" ca="1" si="115"/>
        <v>1326304.9075938533</v>
      </c>
      <c r="BZ95" s="24">
        <f t="shared" ca="1" si="116"/>
        <v>4456.0923108415445</v>
      </c>
      <c r="CA95" s="24">
        <f t="shared" ca="1" si="153"/>
        <v>53041.336037023051</v>
      </c>
      <c r="CB95" s="24">
        <f t="shared" ca="1" si="117"/>
        <v>0</v>
      </c>
      <c r="CC95" s="24">
        <f t="shared" ca="1" si="154"/>
        <v>0</v>
      </c>
      <c r="CD95" s="24">
        <f t="shared" ca="1" si="118"/>
        <v>0</v>
      </c>
      <c r="CE95" s="25">
        <f t="shared" ca="1" si="155"/>
        <v>0</v>
      </c>
      <c r="CF95" s="23">
        <f t="shared" ca="1" si="156"/>
        <v>0</v>
      </c>
      <c r="CG95" s="25">
        <f t="array" aca="1" ref="CG95" ca="1">SUM(BF84:BF95/(1+inflation/100)^(AP84:AP95/12))</f>
        <v>0</v>
      </c>
      <c r="CH95" s="32">
        <f ca="1">IFERROR(IF(MOD(AP95-ap_months_since_start,12)=0,ap_drawdown/100*(AQ95+AV95+BA95-BC95),CH94),0)</f>
        <v>258614.92415346741</v>
      </c>
      <c r="EL95" s="21">
        <f t="shared" ca="1" si="148"/>
        <v>6</v>
      </c>
      <c r="EM95" t="str">
        <f t="shared" ca="1" si="106"/>
        <v/>
      </c>
      <c r="EN95" t="str">
        <f t="shared" ca="1" si="107"/>
        <v/>
      </c>
      <c r="EO95" t="str">
        <f t="shared" ca="1" si="108"/>
        <v/>
      </c>
      <c r="EP95" s="1" t="str">
        <f t="shared" ca="1" si="109"/>
        <v/>
      </c>
      <c r="EQ95" s="1" t="str">
        <f t="shared" ca="1" si="110"/>
        <v/>
      </c>
      <c r="ER95" t="str">
        <f t="shared" ca="1" si="111"/>
        <v/>
      </c>
      <c r="ES95" t="str">
        <f t="shared" si="112"/>
        <v/>
      </c>
      <c r="ET95">
        <v>0</v>
      </c>
      <c r="EU95" s="22">
        <v>86</v>
      </c>
      <c r="EX95" s="21" t="str">
        <f ca="1">IF(EX94="","",IF(EX94+1&lt;=MAX('Financial Planning Tool'!$EL$10:$EL$209),EX94+1,""))</f>
        <v/>
      </c>
      <c r="EY95" t="str">
        <f ca="1">IF(EX95&lt;&gt;"",VLOOKUP(EX95,'Financial Planning Tool'!$EL$10:$ER$209,2,FALSE),"")</f>
        <v/>
      </c>
      <c r="EZ95" t="str">
        <f ca="1">IF(EX95&lt;&gt;"",VLOOKUP(EX95,'Financial Planning Tool'!$EL$10:$ER$209,3,FALSE),"")</f>
        <v/>
      </c>
      <c r="FA95" t="str">
        <f ca="1">IF(EX95&lt;&gt;"",VLOOKUP(EX95,'Financial Planning Tool'!$EL$10:$ER$209,4,FALSE),"")</f>
        <v/>
      </c>
      <c r="FB95" t="str">
        <f t="shared" ca="1" si="149"/>
        <v/>
      </c>
      <c r="FC95" s="1" t="str">
        <f ca="1">IF(EX95&lt;&gt;"",VLOOKUP(EX95,'Financial Planning Tool'!$EL$10:$ER$209,5,FALSE),"")</f>
        <v/>
      </c>
      <c r="FD95" s="1" t="str">
        <f ca="1">IF(EX95&lt;&gt;"",VLOOKUP(EX95,'Financial Planning Tool'!$EL$10:$ER$209,6,FALSE),"")</f>
        <v/>
      </c>
      <c r="FE95" t="str">
        <f ca="1">IF(EX95&lt;&gt;"",VLOOKUP(EX95,'Financial Planning Tool'!$EL$10:$ER$209,7,FALSE),"")</f>
        <v/>
      </c>
      <c r="FF95" t="str">
        <f ca="1">IF(EX95&lt;&gt;"",VLOOKUP(EX95,'Financial Planning Tool'!$EL$10:$ES$209,8,FALSE),"")</f>
        <v/>
      </c>
      <c r="FG95" t="str">
        <f ca="1">IF(EX95&lt;&gt;"",VLOOKUP(EX95,'Financial Planning Tool'!$EL$10:$ET$209,9,FALSE),"")</f>
        <v/>
      </c>
      <c r="FH95" t="str">
        <f t="shared" ca="1" si="146"/>
        <v/>
      </c>
      <c r="FI95" s="22" t="str">
        <f t="shared" ca="1" si="147"/>
        <v/>
      </c>
    </row>
    <row r="96" spans="1:165" x14ac:dyDescent="0.25">
      <c r="B96" s="86"/>
      <c r="C96" s="84"/>
      <c r="D96" s="116"/>
      <c r="E96" s="116"/>
      <c r="F96" s="85"/>
      <c r="G96" s="18"/>
      <c r="H96" s="5">
        <f t="shared" ca="1" si="158"/>
        <v>60966</v>
      </c>
      <c r="I96" s="8">
        <f t="shared" ca="1" si="159"/>
        <v>96</v>
      </c>
      <c r="J96" s="12" t="str">
        <f t="shared" ca="1" si="95"/>
        <v/>
      </c>
      <c r="K96" s="12" t="str">
        <f t="shared" ca="1" si="96"/>
        <v/>
      </c>
      <c r="L96" s="12" t="str">
        <f t="shared" ca="1" si="97"/>
        <v/>
      </c>
      <c r="M96" s="12" t="str">
        <f t="shared" ca="1" si="98"/>
        <v/>
      </c>
      <c r="N96" s="12">
        <f t="shared" ca="1" si="99"/>
        <v>-25731.759999999998</v>
      </c>
      <c r="O96" s="12">
        <f t="shared" ca="1" si="100"/>
        <v>-5062.72</v>
      </c>
      <c r="P96" s="12">
        <f t="shared" ca="1" si="101"/>
        <v>133343.26</v>
      </c>
      <c r="Q96" s="12">
        <f t="shared" ca="1" si="102"/>
        <v>25678.57</v>
      </c>
      <c r="S96" s="18"/>
      <c r="T96" s="5">
        <f t="shared" ca="1" si="103"/>
        <v>60966</v>
      </c>
      <c r="U96" s="8">
        <f t="shared" ca="1" si="104"/>
        <v>96</v>
      </c>
      <c r="V96" s="12"/>
      <c r="W96" s="12"/>
      <c r="X96" s="12"/>
      <c r="Y96" s="12"/>
      <c r="Z96" s="12"/>
      <c r="AA96" s="12"/>
      <c r="AB96" s="12">
        <v>12669740.939999999</v>
      </c>
      <c r="AC96" s="12">
        <v>2439874.48</v>
      </c>
      <c r="AE96" s="21">
        <v>43</v>
      </c>
      <c r="AF96" s="22">
        <f t="shared" ca="1" si="157"/>
        <v>1</v>
      </c>
      <c r="AI96" s="21">
        <f t="shared" ca="1" si="94"/>
        <v>1</v>
      </c>
      <c r="AJ96" s="22">
        <v>0</v>
      </c>
      <c r="AN96" s="32">
        <f t="shared" ca="1" si="113"/>
        <v>62.25</v>
      </c>
      <c r="AO96" s="53">
        <f t="shared" ca="1" si="144"/>
        <v>48305</v>
      </c>
      <c r="AP96" s="22">
        <v>89</v>
      </c>
      <c r="AQ96" s="32">
        <f t="shared" ca="1" si="145"/>
        <v>1768294.2367140648</v>
      </c>
      <c r="AR96" s="23">
        <f t="array" aca="1" ref="AR96" ca="1">SUM(IF(lsc_start_date=AO96,lsc_amount,0))</f>
        <v>0</v>
      </c>
      <c r="AS96" s="24">
        <f t="shared" ca="1" si="119"/>
        <v>0</v>
      </c>
      <c r="AT96" s="24">
        <f t="shared" ca="1" si="120"/>
        <v>0</v>
      </c>
      <c r="AU96" s="24">
        <f t="shared" ca="1" si="121"/>
        <v>0</v>
      </c>
      <c r="AV96" s="25">
        <f t="shared" ca="1" si="122"/>
        <v>0</v>
      </c>
      <c r="AW96" s="23">
        <f t="array" aca="1" ref="AW96" ca="1">SUM(IF(rcs_start_date&lt;=AO96,1,0)*IF(rcs_end_date&gt;=AO96,1,0)*rcs_amount*(1+rcs_escalation/100)^(INT((AP96-rcs_months_since_start)/12))*IF(MOD((AP96-rcs_months_since_start),rcs_frequency)=0,1,0)*IF(rcs_frequency=13,0,1))+SUM(IF(rcs_start_date=AO96,rcs_amount,0)*IF(rcs_frequency=13,1,0))</f>
        <v>5921.6930065612814</v>
      </c>
      <c r="AX96" s="24">
        <f t="shared" ca="1" si="123"/>
        <v>0</v>
      </c>
      <c r="AY96" s="24">
        <f t="shared" ca="1" si="124"/>
        <v>0</v>
      </c>
      <c r="AZ96" s="24">
        <f t="shared" ca="1" si="125"/>
        <v>0</v>
      </c>
      <c r="BA96" s="25">
        <f t="shared" ca="1" si="126"/>
        <v>5921.6930065612814</v>
      </c>
      <c r="BB96" s="23">
        <f t="array" aca="1" ref="BB96" ca="1">SUM(IF(w_start_date&lt;=AO96,1,0)*IF(w_end_date&gt;=AO96,1,0)*w_amount*(1+w_escalation/100)^(INT((AP96-w_months_since_start)/12))*IF(MOD(AP96-w_months_since_start,w_frequency)=0,1,0)*IF(w_frequency=13,0,1))+SUM(IF(w_start_date=AO96,w_amount,0)*IF(w_frequency=13,1,0))</f>
        <v>0</v>
      </c>
      <c r="BC96" s="25">
        <f t="shared" ca="1" si="127"/>
        <v>0</v>
      </c>
      <c r="BD96" s="24" t="b">
        <f t="shared" ca="1" si="128"/>
        <v>0</v>
      </c>
      <c r="BE96" s="24" t="b">
        <f t="shared" ca="1" si="129"/>
        <v>1</v>
      </c>
      <c r="BF96" s="23">
        <f t="array" aca="1" ref="BF96" ca="1">SUM(IF(BD96,1,0)*IF(ap_start_date&lt;=AO96,1,0)*IF(ap_end_date&gt;=AO96,1,0)*ap_amount*(1+ap_escalation/100)^(INT((AP96-ap_months_since_start)/12))*IF(MOD(AP96-ap_months_since_start,ap_frequency)=0,1,0))</f>
        <v>0</v>
      </c>
      <c r="BG96" s="24">
        <f t="shared" ca="1" si="130"/>
        <v>0</v>
      </c>
      <c r="BH96" s="24">
        <f t="shared" ca="1" si="131"/>
        <v>0</v>
      </c>
      <c r="BI96">
        <f t="shared" ca="1" si="132"/>
        <v>0</v>
      </c>
      <c r="BJ96" s="24">
        <f t="shared" ca="1" si="133"/>
        <v>0</v>
      </c>
      <c r="BK96">
        <f t="shared" ca="1" si="134"/>
        <v>0</v>
      </c>
      <c r="BL96" s="25">
        <f t="shared" ca="1" si="135"/>
        <v>0</v>
      </c>
      <c r="BM96" s="32">
        <f t="shared" ca="1" si="114"/>
        <v>1787003.2775587628</v>
      </c>
      <c r="BN96" s="23">
        <f t="shared" ca="1" si="136"/>
        <v>0</v>
      </c>
      <c r="BO96" s="24">
        <f t="shared" ca="1" si="137"/>
        <v>0</v>
      </c>
      <c r="BP96" s="25">
        <f t="shared" ca="1" si="138"/>
        <v>0</v>
      </c>
      <c r="BQ96" s="34">
        <f t="shared" ca="1" si="139"/>
        <v>48334</v>
      </c>
      <c r="BR96" s="23">
        <f t="shared" ca="1" si="140"/>
        <v>1787003.2775587628</v>
      </c>
      <c r="BS96" s="24">
        <f t="shared" ca="1" si="141"/>
        <v>5921.6930065612814</v>
      </c>
      <c r="BT96" s="24">
        <f t="shared" ca="1" si="150"/>
        <v>69466.014115430415</v>
      </c>
      <c r="BU96" s="24">
        <f t="shared" ca="1" si="142"/>
        <v>0</v>
      </c>
      <c r="BV96" s="24">
        <f t="shared" ca="1" si="151"/>
        <v>0</v>
      </c>
      <c r="BW96" s="24">
        <f t="shared" ca="1" si="143"/>
        <v>0</v>
      </c>
      <c r="BX96" s="25">
        <f t="shared" ca="1" si="152"/>
        <v>0</v>
      </c>
      <c r="BY96" s="23">
        <f t="shared" ca="1" si="115"/>
        <v>1335963.9809725357</v>
      </c>
      <c r="BZ96" s="24">
        <f t="shared" ca="1" si="116"/>
        <v>4441.5518259342853</v>
      </c>
      <c r="CA96" s="24">
        <f t="shared" ca="1" si="153"/>
        <v>53041.336037023051</v>
      </c>
      <c r="CB96" s="24">
        <f t="shared" ca="1" si="117"/>
        <v>0</v>
      </c>
      <c r="CC96" s="24">
        <f t="shared" ca="1" si="154"/>
        <v>0</v>
      </c>
      <c r="CD96" s="24">
        <f t="shared" ca="1" si="118"/>
        <v>0</v>
      </c>
      <c r="CE96" s="25">
        <f t="shared" ca="1" si="155"/>
        <v>0</v>
      </c>
      <c r="CF96" s="23">
        <f t="shared" ca="1" si="156"/>
        <v>0</v>
      </c>
      <c r="CG96" s="25">
        <f t="array" aca="1" ref="CG96" ca="1">SUM(BF85:BF96/(1+inflation/100)^(AP85:AP96/12))</f>
        <v>0</v>
      </c>
      <c r="CH96" s="32">
        <f ca="1">IFERROR(IF(MOD(AP96-ap_months_since_start,12)=0,ap_drawdown/100*(AQ96+AV96+BA96-BC96),CH95),0)</f>
        <v>258614.92415346741</v>
      </c>
      <c r="EL96" s="21">
        <f t="shared" ca="1" si="148"/>
        <v>6</v>
      </c>
      <c r="EM96" t="str">
        <f t="shared" ca="1" si="106"/>
        <v/>
      </c>
      <c r="EN96" t="str">
        <f t="shared" ca="1" si="107"/>
        <v/>
      </c>
      <c r="EO96" t="str">
        <f t="shared" ca="1" si="108"/>
        <v/>
      </c>
      <c r="EP96" s="1" t="str">
        <f t="shared" ca="1" si="109"/>
        <v/>
      </c>
      <c r="EQ96" s="1" t="str">
        <f t="shared" ca="1" si="110"/>
        <v/>
      </c>
      <c r="ER96" t="str">
        <f t="shared" ca="1" si="111"/>
        <v/>
      </c>
      <c r="ES96" t="str">
        <f t="shared" si="112"/>
        <v/>
      </c>
      <c r="ET96">
        <v>0</v>
      </c>
      <c r="EU96" s="22">
        <v>87</v>
      </c>
      <c r="EX96" s="21" t="str">
        <f ca="1">IF(EX95="","",IF(EX95+1&lt;=MAX('Financial Planning Tool'!$EL$10:$EL$209),EX95+1,""))</f>
        <v/>
      </c>
      <c r="EY96" t="str">
        <f ca="1">IF(EX96&lt;&gt;"",VLOOKUP(EX96,'Financial Planning Tool'!$EL$10:$ER$209,2,FALSE),"")</f>
        <v/>
      </c>
      <c r="EZ96" t="str">
        <f ca="1">IF(EX96&lt;&gt;"",VLOOKUP(EX96,'Financial Planning Tool'!$EL$10:$ER$209,3,FALSE),"")</f>
        <v/>
      </c>
      <c r="FA96" t="str">
        <f ca="1">IF(EX96&lt;&gt;"",VLOOKUP(EX96,'Financial Planning Tool'!$EL$10:$ER$209,4,FALSE),"")</f>
        <v/>
      </c>
      <c r="FB96" t="str">
        <f t="shared" ca="1" si="149"/>
        <v/>
      </c>
      <c r="FC96" s="1" t="str">
        <f ca="1">IF(EX96&lt;&gt;"",VLOOKUP(EX96,'Financial Planning Tool'!$EL$10:$ER$209,5,FALSE),"")</f>
        <v/>
      </c>
      <c r="FD96" s="1" t="str">
        <f ca="1">IF(EX96&lt;&gt;"",VLOOKUP(EX96,'Financial Planning Tool'!$EL$10:$ER$209,6,FALSE),"")</f>
        <v/>
      </c>
      <c r="FE96" t="str">
        <f ca="1">IF(EX96&lt;&gt;"",VLOOKUP(EX96,'Financial Planning Tool'!$EL$10:$ER$209,7,FALSE),"")</f>
        <v/>
      </c>
      <c r="FF96" t="str">
        <f ca="1">IF(EX96&lt;&gt;"",VLOOKUP(EX96,'Financial Planning Tool'!$EL$10:$ES$209,8,FALSE),"")</f>
        <v/>
      </c>
      <c r="FG96" t="str">
        <f ca="1">IF(EX96&lt;&gt;"",VLOOKUP(EX96,'Financial Planning Tool'!$EL$10:$ET$209,9,FALSE),"")</f>
        <v/>
      </c>
      <c r="FH96" t="str">
        <f t="shared" ca="1" si="146"/>
        <v/>
      </c>
      <c r="FI96" s="22" t="str">
        <f t="shared" ca="1" si="147"/>
        <v/>
      </c>
    </row>
    <row r="97" spans="2:165" x14ac:dyDescent="0.25">
      <c r="B97" s="86"/>
      <c r="C97" s="84"/>
      <c r="D97" s="116"/>
      <c r="E97" s="116"/>
      <c r="F97" s="85"/>
      <c r="G97" s="18"/>
      <c r="H97" s="5">
        <f t="shared" ca="1" si="158"/>
        <v>61331</v>
      </c>
      <c r="I97" s="8">
        <f t="shared" ca="1" si="159"/>
        <v>97</v>
      </c>
      <c r="J97" s="12" t="str">
        <f t="shared" ca="1" si="95"/>
        <v/>
      </c>
      <c r="K97" s="12" t="str">
        <f t="shared" ca="1" si="96"/>
        <v/>
      </c>
      <c r="L97" s="12" t="str">
        <f t="shared" ca="1" si="97"/>
        <v/>
      </c>
      <c r="M97" s="12" t="str">
        <f t="shared" ca="1" si="98"/>
        <v/>
      </c>
      <c r="N97" s="12">
        <f t="shared" ca="1" si="99"/>
        <v>-23327.93</v>
      </c>
      <c r="O97" s="12">
        <f t="shared" ca="1" si="100"/>
        <v>-4413.24</v>
      </c>
      <c r="P97" s="12">
        <f t="shared" ca="1" si="101"/>
        <v>120886.47</v>
      </c>
      <c r="Q97" s="12">
        <f t="shared" ca="1" si="102"/>
        <v>22384.33</v>
      </c>
      <c r="S97" s="18"/>
      <c r="T97" s="5">
        <f t="shared" ca="1" si="103"/>
        <v>61331</v>
      </c>
      <c r="U97" s="8">
        <f t="shared" ca="1" si="104"/>
        <v>97</v>
      </c>
      <c r="V97" s="12"/>
      <c r="W97" s="12"/>
      <c r="X97" s="12"/>
      <c r="Y97" s="12"/>
      <c r="Z97" s="12"/>
      <c r="AA97" s="12"/>
      <c r="AB97" s="12">
        <v>13683320.210000001</v>
      </c>
      <c r="AC97" s="12">
        <v>2533715.7999999998</v>
      </c>
      <c r="AE97" s="21">
        <v>44</v>
      </c>
      <c r="AF97" s="22">
        <f t="shared" ca="1" si="157"/>
        <v>1</v>
      </c>
      <c r="AI97" s="21">
        <f t="shared" ca="1" si="94"/>
        <v>1</v>
      </c>
      <c r="AJ97" s="22">
        <v>0</v>
      </c>
      <c r="AN97" s="32">
        <f t="shared" ca="1" si="113"/>
        <v>62.333333333333336</v>
      </c>
      <c r="AO97" s="53">
        <f t="shared" ca="1" si="144"/>
        <v>48335</v>
      </c>
      <c r="AP97" s="22">
        <v>90</v>
      </c>
      <c r="AQ97" s="32">
        <f t="shared" ca="1" si="145"/>
        <v>1787003.2775587628</v>
      </c>
      <c r="AR97" s="23">
        <f t="array" aca="1" ref="AR97" ca="1">SUM(IF(lsc_start_date=AO97,lsc_amount,0))</f>
        <v>0</v>
      </c>
      <c r="AS97" s="24">
        <f t="shared" ca="1" si="119"/>
        <v>0</v>
      </c>
      <c r="AT97" s="24">
        <f t="shared" ca="1" si="120"/>
        <v>0</v>
      </c>
      <c r="AU97" s="24">
        <f t="shared" ca="1" si="121"/>
        <v>0</v>
      </c>
      <c r="AV97" s="25">
        <f t="shared" ca="1" si="122"/>
        <v>0</v>
      </c>
      <c r="AW97" s="23">
        <f t="array" aca="1" ref="AW97" ca="1">SUM(IF(rcs_start_date&lt;=AO97,1,0)*IF(rcs_end_date&gt;=AO97,1,0)*rcs_amount*(1+rcs_escalation/100)^(INT((AP97-rcs_months_since_start)/12))*IF(MOD((AP97-rcs_months_since_start),rcs_frequency)=0,1,0)*IF(rcs_frequency=13,0,1))+SUM(IF(rcs_start_date=AO97,rcs_amount,0)*IF(rcs_frequency=13,1,0))</f>
        <v>5921.6930065612814</v>
      </c>
      <c r="AX97" s="24">
        <f t="shared" ca="1" si="123"/>
        <v>0</v>
      </c>
      <c r="AY97" s="24">
        <f t="shared" ca="1" si="124"/>
        <v>0</v>
      </c>
      <c r="AZ97" s="24">
        <f t="shared" ca="1" si="125"/>
        <v>0</v>
      </c>
      <c r="BA97" s="25">
        <f t="shared" ca="1" si="126"/>
        <v>5921.6930065612814</v>
      </c>
      <c r="BB97" s="23">
        <f t="array" aca="1" ref="BB97" ca="1">SUM(IF(w_start_date&lt;=AO97,1,0)*IF(w_end_date&gt;=AO97,1,0)*w_amount*(1+w_escalation/100)^(INT((AP97-w_months_since_start)/12))*IF(MOD(AP97-w_months_since_start,w_frequency)=0,1,0)*IF(w_frequency=13,0,1))+SUM(IF(w_start_date=AO97,w_amount,0)*IF(w_frequency=13,1,0))</f>
        <v>0</v>
      </c>
      <c r="BC97" s="25">
        <f t="shared" ca="1" si="127"/>
        <v>0</v>
      </c>
      <c r="BD97" s="24" t="b">
        <f t="shared" ca="1" si="128"/>
        <v>0</v>
      </c>
      <c r="BE97" s="24" t="b">
        <f t="shared" ca="1" si="129"/>
        <v>1</v>
      </c>
      <c r="BF97" s="23">
        <f t="array" aca="1" ref="BF97" ca="1">SUM(IF(BD97,1,0)*IF(ap_start_date&lt;=AO97,1,0)*IF(ap_end_date&gt;=AO97,1,0)*ap_amount*(1+ap_escalation/100)^(INT((AP97-ap_months_since_start)/12))*IF(MOD(AP97-ap_months_since_start,ap_frequency)=0,1,0))</f>
        <v>0</v>
      </c>
      <c r="BG97" s="24">
        <f t="shared" ca="1" si="130"/>
        <v>0</v>
      </c>
      <c r="BH97" s="24">
        <f t="shared" ca="1" si="131"/>
        <v>0</v>
      </c>
      <c r="BI97">
        <f t="shared" ca="1" si="132"/>
        <v>0</v>
      </c>
      <c r="BJ97" s="24">
        <f t="shared" ca="1" si="133"/>
        <v>0</v>
      </c>
      <c r="BK97">
        <f t="shared" ca="1" si="134"/>
        <v>0</v>
      </c>
      <c r="BL97" s="25">
        <f t="shared" ca="1" si="135"/>
        <v>0</v>
      </c>
      <c r="BM97" s="32">
        <f t="shared" ca="1" si="114"/>
        <v>1805847.1605097633</v>
      </c>
      <c r="BN97" s="23">
        <f t="shared" ca="1" si="136"/>
        <v>0</v>
      </c>
      <c r="BO97" s="24">
        <f t="shared" ca="1" si="137"/>
        <v>0</v>
      </c>
      <c r="BP97" s="25">
        <f t="shared" ca="1" si="138"/>
        <v>0</v>
      </c>
      <c r="BQ97" s="34">
        <f t="shared" ca="1" si="139"/>
        <v>48365</v>
      </c>
      <c r="BR97" s="23">
        <f t="shared" ca="1" si="140"/>
        <v>1805847.1605097633</v>
      </c>
      <c r="BS97" s="24">
        <f t="shared" ca="1" si="141"/>
        <v>5921.6930065612814</v>
      </c>
      <c r="BT97" s="24">
        <f t="shared" ca="1" si="150"/>
        <v>69693.771538759698</v>
      </c>
      <c r="BU97" s="24">
        <f t="shared" ca="1" si="142"/>
        <v>0</v>
      </c>
      <c r="BV97" s="24">
        <f t="shared" ca="1" si="151"/>
        <v>0</v>
      </c>
      <c r="BW97" s="24">
        <f t="shared" ca="1" si="143"/>
        <v>0</v>
      </c>
      <c r="BX97" s="25">
        <f t="shared" ca="1" si="152"/>
        <v>0</v>
      </c>
      <c r="BY97" s="23">
        <f t="shared" ca="1" si="115"/>
        <v>1345646.3752820697</v>
      </c>
      <c r="BZ97" s="24">
        <f t="shared" ca="1" si="116"/>
        <v>4427.0587874636321</v>
      </c>
      <c r="CA97" s="24">
        <f t="shared" ca="1" si="153"/>
        <v>53041.336037023051</v>
      </c>
      <c r="CB97" s="24">
        <f t="shared" ca="1" si="117"/>
        <v>0</v>
      </c>
      <c r="CC97" s="24">
        <f t="shared" ca="1" si="154"/>
        <v>0</v>
      </c>
      <c r="CD97" s="24">
        <f t="shared" ca="1" si="118"/>
        <v>0</v>
      </c>
      <c r="CE97" s="25">
        <f t="shared" ca="1" si="155"/>
        <v>0</v>
      </c>
      <c r="CF97" s="23">
        <f t="shared" ca="1" si="156"/>
        <v>0</v>
      </c>
      <c r="CG97" s="25">
        <f t="array" aca="1" ref="CG97" ca="1">SUM(BF86:BF97/(1+inflation/100)^(AP86:AP97/12))</f>
        <v>0</v>
      </c>
      <c r="CH97" s="32">
        <f ca="1">IFERROR(IF(MOD(AP97-ap_months_since_start,12)=0,ap_drawdown/100*(AQ97+AV97+BA97-BC97),CH96),0)</f>
        <v>258614.92415346741</v>
      </c>
      <c r="EL97" s="21">
        <f t="shared" ca="1" si="148"/>
        <v>6</v>
      </c>
      <c r="EM97" t="str">
        <f t="shared" ca="1" si="106"/>
        <v/>
      </c>
      <c r="EN97" t="str">
        <f t="shared" ca="1" si="107"/>
        <v/>
      </c>
      <c r="EO97" t="str">
        <f t="shared" ca="1" si="108"/>
        <v/>
      </c>
      <c r="EP97" s="1" t="str">
        <f t="shared" ca="1" si="109"/>
        <v/>
      </c>
      <c r="EQ97" s="1" t="str">
        <f t="shared" ca="1" si="110"/>
        <v/>
      </c>
      <c r="ER97" t="str">
        <f t="shared" ca="1" si="111"/>
        <v/>
      </c>
      <c r="ES97" t="str">
        <f t="shared" si="112"/>
        <v/>
      </c>
      <c r="ET97">
        <v>0</v>
      </c>
      <c r="EU97" s="22">
        <v>88</v>
      </c>
      <c r="EX97" s="21" t="str">
        <f ca="1">IF(EX96="","",IF(EX96+1&lt;=MAX('Financial Planning Tool'!$EL$10:$EL$209),EX96+1,""))</f>
        <v/>
      </c>
      <c r="EY97" t="str">
        <f ca="1">IF(EX97&lt;&gt;"",VLOOKUP(EX97,'Financial Planning Tool'!$EL$10:$ER$209,2,FALSE),"")</f>
        <v/>
      </c>
      <c r="EZ97" t="str">
        <f ca="1">IF(EX97&lt;&gt;"",VLOOKUP(EX97,'Financial Planning Tool'!$EL$10:$ER$209,3,FALSE),"")</f>
        <v/>
      </c>
      <c r="FA97" t="str">
        <f ca="1">IF(EX97&lt;&gt;"",VLOOKUP(EX97,'Financial Planning Tool'!$EL$10:$ER$209,4,FALSE),"")</f>
        <v/>
      </c>
      <c r="FB97" t="str">
        <f t="shared" ca="1" si="149"/>
        <v/>
      </c>
      <c r="FC97" s="1" t="str">
        <f ca="1">IF(EX97&lt;&gt;"",VLOOKUP(EX97,'Financial Planning Tool'!$EL$10:$ER$209,5,FALSE),"")</f>
        <v/>
      </c>
      <c r="FD97" s="1" t="str">
        <f ca="1">IF(EX97&lt;&gt;"",VLOOKUP(EX97,'Financial Planning Tool'!$EL$10:$ER$209,6,FALSE),"")</f>
        <v/>
      </c>
      <c r="FE97" t="str">
        <f ca="1">IF(EX97&lt;&gt;"",VLOOKUP(EX97,'Financial Planning Tool'!$EL$10:$ER$209,7,FALSE),"")</f>
        <v/>
      </c>
      <c r="FF97" t="str">
        <f ca="1">IF(EX97&lt;&gt;"",VLOOKUP(EX97,'Financial Planning Tool'!$EL$10:$ES$209,8,FALSE),"")</f>
        <v/>
      </c>
      <c r="FG97" t="str">
        <f ca="1">IF(EX97&lt;&gt;"",VLOOKUP(EX97,'Financial Planning Tool'!$EL$10:$ET$209,9,FALSE),"")</f>
        <v/>
      </c>
      <c r="FH97" t="str">
        <f t="shared" ca="1" si="146"/>
        <v/>
      </c>
      <c r="FI97" s="22" t="str">
        <f t="shared" ca="1" si="147"/>
        <v/>
      </c>
    </row>
    <row r="98" spans="2:165" x14ac:dyDescent="0.25">
      <c r="B98" s="86"/>
      <c r="C98" s="84"/>
      <c r="D98" s="116"/>
      <c r="E98" s="116"/>
      <c r="F98" s="85"/>
      <c r="G98" s="18"/>
      <c r="H98" s="5">
        <f t="shared" ca="1" si="158"/>
        <v>61697</v>
      </c>
      <c r="I98" s="8">
        <f t="shared" ca="1" si="159"/>
        <v>98</v>
      </c>
      <c r="J98" s="12" t="str">
        <f t="shared" ca="1" si="95"/>
        <v/>
      </c>
      <c r="K98" s="12" t="str">
        <f t="shared" ca="1" si="96"/>
        <v/>
      </c>
      <c r="L98" s="12" t="str">
        <f t="shared" ca="1" si="97"/>
        <v/>
      </c>
      <c r="M98" s="12" t="str">
        <f t="shared" ca="1" si="98"/>
        <v/>
      </c>
      <c r="N98" s="12">
        <f t="shared" ca="1" si="99"/>
        <v>-21148.66</v>
      </c>
      <c r="O98" s="12">
        <f t="shared" ca="1" si="100"/>
        <v>-3847.08</v>
      </c>
      <c r="P98" s="12">
        <f t="shared" ca="1" si="101"/>
        <v>109593.39</v>
      </c>
      <c r="Q98" s="12">
        <f t="shared" ca="1" si="102"/>
        <v>19512.7</v>
      </c>
      <c r="S98" s="18"/>
      <c r="T98" s="5">
        <f t="shared" ca="1" si="103"/>
        <v>61697</v>
      </c>
      <c r="U98" s="8">
        <f t="shared" ca="1" si="104"/>
        <v>98</v>
      </c>
      <c r="V98" s="12"/>
      <c r="W98" s="12"/>
      <c r="X98" s="12"/>
      <c r="Y98" s="12"/>
      <c r="Z98" s="12"/>
      <c r="AA98" s="12"/>
      <c r="AB98" s="12">
        <v>14777985.83</v>
      </c>
      <c r="AC98" s="12">
        <v>2631166.41</v>
      </c>
      <c r="AE98" s="21">
        <v>45</v>
      </c>
      <c r="AF98" s="22">
        <f t="shared" ca="1" si="157"/>
        <v>1</v>
      </c>
      <c r="AI98" s="21">
        <f t="shared" ca="1" si="94"/>
        <v>1</v>
      </c>
      <c r="AJ98" s="22">
        <v>0</v>
      </c>
      <c r="AN98" s="32">
        <f t="shared" ca="1" si="113"/>
        <v>62.416666666666664</v>
      </c>
      <c r="AO98" s="53">
        <f t="shared" ca="1" si="144"/>
        <v>48366</v>
      </c>
      <c r="AP98" s="22">
        <v>91</v>
      </c>
      <c r="AQ98" s="32">
        <f t="shared" ca="1" si="145"/>
        <v>1805847.1605097633</v>
      </c>
      <c r="AR98" s="23">
        <f t="array" aca="1" ref="AR98" ca="1">SUM(IF(lsc_start_date=AO98,lsc_amount,0))</f>
        <v>0</v>
      </c>
      <c r="AS98" s="24">
        <f t="shared" ca="1" si="119"/>
        <v>0</v>
      </c>
      <c r="AT98" s="24">
        <f t="shared" ca="1" si="120"/>
        <v>0</v>
      </c>
      <c r="AU98" s="24">
        <f t="shared" ca="1" si="121"/>
        <v>0</v>
      </c>
      <c r="AV98" s="25">
        <f t="shared" ca="1" si="122"/>
        <v>0</v>
      </c>
      <c r="AW98" s="23">
        <f t="array" aca="1" ref="AW98" ca="1">SUM(IF(rcs_start_date&lt;=AO98,1,0)*IF(rcs_end_date&gt;=AO98,1,0)*rcs_amount*(1+rcs_escalation/100)^(INT((AP98-rcs_months_since_start)/12))*IF(MOD((AP98-rcs_months_since_start),rcs_frequency)=0,1,0)*IF(rcs_frequency=13,0,1))+SUM(IF(rcs_start_date=AO98,rcs_amount,0)*IF(rcs_frequency=13,1,0))</f>
        <v>5921.6930065612814</v>
      </c>
      <c r="AX98" s="24">
        <f t="shared" ca="1" si="123"/>
        <v>0</v>
      </c>
      <c r="AY98" s="24">
        <f t="shared" ca="1" si="124"/>
        <v>0</v>
      </c>
      <c r="AZ98" s="24">
        <f t="shared" ca="1" si="125"/>
        <v>0</v>
      </c>
      <c r="BA98" s="25">
        <f t="shared" ca="1" si="126"/>
        <v>5921.6930065612814</v>
      </c>
      <c r="BB98" s="23">
        <f t="array" aca="1" ref="BB98" ca="1">SUM(IF(w_start_date&lt;=AO98,1,0)*IF(w_end_date&gt;=AO98,1,0)*w_amount*(1+w_escalation/100)^(INT((AP98-w_months_since_start)/12))*IF(MOD(AP98-w_months_since_start,w_frequency)=0,1,0)*IF(w_frequency=13,0,1))+SUM(IF(w_start_date=AO98,w_amount,0)*IF(w_frequency=13,1,0))</f>
        <v>0</v>
      </c>
      <c r="BC98" s="25">
        <f t="shared" ca="1" si="127"/>
        <v>0</v>
      </c>
      <c r="BD98" s="24" t="b">
        <f t="shared" ca="1" si="128"/>
        <v>0</v>
      </c>
      <c r="BE98" s="24" t="b">
        <f t="shared" ca="1" si="129"/>
        <v>1</v>
      </c>
      <c r="BF98" s="23">
        <f t="array" aca="1" ref="BF98" ca="1">SUM(IF(BD98,1,0)*IF(ap_start_date&lt;=AO98,1,0)*IF(ap_end_date&gt;=AO98,1,0)*ap_amount*(1+ap_escalation/100)^(INT((AP98-ap_months_since_start)/12))*IF(MOD(AP98-ap_months_since_start,ap_frequency)=0,1,0))</f>
        <v>0</v>
      </c>
      <c r="BG98" s="24">
        <f t="shared" ca="1" si="130"/>
        <v>0</v>
      </c>
      <c r="BH98" s="24">
        <f t="shared" ca="1" si="131"/>
        <v>0</v>
      </c>
      <c r="BI98">
        <f t="shared" ca="1" si="132"/>
        <v>0</v>
      </c>
      <c r="BJ98" s="24">
        <f t="shared" ca="1" si="133"/>
        <v>0</v>
      </c>
      <c r="BK98">
        <f t="shared" ca="1" si="134"/>
        <v>0</v>
      </c>
      <c r="BL98" s="25">
        <f t="shared" ca="1" si="135"/>
        <v>0</v>
      </c>
      <c r="BM98" s="32">
        <f t="shared" ca="1" si="114"/>
        <v>1824826.8574177232</v>
      </c>
      <c r="BN98" s="23">
        <f t="shared" ca="1" si="136"/>
        <v>0</v>
      </c>
      <c r="BO98" s="24">
        <f t="shared" ca="1" si="137"/>
        <v>0</v>
      </c>
      <c r="BP98" s="25">
        <f t="shared" ca="1" si="138"/>
        <v>0</v>
      </c>
      <c r="BQ98" s="34">
        <f t="shared" ca="1" si="139"/>
        <v>48395</v>
      </c>
      <c r="BR98" s="23">
        <f t="shared" ca="1" si="140"/>
        <v>1824826.8574177232</v>
      </c>
      <c r="BS98" s="24">
        <f t="shared" ca="1" si="141"/>
        <v>5921.6930065612814</v>
      </c>
      <c r="BT98" s="24">
        <f t="shared" ca="1" si="150"/>
        <v>69921.528962088982</v>
      </c>
      <c r="BU98" s="24">
        <f t="shared" ca="1" si="142"/>
        <v>0</v>
      </c>
      <c r="BV98" s="24">
        <f t="shared" ca="1" si="151"/>
        <v>0</v>
      </c>
      <c r="BW98" s="24">
        <f t="shared" ca="1" si="143"/>
        <v>0</v>
      </c>
      <c r="BX98" s="25">
        <f t="shared" ca="1" si="152"/>
        <v>0</v>
      </c>
      <c r="BY98" s="23">
        <f t="shared" ca="1" si="115"/>
        <v>1355352.2294349836</v>
      </c>
      <c r="BZ98" s="24">
        <f t="shared" ca="1" si="116"/>
        <v>4412.6130406091406</v>
      </c>
      <c r="CA98" s="24">
        <f t="shared" ca="1" si="153"/>
        <v>53041.336037023051</v>
      </c>
      <c r="CB98" s="24">
        <f t="shared" ca="1" si="117"/>
        <v>0</v>
      </c>
      <c r="CC98" s="24">
        <f t="shared" ca="1" si="154"/>
        <v>0</v>
      </c>
      <c r="CD98" s="24">
        <f t="shared" ca="1" si="118"/>
        <v>0</v>
      </c>
      <c r="CE98" s="25">
        <f t="shared" ca="1" si="155"/>
        <v>0</v>
      </c>
      <c r="CF98" s="23">
        <f t="shared" ca="1" si="156"/>
        <v>0</v>
      </c>
      <c r="CG98" s="25">
        <f t="array" aca="1" ref="CG98" ca="1">SUM(BF87:BF98/(1+inflation/100)^(AP87:AP98/12))</f>
        <v>0</v>
      </c>
      <c r="CH98" s="32">
        <f ca="1">IFERROR(IF(MOD(AP98-ap_months_since_start,12)=0,ap_drawdown/100*(AQ98+AV98+BA98-BC98),CH97),0)</f>
        <v>258614.92415346741</v>
      </c>
      <c r="EL98" s="21">
        <f t="shared" ca="1" si="148"/>
        <v>6</v>
      </c>
      <c r="EM98" t="str">
        <f t="shared" ca="1" si="106"/>
        <v/>
      </c>
      <c r="EN98" t="str">
        <f t="shared" ca="1" si="107"/>
        <v/>
      </c>
      <c r="EO98" t="str">
        <f t="shared" ca="1" si="108"/>
        <v/>
      </c>
      <c r="EP98" s="1" t="str">
        <f t="shared" ca="1" si="109"/>
        <v/>
      </c>
      <c r="EQ98" s="1" t="str">
        <f t="shared" ca="1" si="110"/>
        <v/>
      </c>
      <c r="ER98" t="str">
        <f t="shared" ca="1" si="111"/>
        <v/>
      </c>
      <c r="ES98" t="str">
        <f t="shared" si="112"/>
        <v/>
      </c>
      <c r="ET98">
        <v>0</v>
      </c>
      <c r="EU98" s="22">
        <v>89</v>
      </c>
      <c r="EX98" s="21" t="str">
        <f ca="1">IF(EX97="","",IF(EX97+1&lt;=MAX('Financial Planning Tool'!$EL$10:$EL$209),EX97+1,""))</f>
        <v/>
      </c>
      <c r="EY98" t="str">
        <f ca="1">IF(EX98&lt;&gt;"",VLOOKUP(EX98,'Financial Planning Tool'!$EL$10:$ER$209,2,FALSE),"")</f>
        <v/>
      </c>
      <c r="EZ98" t="str">
        <f ca="1">IF(EX98&lt;&gt;"",VLOOKUP(EX98,'Financial Planning Tool'!$EL$10:$ER$209,3,FALSE),"")</f>
        <v/>
      </c>
      <c r="FA98" t="str">
        <f ca="1">IF(EX98&lt;&gt;"",VLOOKUP(EX98,'Financial Planning Tool'!$EL$10:$ER$209,4,FALSE),"")</f>
        <v/>
      </c>
      <c r="FB98" t="str">
        <f t="shared" ca="1" si="149"/>
        <v/>
      </c>
      <c r="FC98" s="1" t="str">
        <f ca="1">IF(EX98&lt;&gt;"",VLOOKUP(EX98,'Financial Planning Tool'!$EL$10:$ER$209,5,FALSE),"")</f>
        <v/>
      </c>
      <c r="FD98" s="1" t="str">
        <f ca="1">IF(EX98&lt;&gt;"",VLOOKUP(EX98,'Financial Planning Tool'!$EL$10:$ER$209,6,FALSE),"")</f>
        <v/>
      </c>
      <c r="FE98" t="str">
        <f ca="1">IF(EX98&lt;&gt;"",VLOOKUP(EX98,'Financial Planning Tool'!$EL$10:$ER$209,7,FALSE),"")</f>
        <v/>
      </c>
      <c r="FF98" t="str">
        <f ca="1">IF(EX98&lt;&gt;"",VLOOKUP(EX98,'Financial Planning Tool'!$EL$10:$ES$209,8,FALSE),"")</f>
        <v/>
      </c>
      <c r="FG98" t="str">
        <f ca="1">IF(EX98&lt;&gt;"",VLOOKUP(EX98,'Financial Planning Tool'!$EL$10:$ET$209,9,FALSE),"")</f>
        <v/>
      </c>
      <c r="FH98" t="str">
        <f t="shared" ca="1" si="146"/>
        <v/>
      </c>
      <c r="FI98" s="22" t="str">
        <f t="shared" ca="1" si="147"/>
        <v/>
      </c>
    </row>
    <row r="99" spans="2:165" x14ac:dyDescent="0.25">
      <c r="B99" s="95"/>
      <c r="C99" s="96"/>
      <c r="D99" s="119"/>
      <c r="E99" s="119"/>
      <c r="F99" s="94"/>
      <c r="G99" s="18"/>
      <c r="H99" s="5">
        <f t="shared" ca="1" si="158"/>
        <v>62062</v>
      </c>
      <c r="I99" s="8">
        <f t="shared" ca="1" si="159"/>
        <v>99</v>
      </c>
      <c r="J99" s="12" t="str">
        <f t="shared" ca="1" si="95"/>
        <v/>
      </c>
      <c r="K99" s="12" t="str">
        <f t="shared" ca="1" si="96"/>
        <v/>
      </c>
      <c r="L99" s="12" t="str">
        <f t="shared" ca="1" si="97"/>
        <v/>
      </c>
      <c r="M99" s="12" t="str">
        <f t="shared" ca="1" si="98"/>
        <v/>
      </c>
      <c r="N99" s="12">
        <f t="shared" ca="1" si="99"/>
        <v>-19172.97</v>
      </c>
      <c r="O99" s="12">
        <f t="shared" ca="1" si="100"/>
        <v>-3353.54</v>
      </c>
      <c r="P99" s="12">
        <f t="shared" ca="1" si="101"/>
        <v>99355.29</v>
      </c>
      <c r="Q99" s="12">
        <f t="shared" ca="1" si="102"/>
        <v>17009.47</v>
      </c>
      <c r="S99" s="18"/>
      <c r="T99" s="5">
        <f t="shared" ca="1" si="103"/>
        <v>62062</v>
      </c>
      <c r="U99" s="8">
        <f t="shared" ca="1" si="104"/>
        <v>99</v>
      </c>
      <c r="V99" s="12"/>
      <c r="W99" s="12"/>
      <c r="X99" s="12"/>
      <c r="Y99" s="12"/>
      <c r="Z99" s="12"/>
      <c r="AA99" s="12"/>
      <c r="AB99" s="12">
        <v>15960224.699999999</v>
      </c>
      <c r="AC99" s="12">
        <v>2732365.12</v>
      </c>
      <c r="AE99" s="21">
        <v>46</v>
      </c>
      <c r="AF99" s="22">
        <f t="shared" ca="1" si="157"/>
        <v>1</v>
      </c>
      <c r="AI99" s="21">
        <f t="shared" ca="1" si="94"/>
        <v>1</v>
      </c>
      <c r="AJ99" s="22">
        <v>0</v>
      </c>
      <c r="AN99" s="32">
        <f t="shared" ca="1" si="113"/>
        <v>62.5</v>
      </c>
      <c r="AO99" s="53">
        <f t="shared" ca="1" si="144"/>
        <v>48396</v>
      </c>
      <c r="AP99" s="22">
        <v>92</v>
      </c>
      <c r="AQ99" s="32">
        <f t="shared" ca="1" si="145"/>
        <v>1824826.8574177232</v>
      </c>
      <c r="AR99" s="23">
        <f t="array" aca="1" ref="AR99" ca="1">SUM(IF(lsc_start_date=AO99,lsc_amount,0))</f>
        <v>0</v>
      </c>
      <c r="AS99" s="24">
        <f t="shared" ca="1" si="119"/>
        <v>0</v>
      </c>
      <c r="AT99" s="24">
        <f t="shared" ca="1" si="120"/>
        <v>0</v>
      </c>
      <c r="AU99" s="24">
        <f t="shared" ca="1" si="121"/>
        <v>0</v>
      </c>
      <c r="AV99" s="25">
        <f t="shared" ca="1" si="122"/>
        <v>0</v>
      </c>
      <c r="AW99" s="23">
        <f t="array" aca="1" ref="AW99" ca="1">SUM(IF(rcs_start_date&lt;=AO99,1,0)*IF(rcs_end_date&gt;=AO99,1,0)*rcs_amount*(1+rcs_escalation/100)^(INT((AP99-rcs_months_since_start)/12))*IF(MOD((AP99-rcs_months_since_start),rcs_frequency)=0,1,0)*IF(rcs_frequency=13,0,1))+SUM(IF(rcs_start_date=AO99,rcs_amount,0)*IF(rcs_frequency=13,1,0))</f>
        <v>5921.6930065612814</v>
      </c>
      <c r="AX99" s="24">
        <f t="shared" ca="1" si="123"/>
        <v>0</v>
      </c>
      <c r="AY99" s="24">
        <f t="shared" ca="1" si="124"/>
        <v>0</v>
      </c>
      <c r="AZ99" s="24">
        <f t="shared" ca="1" si="125"/>
        <v>0</v>
      </c>
      <c r="BA99" s="25">
        <f t="shared" ca="1" si="126"/>
        <v>5921.6930065612814</v>
      </c>
      <c r="BB99" s="23">
        <f t="array" aca="1" ref="BB99" ca="1">SUM(IF(w_start_date&lt;=AO99,1,0)*IF(w_end_date&gt;=AO99,1,0)*w_amount*(1+w_escalation/100)^(INT((AP99-w_months_since_start)/12))*IF(MOD(AP99-w_months_since_start,w_frequency)=0,1,0)*IF(w_frequency=13,0,1))+SUM(IF(w_start_date=AO99,w_amount,0)*IF(w_frequency=13,1,0))</f>
        <v>0</v>
      </c>
      <c r="BC99" s="25">
        <f t="shared" ca="1" si="127"/>
        <v>0</v>
      </c>
      <c r="BD99" s="24" t="b">
        <f t="shared" ca="1" si="128"/>
        <v>0</v>
      </c>
      <c r="BE99" s="24" t="b">
        <f t="shared" ca="1" si="129"/>
        <v>1</v>
      </c>
      <c r="BF99" s="23">
        <f t="array" aca="1" ref="BF99" ca="1">SUM(IF(BD99,1,0)*IF(ap_start_date&lt;=AO99,1,0)*IF(ap_end_date&gt;=AO99,1,0)*ap_amount*(1+ap_escalation/100)^(INT((AP99-ap_months_since_start)/12))*IF(MOD(AP99-ap_months_since_start,ap_frequency)=0,1,0))</f>
        <v>0</v>
      </c>
      <c r="BG99" s="24">
        <f t="shared" ca="1" si="130"/>
        <v>0</v>
      </c>
      <c r="BH99" s="24">
        <f t="shared" ca="1" si="131"/>
        <v>0</v>
      </c>
      <c r="BI99">
        <f t="shared" ca="1" si="132"/>
        <v>0</v>
      </c>
      <c r="BJ99" s="24">
        <f t="shared" ca="1" si="133"/>
        <v>0</v>
      </c>
      <c r="BK99">
        <f t="shared" ca="1" si="134"/>
        <v>0</v>
      </c>
      <c r="BL99" s="25">
        <f t="shared" ca="1" si="135"/>
        <v>0</v>
      </c>
      <c r="BM99" s="32">
        <f t="shared" ca="1" si="114"/>
        <v>1843943.347137741</v>
      </c>
      <c r="BN99" s="23">
        <f t="shared" ca="1" si="136"/>
        <v>0</v>
      </c>
      <c r="BO99" s="24">
        <f t="shared" ca="1" si="137"/>
        <v>0</v>
      </c>
      <c r="BP99" s="25">
        <f t="shared" ca="1" si="138"/>
        <v>0</v>
      </c>
      <c r="BQ99" s="34">
        <f t="shared" ca="1" si="139"/>
        <v>48426</v>
      </c>
      <c r="BR99" s="23">
        <f t="shared" ca="1" si="140"/>
        <v>1843943.347137741</v>
      </c>
      <c r="BS99" s="24">
        <f t="shared" ca="1" si="141"/>
        <v>5921.6930065612814</v>
      </c>
      <c r="BT99" s="24">
        <f t="shared" ca="1" si="150"/>
        <v>70149.286385418265</v>
      </c>
      <c r="BU99" s="24">
        <f t="shared" ca="1" si="142"/>
        <v>0</v>
      </c>
      <c r="BV99" s="24">
        <f t="shared" ca="1" si="151"/>
        <v>0</v>
      </c>
      <c r="BW99" s="24">
        <f t="shared" ca="1" si="143"/>
        <v>0</v>
      </c>
      <c r="BX99" s="25">
        <f t="shared" ca="1" si="152"/>
        <v>0</v>
      </c>
      <c r="BY99" s="23">
        <f t="shared" ca="1" si="115"/>
        <v>1365081.6827335265</v>
      </c>
      <c r="BZ99" s="24">
        <f t="shared" ca="1" si="116"/>
        <v>4398.2144310555532</v>
      </c>
      <c r="CA99" s="24">
        <f t="shared" ca="1" si="153"/>
        <v>53041.336037023044</v>
      </c>
      <c r="CB99" s="24">
        <f t="shared" ca="1" si="117"/>
        <v>0</v>
      </c>
      <c r="CC99" s="24">
        <f t="shared" ca="1" si="154"/>
        <v>0</v>
      </c>
      <c r="CD99" s="24">
        <f t="shared" ca="1" si="118"/>
        <v>0</v>
      </c>
      <c r="CE99" s="25">
        <f t="shared" ca="1" si="155"/>
        <v>0</v>
      </c>
      <c r="CF99" s="23">
        <f t="shared" ca="1" si="156"/>
        <v>0</v>
      </c>
      <c r="CG99" s="25">
        <f t="array" aca="1" ref="CG99" ca="1">SUM(BF88:BF99/(1+inflation/100)^(AP88:AP99/12))</f>
        <v>0</v>
      </c>
      <c r="CH99" s="32">
        <f ca="1">IFERROR(IF(MOD(AP99-ap_months_since_start,12)=0,ap_drawdown/100*(AQ99+AV99+BA99-BC99),CH98),0)</f>
        <v>258614.92415346741</v>
      </c>
      <c r="EL99" s="21">
        <f t="shared" ca="1" si="148"/>
        <v>6</v>
      </c>
      <c r="EM99" t="str">
        <f t="shared" ca="1" si="106"/>
        <v/>
      </c>
      <c r="EN99" t="str">
        <f t="shared" ca="1" si="107"/>
        <v/>
      </c>
      <c r="EO99" t="str">
        <f t="shared" ca="1" si="108"/>
        <v/>
      </c>
      <c r="EP99" s="1" t="str">
        <f t="shared" ca="1" si="109"/>
        <v/>
      </c>
      <c r="EQ99" s="1" t="str">
        <f t="shared" ca="1" si="110"/>
        <v/>
      </c>
      <c r="ER99" t="str">
        <f t="shared" ca="1" si="111"/>
        <v/>
      </c>
      <c r="ES99" t="str">
        <f t="shared" si="112"/>
        <v/>
      </c>
      <c r="ET99">
        <v>0</v>
      </c>
      <c r="EU99" s="22">
        <v>90</v>
      </c>
      <c r="EX99" s="21" t="str">
        <f ca="1">IF(EX98="","",IF(EX98+1&lt;=MAX('Financial Planning Tool'!$EL$10:$EL$209),EX98+1,""))</f>
        <v/>
      </c>
      <c r="EY99" t="str">
        <f ca="1">IF(EX99&lt;&gt;"",VLOOKUP(EX99,'Financial Planning Tool'!$EL$10:$ER$209,2,FALSE),"")</f>
        <v/>
      </c>
      <c r="EZ99" t="str">
        <f ca="1">IF(EX99&lt;&gt;"",VLOOKUP(EX99,'Financial Planning Tool'!$EL$10:$ER$209,3,FALSE),"")</f>
        <v/>
      </c>
      <c r="FA99" t="str">
        <f ca="1">IF(EX99&lt;&gt;"",VLOOKUP(EX99,'Financial Planning Tool'!$EL$10:$ER$209,4,FALSE),"")</f>
        <v/>
      </c>
      <c r="FB99" t="str">
        <f t="shared" ca="1" si="149"/>
        <v/>
      </c>
      <c r="FC99" s="1" t="str">
        <f ca="1">IF(EX99&lt;&gt;"",VLOOKUP(EX99,'Financial Planning Tool'!$EL$10:$ER$209,5,FALSE),"")</f>
        <v/>
      </c>
      <c r="FD99" s="1" t="str">
        <f ca="1">IF(EX99&lt;&gt;"",VLOOKUP(EX99,'Financial Planning Tool'!$EL$10:$ER$209,6,FALSE),"")</f>
        <v/>
      </c>
      <c r="FE99" t="str">
        <f ca="1">IF(EX99&lt;&gt;"",VLOOKUP(EX99,'Financial Planning Tool'!$EL$10:$ER$209,7,FALSE),"")</f>
        <v/>
      </c>
      <c r="FF99" t="str">
        <f ca="1">IF(EX99&lt;&gt;"",VLOOKUP(EX99,'Financial Planning Tool'!$EL$10:$ES$209,8,FALSE),"")</f>
        <v/>
      </c>
      <c r="FG99" t="str">
        <f ca="1">IF(EX99&lt;&gt;"",VLOOKUP(EX99,'Financial Planning Tool'!$EL$10:$ET$209,9,FALSE),"")</f>
        <v/>
      </c>
      <c r="FH99" t="str">
        <f t="shared" ca="1" si="146"/>
        <v/>
      </c>
      <c r="FI99" s="22" t="str">
        <f t="shared" ca="1" si="147"/>
        <v/>
      </c>
    </row>
    <row r="100" spans="2:165" x14ac:dyDescent="0.25">
      <c r="F100" s="89"/>
      <c r="G100" s="18"/>
      <c r="H100" s="5">
        <f t="shared" ca="1" si="158"/>
        <v>62427</v>
      </c>
      <c r="I100" s="8">
        <f t="shared" ca="1" si="159"/>
        <v>100</v>
      </c>
      <c r="J100" s="12" t="str">
        <f t="shared" ca="1" si="95"/>
        <v/>
      </c>
      <c r="K100" s="12" t="str">
        <f t="shared" ca="1" si="96"/>
        <v/>
      </c>
      <c r="L100" s="12" t="str">
        <f t="shared" ca="1" si="97"/>
        <v/>
      </c>
      <c r="M100" s="12" t="str">
        <f t="shared" ca="1" si="98"/>
        <v/>
      </c>
      <c r="N100" s="12">
        <f t="shared" ca="1" si="99"/>
        <v>-17381.849999999999</v>
      </c>
      <c r="O100" s="12">
        <f t="shared" ca="1" si="100"/>
        <v>-2923.33</v>
      </c>
      <c r="P100" s="12">
        <f t="shared" ca="1" si="101"/>
        <v>90073.62</v>
      </c>
      <c r="Q100" s="12">
        <f t="shared" ca="1" si="102"/>
        <v>14827.37</v>
      </c>
      <c r="S100" s="18"/>
      <c r="T100" s="5">
        <f t="shared" ca="1" si="103"/>
        <v>62427</v>
      </c>
      <c r="U100" s="8">
        <f t="shared" ca="1" si="104"/>
        <v>100</v>
      </c>
      <c r="V100" s="12"/>
      <c r="W100" s="12"/>
      <c r="X100" s="12"/>
      <c r="Y100" s="12"/>
      <c r="Z100" s="12"/>
      <c r="AA100" s="12"/>
      <c r="AB100" s="12">
        <v>17237042.670000002</v>
      </c>
      <c r="AC100" s="12">
        <v>2837456.09</v>
      </c>
      <c r="AE100" s="21">
        <v>47</v>
      </c>
      <c r="AF100" s="22">
        <f t="shared" ca="1" si="157"/>
        <v>1</v>
      </c>
      <c r="AI100" s="21">
        <f t="shared" ca="1" si="94"/>
        <v>1</v>
      </c>
      <c r="AJ100" s="22">
        <v>0</v>
      </c>
      <c r="AN100" s="32">
        <f t="shared" ca="1" si="113"/>
        <v>62.583333333333336</v>
      </c>
      <c r="AO100" s="53">
        <f t="shared" ca="1" si="144"/>
        <v>48427</v>
      </c>
      <c r="AP100" s="22">
        <v>93</v>
      </c>
      <c r="AQ100" s="32">
        <f t="shared" ca="1" si="145"/>
        <v>1843943.347137741</v>
      </c>
      <c r="AR100" s="23">
        <f t="array" aca="1" ref="AR100" ca="1">SUM(IF(lsc_start_date=AO100,lsc_amount,0))</f>
        <v>0</v>
      </c>
      <c r="AS100" s="24">
        <f t="shared" ca="1" si="119"/>
        <v>0</v>
      </c>
      <c r="AT100" s="24">
        <f t="shared" ca="1" si="120"/>
        <v>0</v>
      </c>
      <c r="AU100" s="24">
        <f t="shared" ca="1" si="121"/>
        <v>0</v>
      </c>
      <c r="AV100" s="25">
        <f t="shared" ca="1" si="122"/>
        <v>0</v>
      </c>
      <c r="AW100" s="23">
        <f t="array" aca="1" ref="AW100" ca="1">SUM(IF(rcs_start_date&lt;=AO100,1,0)*IF(rcs_end_date&gt;=AO100,1,0)*rcs_amount*(1+rcs_escalation/100)^(INT((AP100-rcs_months_since_start)/12))*IF(MOD((AP100-rcs_months_since_start),rcs_frequency)=0,1,0)*IF(rcs_frequency=13,0,1))+SUM(IF(rcs_start_date=AO100,rcs_amount,0)*IF(rcs_frequency=13,1,0))</f>
        <v>5921.6930065612814</v>
      </c>
      <c r="AX100" s="24">
        <f t="shared" ca="1" si="123"/>
        <v>0</v>
      </c>
      <c r="AY100" s="24">
        <f t="shared" ca="1" si="124"/>
        <v>0</v>
      </c>
      <c r="AZ100" s="24">
        <f t="shared" ca="1" si="125"/>
        <v>0</v>
      </c>
      <c r="BA100" s="25">
        <f t="shared" ca="1" si="126"/>
        <v>5921.6930065612814</v>
      </c>
      <c r="BB100" s="23">
        <f t="array" aca="1" ref="BB100" ca="1">SUM(IF(w_start_date&lt;=AO100,1,0)*IF(w_end_date&gt;=AO100,1,0)*w_amount*(1+w_escalation/100)^(INT((AP100-w_months_since_start)/12))*IF(MOD(AP100-w_months_since_start,w_frequency)=0,1,0)*IF(w_frequency=13,0,1))+SUM(IF(w_start_date=AO100,w_amount,0)*IF(w_frequency=13,1,0))</f>
        <v>0</v>
      </c>
      <c r="BC100" s="25">
        <f t="shared" ca="1" si="127"/>
        <v>0</v>
      </c>
      <c r="BD100" s="24" t="b">
        <f t="shared" ca="1" si="128"/>
        <v>0</v>
      </c>
      <c r="BE100" s="24" t="b">
        <f t="shared" ca="1" si="129"/>
        <v>1</v>
      </c>
      <c r="BF100" s="23">
        <f t="array" aca="1" ref="BF100" ca="1">SUM(IF(BD100,1,0)*IF(ap_start_date&lt;=AO100,1,0)*IF(ap_end_date&gt;=AO100,1,0)*ap_amount*(1+ap_escalation/100)^(INT((AP100-ap_months_since_start)/12))*IF(MOD(AP100-ap_months_since_start,ap_frequency)=0,1,0))</f>
        <v>0</v>
      </c>
      <c r="BG100" s="24">
        <f t="shared" ca="1" si="130"/>
        <v>0</v>
      </c>
      <c r="BH100" s="24">
        <f t="shared" ca="1" si="131"/>
        <v>0</v>
      </c>
      <c r="BI100">
        <f t="shared" ca="1" si="132"/>
        <v>0</v>
      </c>
      <c r="BJ100" s="24">
        <f t="shared" ca="1" si="133"/>
        <v>0</v>
      </c>
      <c r="BK100">
        <f t="shared" ca="1" si="134"/>
        <v>0</v>
      </c>
      <c r="BL100" s="25">
        <f t="shared" ca="1" si="135"/>
        <v>0</v>
      </c>
      <c r="BM100" s="32">
        <f t="shared" ca="1" si="114"/>
        <v>1863197.6155798407</v>
      </c>
      <c r="BN100" s="23">
        <f t="shared" ca="1" si="136"/>
        <v>0</v>
      </c>
      <c r="BO100" s="24">
        <f t="shared" ca="1" si="137"/>
        <v>0</v>
      </c>
      <c r="BP100" s="25">
        <f t="shared" ca="1" si="138"/>
        <v>0</v>
      </c>
      <c r="BQ100" s="34">
        <f t="shared" ca="1" si="139"/>
        <v>48457</v>
      </c>
      <c r="BR100" s="23">
        <f t="shared" ca="1" si="140"/>
        <v>1863197.6155798407</v>
      </c>
      <c r="BS100" s="24">
        <f t="shared" ca="1" si="141"/>
        <v>5921.6930065612814</v>
      </c>
      <c r="BT100" s="24">
        <f t="shared" ca="1" si="150"/>
        <v>70377.043808747549</v>
      </c>
      <c r="BU100" s="24">
        <f t="shared" ca="1" si="142"/>
        <v>0</v>
      </c>
      <c r="BV100" s="24">
        <f t="shared" ca="1" si="151"/>
        <v>0</v>
      </c>
      <c r="BW100" s="24">
        <f t="shared" ca="1" si="143"/>
        <v>0</v>
      </c>
      <c r="BX100" s="25">
        <f t="shared" ca="1" si="152"/>
        <v>0</v>
      </c>
      <c r="BY100" s="23">
        <f t="shared" ca="1" si="115"/>
        <v>1374834.8748717017</v>
      </c>
      <c r="BZ100" s="24">
        <f t="shared" ca="1" si="116"/>
        <v>4383.8628049911513</v>
      </c>
      <c r="CA100" s="24">
        <f t="shared" ca="1" si="153"/>
        <v>53041.336037023044</v>
      </c>
      <c r="CB100" s="24">
        <f t="shared" ca="1" si="117"/>
        <v>0</v>
      </c>
      <c r="CC100" s="24">
        <f t="shared" ca="1" si="154"/>
        <v>0</v>
      </c>
      <c r="CD100" s="24">
        <f t="shared" ca="1" si="118"/>
        <v>0</v>
      </c>
      <c r="CE100" s="25">
        <f t="shared" ca="1" si="155"/>
        <v>0</v>
      </c>
      <c r="CF100" s="23">
        <f t="shared" ca="1" si="156"/>
        <v>0</v>
      </c>
      <c r="CG100" s="25">
        <f t="array" aca="1" ref="CG100" ca="1">SUM(BF89:BF100/(1+inflation/100)^(AP89:AP100/12))</f>
        <v>0</v>
      </c>
      <c r="CH100" s="32">
        <f ca="1">IFERROR(IF(MOD(AP100-ap_months_since_start,12)=0,ap_drawdown/100*(AQ100+AV100+BA100-BC100),CH99),0)</f>
        <v>258614.92415346741</v>
      </c>
      <c r="EL100" s="21">
        <f t="shared" ca="1" si="148"/>
        <v>6</v>
      </c>
      <c r="EM100" t="str">
        <f t="shared" ca="1" si="106"/>
        <v/>
      </c>
      <c r="EN100" t="str">
        <f t="shared" ca="1" si="107"/>
        <v/>
      </c>
      <c r="EO100" t="str">
        <f t="shared" ca="1" si="108"/>
        <v/>
      </c>
      <c r="EP100" s="1" t="str">
        <f t="shared" ca="1" si="109"/>
        <v/>
      </c>
      <c r="EQ100" s="1" t="str">
        <f t="shared" ca="1" si="110"/>
        <v/>
      </c>
      <c r="ER100" t="str">
        <f t="shared" ca="1" si="111"/>
        <v/>
      </c>
      <c r="ES100" t="str">
        <f t="shared" si="112"/>
        <v/>
      </c>
      <c r="ET100">
        <v>0</v>
      </c>
      <c r="EU100" s="22">
        <v>91</v>
      </c>
      <c r="EX100" s="21" t="str">
        <f ca="1">IF(EX99="","",IF(EX99+1&lt;=MAX('Financial Planning Tool'!$EL$10:$EL$209),EX99+1,""))</f>
        <v/>
      </c>
      <c r="EY100" t="str">
        <f ca="1">IF(EX100&lt;&gt;"",VLOOKUP(EX100,'Financial Planning Tool'!$EL$10:$ER$209,2,FALSE),"")</f>
        <v/>
      </c>
      <c r="EZ100" t="str">
        <f ca="1">IF(EX100&lt;&gt;"",VLOOKUP(EX100,'Financial Planning Tool'!$EL$10:$ER$209,3,FALSE),"")</f>
        <v/>
      </c>
      <c r="FA100" t="str">
        <f ca="1">IF(EX100&lt;&gt;"",VLOOKUP(EX100,'Financial Planning Tool'!$EL$10:$ER$209,4,FALSE),"")</f>
        <v/>
      </c>
      <c r="FB100" t="str">
        <f t="shared" ca="1" si="149"/>
        <v/>
      </c>
      <c r="FC100" s="1" t="str">
        <f ca="1">IF(EX100&lt;&gt;"",VLOOKUP(EX100,'Financial Planning Tool'!$EL$10:$ER$209,5,FALSE),"")</f>
        <v/>
      </c>
      <c r="FD100" s="1" t="str">
        <f ca="1">IF(EX100&lt;&gt;"",VLOOKUP(EX100,'Financial Planning Tool'!$EL$10:$ER$209,6,FALSE),"")</f>
        <v/>
      </c>
      <c r="FE100" t="str">
        <f ca="1">IF(EX100&lt;&gt;"",VLOOKUP(EX100,'Financial Planning Tool'!$EL$10:$ER$209,7,FALSE),"")</f>
        <v/>
      </c>
      <c r="FF100" t="str">
        <f ca="1">IF(EX100&lt;&gt;"",VLOOKUP(EX100,'Financial Planning Tool'!$EL$10:$ES$209,8,FALSE),"")</f>
        <v/>
      </c>
      <c r="FG100" t="str">
        <f ca="1">IF(EX100&lt;&gt;"",VLOOKUP(EX100,'Financial Planning Tool'!$EL$10:$ET$209,9,FALSE),"")</f>
        <v/>
      </c>
      <c r="FH100" t="str">
        <f t="shared" ca="1" si="146"/>
        <v/>
      </c>
      <c r="FI100" s="22" t="str">
        <f t="shared" ca="1" si="147"/>
        <v/>
      </c>
    </row>
    <row r="101" spans="2:165" x14ac:dyDescent="0.25">
      <c r="B101" s="97" t="s">
        <v>163</v>
      </c>
      <c r="C101" s="98"/>
      <c r="D101" s="120"/>
      <c r="E101" s="98"/>
      <c r="F101" s="99"/>
      <c r="G101" s="18"/>
      <c r="H101" s="5">
        <f t="shared" ca="1" si="158"/>
        <v>62792</v>
      </c>
      <c r="I101" s="8">
        <f t="shared" ca="1" si="159"/>
        <v>101</v>
      </c>
      <c r="J101" s="12" t="str">
        <f t="shared" ca="1" si="95"/>
        <v/>
      </c>
      <c r="K101" s="12" t="str">
        <f t="shared" ca="1" si="96"/>
        <v/>
      </c>
      <c r="L101" s="12" t="str">
        <f t="shared" ca="1" si="97"/>
        <v/>
      </c>
      <c r="M101" s="12" t="str">
        <f t="shared" ca="1" si="98"/>
        <v/>
      </c>
      <c r="N101" s="12">
        <f t="shared" ca="1" si="99"/>
        <v>-15758.06</v>
      </c>
      <c r="O101" s="12">
        <f t="shared" ca="1" si="100"/>
        <v>-2548.3000000000002</v>
      </c>
      <c r="P101" s="12">
        <f t="shared" ca="1" si="101"/>
        <v>81659.039999999994</v>
      </c>
      <c r="Q101" s="12">
        <f t="shared" ca="1" si="102"/>
        <v>12925.2</v>
      </c>
      <c r="S101" s="18"/>
      <c r="T101" s="5">
        <f t="shared" ca="1" si="103"/>
        <v>62792</v>
      </c>
      <c r="U101" s="8">
        <f t="shared" ca="1" si="104"/>
        <v>101</v>
      </c>
      <c r="V101" s="12"/>
      <c r="W101" s="12"/>
      <c r="X101" s="12"/>
      <c r="Y101" s="12"/>
      <c r="Z101" s="12"/>
      <c r="AA101" s="12"/>
      <c r="AB101" s="12">
        <v>18616006.079999998</v>
      </c>
      <c r="AC101" s="12">
        <v>2946589.01</v>
      </c>
      <c r="AE101" s="21">
        <v>48</v>
      </c>
      <c r="AF101" s="22">
        <f t="shared" ca="1" si="157"/>
        <v>1</v>
      </c>
      <c r="AI101" s="21">
        <f t="shared" ca="1" si="94"/>
        <v>1</v>
      </c>
      <c r="AJ101" s="22">
        <v>0</v>
      </c>
      <c r="AN101" s="32">
        <f t="shared" ca="1" si="113"/>
        <v>62.666666666666664</v>
      </c>
      <c r="AO101" s="53">
        <f t="shared" ca="1" si="144"/>
        <v>48458</v>
      </c>
      <c r="AP101" s="22">
        <v>94</v>
      </c>
      <c r="AQ101" s="32">
        <f t="shared" ca="1" si="145"/>
        <v>1863197.6155798407</v>
      </c>
      <c r="AR101" s="23">
        <f t="array" aca="1" ref="AR101" ca="1">SUM(IF(lsc_start_date=AO101,lsc_amount,0))</f>
        <v>0</v>
      </c>
      <c r="AS101" s="24">
        <f t="shared" ca="1" si="119"/>
        <v>0</v>
      </c>
      <c r="AT101" s="24">
        <f t="shared" ca="1" si="120"/>
        <v>0</v>
      </c>
      <c r="AU101" s="24">
        <f t="shared" ca="1" si="121"/>
        <v>0</v>
      </c>
      <c r="AV101" s="25">
        <f t="shared" ca="1" si="122"/>
        <v>0</v>
      </c>
      <c r="AW101" s="23">
        <f t="array" aca="1" ref="AW101" ca="1">SUM(IF(rcs_start_date&lt;=AO101,1,0)*IF(rcs_end_date&gt;=AO101,1,0)*rcs_amount*(1+rcs_escalation/100)^(INT((AP101-rcs_months_since_start)/12))*IF(MOD((AP101-rcs_months_since_start),rcs_frequency)=0,1,0)*IF(rcs_frequency=13,0,1))+SUM(IF(rcs_start_date=AO101,rcs_amount,0)*IF(rcs_frequency=13,1,0))</f>
        <v>5921.6930065612814</v>
      </c>
      <c r="AX101" s="24">
        <f t="shared" ca="1" si="123"/>
        <v>0</v>
      </c>
      <c r="AY101" s="24">
        <f t="shared" ca="1" si="124"/>
        <v>0</v>
      </c>
      <c r="AZ101" s="24">
        <f t="shared" ca="1" si="125"/>
        <v>0</v>
      </c>
      <c r="BA101" s="25">
        <f t="shared" ca="1" si="126"/>
        <v>5921.6930065612814</v>
      </c>
      <c r="BB101" s="23">
        <f t="array" aca="1" ref="BB101" ca="1">SUM(IF(w_start_date&lt;=AO101,1,0)*IF(w_end_date&gt;=AO101,1,0)*w_amount*(1+w_escalation/100)^(INT((AP101-w_months_since_start)/12))*IF(MOD(AP101-w_months_since_start,w_frequency)=0,1,0)*IF(w_frequency=13,0,1))+SUM(IF(w_start_date=AO101,w_amount,0)*IF(w_frequency=13,1,0))</f>
        <v>0</v>
      </c>
      <c r="BC101" s="25">
        <f t="shared" ca="1" si="127"/>
        <v>0</v>
      </c>
      <c r="BD101" s="24" t="b">
        <f t="shared" ca="1" si="128"/>
        <v>0</v>
      </c>
      <c r="BE101" s="24" t="b">
        <f t="shared" ca="1" si="129"/>
        <v>1</v>
      </c>
      <c r="BF101" s="23">
        <f t="array" aca="1" ref="BF101" ca="1">SUM(IF(BD101,1,0)*IF(ap_start_date&lt;=AO101,1,0)*IF(ap_end_date&gt;=AO101,1,0)*ap_amount*(1+ap_escalation/100)^(INT((AP101-ap_months_since_start)/12))*IF(MOD(AP101-ap_months_since_start,ap_frequency)=0,1,0))</f>
        <v>0</v>
      </c>
      <c r="BG101" s="24">
        <f t="shared" ca="1" si="130"/>
        <v>0</v>
      </c>
      <c r="BH101" s="24">
        <f t="shared" ca="1" si="131"/>
        <v>0</v>
      </c>
      <c r="BI101">
        <f t="shared" ca="1" si="132"/>
        <v>0</v>
      </c>
      <c r="BJ101" s="24">
        <f t="shared" ca="1" si="133"/>
        <v>0</v>
      </c>
      <c r="BK101">
        <f t="shared" ca="1" si="134"/>
        <v>0</v>
      </c>
      <c r="BL101" s="25">
        <f t="shared" ca="1" si="135"/>
        <v>0</v>
      </c>
      <c r="BM101" s="32">
        <f t="shared" ca="1" si="114"/>
        <v>1882590.6557598182</v>
      </c>
      <c r="BN101" s="23">
        <f t="shared" ca="1" si="136"/>
        <v>0</v>
      </c>
      <c r="BO101" s="24">
        <f t="shared" ca="1" si="137"/>
        <v>0</v>
      </c>
      <c r="BP101" s="25">
        <f t="shared" ca="1" si="138"/>
        <v>0</v>
      </c>
      <c r="BQ101" s="34">
        <f t="shared" ca="1" si="139"/>
        <v>48487</v>
      </c>
      <c r="BR101" s="23">
        <f t="shared" ca="1" si="140"/>
        <v>1882590.6557598182</v>
      </c>
      <c r="BS101" s="24">
        <f t="shared" ca="1" si="141"/>
        <v>5921.6930065612814</v>
      </c>
      <c r="BT101" s="24">
        <f t="shared" ca="1" si="150"/>
        <v>70604.801232076832</v>
      </c>
      <c r="BU101" s="24">
        <f t="shared" ca="1" si="142"/>
        <v>0</v>
      </c>
      <c r="BV101" s="24">
        <f t="shared" ca="1" si="151"/>
        <v>0</v>
      </c>
      <c r="BW101" s="24">
        <f t="shared" ca="1" si="143"/>
        <v>0</v>
      </c>
      <c r="BX101" s="25">
        <f t="shared" ca="1" si="152"/>
        <v>0</v>
      </c>
      <c r="BY101" s="23">
        <f t="shared" ca="1" si="115"/>
        <v>1384611.9459373057</v>
      </c>
      <c r="BZ101" s="24">
        <f t="shared" ca="1" si="116"/>
        <v>4369.5580091061156</v>
      </c>
      <c r="CA101" s="24">
        <f t="shared" ca="1" si="153"/>
        <v>53041.336037023044</v>
      </c>
      <c r="CB101" s="24">
        <f t="shared" ca="1" si="117"/>
        <v>0</v>
      </c>
      <c r="CC101" s="24">
        <f t="shared" ca="1" si="154"/>
        <v>0</v>
      </c>
      <c r="CD101" s="24">
        <f t="shared" ca="1" si="118"/>
        <v>0</v>
      </c>
      <c r="CE101" s="25">
        <f t="shared" ca="1" si="155"/>
        <v>0</v>
      </c>
      <c r="CF101" s="23">
        <f t="shared" ca="1" si="156"/>
        <v>0</v>
      </c>
      <c r="CG101" s="25">
        <f t="array" aca="1" ref="CG101" ca="1">SUM(BF90:BF101/(1+inflation/100)^(AP90:AP101/12))</f>
        <v>0</v>
      </c>
      <c r="CH101" s="32">
        <f ca="1">IFERROR(IF(MOD(AP101-ap_months_since_start,12)=0,ap_drawdown/100*(AQ101+AV101+BA101-BC101),CH100),0)</f>
        <v>258614.92415346741</v>
      </c>
      <c r="EL101" s="21">
        <f t="shared" ca="1" si="148"/>
        <v>6</v>
      </c>
      <c r="EM101" t="str">
        <f t="shared" ca="1" si="106"/>
        <v/>
      </c>
      <c r="EN101" t="str">
        <f t="shared" ca="1" si="107"/>
        <v/>
      </c>
      <c r="EO101" t="str">
        <f t="shared" ca="1" si="108"/>
        <v/>
      </c>
      <c r="EP101" s="1" t="str">
        <f t="shared" ca="1" si="109"/>
        <v/>
      </c>
      <c r="EQ101" s="1" t="str">
        <f t="shared" ca="1" si="110"/>
        <v/>
      </c>
      <c r="ER101" t="str">
        <f t="shared" ca="1" si="111"/>
        <v/>
      </c>
      <c r="ES101" t="str">
        <f t="shared" si="112"/>
        <v/>
      </c>
      <c r="ET101">
        <v>0</v>
      </c>
      <c r="EU101" s="22">
        <v>92</v>
      </c>
      <c r="EX101" s="21" t="str">
        <f ca="1">IF(EX100="","",IF(EX100+1&lt;=MAX('Financial Planning Tool'!$EL$10:$EL$209),EX100+1,""))</f>
        <v/>
      </c>
      <c r="EY101" t="str">
        <f ca="1">IF(EX101&lt;&gt;"",VLOOKUP(EX101,'Financial Planning Tool'!$EL$10:$ER$209,2,FALSE),"")</f>
        <v/>
      </c>
      <c r="EZ101" t="str">
        <f ca="1">IF(EX101&lt;&gt;"",VLOOKUP(EX101,'Financial Planning Tool'!$EL$10:$ER$209,3,FALSE),"")</f>
        <v/>
      </c>
      <c r="FA101" t="str">
        <f ca="1">IF(EX101&lt;&gt;"",VLOOKUP(EX101,'Financial Planning Tool'!$EL$10:$ER$209,4,FALSE),"")</f>
        <v/>
      </c>
      <c r="FB101" t="str">
        <f t="shared" ca="1" si="149"/>
        <v/>
      </c>
      <c r="FC101" s="1" t="str">
        <f ca="1">IF(EX101&lt;&gt;"",VLOOKUP(EX101,'Financial Planning Tool'!$EL$10:$ER$209,5,FALSE),"")</f>
        <v/>
      </c>
      <c r="FD101" s="1" t="str">
        <f ca="1">IF(EX101&lt;&gt;"",VLOOKUP(EX101,'Financial Planning Tool'!$EL$10:$ER$209,6,FALSE),"")</f>
        <v/>
      </c>
      <c r="FE101" t="str">
        <f ca="1">IF(EX101&lt;&gt;"",VLOOKUP(EX101,'Financial Planning Tool'!$EL$10:$ER$209,7,FALSE),"")</f>
        <v/>
      </c>
      <c r="FF101" t="str">
        <f ca="1">IF(EX101&lt;&gt;"",VLOOKUP(EX101,'Financial Planning Tool'!$EL$10:$ES$209,8,FALSE),"")</f>
        <v/>
      </c>
      <c r="FG101" t="str">
        <f ca="1">IF(EX101&lt;&gt;"",VLOOKUP(EX101,'Financial Planning Tool'!$EL$10:$ET$209,9,FALSE),"")</f>
        <v/>
      </c>
      <c r="FH101" t="str">
        <f t="shared" ca="1" si="146"/>
        <v/>
      </c>
      <c r="FI101" s="22" t="str">
        <f t="shared" ca="1" si="147"/>
        <v/>
      </c>
    </row>
    <row r="102" spans="2:165" x14ac:dyDescent="0.25">
      <c r="B102" s="78" t="s">
        <v>194</v>
      </c>
      <c r="C102" s="76"/>
      <c r="D102" s="141"/>
      <c r="E102" s="141"/>
      <c r="F102" s="77"/>
      <c r="G102" s="18"/>
      <c r="H102" s="5">
        <f t="shared" ca="1" si="158"/>
        <v>63158</v>
      </c>
      <c r="I102" s="8">
        <f t="shared" ca="1" si="159"/>
        <v>102</v>
      </c>
      <c r="J102" s="12" t="str">
        <f t="shared" ca="1" si="95"/>
        <v/>
      </c>
      <c r="K102" s="12" t="str">
        <f t="shared" ca="1" si="96"/>
        <v/>
      </c>
      <c r="L102" s="12" t="str">
        <f t="shared" ca="1" si="97"/>
        <v/>
      </c>
      <c r="M102" s="12" t="str">
        <f t="shared" ca="1" si="98"/>
        <v/>
      </c>
      <c r="N102" s="12">
        <f t="shared" ca="1" si="99"/>
        <v>-14285.96</v>
      </c>
      <c r="O102" s="12">
        <f t="shared" ca="1" si="100"/>
        <v>-2221.39</v>
      </c>
      <c r="P102" s="12">
        <f t="shared" ca="1" si="101"/>
        <v>74030.539999999994</v>
      </c>
      <c r="Q102" s="12">
        <f t="shared" ca="1" si="102"/>
        <v>11267.06</v>
      </c>
      <c r="S102" s="18"/>
      <c r="T102" s="5">
        <f t="shared" ca="1" si="103"/>
        <v>63158</v>
      </c>
      <c r="U102" s="8">
        <f t="shared" ca="1" si="104"/>
        <v>102</v>
      </c>
      <c r="V102" s="12"/>
      <c r="W102" s="12"/>
      <c r="X102" s="12"/>
      <c r="Y102" s="12"/>
      <c r="Z102" s="12"/>
      <c r="AA102" s="12"/>
      <c r="AB102" s="12">
        <v>20105286.57</v>
      </c>
      <c r="AC102" s="12">
        <v>3059919.36</v>
      </c>
      <c r="AE102" s="21">
        <v>49</v>
      </c>
      <c r="AF102" s="22">
        <f t="shared" ca="1" si="157"/>
        <v>1</v>
      </c>
      <c r="AI102" s="21">
        <f t="shared" ca="1" si="94"/>
        <v>1</v>
      </c>
      <c r="AJ102" s="22">
        <v>0</v>
      </c>
      <c r="AN102" s="32">
        <f t="shared" ca="1" si="113"/>
        <v>62.75</v>
      </c>
      <c r="AO102" s="53">
        <f t="shared" ca="1" si="144"/>
        <v>48488</v>
      </c>
      <c r="AP102" s="22">
        <v>95</v>
      </c>
      <c r="AQ102" s="32">
        <f t="shared" ca="1" si="145"/>
        <v>1882590.6557598182</v>
      </c>
      <c r="AR102" s="23">
        <f t="array" aca="1" ref="AR102" ca="1">SUM(IF(lsc_start_date=AO102,lsc_amount,0))</f>
        <v>0</v>
      </c>
      <c r="AS102" s="24">
        <f t="shared" ca="1" si="119"/>
        <v>0</v>
      </c>
      <c r="AT102" s="24">
        <f t="shared" ca="1" si="120"/>
        <v>0</v>
      </c>
      <c r="AU102" s="24">
        <f t="shared" ca="1" si="121"/>
        <v>0</v>
      </c>
      <c r="AV102" s="25">
        <f t="shared" ca="1" si="122"/>
        <v>0</v>
      </c>
      <c r="AW102" s="23">
        <f t="array" aca="1" ref="AW102" ca="1">SUM(IF(rcs_start_date&lt;=AO102,1,0)*IF(rcs_end_date&gt;=AO102,1,0)*rcs_amount*(1+rcs_escalation/100)^(INT((AP102-rcs_months_since_start)/12))*IF(MOD((AP102-rcs_months_since_start),rcs_frequency)=0,1,0)*IF(rcs_frequency=13,0,1))+SUM(IF(rcs_start_date=AO102,rcs_amount,0)*IF(rcs_frequency=13,1,0))</f>
        <v>5921.6930065612814</v>
      </c>
      <c r="AX102" s="24">
        <f t="shared" ca="1" si="123"/>
        <v>0</v>
      </c>
      <c r="AY102" s="24">
        <f t="shared" ca="1" si="124"/>
        <v>0</v>
      </c>
      <c r="AZ102" s="24">
        <f t="shared" ca="1" si="125"/>
        <v>0</v>
      </c>
      <c r="BA102" s="25">
        <f t="shared" ca="1" si="126"/>
        <v>5921.6930065612814</v>
      </c>
      <c r="BB102" s="23">
        <f t="array" aca="1" ref="BB102" ca="1">SUM(IF(w_start_date&lt;=AO102,1,0)*IF(w_end_date&gt;=AO102,1,0)*w_amount*(1+w_escalation/100)^(INT((AP102-w_months_since_start)/12))*IF(MOD(AP102-w_months_since_start,w_frequency)=0,1,0)*IF(w_frequency=13,0,1))+SUM(IF(w_start_date=AO102,w_amount,0)*IF(w_frequency=13,1,0))</f>
        <v>0</v>
      </c>
      <c r="BC102" s="25">
        <f t="shared" ca="1" si="127"/>
        <v>0</v>
      </c>
      <c r="BD102" s="24" t="b">
        <f t="shared" ca="1" si="128"/>
        <v>0</v>
      </c>
      <c r="BE102" s="24" t="b">
        <f t="shared" ca="1" si="129"/>
        <v>1</v>
      </c>
      <c r="BF102" s="23">
        <f t="array" aca="1" ref="BF102" ca="1">SUM(IF(BD102,1,0)*IF(ap_start_date&lt;=AO102,1,0)*IF(ap_end_date&gt;=AO102,1,0)*ap_amount*(1+ap_escalation/100)^(INT((AP102-ap_months_since_start)/12))*IF(MOD(AP102-ap_months_since_start,ap_frequency)=0,1,0))</f>
        <v>0</v>
      </c>
      <c r="BG102" s="24">
        <f t="shared" ca="1" si="130"/>
        <v>0</v>
      </c>
      <c r="BH102" s="24">
        <f t="shared" ca="1" si="131"/>
        <v>0</v>
      </c>
      <c r="BI102">
        <f t="shared" ca="1" si="132"/>
        <v>0</v>
      </c>
      <c r="BJ102" s="24">
        <f t="shared" ca="1" si="133"/>
        <v>0</v>
      </c>
      <c r="BK102">
        <f t="shared" ca="1" si="134"/>
        <v>0</v>
      </c>
      <c r="BL102" s="25">
        <f t="shared" ca="1" si="135"/>
        <v>0</v>
      </c>
      <c r="BM102" s="32">
        <f t="shared" ca="1" si="114"/>
        <v>1902123.4678504555</v>
      </c>
      <c r="BN102" s="23">
        <f t="shared" ca="1" si="136"/>
        <v>0</v>
      </c>
      <c r="BO102" s="24">
        <f t="shared" ca="1" si="137"/>
        <v>0</v>
      </c>
      <c r="BP102" s="25">
        <f t="shared" ca="1" si="138"/>
        <v>0</v>
      </c>
      <c r="BQ102" s="34">
        <f t="shared" ca="1" si="139"/>
        <v>48518</v>
      </c>
      <c r="BR102" s="23">
        <f t="shared" ca="1" si="140"/>
        <v>1902123.4678504555</v>
      </c>
      <c r="BS102" s="24">
        <f t="shared" ca="1" si="141"/>
        <v>5921.6930065612814</v>
      </c>
      <c r="BT102" s="24">
        <f t="shared" ca="1" si="150"/>
        <v>70832.558655406116</v>
      </c>
      <c r="BU102" s="24">
        <f t="shared" ca="1" si="142"/>
        <v>0</v>
      </c>
      <c r="BV102" s="24">
        <f t="shared" ca="1" si="151"/>
        <v>0</v>
      </c>
      <c r="BW102" s="24">
        <f t="shared" ca="1" si="143"/>
        <v>0</v>
      </c>
      <c r="BX102" s="25">
        <f t="shared" ca="1" si="152"/>
        <v>0</v>
      </c>
      <c r="BY102" s="23">
        <f t="shared" ca="1" si="115"/>
        <v>1394413.0364139774</v>
      </c>
      <c r="BZ102" s="24">
        <f t="shared" ca="1" si="116"/>
        <v>4355.2998905908808</v>
      </c>
      <c r="CA102" s="24">
        <f t="shared" ca="1" si="153"/>
        <v>53041.336037023044</v>
      </c>
      <c r="CB102" s="24">
        <f t="shared" ca="1" si="117"/>
        <v>0</v>
      </c>
      <c r="CC102" s="24">
        <f t="shared" ca="1" si="154"/>
        <v>0</v>
      </c>
      <c r="CD102" s="24">
        <f t="shared" ca="1" si="118"/>
        <v>0</v>
      </c>
      <c r="CE102" s="25">
        <f t="shared" ca="1" si="155"/>
        <v>0</v>
      </c>
      <c r="CF102" s="23">
        <f t="shared" ca="1" si="156"/>
        <v>0</v>
      </c>
      <c r="CG102" s="25">
        <f t="array" aca="1" ref="CG102" ca="1">SUM(BF91:BF102/(1+inflation/100)^(AP91:AP102/12))</f>
        <v>0</v>
      </c>
      <c r="CH102" s="32">
        <f ca="1">IFERROR(IF(MOD(AP102-ap_months_since_start,12)=0,ap_drawdown/100*(AQ102+AV102+BA102-BC102),CH101),0)</f>
        <v>258614.92415346741</v>
      </c>
      <c r="EL102" s="21">
        <f t="shared" ca="1" si="148"/>
        <v>6</v>
      </c>
      <c r="EM102" t="str">
        <f t="shared" ca="1" si="106"/>
        <v/>
      </c>
      <c r="EN102" t="str">
        <f t="shared" ca="1" si="107"/>
        <v/>
      </c>
      <c r="EO102" t="str">
        <f t="shared" ca="1" si="108"/>
        <v/>
      </c>
      <c r="EP102" s="1" t="str">
        <f t="shared" ca="1" si="109"/>
        <v/>
      </c>
      <c r="EQ102" s="1" t="str">
        <f t="shared" ca="1" si="110"/>
        <v/>
      </c>
      <c r="ER102" t="str">
        <f t="shared" ca="1" si="111"/>
        <v/>
      </c>
      <c r="ES102" t="str">
        <f t="shared" si="112"/>
        <v/>
      </c>
      <c r="ET102">
        <v>0</v>
      </c>
      <c r="EU102" s="22">
        <v>93</v>
      </c>
      <c r="EX102" s="21" t="str">
        <f ca="1">IF(EX101="","",IF(EX101+1&lt;=MAX('Financial Planning Tool'!$EL$10:$EL$209),EX101+1,""))</f>
        <v/>
      </c>
      <c r="EY102" t="str">
        <f ca="1">IF(EX102&lt;&gt;"",VLOOKUP(EX102,'Financial Planning Tool'!$EL$10:$ER$209,2,FALSE),"")</f>
        <v/>
      </c>
      <c r="EZ102" t="str">
        <f ca="1">IF(EX102&lt;&gt;"",VLOOKUP(EX102,'Financial Planning Tool'!$EL$10:$ER$209,3,FALSE),"")</f>
        <v/>
      </c>
      <c r="FA102" t="str">
        <f ca="1">IF(EX102&lt;&gt;"",VLOOKUP(EX102,'Financial Planning Tool'!$EL$10:$ER$209,4,FALSE),"")</f>
        <v/>
      </c>
      <c r="FB102" t="str">
        <f t="shared" ca="1" si="149"/>
        <v/>
      </c>
      <c r="FC102" s="1" t="str">
        <f ca="1">IF(EX102&lt;&gt;"",VLOOKUP(EX102,'Financial Planning Tool'!$EL$10:$ER$209,5,FALSE),"")</f>
        <v/>
      </c>
      <c r="FD102" s="1" t="str">
        <f ca="1">IF(EX102&lt;&gt;"",VLOOKUP(EX102,'Financial Planning Tool'!$EL$10:$ER$209,6,FALSE),"")</f>
        <v/>
      </c>
      <c r="FE102" t="str">
        <f ca="1">IF(EX102&lt;&gt;"",VLOOKUP(EX102,'Financial Planning Tool'!$EL$10:$ER$209,7,FALSE),"")</f>
        <v/>
      </c>
      <c r="FF102" t="str">
        <f ca="1">IF(EX102&lt;&gt;"",VLOOKUP(EX102,'Financial Planning Tool'!$EL$10:$ES$209,8,FALSE),"")</f>
        <v/>
      </c>
      <c r="FG102" t="str">
        <f ca="1">IF(EX102&lt;&gt;"",VLOOKUP(EX102,'Financial Planning Tool'!$EL$10:$ET$209,9,FALSE),"")</f>
        <v/>
      </c>
      <c r="FH102" t="str">
        <f t="shared" ca="1" si="146"/>
        <v/>
      </c>
      <c r="FI102" s="22" t="str">
        <f t="shared" ca="1" si="147"/>
        <v/>
      </c>
    </row>
    <row r="103" spans="2:165" x14ac:dyDescent="0.25">
      <c r="B103" s="78" t="s">
        <v>196</v>
      </c>
      <c r="C103" s="76"/>
      <c r="D103" s="144"/>
      <c r="E103" s="144"/>
      <c r="F103" s="77"/>
      <c r="G103" s="18"/>
      <c r="H103" s="5">
        <f t="shared" ca="1" si="158"/>
        <v>63523</v>
      </c>
      <c r="I103" s="8">
        <f t="shared" ca="1" si="159"/>
        <v>103</v>
      </c>
      <c r="J103" s="12" t="str">
        <f t="shared" ca="1" si="95"/>
        <v/>
      </c>
      <c r="K103" s="12" t="str">
        <f t="shared" ca="1" si="96"/>
        <v/>
      </c>
      <c r="L103" s="12" t="str">
        <f t="shared" ca="1" si="97"/>
        <v/>
      </c>
      <c r="M103" s="12" t="str">
        <f t="shared" ca="1" si="98"/>
        <v/>
      </c>
      <c r="N103" s="12">
        <f t="shared" ca="1" si="99"/>
        <v>-12951.38</v>
      </c>
      <c r="O103" s="12">
        <f t="shared" ca="1" si="100"/>
        <v>-1936.41</v>
      </c>
      <c r="P103" s="12">
        <f t="shared" ca="1" si="101"/>
        <v>67114.679999999993</v>
      </c>
      <c r="Q103" s="12">
        <f t="shared" ca="1" si="102"/>
        <v>9821.64</v>
      </c>
      <c r="S103" s="18"/>
      <c r="T103" s="5">
        <f t="shared" ca="1" si="103"/>
        <v>63523</v>
      </c>
      <c r="U103" s="8">
        <f t="shared" ca="1" si="104"/>
        <v>103</v>
      </c>
      <c r="V103" s="12"/>
      <c r="W103" s="12"/>
      <c r="X103" s="12"/>
      <c r="Y103" s="12"/>
      <c r="Z103" s="12"/>
      <c r="AA103" s="12"/>
      <c r="AB103" s="12">
        <v>21713709.5</v>
      </c>
      <c r="AC103" s="12">
        <v>3177608.57</v>
      </c>
      <c r="AE103" s="21">
        <v>50</v>
      </c>
      <c r="AF103" s="22">
        <f t="shared" ca="1" si="157"/>
        <v>1</v>
      </c>
      <c r="AI103" s="21">
        <f t="shared" ca="1" si="94"/>
        <v>1</v>
      </c>
      <c r="AJ103" s="22">
        <v>0</v>
      </c>
      <c r="AN103" s="32">
        <f t="shared" ca="1" si="113"/>
        <v>62.833333333333336</v>
      </c>
      <c r="AO103" s="53">
        <f t="shared" ca="1" si="144"/>
        <v>48519</v>
      </c>
      <c r="AP103" s="22">
        <v>96</v>
      </c>
      <c r="AQ103" s="32">
        <f t="shared" ca="1" si="145"/>
        <v>1902123.4678504555</v>
      </c>
      <c r="AR103" s="23">
        <f t="array" aca="1" ref="AR103" ca="1">SUM(IF(lsc_start_date=AO103,lsc_amount,0))</f>
        <v>0</v>
      </c>
      <c r="AS103" s="24">
        <f t="shared" ca="1" si="119"/>
        <v>0</v>
      </c>
      <c r="AT103" s="24">
        <f t="shared" ca="1" si="120"/>
        <v>0</v>
      </c>
      <c r="AU103" s="24">
        <f t="shared" ca="1" si="121"/>
        <v>0</v>
      </c>
      <c r="AV103" s="25">
        <f t="shared" ca="1" si="122"/>
        <v>0</v>
      </c>
      <c r="AW103" s="23">
        <f t="array" aca="1" ref="AW103" ca="1">SUM(IF(rcs_start_date&lt;=AO103,1,0)*IF(rcs_end_date&gt;=AO103,1,0)*rcs_amount*(1+rcs_escalation/100)^(INT((AP103-rcs_months_since_start)/12))*IF(MOD((AP103-rcs_months_since_start),rcs_frequency)=0,1,0)*IF(rcs_frequency=13,0,1))+SUM(IF(rcs_start_date=AO103,rcs_amount,0)*IF(rcs_frequency=13,1,0))</f>
        <v>5921.6930065612814</v>
      </c>
      <c r="AX103" s="24">
        <f t="shared" ca="1" si="123"/>
        <v>0</v>
      </c>
      <c r="AY103" s="24">
        <f t="shared" ca="1" si="124"/>
        <v>0</v>
      </c>
      <c r="AZ103" s="24">
        <f t="shared" ca="1" si="125"/>
        <v>0</v>
      </c>
      <c r="BA103" s="25">
        <f t="shared" ca="1" si="126"/>
        <v>5921.6930065612814</v>
      </c>
      <c r="BB103" s="23">
        <f t="array" aca="1" ref="BB103" ca="1">SUM(IF(w_start_date&lt;=AO103,1,0)*IF(w_end_date&gt;=AO103,1,0)*w_amount*(1+w_escalation/100)^(INT((AP103-w_months_since_start)/12))*IF(MOD(AP103-w_months_since_start,w_frequency)=0,1,0)*IF(w_frequency=13,0,1))+SUM(IF(w_start_date=AO103,w_amount,0)*IF(w_frequency=13,1,0))</f>
        <v>0</v>
      </c>
      <c r="BC103" s="25">
        <f t="shared" ca="1" si="127"/>
        <v>0</v>
      </c>
      <c r="BD103" s="24" t="b">
        <f t="shared" ca="1" si="128"/>
        <v>0</v>
      </c>
      <c r="BE103" s="24" t="b">
        <f t="shared" ca="1" si="129"/>
        <v>1</v>
      </c>
      <c r="BF103" s="23">
        <f t="array" aca="1" ref="BF103" ca="1">SUM(IF(BD103,1,0)*IF(ap_start_date&lt;=AO103,1,0)*IF(ap_end_date&gt;=AO103,1,0)*ap_amount*(1+ap_escalation/100)^(INT((AP103-ap_months_since_start)/12))*IF(MOD(AP103-ap_months_since_start,ap_frequency)=0,1,0))</f>
        <v>0</v>
      </c>
      <c r="BG103" s="24">
        <f t="shared" ca="1" si="130"/>
        <v>0</v>
      </c>
      <c r="BH103" s="24">
        <f t="shared" ca="1" si="131"/>
        <v>0</v>
      </c>
      <c r="BI103">
        <f t="shared" ca="1" si="132"/>
        <v>0</v>
      </c>
      <c r="BJ103" s="24">
        <f t="shared" ca="1" si="133"/>
        <v>0</v>
      </c>
      <c r="BK103">
        <f t="shared" ca="1" si="134"/>
        <v>0</v>
      </c>
      <c r="BL103" s="25">
        <f t="shared" ca="1" si="135"/>
        <v>0</v>
      </c>
      <c r="BM103" s="32">
        <f t="shared" ca="1" si="114"/>
        <v>1921797.0592331034</v>
      </c>
      <c r="BN103" s="23">
        <f t="shared" ca="1" si="136"/>
        <v>0</v>
      </c>
      <c r="BO103" s="24">
        <f t="shared" ca="1" si="137"/>
        <v>0</v>
      </c>
      <c r="BP103" s="25">
        <f t="shared" ca="1" si="138"/>
        <v>0</v>
      </c>
      <c r="BQ103" s="34">
        <f t="shared" ca="1" si="139"/>
        <v>48548</v>
      </c>
      <c r="BR103" s="23">
        <f t="shared" ca="1" si="140"/>
        <v>1921797.0592331034</v>
      </c>
      <c r="BS103" s="24">
        <f t="shared" ca="1" si="141"/>
        <v>5921.6930065612814</v>
      </c>
      <c r="BT103" s="24">
        <f t="shared" ca="1" si="150"/>
        <v>71060.316078735385</v>
      </c>
      <c r="BU103" s="24">
        <f t="shared" ca="1" si="142"/>
        <v>0</v>
      </c>
      <c r="BV103" s="24">
        <f t="shared" ca="1" si="151"/>
        <v>0</v>
      </c>
      <c r="BW103" s="24">
        <f t="shared" ca="1" si="143"/>
        <v>0</v>
      </c>
      <c r="BX103" s="25">
        <f t="shared" ca="1" si="152"/>
        <v>0</v>
      </c>
      <c r="BY103" s="23">
        <f t="shared" ca="1" si="115"/>
        <v>1404238.2871832459</v>
      </c>
      <c r="BZ103" s="24">
        <f t="shared" ca="1" si="116"/>
        <v>4341.0882971345145</v>
      </c>
      <c r="CA103" s="24">
        <f t="shared" ca="1" si="153"/>
        <v>53041.336037023044</v>
      </c>
      <c r="CB103" s="24">
        <f t="shared" ca="1" si="117"/>
        <v>0</v>
      </c>
      <c r="CC103" s="24">
        <f t="shared" ca="1" si="154"/>
        <v>0</v>
      </c>
      <c r="CD103" s="24">
        <f t="shared" ca="1" si="118"/>
        <v>0</v>
      </c>
      <c r="CE103" s="25">
        <f t="shared" ca="1" si="155"/>
        <v>0</v>
      </c>
      <c r="CF103" s="23">
        <f t="shared" ca="1" si="156"/>
        <v>0</v>
      </c>
      <c r="CG103" s="25">
        <f t="array" aca="1" ref="CG103" ca="1">SUM(BF92:BF103/(1+inflation/100)^(AP92:AP103/12))</f>
        <v>0</v>
      </c>
      <c r="CH103" s="32">
        <f ca="1">IFERROR(IF(MOD(AP103-ap_months_since_start,12)=0,ap_drawdown/100*(AQ103+AV103+BA103-BC103),CH102),0)</f>
        <v>293255.32518862543</v>
      </c>
      <c r="EL103" s="21">
        <f t="shared" ca="1" si="148"/>
        <v>6</v>
      </c>
      <c r="EM103" t="str">
        <f t="shared" ca="1" si="106"/>
        <v/>
      </c>
      <c r="EN103" t="str">
        <f t="shared" ca="1" si="107"/>
        <v/>
      </c>
      <c r="EO103" t="str">
        <f t="shared" ca="1" si="108"/>
        <v/>
      </c>
      <c r="EP103" s="1" t="str">
        <f t="shared" ca="1" si="109"/>
        <v/>
      </c>
      <c r="EQ103" s="1" t="str">
        <f t="shared" ca="1" si="110"/>
        <v/>
      </c>
      <c r="ER103" t="str">
        <f t="shared" ca="1" si="111"/>
        <v/>
      </c>
      <c r="ES103" t="str">
        <f t="shared" si="112"/>
        <v/>
      </c>
      <c r="ET103">
        <v>0</v>
      </c>
      <c r="EU103" s="22">
        <v>94</v>
      </c>
      <c r="EX103" s="21" t="str">
        <f ca="1">IF(EX102="","",IF(EX102+1&lt;=MAX('Financial Planning Tool'!$EL$10:$EL$209),EX102+1,""))</f>
        <v/>
      </c>
      <c r="EY103" t="str">
        <f ca="1">IF(EX103&lt;&gt;"",VLOOKUP(EX103,'Financial Planning Tool'!$EL$10:$ER$209,2,FALSE),"")</f>
        <v/>
      </c>
      <c r="EZ103" t="str">
        <f ca="1">IF(EX103&lt;&gt;"",VLOOKUP(EX103,'Financial Planning Tool'!$EL$10:$ER$209,3,FALSE),"")</f>
        <v/>
      </c>
      <c r="FA103" t="str">
        <f ca="1">IF(EX103&lt;&gt;"",VLOOKUP(EX103,'Financial Planning Tool'!$EL$10:$ER$209,4,FALSE),"")</f>
        <v/>
      </c>
      <c r="FB103" t="str">
        <f t="shared" ca="1" si="149"/>
        <v/>
      </c>
      <c r="FC103" s="1" t="str">
        <f ca="1">IF(EX103&lt;&gt;"",VLOOKUP(EX103,'Financial Planning Tool'!$EL$10:$ER$209,5,FALSE),"")</f>
        <v/>
      </c>
      <c r="FD103" s="1" t="str">
        <f ca="1">IF(EX103&lt;&gt;"",VLOOKUP(EX103,'Financial Planning Tool'!$EL$10:$ER$209,6,FALSE),"")</f>
        <v/>
      </c>
      <c r="FE103" t="str">
        <f ca="1">IF(EX103&lt;&gt;"",VLOOKUP(EX103,'Financial Planning Tool'!$EL$10:$ER$209,7,FALSE),"")</f>
        <v/>
      </c>
      <c r="FF103" t="str">
        <f ca="1">IF(EX103&lt;&gt;"",VLOOKUP(EX103,'Financial Planning Tool'!$EL$10:$ES$209,8,FALSE),"")</f>
        <v/>
      </c>
      <c r="FG103" t="str">
        <f ca="1">IF(EX103&lt;&gt;"",VLOOKUP(EX103,'Financial Planning Tool'!$EL$10:$ET$209,9,FALSE),"")</f>
        <v/>
      </c>
      <c r="FH103" t="str">
        <f t="shared" ca="1" si="146"/>
        <v/>
      </c>
      <c r="FI103" s="22" t="str">
        <f t="shared" ca="1" si="147"/>
        <v/>
      </c>
    </row>
    <row r="104" spans="2:165" x14ac:dyDescent="0.25">
      <c r="B104" s="78" t="str">
        <f>IF(AdjPeriodEnding&lt;&gt;"",IF(VarToOptimise=EC20,"The current amount per annum in "&amp;YEAR(AdjPeriodEnding)&amp;" is",IF(VarToOptimise=EC23,"The current amount in "&amp;YEAR(AdjPeriodEnding)&amp;" is","")),"")</f>
        <v/>
      </c>
      <c r="C104" s="76"/>
      <c r="D104" s="19">
        <f>IFERROR(IF(D102=EC20,-VLOOKUP(D103,$H$55:$Q$154,7,FALSE),IF(VarToOptimise=EC23,VLOOKUP(D103,$H$55:$Q$154,9,FALSE),0)),0)</f>
        <v>0</v>
      </c>
      <c r="E104" s="19">
        <f>IFERROR(IF(D102=EC20,-VLOOKUP(D103,$H$55:$Q$154,8,FALSE),IF(VarToOptimise=EC23,VLOOKUP(D103,$H$55:$Q$154,10,FALSE),0)),0)</f>
        <v>0</v>
      </c>
      <c r="F104" s="77"/>
      <c r="G104" s="18"/>
      <c r="H104" s="5">
        <f t="shared" ca="1" si="158"/>
        <v>63888</v>
      </c>
      <c r="I104" s="8">
        <f t="shared" ca="1" si="159"/>
        <v>104</v>
      </c>
      <c r="J104" s="12" t="str">
        <f t="shared" ca="1" si="95"/>
        <v/>
      </c>
      <c r="K104" s="12" t="str">
        <f t="shared" ca="1" si="96"/>
        <v/>
      </c>
      <c r="L104" s="12" t="str">
        <f t="shared" ca="1" si="97"/>
        <v/>
      </c>
      <c r="M104" s="12" t="str">
        <f t="shared" ca="1" si="98"/>
        <v/>
      </c>
      <c r="N104" s="12">
        <f t="shared" ca="1" si="99"/>
        <v>-11741.47</v>
      </c>
      <c r="O104" s="12">
        <f t="shared" ca="1" si="100"/>
        <v>-1687.99</v>
      </c>
      <c r="P104" s="12">
        <f t="shared" ca="1" si="101"/>
        <v>60844.9</v>
      </c>
      <c r="Q104" s="12">
        <f t="shared" ca="1" si="102"/>
        <v>8561.65</v>
      </c>
      <c r="S104" s="18"/>
      <c r="T104" s="5">
        <f t="shared" ca="1" si="103"/>
        <v>63888</v>
      </c>
      <c r="U104" s="8">
        <f t="shared" ca="1" si="104"/>
        <v>104</v>
      </c>
      <c r="V104" s="12"/>
      <c r="W104" s="12"/>
      <c r="X104" s="12"/>
      <c r="Y104" s="12"/>
      <c r="Z104" s="12"/>
      <c r="AA104" s="12"/>
      <c r="AB104" s="12">
        <v>23450806.260000002</v>
      </c>
      <c r="AC104" s="12">
        <v>3299824.28</v>
      </c>
      <c r="AE104" s="21">
        <v>51</v>
      </c>
      <c r="AF104" s="22">
        <f t="shared" ca="1" si="157"/>
        <v>1</v>
      </c>
      <c r="AI104" s="21">
        <f t="shared" ca="1" si="94"/>
        <v>1</v>
      </c>
      <c r="AJ104" s="22">
        <v>0</v>
      </c>
      <c r="AN104" s="32">
        <f t="shared" ca="1" si="113"/>
        <v>62.916666666666664</v>
      </c>
      <c r="AO104" s="53">
        <f t="shared" ca="1" si="144"/>
        <v>48549</v>
      </c>
      <c r="AP104" s="22">
        <v>97</v>
      </c>
      <c r="AQ104" s="32">
        <f t="shared" ca="1" si="145"/>
        <v>1921797.0592331034</v>
      </c>
      <c r="AR104" s="23">
        <f t="array" aca="1" ref="AR104" ca="1">SUM(IF(lsc_start_date=AO104,lsc_amount,0))</f>
        <v>0</v>
      </c>
      <c r="AS104" s="24">
        <f t="shared" ca="1" si="119"/>
        <v>0</v>
      </c>
      <c r="AT104" s="24">
        <f t="shared" ca="1" si="120"/>
        <v>0</v>
      </c>
      <c r="AU104" s="24">
        <f t="shared" ca="1" si="121"/>
        <v>0</v>
      </c>
      <c r="AV104" s="25">
        <f t="shared" ca="1" si="122"/>
        <v>0</v>
      </c>
      <c r="AW104" s="23">
        <f t="array" aca="1" ref="AW104" ca="1">SUM(IF(rcs_start_date&lt;=AO104,1,0)*IF(rcs_end_date&gt;=AO104,1,0)*rcs_amount*(1+rcs_escalation/100)^(INT((AP104-rcs_months_since_start)/12))*IF(MOD((AP104-rcs_months_since_start),rcs_frequency)=0,1,0)*IF(rcs_frequency=13,0,1))+SUM(IF(rcs_start_date=AO104,rcs_amount,0)*IF(rcs_frequency=13,1,0))</f>
        <v>6158.5607268237336</v>
      </c>
      <c r="AX104" s="24">
        <f t="shared" ca="1" si="123"/>
        <v>0</v>
      </c>
      <c r="AY104" s="24">
        <f t="shared" ca="1" si="124"/>
        <v>0</v>
      </c>
      <c r="AZ104" s="24">
        <f t="shared" ca="1" si="125"/>
        <v>0</v>
      </c>
      <c r="BA104" s="25">
        <f t="shared" ca="1" si="126"/>
        <v>6158.5607268237336</v>
      </c>
      <c r="BB104" s="23">
        <f t="array" aca="1" ref="BB104" ca="1">SUM(IF(w_start_date&lt;=AO104,1,0)*IF(w_end_date&gt;=AO104,1,0)*w_amount*(1+w_escalation/100)^(INT((AP104-w_months_since_start)/12))*IF(MOD(AP104-w_months_since_start,w_frequency)=0,1,0)*IF(w_frequency=13,0,1))+SUM(IF(w_start_date=AO104,w_amount,0)*IF(w_frequency=13,1,0))</f>
        <v>0</v>
      </c>
      <c r="BC104" s="25">
        <f t="shared" ca="1" si="127"/>
        <v>0</v>
      </c>
      <c r="BD104" s="24" t="b">
        <f t="shared" ca="1" si="128"/>
        <v>0</v>
      </c>
      <c r="BE104" s="24" t="b">
        <f t="shared" ca="1" si="129"/>
        <v>1</v>
      </c>
      <c r="BF104" s="23">
        <f t="array" aca="1" ref="BF104" ca="1">SUM(IF(BD104,1,0)*IF(ap_start_date&lt;=AO104,1,0)*IF(ap_end_date&gt;=AO104,1,0)*ap_amount*(1+ap_escalation/100)^(INT((AP104-ap_months_since_start)/12))*IF(MOD(AP104-ap_months_since_start,ap_frequency)=0,1,0))</f>
        <v>0</v>
      </c>
      <c r="BG104" s="24">
        <f t="shared" ca="1" si="130"/>
        <v>0</v>
      </c>
      <c r="BH104" s="24">
        <f t="shared" ca="1" si="131"/>
        <v>0</v>
      </c>
      <c r="BI104">
        <f t="shared" ca="1" si="132"/>
        <v>0</v>
      </c>
      <c r="BJ104" s="24">
        <f t="shared" ca="1" si="133"/>
        <v>0</v>
      </c>
      <c r="BK104">
        <f t="shared" ca="1" si="134"/>
        <v>0</v>
      </c>
      <c r="BL104" s="25">
        <f t="shared" ca="1" si="135"/>
        <v>0</v>
      </c>
      <c r="BM104" s="32">
        <f t="shared" ca="1" si="114"/>
        <v>1941851.0194521411</v>
      </c>
      <c r="BN104" s="23">
        <f t="shared" ca="1" si="136"/>
        <v>0</v>
      </c>
      <c r="BO104" s="24">
        <f t="shared" ca="1" si="137"/>
        <v>0</v>
      </c>
      <c r="BP104" s="25">
        <f t="shared" ca="1" si="138"/>
        <v>0</v>
      </c>
      <c r="BQ104" s="34">
        <f t="shared" ca="1" si="139"/>
        <v>48579</v>
      </c>
      <c r="BR104" s="23">
        <f t="shared" ca="1" si="140"/>
        <v>1941851.0194521411</v>
      </c>
      <c r="BS104" s="24">
        <f t="shared" ca="1" si="141"/>
        <v>6158.5607268237336</v>
      </c>
      <c r="BT104" s="24">
        <f t="shared" ca="1" si="150"/>
        <v>71297.183798997838</v>
      </c>
      <c r="BU104" s="24">
        <f t="shared" ca="1" si="142"/>
        <v>0</v>
      </c>
      <c r="BV104" s="24">
        <f t="shared" ca="1" si="151"/>
        <v>0</v>
      </c>
      <c r="BW104" s="24">
        <f t="shared" ca="1" si="143"/>
        <v>0</v>
      </c>
      <c r="BX104" s="25">
        <f t="shared" ca="1" si="152"/>
        <v>0</v>
      </c>
      <c r="BY104" s="23">
        <f t="shared" ca="1" si="115"/>
        <v>1414261.5950406757</v>
      </c>
      <c r="BZ104" s="24">
        <f t="shared" ca="1" si="116"/>
        <v>4500</v>
      </c>
      <c r="CA104" s="24">
        <f t="shared" ca="1" si="153"/>
        <v>53041.336037023044</v>
      </c>
      <c r="CB104" s="24">
        <f t="shared" ca="1" si="117"/>
        <v>0</v>
      </c>
      <c r="CC104" s="24">
        <f t="shared" ca="1" si="154"/>
        <v>0</v>
      </c>
      <c r="CD104" s="24">
        <f t="shared" ca="1" si="118"/>
        <v>0</v>
      </c>
      <c r="CE104" s="25">
        <f t="shared" ca="1" si="155"/>
        <v>0</v>
      </c>
      <c r="CF104" s="23">
        <f t="shared" ca="1" si="156"/>
        <v>0</v>
      </c>
      <c r="CG104" s="25">
        <f t="array" aca="1" ref="CG104" ca="1">SUM(BF93:BF104/(1+inflation/100)^(AP93:AP104/12))</f>
        <v>0</v>
      </c>
      <c r="CH104" s="32">
        <f ca="1">IFERROR(IF(MOD(AP104-ap_months_since_start,12)=0,ap_drawdown/100*(AQ104+AV104+BA104-BC104),CH103),0)</f>
        <v>293255.32518862543</v>
      </c>
      <c r="EL104" s="21">
        <f t="shared" ca="1" si="148"/>
        <v>6</v>
      </c>
      <c r="EM104" t="str">
        <f t="shared" ca="1" si="106"/>
        <v/>
      </c>
      <c r="EN104" t="str">
        <f t="shared" ca="1" si="107"/>
        <v/>
      </c>
      <c r="EO104" t="str">
        <f t="shared" ca="1" si="108"/>
        <v/>
      </c>
      <c r="EP104" s="1" t="str">
        <f t="shared" ca="1" si="109"/>
        <v/>
      </c>
      <c r="EQ104" s="1" t="str">
        <f t="shared" ca="1" si="110"/>
        <v/>
      </c>
      <c r="ER104" t="str">
        <f t="shared" ca="1" si="111"/>
        <v/>
      </c>
      <c r="ES104" t="str">
        <f t="shared" si="112"/>
        <v/>
      </c>
      <c r="ET104">
        <v>0</v>
      </c>
      <c r="EU104" s="22">
        <v>95</v>
      </c>
      <c r="EX104" s="21" t="str">
        <f ca="1">IF(EX103="","",IF(EX103+1&lt;=MAX('Financial Planning Tool'!$EL$10:$EL$209),EX103+1,""))</f>
        <v/>
      </c>
      <c r="EY104" t="str">
        <f ca="1">IF(EX104&lt;&gt;"",VLOOKUP(EX104,'Financial Planning Tool'!$EL$10:$ER$209,2,FALSE),"")</f>
        <v/>
      </c>
      <c r="EZ104" t="str">
        <f ca="1">IF(EX104&lt;&gt;"",VLOOKUP(EX104,'Financial Planning Tool'!$EL$10:$ER$209,3,FALSE),"")</f>
        <v/>
      </c>
      <c r="FA104" t="str">
        <f ca="1">IF(EX104&lt;&gt;"",VLOOKUP(EX104,'Financial Planning Tool'!$EL$10:$ER$209,4,FALSE),"")</f>
        <v/>
      </c>
      <c r="FB104" t="str">
        <f t="shared" ca="1" si="149"/>
        <v/>
      </c>
      <c r="FC104" s="1" t="str">
        <f ca="1">IF(EX104&lt;&gt;"",VLOOKUP(EX104,'Financial Planning Tool'!$EL$10:$ER$209,5,FALSE),"")</f>
        <v/>
      </c>
      <c r="FD104" s="1" t="str">
        <f ca="1">IF(EX104&lt;&gt;"",VLOOKUP(EX104,'Financial Planning Tool'!$EL$10:$ER$209,6,FALSE),"")</f>
        <v/>
      </c>
      <c r="FE104" t="str">
        <f ca="1">IF(EX104&lt;&gt;"",VLOOKUP(EX104,'Financial Planning Tool'!$EL$10:$ER$209,7,FALSE),"")</f>
        <v/>
      </c>
      <c r="FF104" t="str">
        <f ca="1">IF(EX104&lt;&gt;"",VLOOKUP(EX104,'Financial Planning Tool'!$EL$10:$ES$209,8,FALSE),"")</f>
        <v/>
      </c>
      <c r="FG104" t="str">
        <f ca="1">IF(EX104&lt;&gt;"",VLOOKUP(EX104,'Financial Planning Tool'!$EL$10:$ET$209,9,FALSE),"")</f>
        <v/>
      </c>
      <c r="FH104" t="str">
        <f t="shared" ca="1" si="146"/>
        <v/>
      </c>
      <c r="FI104" s="22" t="str">
        <f t="shared" ca="1" si="147"/>
        <v/>
      </c>
    </row>
    <row r="105" spans="2:165" x14ac:dyDescent="0.25">
      <c r="B105" s="78" t="str">
        <f>IF(VarToOptimise&lt;&gt;"","What "&amp;LOWER(VarToOptimise)&amp;" do you want?","")</f>
        <v/>
      </c>
      <c r="C105" s="76"/>
      <c r="D105" s="90"/>
      <c r="E105" s="105"/>
      <c r="F105" s="77"/>
      <c r="G105" s="18"/>
      <c r="H105" s="5">
        <f t="shared" ca="1" si="158"/>
        <v>64253</v>
      </c>
      <c r="I105" s="8">
        <f t="shared" ca="1" si="159"/>
        <v>105</v>
      </c>
      <c r="J105" s="12" t="str">
        <f t="shared" ca="1" si="95"/>
        <v/>
      </c>
      <c r="K105" s="12" t="str">
        <f t="shared" ca="1" si="96"/>
        <v/>
      </c>
      <c r="L105" s="12" t="str">
        <f t="shared" ca="1" si="97"/>
        <v/>
      </c>
      <c r="M105" s="12" t="str">
        <f t="shared" ca="1" si="98"/>
        <v/>
      </c>
      <c r="N105" s="12">
        <f t="shared" ca="1" si="99"/>
        <v>-10644.6</v>
      </c>
      <c r="O105" s="12">
        <f t="shared" ca="1" si="100"/>
        <v>-1471.44</v>
      </c>
      <c r="P105" s="12">
        <f t="shared" ca="1" si="101"/>
        <v>55160.84</v>
      </c>
      <c r="Q105" s="12">
        <f t="shared" ca="1" si="102"/>
        <v>7463.29</v>
      </c>
      <c r="S105" s="18"/>
      <c r="T105" s="5">
        <f t="shared" ca="1" si="103"/>
        <v>64253</v>
      </c>
      <c r="U105" s="8">
        <f t="shared" ca="1" si="104"/>
        <v>105</v>
      </c>
      <c r="V105" s="12"/>
      <c r="W105" s="12"/>
      <c r="X105" s="12"/>
      <c r="Y105" s="12"/>
      <c r="Z105" s="12"/>
      <c r="AA105" s="12"/>
      <c r="AB105" s="12">
        <v>25326870.760000002</v>
      </c>
      <c r="AC105" s="12">
        <v>3426740.6</v>
      </c>
      <c r="AE105" s="21">
        <v>52</v>
      </c>
      <c r="AF105" s="22">
        <f t="shared" ca="1" si="157"/>
        <v>1</v>
      </c>
      <c r="AI105" s="21">
        <f t="shared" ca="1" si="94"/>
        <v>1</v>
      </c>
      <c r="AJ105" s="22">
        <v>0</v>
      </c>
      <c r="AN105" s="32">
        <f t="shared" ca="1" si="113"/>
        <v>63</v>
      </c>
      <c r="AO105" s="53">
        <f t="shared" ca="1" si="144"/>
        <v>48580</v>
      </c>
      <c r="AP105" s="22">
        <v>98</v>
      </c>
      <c r="AQ105" s="32">
        <f t="shared" ca="1" si="145"/>
        <v>1941851.0194521411</v>
      </c>
      <c r="AR105" s="23">
        <f t="array" aca="1" ref="AR105" ca="1">SUM(IF(lsc_start_date=AO105,lsc_amount,0))</f>
        <v>0</v>
      </c>
      <c r="AS105" s="24">
        <f t="shared" ca="1" si="119"/>
        <v>0</v>
      </c>
      <c r="AT105" s="24">
        <f t="shared" ca="1" si="120"/>
        <v>0</v>
      </c>
      <c r="AU105" s="24">
        <f t="shared" ca="1" si="121"/>
        <v>0</v>
      </c>
      <c r="AV105" s="25">
        <f t="shared" ca="1" si="122"/>
        <v>0</v>
      </c>
      <c r="AW105" s="23">
        <f t="array" aca="1" ref="AW105" ca="1">SUM(IF(rcs_start_date&lt;=AO105,1,0)*IF(rcs_end_date&gt;=AO105,1,0)*rcs_amount*(1+rcs_escalation/100)^(INT((AP105-rcs_months_since_start)/12))*IF(MOD((AP105-rcs_months_since_start),rcs_frequency)=0,1,0)*IF(rcs_frequency=13,0,1))+SUM(IF(rcs_start_date=AO105,rcs_amount,0)*IF(rcs_frequency=13,1,0))</f>
        <v>6158.5607268237336</v>
      </c>
      <c r="AX105" s="24">
        <f t="shared" ca="1" si="123"/>
        <v>0</v>
      </c>
      <c r="AY105" s="24">
        <f t="shared" ca="1" si="124"/>
        <v>0</v>
      </c>
      <c r="AZ105" s="24">
        <f t="shared" ca="1" si="125"/>
        <v>0</v>
      </c>
      <c r="BA105" s="25">
        <f t="shared" ca="1" si="126"/>
        <v>6158.5607268237336</v>
      </c>
      <c r="BB105" s="23">
        <f t="array" aca="1" ref="BB105" ca="1">SUM(IF(w_start_date&lt;=AO105,1,0)*IF(w_end_date&gt;=AO105,1,0)*w_amount*(1+w_escalation/100)^(INT((AP105-w_months_since_start)/12))*IF(MOD(AP105-w_months_since_start,w_frequency)=0,1,0)*IF(w_frequency=13,0,1))+SUM(IF(w_start_date=AO105,w_amount,0)*IF(w_frequency=13,1,0))</f>
        <v>0</v>
      </c>
      <c r="BC105" s="25">
        <f t="shared" ca="1" si="127"/>
        <v>0</v>
      </c>
      <c r="BD105" s="24" t="b">
        <f t="shared" ca="1" si="128"/>
        <v>0</v>
      </c>
      <c r="BE105" s="24" t="b">
        <f t="shared" ca="1" si="129"/>
        <v>1</v>
      </c>
      <c r="BF105" s="23">
        <f t="array" aca="1" ref="BF105" ca="1">SUM(IF(BD105,1,0)*IF(ap_start_date&lt;=AO105,1,0)*IF(ap_end_date&gt;=AO105,1,0)*ap_amount*(1+ap_escalation/100)^(INT((AP105-ap_months_since_start)/12))*IF(MOD(AP105-ap_months_since_start,ap_frequency)=0,1,0))</f>
        <v>0</v>
      </c>
      <c r="BG105" s="24">
        <f t="shared" ca="1" si="130"/>
        <v>0</v>
      </c>
      <c r="BH105" s="24">
        <f t="shared" ca="1" si="131"/>
        <v>0</v>
      </c>
      <c r="BI105">
        <f t="shared" ca="1" si="132"/>
        <v>0</v>
      </c>
      <c r="BJ105" s="24">
        <f t="shared" ca="1" si="133"/>
        <v>0</v>
      </c>
      <c r="BK105">
        <f t="shared" ca="1" si="134"/>
        <v>0</v>
      </c>
      <c r="BL105" s="25">
        <f t="shared" ca="1" si="135"/>
        <v>0</v>
      </c>
      <c r="BM105" s="32">
        <f t="shared" ca="1" si="114"/>
        <v>1962049.5150462463</v>
      </c>
      <c r="BN105" s="23">
        <f t="shared" ca="1" si="136"/>
        <v>0</v>
      </c>
      <c r="BO105" s="24">
        <f t="shared" ca="1" si="137"/>
        <v>0</v>
      </c>
      <c r="BP105" s="25">
        <f t="shared" ca="1" si="138"/>
        <v>0</v>
      </c>
      <c r="BQ105" s="34">
        <f t="shared" ca="1" si="139"/>
        <v>48610</v>
      </c>
      <c r="BR105" s="23">
        <f t="shared" ca="1" si="140"/>
        <v>1962049.5150462463</v>
      </c>
      <c r="BS105" s="24">
        <f t="shared" ca="1" si="141"/>
        <v>6158.5607268237336</v>
      </c>
      <c r="BT105" s="24">
        <f t="shared" ca="1" si="150"/>
        <v>71534.051519260291</v>
      </c>
      <c r="BU105" s="24">
        <f t="shared" ca="1" si="142"/>
        <v>0</v>
      </c>
      <c r="BV105" s="24">
        <f t="shared" ca="1" si="151"/>
        <v>0</v>
      </c>
      <c r="BW105" s="24">
        <f t="shared" ca="1" si="143"/>
        <v>0</v>
      </c>
      <c r="BX105" s="25">
        <f t="shared" ca="1" si="152"/>
        <v>0</v>
      </c>
      <c r="BY105" s="23">
        <f t="shared" ca="1" si="115"/>
        <v>1424309.4604330603</v>
      </c>
      <c r="BZ105" s="24">
        <f t="shared" ca="1" si="116"/>
        <v>4485.316241783532</v>
      </c>
      <c r="CA105" s="24">
        <f t="shared" ca="1" si="153"/>
        <v>53041.336037023044</v>
      </c>
      <c r="CB105" s="24">
        <f t="shared" ca="1" si="117"/>
        <v>0</v>
      </c>
      <c r="CC105" s="24">
        <f t="shared" ca="1" si="154"/>
        <v>0</v>
      </c>
      <c r="CD105" s="24">
        <f t="shared" ca="1" si="118"/>
        <v>0</v>
      </c>
      <c r="CE105" s="25">
        <f t="shared" ca="1" si="155"/>
        <v>0</v>
      </c>
      <c r="CF105" s="23">
        <f t="shared" ca="1" si="156"/>
        <v>0</v>
      </c>
      <c r="CG105" s="25">
        <f t="array" aca="1" ref="CG105" ca="1">SUM(BF94:BF105/(1+inflation/100)^(AP94:AP105/12))</f>
        <v>0</v>
      </c>
      <c r="CH105" s="32">
        <f ca="1">IFERROR(IF(MOD(AP105-ap_months_since_start,12)=0,ap_drawdown/100*(AQ105+AV105+BA105-BC105),CH104),0)</f>
        <v>293255.32518862543</v>
      </c>
      <c r="EL105" s="21">
        <f t="shared" ca="1" si="148"/>
        <v>6</v>
      </c>
      <c r="EM105" t="str">
        <f t="shared" ca="1" si="106"/>
        <v/>
      </c>
      <c r="EN105" t="str">
        <f t="shared" ca="1" si="107"/>
        <v/>
      </c>
      <c r="EO105" t="str">
        <f t="shared" ca="1" si="108"/>
        <v/>
      </c>
      <c r="EP105" s="1" t="str">
        <f t="shared" ca="1" si="109"/>
        <v/>
      </c>
      <c r="EQ105" s="1" t="str">
        <f t="shared" ca="1" si="110"/>
        <v/>
      </c>
      <c r="ER105" t="str">
        <f t="shared" ca="1" si="111"/>
        <v/>
      </c>
      <c r="ES105" t="str">
        <f t="shared" si="112"/>
        <v/>
      </c>
      <c r="ET105">
        <v>0</v>
      </c>
      <c r="EU105" s="22">
        <v>96</v>
      </c>
      <c r="EX105" s="21" t="str">
        <f ca="1">IF(EX104="","",IF(EX104+1&lt;=MAX('Financial Planning Tool'!$EL$10:$EL$209),EX104+1,""))</f>
        <v/>
      </c>
      <c r="EY105" t="str">
        <f ca="1">IF(EX105&lt;&gt;"",VLOOKUP(EX105,'Financial Planning Tool'!$EL$10:$ER$209,2,FALSE),"")</f>
        <v/>
      </c>
      <c r="EZ105" t="str">
        <f ca="1">IF(EX105&lt;&gt;"",VLOOKUP(EX105,'Financial Planning Tool'!$EL$10:$ER$209,3,FALSE),"")</f>
        <v/>
      </c>
      <c r="FA105" t="str">
        <f ca="1">IF(EX105&lt;&gt;"",VLOOKUP(EX105,'Financial Planning Tool'!$EL$10:$ER$209,4,FALSE),"")</f>
        <v/>
      </c>
      <c r="FB105" t="str">
        <f t="shared" ca="1" si="149"/>
        <v/>
      </c>
      <c r="FC105" s="1" t="str">
        <f ca="1">IF(EX105&lt;&gt;"",VLOOKUP(EX105,'Financial Planning Tool'!$EL$10:$ER$209,5,FALSE),"")</f>
        <v/>
      </c>
      <c r="FD105" s="1" t="str">
        <f ca="1">IF(EX105&lt;&gt;"",VLOOKUP(EX105,'Financial Planning Tool'!$EL$10:$ER$209,6,FALSE),"")</f>
        <v/>
      </c>
      <c r="FE105" t="str">
        <f ca="1">IF(EX105&lt;&gt;"",VLOOKUP(EX105,'Financial Planning Tool'!$EL$10:$ER$209,7,FALSE),"")</f>
        <v/>
      </c>
      <c r="FF105" t="str">
        <f ca="1">IF(EX105&lt;&gt;"",VLOOKUP(EX105,'Financial Planning Tool'!$EL$10:$ES$209,8,FALSE),"")</f>
        <v/>
      </c>
      <c r="FG105" t="str">
        <f ca="1">IF(EX105&lt;&gt;"",VLOOKUP(EX105,'Financial Planning Tool'!$EL$10:$ET$209,9,FALSE),"")</f>
        <v/>
      </c>
      <c r="FH105" t="str">
        <f t="shared" ca="1" si="146"/>
        <v/>
      </c>
      <c r="FI105" s="22" t="str">
        <f t="shared" ca="1" si="147"/>
        <v/>
      </c>
    </row>
    <row r="106" spans="2:165" x14ac:dyDescent="0.25">
      <c r="B106" s="78" t="s">
        <v>195</v>
      </c>
      <c r="C106" s="76"/>
      <c r="D106" s="141"/>
      <c r="E106" s="141"/>
      <c r="F106" s="77"/>
      <c r="G106" s="18"/>
      <c r="H106" s="5">
        <f t="shared" ca="1" si="158"/>
        <v>64619</v>
      </c>
      <c r="I106" s="8">
        <f t="shared" ca="1" si="159"/>
        <v>106</v>
      </c>
      <c r="J106" s="12" t="str">
        <f t="shared" ca="1" si="95"/>
        <v/>
      </c>
      <c r="K106" s="12" t="str">
        <f t="shared" ca="1" si="96"/>
        <v/>
      </c>
      <c r="L106" s="12" t="str">
        <f t="shared" ca="1" si="97"/>
        <v/>
      </c>
      <c r="M106" s="12" t="str">
        <f t="shared" ca="1" si="98"/>
        <v/>
      </c>
      <c r="N106" s="12">
        <f t="shared" ca="1" si="99"/>
        <v>-9650.19</v>
      </c>
      <c r="O106" s="12">
        <f t="shared" ca="1" si="100"/>
        <v>-1282.68</v>
      </c>
      <c r="P106" s="12">
        <f t="shared" ca="1" si="101"/>
        <v>50007.77</v>
      </c>
      <c r="Q106" s="12">
        <f t="shared" ca="1" si="102"/>
        <v>6505.85</v>
      </c>
      <c r="S106" s="18"/>
      <c r="T106" s="5">
        <f t="shared" ca="1" si="103"/>
        <v>64619</v>
      </c>
      <c r="U106" s="8">
        <f t="shared" ca="1" si="104"/>
        <v>106</v>
      </c>
      <c r="V106" s="12"/>
      <c r="W106" s="12"/>
      <c r="X106" s="12"/>
      <c r="Y106" s="12"/>
      <c r="Z106" s="12"/>
      <c r="AA106" s="12"/>
      <c r="AB106" s="12">
        <v>27353020.420000002</v>
      </c>
      <c r="AC106" s="12">
        <v>3558538.31</v>
      </c>
      <c r="AE106" s="21">
        <v>53</v>
      </c>
      <c r="AF106" s="22">
        <f t="shared" ca="1" si="157"/>
        <v>1</v>
      </c>
      <c r="AI106" s="21">
        <f t="shared" ca="1" si="94"/>
        <v>1</v>
      </c>
      <c r="AJ106" s="22">
        <v>0</v>
      </c>
      <c r="AN106" s="32">
        <f t="shared" ca="1" si="113"/>
        <v>63.083333333333336</v>
      </c>
      <c r="AO106" s="53">
        <f t="shared" ca="1" si="144"/>
        <v>48611</v>
      </c>
      <c r="AP106" s="22">
        <v>99</v>
      </c>
      <c r="AQ106" s="32">
        <f t="shared" ca="1" si="145"/>
        <v>1962049.5150462463</v>
      </c>
      <c r="AR106" s="23">
        <f t="array" aca="1" ref="AR106" ca="1">SUM(IF(lsc_start_date=AO106,lsc_amount,0))</f>
        <v>0</v>
      </c>
      <c r="AS106" s="24">
        <f t="shared" ca="1" si="119"/>
        <v>0</v>
      </c>
      <c r="AT106" s="24">
        <f t="shared" ca="1" si="120"/>
        <v>0</v>
      </c>
      <c r="AU106" s="24">
        <f t="shared" ca="1" si="121"/>
        <v>0</v>
      </c>
      <c r="AV106" s="25">
        <f t="shared" ca="1" si="122"/>
        <v>0</v>
      </c>
      <c r="AW106" s="23">
        <f t="array" aca="1" ref="AW106" ca="1">SUM(IF(rcs_start_date&lt;=AO106,1,0)*IF(rcs_end_date&gt;=AO106,1,0)*rcs_amount*(1+rcs_escalation/100)^(INT((AP106-rcs_months_since_start)/12))*IF(MOD((AP106-rcs_months_since_start),rcs_frequency)=0,1,0)*IF(rcs_frequency=13,0,1))+SUM(IF(rcs_start_date=AO106,rcs_amount,0)*IF(rcs_frequency=13,1,0))</f>
        <v>6158.5607268237336</v>
      </c>
      <c r="AX106" s="24">
        <f t="shared" ca="1" si="123"/>
        <v>0</v>
      </c>
      <c r="AY106" s="24">
        <f t="shared" ca="1" si="124"/>
        <v>0</v>
      </c>
      <c r="AZ106" s="24">
        <f t="shared" ca="1" si="125"/>
        <v>0</v>
      </c>
      <c r="BA106" s="25">
        <f t="shared" ca="1" si="126"/>
        <v>6158.5607268237336</v>
      </c>
      <c r="BB106" s="23">
        <f t="array" aca="1" ref="BB106" ca="1">SUM(IF(w_start_date&lt;=AO106,1,0)*IF(w_end_date&gt;=AO106,1,0)*w_amount*(1+w_escalation/100)^(INT((AP106-w_months_since_start)/12))*IF(MOD(AP106-w_months_since_start,w_frequency)=0,1,0)*IF(w_frequency=13,0,1))+SUM(IF(w_start_date=AO106,w_amount,0)*IF(w_frequency=13,1,0))</f>
        <v>0</v>
      </c>
      <c r="BC106" s="25">
        <f t="shared" ca="1" si="127"/>
        <v>0</v>
      </c>
      <c r="BD106" s="24" t="b">
        <f t="shared" ca="1" si="128"/>
        <v>0</v>
      </c>
      <c r="BE106" s="24" t="b">
        <f t="shared" ca="1" si="129"/>
        <v>1</v>
      </c>
      <c r="BF106" s="23">
        <f t="array" aca="1" ref="BF106" ca="1">SUM(IF(BD106,1,0)*IF(ap_start_date&lt;=AO106,1,0)*IF(ap_end_date&gt;=AO106,1,0)*ap_amount*(1+ap_escalation/100)^(INT((AP106-ap_months_since_start)/12))*IF(MOD(AP106-ap_months_since_start,ap_frequency)=0,1,0))</f>
        <v>0</v>
      </c>
      <c r="BG106" s="24">
        <f t="shared" ca="1" si="130"/>
        <v>0</v>
      </c>
      <c r="BH106" s="24">
        <f t="shared" ca="1" si="131"/>
        <v>0</v>
      </c>
      <c r="BI106">
        <f t="shared" ca="1" si="132"/>
        <v>0</v>
      </c>
      <c r="BJ106" s="24">
        <f t="shared" ca="1" si="133"/>
        <v>0</v>
      </c>
      <c r="BK106">
        <f t="shared" ca="1" si="134"/>
        <v>0</v>
      </c>
      <c r="BL106" s="25">
        <f t="shared" ca="1" si="135"/>
        <v>0</v>
      </c>
      <c r="BM106" s="32">
        <f t="shared" ca="1" si="114"/>
        <v>1982393.5877285979</v>
      </c>
      <c r="BN106" s="23">
        <f t="shared" ca="1" si="136"/>
        <v>0</v>
      </c>
      <c r="BO106" s="24">
        <f t="shared" ca="1" si="137"/>
        <v>0</v>
      </c>
      <c r="BP106" s="25">
        <f t="shared" ca="1" si="138"/>
        <v>0</v>
      </c>
      <c r="BQ106" s="34">
        <f t="shared" ca="1" si="139"/>
        <v>48638</v>
      </c>
      <c r="BR106" s="23">
        <f t="shared" ca="1" si="140"/>
        <v>1982393.5877285979</v>
      </c>
      <c r="BS106" s="24">
        <f t="shared" ca="1" si="141"/>
        <v>6158.5607268237336</v>
      </c>
      <c r="BT106" s="24">
        <f t="shared" ca="1" si="150"/>
        <v>71770.919239522744</v>
      </c>
      <c r="BU106" s="24">
        <f t="shared" ca="1" si="142"/>
        <v>0</v>
      </c>
      <c r="BV106" s="24">
        <f t="shared" ca="1" si="151"/>
        <v>0</v>
      </c>
      <c r="BW106" s="24">
        <f t="shared" ca="1" si="143"/>
        <v>0</v>
      </c>
      <c r="BX106" s="25">
        <f t="shared" ca="1" si="152"/>
        <v>0</v>
      </c>
      <c r="BY106" s="23">
        <f t="shared" ca="1" si="115"/>
        <v>1434382.0277461107</v>
      </c>
      <c r="BZ106" s="24">
        <f t="shared" ca="1" si="116"/>
        <v>4470.6803975126977</v>
      </c>
      <c r="CA106" s="24">
        <f t="shared" ca="1" si="153"/>
        <v>53041.336037023044</v>
      </c>
      <c r="CB106" s="24">
        <f t="shared" ca="1" si="117"/>
        <v>0</v>
      </c>
      <c r="CC106" s="24">
        <f t="shared" ca="1" si="154"/>
        <v>0</v>
      </c>
      <c r="CD106" s="24">
        <f t="shared" ca="1" si="118"/>
        <v>0</v>
      </c>
      <c r="CE106" s="25">
        <f t="shared" ca="1" si="155"/>
        <v>0</v>
      </c>
      <c r="CF106" s="23">
        <f t="shared" ca="1" si="156"/>
        <v>0</v>
      </c>
      <c r="CG106" s="25">
        <f t="array" aca="1" ref="CG106" ca="1">SUM(BF95:BF106/(1+inflation/100)^(AP95:AP106/12))</f>
        <v>0</v>
      </c>
      <c r="CH106" s="32">
        <f ca="1">IFERROR(IF(MOD(AP106-ap_months_since_start,12)=0,ap_drawdown/100*(AQ106+AV106+BA106-BC106),CH105),0)</f>
        <v>293255.32518862543</v>
      </c>
      <c r="EL106" s="21">
        <f t="shared" ca="1" si="148"/>
        <v>6</v>
      </c>
      <c r="EM106" t="str">
        <f t="shared" ca="1" si="106"/>
        <v/>
      </c>
      <c r="EN106" t="str">
        <f t="shared" ca="1" si="107"/>
        <v/>
      </c>
      <c r="EO106" t="str">
        <f t="shared" ca="1" si="108"/>
        <v/>
      </c>
      <c r="EP106" s="1" t="str">
        <f t="shared" ca="1" si="109"/>
        <v/>
      </c>
      <c r="EQ106" s="1" t="str">
        <f t="shared" ca="1" si="110"/>
        <v/>
      </c>
      <c r="ER106" t="str">
        <f t="shared" ca="1" si="111"/>
        <v/>
      </c>
      <c r="ES106" t="str">
        <f t="shared" si="112"/>
        <v/>
      </c>
      <c r="ET106">
        <v>0</v>
      </c>
      <c r="EU106" s="22">
        <v>97</v>
      </c>
      <c r="EX106" s="21" t="str">
        <f ca="1">IF(EX105="","",IF(EX105+1&lt;=MAX('Financial Planning Tool'!$EL$10:$EL$209),EX105+1,""))</f>
        <v/>
      </c>
      <c r="EY106" t="str">
        <f ca="1">IF(EX106&lt;&gt;"",VLOOKUP(EX106,'Financial Planning Tool'!$EL$10:$ER$209,2,FALSE),"")</f>
        <v/>
      </c>
      <c r="EZ106" t="str">
        <f ca="1">IF(EX106&lt;&gt;"",VLOOKUP(EX106,'Financial Planning Tool'!$EL$10:$ER$209,3,FALSE),"")</f>
        <v/>
      </c>
      <c r="FA106" t="str">
        <f ca="1">IF(EX106&lt;&gt;"",VLOOKUP(EX106,'Financial Planning Tool'!$EL$10:$ER$209,4,FALSE),"")</f>
        <v/>
      </c>
      <c r="FB106" t="str">
        <f t="shared" ca="1" si="149"/>
        <v/>
      </c>
      <c r="FC106" s="1" t="str">
        <f ca="1">IF(EX106&lt;&gt;"",VLOOKUP(EX106,'Financial Planning Tool'!$EL$10:$ER$209,5,FALSE),"")</f>
        <v/>
      </c>
      <c r="FD106" s="1" t="str">
        <f ca="1">IF(EX106&lt;&gt;"",VLOOKUP(EX106,'Financial Planning Tool'!$EL$10:$ER$209,6,FALSE),"")</f>
        <v/>
      </c>
      <c r="FE106" t="str">
        <f ca="1">IF(EX106&lt;&gt;"",VLOOKUP(EX106,'Financial Planning Tool'!$EL$10:$ER$209,7,FALSE),"")</f>
        <v/>
      </c>
      <c r="FF106" t="str">
        <f ca="1">IF(EX106&lt;&gt;"",VLOOKUP(EX106,'Financial Planning Tool'!$EL$10:$ES$209,8,FALSE),"")</f>
        <v/>
      </c>
      <c r="FG106" t="str">
        <f ca="1">IF(EX106&lt;&gt;"",VLOOKUP(EX106,'Financial Planning Tool'!$EL$10:$ET$209,9,FALSE),"")</f>
        <v/>
      </c>
      <c r="FH106" t="str">
        <f t="shared" ca="1" si="146"/>
        <v/>
      </c>
      <c r="FI106" s="22" t="str">
        <f t="shared" ca="1" si="147"/>
        <v/>
      </c>
    </row>
    <row r="107" spans="2:165" x14ac:dyDescent="0.25">
      <c r="B107" s="78" t="s">
        <v>197</v>
      </c>
      <c r="C107" s="76"/>
      <c r="D107" s="141"/>
      <c r="E107" s="141"/>
      <c r="F107" s="77"/>
      <c r="G107" s="18"/>
      <c r="H107" s="5">
        <f t="shared" ca="1" si="158"/>
        <v>64984</v>
      </c>
      <c r="I107" s="8">
        <f t="shared" ca="1" si="159"/>
        <v>107</v>
      </c>
      <c r="J107" s="12" t="str">
        <f t="shared" ca="1" si="95"/>
        <v/>
      </c>
      <c r="K107" s="12" t="str">
        <f t="shared" ca="1" si="96"/>
        <v/>
      </c>
      <c r="L107" s="12" t="str">
        <f t="shared" ca="1" si="97"/>
        <v/>
      </c>
      <c r="M107" s="12" t="str">
        <f t="shared" ca="1" si="98"/>
        <v/>
      </c>
      <c r="N107" s="12">
        <f t="shared" ca="1" si="99"/>
        <v>-8748.68</v>
      </c>
      <c r="O107" s="12">
        <f t="shared" ca="1" si="100"/>
        <v>-1118.1300000000001</v>
      </c>
      <c r="P107" s="12">
        <f t="shared" ca="1" si="101"/>
        <v>45336.1</v>
      </c>
      <c r="Q107" s="12">
        <f t="shared" ca="1" si="102"/>
        <v>5671.23</v>
      </c>
      <c r="S107" s="18"/>
      <c r="T107" s="5">
        <f t="shared" ca="1" si="103"/>
        <v>64984</v>
      </c>
      <c r="U107" s="8">
        <f t="shared" ca="1" si="104"/>
        <v>107</v>
      </c>
      <c r="V107" s="12"/>
      <c r="W107" s="12"/>
      <c r="X107" s="12"/>
      <c r="Y107" s="12"/>
      <c r="Z107" s="12"/>
      <c r="AA107" s="12"/>
      <c r="AB107" s="12">
        <v>29541262.050000001</v>
      </c>
      <c r="AC107" s="12">
        <v>3695405.17</v>
      </c>
      <c r="AE107" s="21">
        <v>54</v>
      </c>
      <c r="AF107" s="22">
        <f t="shared" ca="1" si="157"/>
        <v>1</v>
      </c>
      <c r="AI107" s="21">
        <f t="shared" ca="1" si="94"/>
        <v>1</v>
      </c>
      <c r="AJ107" s="22">
        <v>0</v>
      </c>
      <c r="AN107" s="32">
        <f t="shared" ca="1" si="113"/>
        <v>63.166666666666664</v>
      </c>
      <c r="AO107" s="53">
        <f t="shared" ca="1" si="144"/>
        <v>48639</v>
      </c>
      <c r="AP107" s="22">
        <v>100</v>
      </c>
      <c r="AQ107" s="32">
        <f t="shared" ca="1" si="145"/>
        <v>1982393.5877285979</v>
      </c>
      <c r="AR107" s="23">
        <f t="array" aca="1" ref="AR107" ca="1">SUM(IF(lsc_start_date=AO107,lsc_amount,0))</f>
        <v>0</v>
      </c>
      <c r="AS107" s="24">
        <f t="shared" ca="1" si="119"/>
        <v>0</v>
      </c>
      <c r="AT107" s="24">
        <f t="shared" ca="1" si="120"/>
        <v>0</v>
      </c>
      <c r="AU107" s="24">
        <f t="shared" ca="1" si="121"/>
        <v>0</v>
      </c>
      <c r="AV107" s="25">
        <f t="shared" ca="1" si="122"/>
        <v>0</v>
      </c>
      <c r="AW107" s="23">
        <f t="array" aca="1" ref="AW107" ca="1">SUM(IF(rcs_start_date&lt;=AO107,1,0)*IF(rcs_end_date&gt;=AO107,1,0)*rcs_amount*(1+rcs_escalation/100)^(INT((AP107-rcs_months_since_start)/12))*IF(MOD((AP107-rcs_months_since_start),rcs_frequency)=0,1,0)*IF(rcs_frequency=13,0,1))+SUM(IF(rcs_start_date=AO107,rcs_amount,0)*IF(rcs_frequency=13,1,0))</f>
        <v>6158.5607268237336</v>
      </c>
      <c r="AX107" s="24">
        <f t="shared" ca="1" si="123"/>
        <v>0</v>
      </c>
      <c r="AY107" s="24">
        <f t="shared" ca="1" si="124"/>
        <v>0</v>
      </c>
      <c r="AZ107" s="24">
        <f t="shared" ca="1" si="125"/>
        <v>0</v>
      </c>
      <c r="BA107" s="25">
        <f t="shared" ca="1" si="126"/>
        <v>6158.5607268237336</v>
      </c>
      <c r="BB107" s="23">
        <f t="array" aca="1" ref="BB107" ca="1">SUM(IF(w_start_date&lt;=AO107,1,0)*IF(w_end_date&gt;=AO107,1,0)*w_amount*(1+w_escalation/100)^(INT((AP107-w_months_since_start)/12))*IF(MOD(AP107-w_months_since_start,w_frequency)=0,1,0)*IF(w_frequency=13,0,1))+SUM(IF(w_start_date=AO107,w_amount,0)*IF(w_frequency=13,1,0))</f>
        <v>0</v>
      </c>
      <c r="BC107" s="25">
        <f t="shared" ca="1" si="127"/>
        <v>0</v>
      </c>
      <c r="BD107" s="24" t="b">
        <f t="shared" ca="1" si="128"/>
        <v>0</v>
      </c>
      <c r="BE107" s="24" t="b">
        <f t="shared" ca="1" si="129"/>
        <v>1</v>
      </c>
      <c r="BF107" s="23">
        <f t="array" aca="1" ref="BF107" ca="1">SUM(IF(BD107,1,0)*IF(ap_start_date&lt;=AO107,1,0)*IF(ap_end_date&gt;=AO107,1,0)*ap_amount*(1+ap_escalation/100)^(INT((AP107-ap_months_since_start)/12))*IF(MOD(AP107-ap_months_since_start,ap_frequency)=0,1,0))</f>
        <v>0</v>
      </c>
      <c r="BG107" s="24">
        <f t="shared" ca="1" si="130"/>
        <v>0</v>
      </c>
      <c r="BH107" s="24">
        <f t="shared" ca="1" si="131"/>
        <v>0</v>
      </c>
      <c r="BI107">
        <f t="shared" ca="1" si="132"/>
        <v>0</v>
      </c>
      <c r="BJ107" s="24">
        <f t="shared" ca="1" si="133"/>
        <v>0</v>
      </c>
      <c r="BK107">
        <f t="shared" ca="1" si="134"/>
        <v>0</v>
      </c>
      <c r="BL107" s="25">
        <f t="shared" ca="1" si="135"/>
        <v>0</v>
      </c>
      <c r="BM107" s="32">
        <f t="shared" ca="1" si="114"/>
        <v>2002884.2867203383</v>
      </c>
      <c r="BN107" s="23">
        <f t="shared" ca="1" si="136"/>
        <v>0</v>
      </c>
      <c r="BO107" s="24">
        <f t="shared" ca="1" si="137"/>
        <v>0</v>
      </c>
      <c r="BP107" s="25">
        <f t="shared" ca="1" si="138"/>
        <v>0</v>
      </c>
      <c r="BQ107" s="34">
        <f t="shared" ca="1" si="139"/>
        <v>48669</v>
      </c>
      <c r="BR107" s="23">
        <f t="shared" ca="1" si="140"/>
        <v>2002884.2867203383</v>
      </c>
      <c r="BS107" s="24">
        <f t="shared" ca="1" si="141"/>
        <v>6158.5607268237336</v>
      </c>
      <c r="BT107" s="24">
        <f t="shared" ca="1" si="150"/>
        <v>72007.786959785197</v>
      </c>
      <c r="BU107" s="24">
        <f t="shared" ca="1" si="142"/>
        <v>0</v>
      </c>
      <c r="BV107" s="24">
        <f t="shared" ca="1" si="151"/>
        <v>0</v>
      </c>
      <c r="BW107" s="24">
        <f t="shared" ca="1" si="143"/>
        <v>0</v>
      </c>
      <c r="BX107" s="25">
        <f t="shared" ca="1" si="152"/>
        <v>0</v>
      </c>
      <c r="BY107" s="23">
        <f t="shared" ca="1" si="115"/>
        <v>1444479.4417746789</v>
      </c>
      <c r="BZ107" s="24">
        <f t="shared" ca="1" si="116"/>
        <v>4456.0923108415445</v>
      </c>
      <c r="CA107" s="24">
        <f t="shared" ca="1" si="153"/>
        <v>53041.336037023044</v>
      </c>
      <c r="CB107" s="24">
        <f t="shared" ca="1" si="117"/>
        <v>0</v>
      </c>
      <c r="CC107" s="24">
        <f t="shared" ca="1" si="154"/>
        <v>0</v>
      </c>
      <c r="CD107" s="24">
        <f t="shared" ca="1" si="118"/>
        <v>0</v>
      </c>
      <c r="CE107" s="25">
        <f t="shared" ca="1" si="155"/>
        <v>0</v>
      </c>
      <c r="CF107" s="23">
        <f t="shared" ca="1" si="156"/>
        <v>0</v>
      </c>
      <c r="CG107" s="25">
        <f t="array" aca="1" ref="CG107" ca="1">SUM(BF96:BF107/(1+inflation/100)^(AP96:AP107/12))</f>
        <v>0</v>
      </c>
      <c r="CH107" s="32">
        <f ca="1">IFERROR(IF(MOD(AP107-ap_months_since_start,12)=0,ap_drawdown/100*(AQ107+AV107+BA107-BC107),CH106),0)</f>
        <v>293255.32518862543</v>
      </c>
      <c r="EL107" s="21">
        <f t="shared" ca="1" si="148"/>
        <v>6</v>
      </c>
      <c r="EM107" t="str">
        <f t="shared" ca="1" si="106"/>
        <v/>
      </c>
      <c r="EN107" t="str">
        <f t="shared" ca="1" si="107"/>
        <v/>
      </c>
      <c r="EO107" t="str">
        <f t="shared" ca="1" si="108"/>
        <v/>
      </c>
      <c r="EP107" s="1" t="str">
        <f t="shared" ca="1" si="109"/>
        <v/>
      </c>
      <c r="EQ107" s="1" t="str">
        <f t="shared" ca="1" si="110"/>
        <v/>
      </c>
      <c r="ER107" t="str">
        <f t="shared" ca="1" si="111"/>
        <v/>
      </c>
      <c r="ES107" t="str">
        <f t="shared" si="112"/>
        <v/>
      </c>
      <c r="ET107">
        <v>0</v>
      </c>
      <c r="EU107" s="22">
        <v>98</v>
      </c>
      <c r="EX107" s="21" t="str">
        <f ca="1">IF(EX106="","",IF(EX106+1&lt;=MAX('Financial Planning Tool'!$EL$10:$EL$209),EX106+1,""))</f>
        <v/>
      </c>
      <c r="EY107" t="str">
        <f ca="1">IF(EX107&lt;&gt;"",VLOOKUP(EX107,'Financial Planning Tool'!$EL$10:$ER$209,2,FALSE),"")</f>
        <v/>
      </c>
      <c r="EZ107" t="str">
        <f ca="1">IF(EX107&lt;&gt;"",VLOOKUP(EX107,'Financial Planning Tool'!$EL$10:$ER$209,3,FALSE),"")</f>
        <v/>
      </c>
      <c r="FA107" t="str">
        <f ca="1">IF(EX107&lt;&gt;"",VLOOKUP(EX107,'Financial Planning Tool'!$EL$10:$ER$209,4,FALSE),"")</f>
        <v/>
      </c>
      <c r="FB107" t="str">
        <f t="shared" ca="1" si="149"/>
        <v/>
      </c>
      <c r="FC107" s="1" t="str">
        <f ca="1">IF(EX107&lt;&gt;"",VLOOKUP(EX107,'Financial Planning Tool'!$EL$10:$ER$209,5,FALSE),"")</f>
        <v/>
      </c>
      <c r="FD107" s="1" t="str">
        <f ca="1">IF(EX107&lt;&gt;"",VLOOKUP(EX107,'Financial Planning Tool'!$EL$10:$ER$209,6,FALSE),"")</f>
        <v/>
      </c>
      <c r="FE107" t="str">
        <f ca="1">IF(EX107&lt;&gt;"",VLOOKUP(EX107,'Financial Planning Tool'!$EL$10:$ER$209,7,FALSE),"")</f>
        <v/>
      </c>
      <c r="FF107" t="str">
        <f ca="1">IF(EX107&lt;&gt;"",VLOOKUP(EX107,'Financial Planning Tool'!$EL$10:$ES$209,8,FALSE),"")</f>
        <v/>
      </c>
      <c r="FG107" t="str">
        <f ca="1">IF(EX107&lt;&gt;"",VLOOKUP(EX107,'Financial Planning Tool'!$EL$10:$ET$209,9,FALSE),"")</f>
        <v/>
      </c>
      <c r="FH107" t="str">
        <f t="shared" ref="FH107:FH138" ca="1" si="160">IF(AdjVarType="Escalation",FE107,IF(AdjVarType="Drawdown",FG107,FA107))</f>
        <v/>
      </c>
      <c r="FI107" s="22" t="str">
        <f t="shared" ref="FI107:FI138" ca="1" si="161">IF(AdjVarType="Escalation",IFERROR(FE107-inflation,FE107),IF(AdjVarType="Drawdown",FG107,FB107))</f>
        <v/>
      </c>
    </row>
    <row r="108" spans="2:165" x14ac:dyDescent="0.25">
      <c r="B108" s="78" t="str">
        <f>IF(AdjVar="","",IF(AdjVar=EY10,"Current "&amp;LOWER(AdjVar),IF(AdjVarType&lt;&gt;"","'"&amp;AdjVar&amp;"' current "&amp;LOWER(AdjVarType),"'"&amp;AdjVar&amp;"' current amount")))</f>
        <v/>
      </c>
      <c r="C108" s="76"/>
      <c r="D108" s="19" t="str">
        <f>IFERROR(IF(AdjVar&lt;&gt;"",VLOOKUP(AdjVar,$EY$10:$FI$161,10,FALSE),""),"")</f>
        <v/>
      </c>
      <c r="E108" s="19" t="str">
        <f>IFERROR(IF(AdjVar&lt;&gt;"",VLOOKUP(AdjVar,$EY$10:$FI$161,11,FALSE),""),"")</f>
        <v/>
      </c>
      <c r="F108" s="77"/>
      <c r="G108" s="18"/>
      <c r="H108" s="5">
        <f t="shared" ca="1" si="158"/>
        <v>65349</v>
      </c>
      <c r="I108" s="8">
        <f t="shared" ca="1" si="159"/>
        <v>108</v>
      </c>
      <c r="J108" s="12" t="str">
        <f t="shared" ca="1" si="95"/>
        <v/>
      </c>
      <c r="K108" s="12" t="str">
        <f t="shared" ca="1" si="96"/>
        <v/>
      </c>
      <c r="L108" s="12" t="str">
        <f t="shared" ca="1" si="97"/>
        <v/>
      </c>
      <c r="M108" s="12" t="str">
        <f t="shared" ca="1" si="98"/>
        <v/>
      </c>
      <c r="N108" s="12">
        <f t="shared" ca="1" si="99"/>
        <v>-7931.39</v>
      </c>
      <c r="O108" s="12">
        <f t="shared" ca="1" si="100"/>
        <v>-974.68</v>
      </c>
      <c r="P108" s="12">
        <f t="shared" ca="1" si="101"/>
        <v>41100.85</v>
      </c>
      <c r="Q108" s="12">
        <f t="shared" ca="1" si="102"/>
        <v>4943.68</v>
      </c>
      <c r="S108" s="18"/>
      <c r="T108" s="5">
        <f t="shared" ca="1" si="103"/>
        <v>65349</v>
      </c>
      <c r="U108" s="8">
        <f t="shared" ca="1" si="104"/>
        <v>108</v>
      </c>
      <c r="V108" s="12"/>
      <c r="W108" s="12"/>
      <c r="X108" s="12"/>
      <c r="Y108" s="12"/>
      <c r="Z108" s="12"/>
      <c r="AA108" s="12"/>
      <c r="AB108" s="12">
        <v>31904563.02</v>
      </c>
      <c r="AC108" s="12">
        <v>3837536.14</v>
      </c>
      <c r="AE108" s="21">
        <v>55</v>
      </c>
      <c r="AF108" s="22">
        <f t="shared" ca="1" si="157"/>
        <v>1</v>
      </c>
      <c r="AI108" s="21">
        <f t="shared" ca="1" si="94"/>
        <v>1</v>
      </c>
      <c r="AJ108" s="22">
        <v>0</v>
      </c>
      <c r="AN108" s="32">
        <f t="shared" ca="1" si="113"/>
        <v>63.25</v>
      </c>
      <c r="AO108" s="53">
        <f t="shared" ca="1" si="144"/>
        <v>48670</v>
      </c>
      <c r="AP108" s="22">
        <v>101</v>
      </c>
      <c r="AQ108" s="32">
        <f t="shared" ca="1" si="145"/>
        <v>2002884.2867203383</v>
      </c>
      <c r="AR108" s="23">
        <f t="array" aca="1" ref="AR108" ca="1">SUM(IF(lsc_start_date=AO108,lsc_amount,0))</f>
        <v>0</v>
      </c>
      <c r="AS108" s="24">
        <f t="shared" ca="1" si="119"/>
        <v>0</v>
      </c>
      <c r="AT108" s="24">
        <f t="shared" ca="1" si="120"/>
        <v>0</v>
      </c>
      <c r="AU108" s="24">
        <f t="shared" ca="1" si="121"/>
        <v>0</v>
      </c>
      <c r="AV108" s="25">
        <f t="shared" ca="1" si="122"/>
        <v>0</v>
      </c>
      <c r="AW108" s="23">
        <f t="array" aca="1" ref="AW108" ca="1">SUM(IF(rcs_start_date&lt;=AO108,1,0)*IF(rcs_end_date&gt;=AO108,1,0)*rcs_amount*(1+rcs_escalation/100)^(INT((AP108-rcs_months_since_start)/12))*IF(MOD((AP108-rcs_months_since_start),rcs_frequency)=0,1,0)*IF(rcs_frequency=13,0,1))+SUM(IF(rcs_start_date=AO108,rcs_amount,0)*IF(rcs_frequency=13,1,0))</f>
        <v>6158.5607268237336</v>
      </c>
      <c r="AX108" s="24">
        <f t="shared" ca="1" si="123"/>
        <v>0</v>
      </c>
      <c r="AY108" s="24">
        <f t="shared" ca="1" si="124"/>
        <v>0</v>
      </c>
      <c r="AZ108" s="24">
        <f t="shared" ca="1" si="125"/>
        <v>0</v>
      </c>
      <c r="BA108" s="25">
        <f t="shared" ca="1" si="126"/>
        <v>6158.5607268237336</v>
      </c>
      <c r="BB108" s="23">
        <f t="array" aca="1" ref="BB108" ca="1">SUM(IF(w_start_date&lt;=AO108,1,0)*IF(w_end_date&gt;=AO108,1,0)*w_amount*(1+w_escalation/100)^(INT((AP108-w_months_since_start)/12))*IF(MOD(AP108-w_months_since_start,w_frequency)=0,1,0)*IF(w_frequency=13,0,1))+SUM(IF(w_start_date=AO108,w_amount,0)*IF(w_frequency=13,1,0))</f>
        <v>0</v>
      </c>
      <c r="BC108" s="25">
        <f t="shared" ca="1" si="127"/>
        <v>0</v>
      </c>
      <c r="BD108" s="24" t="b">
        <f t="shared" ca="1" si="128"/>
        <v>0</v>
      </c>
      <c r="BE108" s="24" t="b">
        <f t="shared" ca="1" si="129"/>
        <v>1</v>
      </c>
      <c r="BF108" s="23">
        <f t="array" aca="1" ref="BF108" ca="1">SUM(IF(BD108,1,0)*IF(ap_start_date&lt;=AO108,1,0)*IF(ap_end_date&gt;=AO108,1,0)*ap_amount*(1+ap_escalation/100)^(INT((AP108-ap_months_since_start)/12))*IF(MOD(AP108-ap_months_since_start,ap_frequency)=0,1,0))</f>
        <v>0</v>
      </c>
      <c r="BG108" s="24">
        <f t="shared" ca="1" si="130"/>
        <v>0</v>
      </c>
      <c r="BH108" s="24">
        <f t="shared" ca="1" si="131"/>
        <v>0</v>
      </c>
      <c r="BI108">
        <f t="shared" ca="1" si="132"/>
        <v>0</v>
      </c>
      <c r="BJ108" s="24">
        <f t="shared" ca="1" si="133"/>
        <v>0</v>
      </c>
      <c r="BK108">
        <f t="shared" ca="1" si="134"/>
        <v>0</v>
      </c>
      <c r="BL108" s="25">
        <f t="shared" ca="1" si="135"/>
        <v>0</v>
      </c>
      <c r="BM108" s="32">
        <f t="shared" ca="1" si="114"/>
        <v>2023522.6688046856</v>
      </c>
      <c r="BN108" s="23">
        <f t="shared" ca="1" si="136"/>
        <v>0</v>
      </c>
      <c r="BO108" s="24">
        <f t="shared" ca="1" si="137"/>
        <v>0</v>
      </c>
      <c r="BP108" s="25">
        <f t="shared" ca="1" si="138"/>
        <v>0</v>
      </c>
      <c r="BQ108" s="34">
        <f t="shared" ca="1" si="139"/>
        <v>48699</v>
      </c>
      <c r="BR108" s="23">
        <f t="shared" ca="1" si="140"/>
        <v>2023522.6688046856</v>
      </c>
      <c r="BS108" s="24">
        <f t="shared" ca="1" si="141"/>
        <v>6158.5607268237336</v>
      </c>
      <c r="BT108" s="24">
        <f t="shared" ca="1" si="150"/>
        <v>72244.65468004765</v>
      </c>
      <c r="BU108" s="24">
        <f t="shared" ca="1" si="142"/>
        <v>0</v>
      </c>
      <c r="BV108" s="24">
        <f t="shared" ca="1" si="151"/>
        <v>0</v>
      </c>
      <c r="BW108" s="24">
        <f t="shared" ca="1" si="143"/>
        <v>0</v>
      </c>
      <c r="BX108" s="25">
        <f t="shared" ca="1" si="152"/>
        <v>0</v>
      </c>
      <c r="BY108" s="23">
        <f t="shared" ca="1" si="115"/>
        <v>1454601.847724874</v>
      </c>
      <c r="BZ108" s="24">
        <f t="shared" ca="1" si="116"/>
        <v>4441.5518259342853</v>
      </c>
      <c r="CA108" s="24">
        <f t="shared" ca="1" si="153"/>
        <v>53041.336037023044</v>
      </c>
      <c r="CB108" s="24">
        <f t="shared" ca="1" si="117"/>
        <v>0</v>
      </c>
      <c r="CC108" s="24">
        <f t="shared" ca="1" si="154"/>
        <v>0</v>
      </c>
      <c r="CD108" s="24">
        <f t="shared" ca="1" si="118"/>
        <v>0</v>
      </c>
      <c r="CE108" s="25">
        <f t="shared" ca="1" si="155"/>
        <v>0</v>
      </c>
      <c r="CF108" s="23">
        <f t="shared" ca="1" si="156"/>
        <v>0</v>
      </c>
      <c r="CG108" s="25">
        <f t="array" aca="1" ref="CG108" ca="1">SUM(BF97:BF108/(1+inflation/100)^(AP97:AP108/12))</f>
        <v>0</v>
      </c>
      <c r="CH108" s="32">
        <f ca="1">IFERROR(IF(MOD(AP108-ap_months_since_start,12)=0,ap_drawdown/100*(AQ108+AV108+BA108-BC108),CH107),0)</f>
        <v>293255.32518862543</v>
      </c>
      <c r="EL108" s="21">
        <f t="shared" ca="1" si="148"/>
        <v>6</v>
      </c>
      <c r="EM108" t="str">
        <f t="shared" ca="1" si="106"/>
        <v/>
      </c>
      <c r="EN108" t="str">
        <f t="shared" ca="1" si="107"/>
        <v/>
      </c>
      <c r="EO108" t="str">
        <f t="shared" ca="1" si="108"/>
        <v/>
      </c>
      <c r="EP108" s="1" t="str">
        <f t="shared" ca="1" si="109"/>
        <v/>
      </c>
      <c r="EQ108" s="1" t="str">
        <f t="shared" ca="1" si="110"/>
        <v/>
      </c>
      <c r="ER108" t="str">
        <f t="shared" ca="1" si="111"/>
        <v/>
      </c>
      <c r="ES108" t="str">
        <f t="shared" si="112"/>
        <v/>
      </c>
      <c r="ET108">
        <v>0</v>
      </c>
      <c r="EU108" s="22">
        <v>99</v>
      </c>
      <c r="EX108" s="21" t="str">
        <f ca="1">IF(EX107="","",IF(EX107+1&lt;=MAX('Financial Planning Tool'!$EL$10:$EL$209),EX107+1,""))</f>
        <v/>
      </c>
      <c r="EY108" t="str">
        <f ca="1">IF(EX108&lt;&gt;"",VLOOKUP(EX108,'Financial Planning Tool'!$EL$10:$ER$209,2,FALSE),"")</f>
        <v/>
      </c>
      <c r="EZ108" t="str">
        <f ca="1">IF(EX108&lt;&gt;"",VLOOKUP(EX108,'Financial Planning Tool'!$EL$10:$ER$209,3,FALSE),"")</f>
        <v/>
      </c>
      <c r="FA108" t="str">
        <f ca="1">IF(EX108&lt;&gt;"",VLOOKUP(EX108,'Financial Planning Tool'!$EL$10:$ER$209,4,FALSE),"")</f>
        <v/>
      </c>
      <c r="FB108" t="str">
        <f t="shared" ca="1" si="149"/>
        <v/>
      </c>
      <c r="FC108" s="1" t="str">
        <f ca="1">IF(EX108&lt;&gt;"",VLOOKUP(EX108,'Financial Planning Tool'!$EL$10:$ER$209,5,FALSE),"")</f>
        <v/>
      </c>
      <c r="FD108" s="1" t="str">
        <f ca="1">IF(EX108&lt;&gt;"",VLOOKUP(EX108,'Financial Planning Tool'!$EL$10:$ER$209,6,FALSE),"")</f>
        <v/>
      </c>
      <c r="FE108" t="str">
        <f ca="1">IF(EX108&lt;&gt;"",VLOOKUP(EX108,'Financial Planning Tool'!$EL$10:$ER$209,7,FALSE),"")</f>
        <v/>
      </c>
      <c r="FF108" t="str">
        <f ca="1">IF(EX108&lt;&gt;"",VLOOKUP(EX108,'Financial Planning Tool'!$EL$10:$ES$209,8,FALSE),"")</f>
        <v/>
      </c>
      <c r="FG108" t="str">
        <f ca="1">IF(EX108&lt;&gt;"",VLOOKUP(EX108,'Financial Planning Tool'!$EL$10:$ET$209,9,FALSE),"")</f>
        <v/>
      </c>
      <c r="FH108" t="str">
        <f t="shared" ca="1" si="160"/>
        <v/>
      </c>
      <c r="FI108" s="22" t="str">
        <f t="shared" ca="1" si="161"/>
        <v/>
      </c>
    </row>
    <row r="109" spans="2:165" x14ac:dyDescent="0.25">
      <c r="B109" s="145" t="str">
        <f ca="1">IF(Optimisation_run_check,IF(AdjVar="Nominal Return","The "&amp;LOWER(AdjVar)&amp;" was ",IF(AdjVarType&lt;&gt;"","The "&amp;LOWER(AdjVarType)&amp;" of '"&amp;AdjVar&amp;"' was ",""))&amp;IF(OFFSET(VarToAdjValR,0,-Real_nominal_offset)&gt;OFFSET(Optimisation_original_value_real,0,-Real_nominal_offset),"increased from ","decreased from ")&amp;CHAR(10)&amp;IF(AdjVarType="Amount",TEXT(OFFSET(Optimisation_original_value_real,0,-Real_nominal_offset),"R ### ###")&amp;" to "&amp;TEXT(OFFSET(VarToAdjValR,0,-Real_nominal_offset),"R ### ###"),ROUND(OFFSET(Optimisation_original_value_real,0,-1),2)&amp;"% to "&amp;ROUND(OFFSET(VarToAdjValR,0,-1),2)&amp;"%"),"")</f>
        <v/>
      </c>
      <c r="C109" s="146"/>
      <c r="D109" s="76"/>
      <c r="E109" s="76"/>
      <c r="F109" s="77"/>
      <c r="G109" s="18"/>
      <c r="H109" s="5">
        <f t="shared" ca="1" si="158"/>
        <v>65714</v>
      </c>
      <c r="I109" s="8">
        <f t="shared" ca="1" si="159"/>
        <v>109</v>
      </c>
      <c r="J109" s="12" t="str">
        <f t="shared" ca="1" si="95"/>
        <v/>
      </c>
      <c r="K109" s="12" t="str">
        <f t="shared" ca="1" si="96"/>
        <v/>
      </c>
      <c r="L109" s="12" t="str">
        <f t="shared" ca="1" si="97"/>
        <v/>
      </c>
      <c r="M109" s="12" t="str">
        <f t="shared" ca="1" si="98"/>
        <v/>
      </c>
      <c r="N109" s="12">
        <f t="shared" ca="1" si="99"/>
        <v>-7190.45</v>
      </c>
      <c r="O109" s="12">
        <f t="shared" ca="1" si="100"/>
        <v>-849.64</v>
      </c>
      <c r="P109" s="12">
        <f t="shared" ca="1" si="101"/>
        <v>37261.25</v>
      </c>
      <c r="Q109" s="12">
        <f t="shared" ca="1" si="102"/>
        <v>4309.47</v>
      </c>
      <c r="S109" s="18"/>
      <c r="T109" s="5">
        <f t="shared" ca="1" si="103"/>
        <v>65714</v>
      </c>
      <c r="U109" s="8">
        <f t="shared" ca="1" si="104"/>
        <v>109</v>
      </c>
      <c r="V109" s="12"/>
      <c r="W109" s="12"/>
      <c r="X109" s="12"/>
      <c r="Y109" s="12"/>
      <c r="Z109" s="12"/>
      <c r="AA109" s="12"/>
      <c r="AB109" s="12">
        <v>34456928.060000002</v>
      </c>
      <c r="AC109" s="12">
        <v>3985133.68</v>
      </c>
      <c r="AE109" s="21">
        <v>56</v>
      </c>
      <c r="AF109" s="22">
        <f t="shared" ca="1" si="157"/>
        <v>1</v>
      </c>
      <c r="AI109" s="21">
        <f t="shared" ca="1" si="94"/>
        <v>1</v>
      </c>
      <c r="AJ109" s="22">
        <v>0</v>
      </c>
      <c r="AN109" s="32">
        <f t="shared" ca="1" si="113"/>
        <v>63.333333333333336</v>
      </c>
      <c r="AO109" s="53">
        <f t="shared" ca="1" si="144"/>
        <v>48700</v>
      </c>
      <c r="AP109" s="22">
        <v>102</v>
      </c>
      <c r="AQ109" s="32">
        <f t="shared" ca="1" si="145"/>
        <v>2023522.6688046856</v>
      </c>
      <c r="AR109" s="23">
        <f t="array" aca="1" ref="AR109" ca="1">SUM(IF(lsc_start_date=AO109,lsc_amount,0))</f>
        <v>0</v>
      </c>
      <c r="AS109" s="24">
        <f t="shared" ca="1" si="119"/>
        <v>0</v>
      </c>
      <c r="AT109" s="24">
        <f t="shared" ca="1" si="120"/>
        <v>0</v>
      </c>
      <c r="AU109" s="24">
        <f t="shared" ca="1" si="121"/>
        <v>0</v>
      </c>
      <c r="AV109" s="25">
        <f t="shared" ca="1" si="122"/>
        <v>0</v>
      </c>
      <c r="AW109" s="23">
        <f t="array" aca="1" ref="AW109" ca="1">SUM(IF(rcs_start_date&lt;=AO109,1,0)*IF(rcs_end_date&gt;=AO109,1,0)*rcs_amount*(1+rcs_escalation/100)^(INT((AP109-rcs_months_since_start)/12))*IF(MOD((AP109-rcs_months_since_start),rcs_frequency)=0,1,0)*IF(rcs_frequency=13,0,1))+SUM(IF(rcs_start_date=AO109,rcs_amount,0)*IF(rcs_frequency=13,1,0))</f>
        <v>6158.5607268237336</v>
      </c>
      <c r="AX109" s="24">
        <f t="shared" ca="1" si="123"/>
        <v>0</v>
      </c>
      <c r="AY109" s="24">
        <f t="shared" ca="1" si="124"/>
        <v>0</v>
      </c>
      <c r="AZ109" s="24">
        <f t="shared" ca="1" si="125"/>
        <v>0</v>
      </c>
      <c r="BA109" s="25">
        <f t="shared" ca="1" si="126"/>
        <v>6158.5607268237336</v>
      </c>
      <c r="BB109" s="23">
        <f t="array" aca="1" ref="BB109" ca="1">SUM(IF(w_start_date&lt;=AO109,1,0)*IF(w_end_date&gt;=AO109,1,0)*w_amount*(1+w_escalation/100)^(INT((AP109-w_months_since_start)/12))*IF(MOD(AP109-w_months_since_start,w_frequency)=0,1,0)*IF(w_frequency=13,0,1))+SUM(IF(w_start_date=AO109,w_amount,0)*IF(w_frequency=13,1,0))</f>
        <v>0</v>
      </c>
      <c r="BC109" s="25">
        <f t="shared" ca="1" si="127"/>
        <v>0</v>
      </c>
      <c r="BD109" s="24" t="b">
        <f t="shared" ca="1" si="128"/>
        <v>0</v>
      </c>
      <c r="BE109" s="24" t="b">
        <f t="shared" ca="1" si="129"/>
        <v>1</v>
      </c>
      <c r="BF109" s="23">
        <f t="array" aca="1" ref="BF109" ca="1">SUM(IF(BD109,1,0)*IF(ap_start_date&lt;=AO109,1,0)*IF(ap_end_date&gt;=AO109,1,0)*ap_amount*(1+ap_escalation/100)^(INT((AP109-ap_months_since_start)/12))*IF(MOD(AP109-ap_months_since_start,ap_frequency)=0,1,0))</f>
        <v>0</v>
      </c>
      <c r="BG109" s="24">
        <f t="shared" ca="1" si="130"/>
        <v>0</v>
      </c>
      <c r="BH109" s="24">
        <f t="shared" ca="1" si="131"/>
        <v>0</v>
      </c>
      <c r="BI109">
        <f t="shared" ca="1" si="132"/>
        <v>0</v>
      </c>
      <c r="BJ109" s="24">
        <f t="shared" ca="1" si="133"/>
        <v>0</v>
      </c>
      <c r="BK109">
        <f t="shared" ca="1" si="134"/>
        <v>0</v>
      </c>
      <c r="BL109" s="25">
        <f t="shared" ca="1" si="135"/>
        <v>0</v>
      </c>
      <c r="BM109" s="32">
        <f t="shared" ca="1" si="114"/>
        <v>2044309.7983814368</v>
      </c>
      <c r="BN109" s="23">
        <f t="shared" ca="1" si="136"/>
        <v>0</v>
      </c>
      <c r="BO109" s="24">
        <f t="shared" ca="1" si="137"/>
        <v>0</v>
      </c>
      <c r="BP109" s="25">
        <f t="shared" ca="1" si="138"/>
        <v>0</v>
      </c>
      <c r="BQ109" s="34">
        <f t="shared" ca="1" si="139"/>
        <v>48730</v>
      </c>
      <c r="BR109" s="23">
        <f t="shared" ca="1" si="140"/>
        <v>2044309.7983814368</v>
      </c>
      <c r="BS109" s="24">
        <f t="shared" ca="1" si="141"/>
        <v>6158.5607268237336</v>
      </c>
      <c r="BT109" s="24">
        <f t="shared" ca="1" si="150"/>
        <v>72481.522400310103</v>
      </c>
      <c r="BU109" s="24">
        <f t="shared" ca="1" si="142"/>
        <v>0</v>
      </c>
      <c r="BV109" s="24">
        <f t="shared" ca="1" si="151"/>
        <v>0</v>
      </c>
      <c r="BW109" s="24">
        <f t="shared" ca="1" si="143"/>
        <v>0</v>
      </c>
      <c r="BX109" s="25">
        <f t="shared" ca="1" si="152"/>
        <v>0</v>
      </c>
      <c r="BY109" s="23">
        <f t="shared" ca="1" si="115"/>
        <v>1464749.3912161854</v>
      </c>
      <c r="BZ109" s="24">
        <f t="shared" ca="1" si="116"/>
        <v>4427.0587874636331</v>
      </c>
      <c r="CA109" s="24">
        <f t="shared" ca="1" si="153"/>
        <v>53041.336037023051</v>
      </c>
      <c r="CB109" s="24">
        <f t="shared" ca="1" si="117"/>
        <v>0</v>
      </c>
      <c r="CC109" s="24">
        <f t="shared" ca="1" si="154"/>
        <v>0</v>
      </c>
      <c r="CD109" s="24">
        <f t="shared" ca="1" si="118"/>
        <v>0</v>
      </c>
      <c r="CE109" s="25">
        <f t="shared" ca="1" si="155"/>
        <v>0</v>
      </c>
      <c r="CF109" s="23">
        <f t="shared" ca="1" si="156"/>
        <v>0</v>
      </c>
      <c r="CG109" s="25">
        <f t="array" aca="1" ref="CG109" ca="1">SUM(BF98:BF109/(1+inflation/100)^(AP98:AP109/12))</f>
        <v>0</v>
      </c>
      <c r="CH109" s="32">
        <f ca="1">IFERROR(IF(MOD(AP109-ap_months_since_start,12)=0,ap_drawdown/100*(AQ109+AV109+BA109-BC109),CH108),0)</f>
        <v>293255.32518862543</v>
      </c>
      <c r="EL109" s="21">
        <f t="shared" ca="1" si="148"/>
        <v>6</v>
      </c>
      <c r="EM109" t="str">
        <f t="shared" ca="1" si="106"/>
        <v/>
      </c>
      <c r="EN109" t="str">
        <f t="shared" ca="1" si="107"/>
        <v/>
      </c>
      <c r="EO109" t="str">
        <f t="shared" ca="1" si="108"/>
        <v/>
      </c>
      <c r="EP109" s="1" t="str">
        <f t="shared" ca="1" si="109"/>
        <v/>
      </c>
      <c r="EQ109" s="1" t="str">
        <f t="shared" ca="1" si="110"/>
        <v/>
      </c>
      <c r="ER109" t="str">
        <f t="shared" ca="1" si="111"/>
        <v/>
      </c>
      <c r="ES109" t="str">
        <f t="shared" si="112"/>
        <v/>
      </c>
      <c r="ET109">
        <v>0</v>
      </c>
      <c r="EU109" s="22">
        <v>100</v>
      </c>
      <c r="EX109" s="21" t="str">
        <f ca="1">IF(EX108="","",IF(EX108+1&lt;=MAX('Financial Planning Tool'!$EL$10:$EL$209),EX108+1,""))</f>
        <v/>
      </c>
      <c r="EY109" t="str">
        <f ca="1">IF(EX109&lt;&gt;"",VLOOKUP(EX109,'Financial Planning Tool'!$EL$10:$ER$209,2,FALSE),"")</f>
        <v/>
      </c>
      <c r="EZ109" t="str">
        <f ca="1">IF(EX109&lt;&gt;"",VLOOKUP(EX109,'Financial Planning Tool'!$EL$10:$ER$209,3,FALSE),"")</f>
        <v/>
      </c>
      <c r="FA109" t="str">
        <f ca="1">IF(EX109&lt;&gt;"",VLOOKUP(EX109,'Financial Planning Tool'!$EL$10:$ER$209,4,FALSE),"")</f>
        <v/>
      </c>
      <c r="FB109" t="str">
        <f t="shared" ca="1" si="149"/>
        <v/>
      </c>
      <c r="FC109" s="1" t="str">
        <f ca="1">IF(EX109&lt;&gt;"",VLOOKUP(EX109,'Financial Planning Tool'!$EL$10:$ER$209,5,FALSE),"")</f>
        <v/>
      </c>
      <c r="FD109" s="1" t="str">
        <f ca="1">IF(EX109&lt;&gt;"",VLOOKUP(EX109,'Financial Planning Tool'!$EL$10:$ER$209,6,FALSE),"")</f>
        <v/>
      </c>
      <c r="FE109" t="str">
        <f ca="1">IF(EX109&lt;&gt;"",VLOOKUP(EX109,'Financial Planning Tool'!$EL$10:$ER$209,7,FALSE),"")</f>
        <v/>
      </c>
      <c r="FF109" t="str">
        <f ca="1">IF(EX109&lt;&gt;"",VLOOKUP(EX109,'Financial Planning Tool'!$EL$10:$ES$209,8,FALSE),"")</f>
        <v/>
      </c>
      <c r="FG109" t="str">
        <f ca="1">IF(EX109&lt;&gt;"",VLOOKUP(EX109,'Financial Planning Tool'!$EL$10:$ET$209,9,FALSE),"")</f>
        <v/>
      </c>
      <c r="FH109" t="str">
        <f t="shared" ca="1" si="160"/>
        <v/>
      </c>
      <c r="FI109" s="22" t="str">
        <f t="shared" ca="1" si="161"/>
        <v/>
      </c>
    </row>
    <row r="110" spans="2:165" x14ac:dyDescent="0.25">
      <c r="B110" s="145"/>
      <c r="C110" s="146"/>
      <c r="D110" s="76"/>
      <c r="E110" s="76"/>
      <c r="F110" s="77"/>
      <c r="G110" s="18"/>
      <c r="H110" s="5">
        <f t="shared" ca="1" si="158"/>
        <v>66080</v>
      </c>
      <c r="I110" s="8">
        <f t="shared" ca="1" si="159"/>
        <v>110</v>
      </c>
      <c r="J110" s="12" t="str">
        <f t="shared" ca="1" si="95"/>
        <v/>
      </c>
      <c r="K110" s="12" t="str">
        <f t="shared" ca="1" si="96"/>
        <v/>
      </c>
      <c r="L110" s="12" t="str">
        <f t="shared" ca="1" si="97"/>
        <v/>
      </c>
      <c r="M110" s="12" t="str">
        <f t="shared" ca="1" si="98"/>
        <v/>
      </c>
      <c r="N110" s="12">
        <f t="shared" ca="1" si="99"/>
        <v>-6518.72</v>
      </c>
      <c r="O110" s="12">
        <f t="shared" ca="1" si="100"/>
        <v>-740.65</v>
      </c>
      <c r="P110" s="12">
        <f t="shared" ca="1" si="101"/>
        <v>33780.339999999997</v>
      </c>
      <c r="Q110" s="12">
        <f t="shared" ca="1" si="102"/>
        <v>3756.62</v>
      </c>
      <c r="S110" s="18"/>
      <c r="T110" s="5">
        <f t="shared" ca="1" si="103"/>
        <v>66080</v>
      </c>
      <c r="U110" s="8">
        <f t="shared" ca="1" si="104"/>
        <v>110</v>
      </c>
      <c r="V110" s="12"/>
      <c r="W110" s="12"/>
      <c r="X110" s="12"/>
      <c r="Y110" s="12"/>
      <c r="Z110" s="12"/>
      <c r="AA110" s="12"/>
      <c r="AB110" s="12">
        <v>37213482.299999997</v>
      </c>
      <c r="AC110" s="12">
        <v>4138408.06</v>
      </c>
      <c r="AE110" s="21">
        <v>57</v>
      </c>
      <c r="AF110" s="22">
        <f t="shared" ca="1" si="157"/>
        <v>1</v>
      </c>
      <c r="AI110" s="21">
        <f t="shared" ca="1" si="94"/>
        <v>1</v>
      </c>
      <c r="AJ110" s="22">
        <v>0</v>
      </c>
      <c r="AN110" s="32">
        <f t="shared" ca="1" si="113"/>
        <v>63.416666666666664</v>
      </c>
      <c r="AO110" s="53">
        <f t="shared" ca="1" si="144"/>
        <v>48731</v>
      </c>
      <c r="AP110" s="22">
        <v>103</v>
      </c>
      <c r="AQ110" s="32">
        <f t="shared" ca="1" si="145"/>
        <v>2044309.7983814368</v>
      </c>
      <c r="AR110" s="23">
        <f t="array" aca="1" ref="AR110" ca="1">SUM(IF(lsc_start_date=AO110,lsc_amount,0))</f>
        <v>0</v>
      </c>
      <c r="AS110" s="24">
        <f t="shared" ca="1" si="119"/>
        <v>0</v>
      </c>
      <c r="AT110" s="24">
        <f t="shared" ca="1" si="120"/>
        <v>0</v>
      </c>
      <c r="AU110" s="24">
        <f t="shared" ca="1" si="121"/>
        <v>0</v>
      </c>
      <c r="AV110" s="25">
        <f t="shared" ca="1" si="122"/>
        <v>0</v>
      </c>
      <c r="AW110" s="23">
        <f t="array" aca="1" ref="AW110" ca="1">SUM(IF(rcs_start_date&lt;=AO110,1,0)*IF(rcs_end_date&gt;=AO110,1,0)*rcs_amount*(1+rcs_escalation/100)^(INT((AP110-rcs_months_since_start)/12))*IF(MOD((AP110-rcs_months_since_start),rcs_frequency)=0,1,0)*IF(rcs_frequency=13,0,1))+SUM(IF(rcs_start_date=AO110,rcs_amount,0)*IF(rcs_frequency=13,1,0))</f>
        <v>6158.5607268237336</v>
      </c>
      <c r="AX110" s="24">
        <f t="shared" ca="1" si="123"/>
        <v>0</v>
      </c>
      <c r="AY110" s="24">
        <f t="shared" ca="1" si="124"/>
        <v>0</v>
      </c>
      <c r="AZ110" s="24">
        <f t="shared" ca="1" si="125"/>
        <v>0</v>
      </c>
      <c r="BA110" s="25">
        <f t="shared" ca="1" si="126"/>
        <v>6158.5607268237336</v>
      </c>
      <c r="BB110" s="23">
        <f t="array" aca="1" ref="BB110" ca="1">SUM(IF(w_start_date&lt;=AO110,1,0)*IF(w_end_date&gt;=AO110,1,0)*w_amount*(1+w_escalation/100)^(INT((AP110-w_months_since_start)/12))*IF(MOD(AP110-w_months_since_start,w_frequency)=0,1,0)*IF(w_frequency=13,0,1))+SUM(IF(w_start_date=AO110,w_amount,0)*IF(w_frequency=13,1,0))</f>
        <v>0</v>
      </c>
      <c r="BC110" s="25">
        <f t="shared" ca="1" si="127"/>
        <v>0</v>
      </c>
      <c r="BD110" s="24" t="b">
        <f t="shared" ca="1" si="128"/>
        <v>0</v>
      </c>
      <c r="BE110" s="24" t="b">
        <f t="shared" ca="1" si="129"/>
        <v>1</v>
      </c>
      <c r="BF110" s="23">
        <f t="array" aca="1" ref="BF110" ca="1">SUM(IF(BD110,1,0)*IF(ap_start_date&lt;=AO110,1,0)*IF(ap_end_date&gt;=AO110,1,0)*ap_amount*(1+ap_escalation/100)^(INT((AP110-ap_months_since_start)/12))*IF(MOD(AP110-ap_months_since_start,ap_frequency)=0,1,0))</f>
        <v>0</v>
      </c>
      <c r="BG110" s="24">
        <f t="shared" ca="1" si="130"/>
        <v>0</v>
      </c>
      <c r="BH110" s="24">
        <f t="shared" ca="1" si="131"/>
        <v>0</v>
      </c>
      <c r="BI110">
        <f t="shared" ca="1" si="132"/>
        <v>0</v>
      </c>
      <c r="BJ110" s="24">
        <f t="shared" ca="1" si="133"/>
        <v>0</v>
      </c>
      <c r="BK110">
        <f t="shared" ca="1" si="134"/>
        <v>0</v>
      </c>
      <c r="BL110" s="25">
        <f t="shared" ca="1" si="135"/>
        <v>0</v>
      </c>
      <c r="BM110" s="32">
        <f t="shared" ca="1" si="114"/>
        <v>2065246.7475218622</v>
      </c>
      <c r="BN110" s="23">
        <f t="shared" ca="1" si="136"/>
        <v>0</v>
      </c>
      <c r="BO110" s="24">
        <f t="shared" ca="1" si="137"/>
        <v>0</v>
      </c>
      <c r="BP110" s="25">
        <f t="shared" ca="1" si="138"/>
        <v>0</v>
      </c>
      <c r="BQ110" s="34">
        <f t="shared" ca="1" si="139"/>
        <v>48760</v>
      </c>
      <c r="BR110" s="23">
        <f t="shared" ca="1" si="140"/>
        <v>2065246.7475218622</v>
      </c>
      <c r="BS110" s="24">
        <f t="shared" ca="1" si="141"/>
        <v>6158.5607268237336</v>
      </c>
      <c r="BT110" s="24">
        <f t="shared" ca="1" si="150"/>
        <v>72718.390120572556</v>
      </c>
      <c r="BU110" s="24">
        <f t="shared" ca="1" si="142"/>
        <v>0</v>
      </c>
      <c r="BV110" s="24">
        <f t="shared" ca="1" si="151"/>
        <v>0</v>
      </c>
      <c r="BW110" s="24">
        <f t="shared" ca="1" si="143"/>
        <v>0</v>
      </c>
      <c r="BX110" s="25">
        <f t="shared" ca="1" si="152"/>
        <v>0</v>
      </c>
      <c r="BY110" s="23">
        <f t="shared" ca="1" si="115"/>
        <v>1474922.2182836127</v>
      </c>
      <c r="BZ110" s="24">
        <f t="shared" ca="1" si="116"/>
        <v>4412.6130406091415</v>
      </c>
      <c r="CA110" s="24">
        <f t="shared" ca="1" si="153"/>
        <v>53041.336037023051</v>
      </c>
      <c r="CB110" s="24">
        <f t="shared" ca="1" si="117"/>
        <v>0</v>
      </c>
      <c r="CC110" s="24">
        <f t="shared" ca="1" si="154"/>
        <v>0</v>
      </c>
      <c r="CD110" s="24">
        <f t="shared" ca="1" si="118"/>
        <v>0</v>
      </c>
      <c r="CE110" s="25">
        <f t="shared" ca="1" si="155"/>
        <v>0</v>
      </c>
      <c r="CF110" s="23">
        <f t="shared" ca="1" si="156"/>
        <v>0</v>
      </c>
      <c r="CG110" s="25">
        <f t="array" aca="1" ref="CG110" ca="1">SUM(BF99:BF110/(1+inflation/100)^(AP99:AP110/12))</f>
        <v>0</v>
      </c>
      <c r="CH110" s="32">
        <f ca="1">IFERROR(IF(MOD(AP110-ap_months_since_start,12)=0,ap_drawdown/100*(AQ110+AV110+BA110-BC110),CH109),0)</f>
        <v>293255.32518862543</v>
      </c>
      <c r="EL110" s="21">
        <f t="shared" ca="1" si="148"/>
        <v>6</v>
      </c>
      <c r="EM110" t="str">
        <f t="shared" ref="EM110:EP110" ca="1" si="162">DF11</f>
        <v/>
      </c>
      <c r="EN110" t="str">
        <f t="shared" ca="1" si="162"/>
        <v/>
      </c>
      <c r="EO110" t="str">
        <f t="shared" ca="1" si="162"/>
        <v/>
      </c>
      <c r="EP110" s="1" t="str">
        <f t="shared" ca="1" si="162"/>
        <v/>
      </c>
      <c r="EQ110" s="1" t="str">
        <f ca="1">IF(EN110="Once-off","Once-off",DJ11)</f>
        <v/>
      </c>
      <c r="ER110" t="str">
        <f ca="1">IF(EN110="Once-off","Once-off",DK11)</f>
        <v/>
      </c>
      <c r="ES110" t="str">
        <f>DM11</f>
        <v/>
      </c>
      <c r="ET110">
        <v>0</v>
      </c>
      <c r="EU110" s="22">
        <v>101</v>
      </c>
      <c r="EX110" s="21" t="str">
        <f ca="1">IF(EX109="","",IF(EX109+1&lt;=MAX('Financial Planning Tool'!$EL$10:$EL$209),EX109+1,""))</f>
        <v/>
      </c>
      <c r="EY110" t="str">
        <f ca="1">IF(EX110&lt;&gt;"",VLOOKUP(EX110,'Financial Planning Tool'!$EL$10:$ER$209,2,FALSE),"")</f>
        <v/>
      </c>
      <c r="EZ110" t="str">
        <f ca="1">IF(EX110&lt;&gt;"",VLOOKUP(EX110,'Financial Planning Tool'!$EL$10:$ER$209,3,FALSE),"")</f>
        <v/>
      </c>
      <c r="FA110" t="str">
        <f ca="1">IF(EX110&lt;&gt;"",VLOOKUP(EX110,'Financial Planning Tool'!$EL$10:$ER$209,4,FALSE),"")</f>
        <v/>
      </c>
      <c r="FB110" t="str">
        <f t="shared" ca="1" si="149"/>
        <v/>
      </c>
      <c r="FC110" s="1" t="str">
        <f ca="1">IF(EX110&lt;&gt;"",VLOOKUP(EX110,'Financial Planning Tool'!$EL$10:$ER$209,5,FALSE),"")</f>
        <v/>
      </c>
      <c r="FD110" s="1" t="str">
        <f ca="1">IF(EX110&lt;&gt;"",VLOOKUP(EX110,'Financial Planning Tool'!$EL$10:$ER$209,6,FALSE),"")</f>
        <v/>
      </c>
      <c r="FE110" t="str">
        <f ca="1">IF(EX110&lt;&gt;"",VLOOKUP(EX110,'Financial Planning Tool'!$EL$10:$ER$209,7,FALSE),"")</f>
        <v/>
      </c>
      <c r="FF110" t="str">
        <f ca="1">IF(EX110&lt;&gt;"",VLOOKUP(EX110,'Financial Planning Tool'!$EL$10:$ES$209,8,FALSE),"")</f>
        <v/>
      </c>
      <c r="FG110" t="str">
        <f ca="1">IF(EX110&lt;&gt;"",VLOOKUP(EX110,'Financial Planning Tool'!$EL$10:$ET$209,9,FALSE),"")</f>
        <v/>
      </c>
      <c r="FH110" t="str">
        <f t="shared" ca="1" si="160"/>
        <v/>
      </c>
      <c r="FI110" s="22" t="str">
        <f t="shared" ca="1" si="161"/>
        <v/>
      </c>
    </row>
    <row r="111" spans="2:165" x14ac:dyDescent="0.25">
      <c r="B111" s="145"/>
      <c r="C111" s="146"/>
      <c r="D111" s="76"/>
      <c r="E111" s="76"/>
      <c r="F111" s="77"/>
      <c r="G111" s="18"/>
      <c r="H111" s="5">
        <f t="shared" ca="1" si="158"/>
        <v>66445</v>
      </c>
      <c r="I111" s="8">
        <f t="shared" ca="1" si="159"/>
        <v>111</v>
      </c>
      <c r="J111" s="12" t="str">
        <f t="shared" ca="1" si="95"/>
        <v/>
      </c>
      <c r="K111" s="12" t="str">
        <f t="shared" ca="1" si="96"/>
        <v/>
      </c>
      <c r="L111" s="12" t="str">
        <f t="shared" ca="1" si="97"/>
        <v/>
      </c>
      <c r="M111" s="12" t="str">
        <f t="shared" ca="1" si="98"/>
        <v/>
      </c>
      <c r="N111" s="12">
        <f t="shared" ca="1" si="99"/>
        <v>-5909.75</v>
      </c>
      <c r="O111" s="12">
        <f t="shared" ca="1" si="100"/>
        <v>-645.63</v>
      </c>
      <c r="P111" s="12">
        <f t="shared" ca="1" si="101"/>
        <v>30624.62</v>
      </c>
      <c r="Q111" s="12">
        <f t="shared" ca="1" si="102"/>
        <v>3274.69</v>
      </c>
      <c r="S111" s="18"/>
      <c r="T111" s="5">
        <f t="shared" ca="1" si="103"/>
        <v>66445</v>
      </c>
      <c r="U111" s="8">
        <f t="shared" ca="1" si="104"/>
        <v>111</v>
      </c>
      <c r="V111" s="12"/>
      <c r="W111" s="12"/>
      <c r="X111" s="12"/>
      <c r="Y111" s="12"/>
      <c r="Z111" s="12"/>
      <c r="AA111" s="12"/>
      <c r="AB111" s="12">
        <v>40190560.890000001</v>
      </c>
      <c r="AC111" s="12">
        <v>4297577.5999999996</v>
      </c>
      <c r="AE111" s="21">
        <v>58</v>
      </c>
      <c r="AF111" s="22">
        <f t="shared" ca="1" si="157"/>
        <v>1</v>
      </c>
      <c r="AI111" s="21">
        <f t="shared" ca="1" si="94"/>
        <v>1</v>
      </c>
      <c r="AJ111" s="22">
        <v>0</v>
      </c>
      <c r="AN111" s="32">
        <f t="shared" ca="1" si="113"/>
        <v>63.5</v>
      </c>
      <c r="AO111" s="53">
        <f t="shared" ca="1" si="144"/>
        <v>48761</v>
      </c>
      <c r="AP111" s="22">
        <v>104</v>
      </c>
      <c r="AQ111" s="32">
        <f t="shared" ca="1" si="145"/>
        <v>2065246.7475218622</v>
      </c>
      <c r="AR111" s="23">
        <f t="array" aca="1" ref="AR111" ca="1">SUM(IF(lsc_start_date=AO111,lsc_amount,0))</f>
        <v>0</v>
      </c>
      <c r="AS111" s="24">
        <f t="shared" ca="1" si="119"/>
        <v>0</v>
      </c>
      <c r="AT111" s="24">
        <f t="shared" ca="1" si="120"/>
        <v>0</v>
      </c>
      <c r="AU111" s="24">
        <f t="shared" ca="1" si="121"/>
        <v>0</v>
      </c>
      <c r="AV111" s="25">
        <f t="shared" ca="1" si="122"/>
        <v>0</v>
      </c>
      <c r="AW111" s="23">
        <f t="array" aca="1" ref="AW111" ca="1">SUM(IF(rcs_start_date&lt;=AO111,1,0)*IF(rcs_end_date&gt;=AO111,1,0)*rcs_amount*(1+rcs_escalation/100)^(INT((AP111-rcs_months_since_start)/12))*IF(MOD((AP111-rcs_months_since_start),rcs_frequency)=0,1,0)*IF(rcs_frequency=13,0,1))+SUM(IF(rcs_start_date=AO111,rcs_amount,0)*IF(rcs_frequency=13,1,0))</f>
        <v>6158.5607268237336</v>
      </c>
      <c r="AX111" s="24">
        <f t="shared" ca="1" si="123"/>
        <v>0</v>
      </c>
      <c r="AY111" s="24">
        <f t="shared" ca="1" si="124"/>
        <v>0</v>
      </c>
      <c r="AZ111" s="24">
        <f t="shared" ca="1" si="125"/>
        <v>0</v>
      </c>
      <c r="BA111" s="25">
        <f t="shared" ca="1" si="126"/>
        <v>6158.5607268237336</v>
      </c>
      <c r="BB111" s="23">
        <f t="array" aca="1" ref="BB111" ca="1">SUM(IF(w_start_date&lt;=AO111,1,0)*IF(w_end_date&gt;=AO111,1,0)*w_amount*(1+w_escalation/100)^(INT((AP111-w_months_since_start)/12))*IF(MOD(AP111-w_months_since_start,w_frequency)=0,1,0)*IF(w_frequency=13,0,1))+SUM(IF(w_start_date=AO111,w_amount,0)*IF(w_frequency=13,1,0))</f>
        <v>0</v>
      </c>
      <c r="BC111" s="25">
        <f t="shared" ca="1" si="127"/>
        <v>0</v>
      </c>
      <c r="BD111" s="24" t="b">
        <f t="shared" ca="1" si="128"/>
        <v>0</v>
      </c>
      <c r="BE111" s="24" t="b">
        <f t="shared" ca="1" si="129"/>
        <v>1</v>
      </c>
      <c r="BF111" s="23">
        <f t="array" aca="1" ref="BF111" ca="1">SUM(IF(BD111,1,0)*IF(ap_start_date&lt;=AO111,1,0)*IF(ap_end_date&gt;=AO111,1,0)*ap_amount*(1+ap_escalation/100)^(INT((AP111-ap_months_since_start)/12))*IF(MOD(AP111-ap_months_since_start,ap_frequency)=0,1,0))</f>
        <v>0</v>
      </c>
      <c r="BG111" s="24">
        <f t="shared" ca="1" si="130"/>
        <v>0</v>
      </c>
      <c r="BH111" s="24">
        <f t="shared" ca="1" si="131"/>
        <v>0</v>
      </c>
      <c r="BI111">
        <f t="shared" ca="1" si="132"/>
        <v>0</v>
      </c>
      <c r="BJ111" s="24">
        <f t="shared" ca="1" si="133"/>
        <v>0</v>
      </c>
      <c r="BK111">
        <f t="shared" ca="1" si="134"/>
        <v>0</v>
      </c>
      <c r="BL111" s="25">
        <f t="shared" ca="1" si="135"/>
        <v>0</v>
      </c>
      <c r="BM111" s="32">
        <f t="shared" ca="1" si="114"/>
        <v>2086334.5960239961</v>
      </c>
      <c r="BN111" s="23">
        <f t="shared" ca="1" si="136"/>
        <v>0</v>
      </c>
      <c r="BO111" s="24">
        <f t="shared" ca="1" si="137"/>
        <v>0</v>
      </c>
      <c r="BP111" s="25">
        <f t="shared" ca="1" si="138"/>
        <v>0</v>
      </c>
      <c r="BQ111" s="34">
        <f t="shared" ca="1" si="139"/>
        <v>48791</v>
      </c>
      <c r="BR111" s="23">
        <f t="shared" ca="1" si="140"/>
        <v>2086334.5960239961</v>
      </c>
      <c r="BS111" s="24">
        <f t="shared" ca="1" si="141"/>
        <v>6158.5607268237336</v>
      </c>
      <c r="BT111" s="24">
        <f t="shared" ca="1" si="150"/>
        <v>72955.257840835009</v>
      </c>
      <c r="BU111" s="24">
        <f t="shared" ca="1" si="142"/>
        <v>0</v>
      </c>
      <c r="BV111" s="24">
        <f t="shared" ca="1" si="151"/>
        <v>0</v>
      </c>
      <c r="BW111" s="24">
        <f t="shared" ca="1" si="143"/>
        <v>0</v>
      </c>
      <c r="BX111" s="25">
        <f t="shared" ca="1" si="152"/>
        <v>0</v>
      </c>
      <c r="BY111" s="23">
        <f t="shared" ca="1" si="115"/>
        <v>1485120.4753798014</v>
      </c>
      <c r="BZ111" s="24">
        <f t="shared" ca="1" si="116"/>
        <v>4398.2144310555532</v>
      </c>
      <c r="CA111" s="24">
        <f t="shared" ca="1" si="153"/>
        <v>53041.336037023044</v>
      </c>
      <c r="CB111" s="24">
        <f t="shared" ca="1" si="117"/>
        <v>0</v>
      </c>
      <c r="CC111" s="24">
        <f t="shared" ca="1" si="154"/>
        <v>0</v>
      </c>
      <c r="CD111" s="24">
        <f t="shared" ca="1" si="118"/>
        <v>0</v>
      </c>
      <c r="CE111" s="25">
        <f t="shared" ca="1" si="155"/>
        <v>0</v>
      </c>
      <c r="CF111" s="23">
        <f t="shared" ca="1" si="156"/>
        <v>0</v>
      </c>
      <c r="CG111" s="25">
        <f t="array" aca="1" ref="CG111" ca="1">SUM(BF100:BF111/(1+inflation/100)^(AP100:AP111/12))</f>
        <v>0</v>
      </c>
      <c r="CH111" s="32">
        <f ca="1">IFERROR(IF(MOD(AP111-ap_months_since_start,12)=0,ap_drawdown/100*(AQ111+AV111+BA111-BC111),CH110),0)</f>
        <v>293255.32518862543</v>
      </c>
      <c r="EL111" s="21">
        <f t="shared" ca="1" si="148"/>
        <v>6</v>
      </c>
      <c r="EM111" t="str">
        <f t="shared" ref="EM111:EM159" ca="1" si="163">DF12</f>
        <v/>
      </c>
      <c r="EN111" t="str">
        <f t="shared" ref="EN111:EN159" ca="1" si="164">DG12</f>
        <v/>
      </c>
      <c r="EO111" t="str">
        <f t="shared" ref="EO111:EO159" ca="1" si="165">DH12</f>
        <v/>
      </c>
      <c r="EP111" s="1" t="str">
        <f t="shared" ref="EP111:EP159" ca="1" si="166">DI12</f>
        <v/>
      </c>
      <c r="EQ111" s="1" t="str">
        <f t="shared" ref="EQ111:EQ159" ca="1" si="167">IF(EN111="Once-off","Once-off",DJ12)</f>
        <v/>
      </c>
      <c r="ER111" t="str">
        <f t="shared" ref="ER111:ER159" ca="1" si="168">IF(EN111="Once-off","Once-off",DK12)</f>
        <v/>
      </c>
      <c r="ES111" t="str">
        <f t="shared" ref="ES111:ES159" si="169">DM12</f>
        <v/>
      </c>
      <c r="ET111">
        <v>0</v>
      </c>
      <c r="EU111" s="22">
        <v>102</v>
      </c>
      <c r="EX111" s="21" t="str">
        <f ca="1">IF(EX110="","",IF(EX110+1&lt;=MAX('Financial Planning Tool'!$EL$10:$EL$209),EX110+1,""))</f>
        <v/>
      </c>
      <c r="EY111" t="str">
        <f ca="1">IF(EX111&lt;&gt;"",VLOOKUP(EX111,'Financial Planning Tool'!$EL$10:$ER$209,2,FALSE),"")</f>
        <v/>
      </c>
      <c r="EZ111" t="str">
        <f ca="1">IF(EX111&lt;&gt;"",VLOOKUP(EX111,'Financial Planning Tool'!$EL$10:$ER$209,3,FALSE),"")</f>
        <v/>
      </c>
      <c r="FA111" t="str">
        <f ca="1">IF(EX111&lt;&gt;"",VLOOKUP(EX111,'Financial Planning Tool'!$EL$10:$ER$209,4,FALSE),"")</f>
        <v/>
      </c>
      <c r="FB111" t="str">
        <f t="shared" ca="1" si="149"/>
        <v/>
      </c>
      <c r="FC111" s="1" t="str">
        <f ca="1">IF(EX111&lt;&gt;"",VLOOKUP(EX111,'Financial Planning Tool'!$EL$10:$ER$209,5,FALSE),"")</f>
        <v/>
      </c>
      <c r="FD111" s="1" t="str">
        <f ca="1">IF(EX111&lt;&gt;"",VLOOKUP(EX111,'Financial Planning Tool'!$EL$10:$ER$209,6,FALSE),"")</f>
        <v/>
      </c>
      <c r="FE111" t="str">
        <f ca="1">IF(EX111&lt;&gt;"",VLOOKUP(EX111,'Financial Planning Tool'!$EL$10:$ER$209,7,FALSE),"")</f>
        <v/>
      </c>
      <c r="FF111" t="str">
        <f ca="1">IF(EX111&lt;&gt;"",VLOOKUP(EX111,'Financial Planning Tool'!$EL$10:$ES$209,8,FALSE),"")</f>
        <v/>
      </c>
      <c r="FG111" t="str">
        <f ca="1">IF(EX111&lt;&gt;"",VLOOKUP(EX111,'Financial Planning Tool'!$EL$10:$ET$209,9,FALSE),"")</f>
        <v/>
      </c>
      <c r="FH111" t="str">
        <f t="shared" ca="1" si="160"/>
        <v/>
      </c>
      <c r="FI111" s="22" t="str">
        <f t="shared" ca="1" si="161"/>
        <v/>
      </c>
    </row>
    <row r="112" spans="2:165" x14ac:dyDescent="0.25">
      <c r="B112" s="80"/>
      <c r="C112" s="81"/>
      <c r="D112" s="81"/>
      <c r="E112" s="81"/>
      <c r="F112" s="82"/>
      <c r="G112" s="18"/>
      <c r="H112" s="5">
        <f t="shared" ca="1" si="158"/>
        <v>66810</v>
      </c>
      <c r="I112" s="8">
        <f t="shared" ca="1" si="159"/>
        <v>112</v>
      </c>
      <c r="J112" s="12" t="str">
        <f t="shared" ca="1" si="95"/>
        <v/>
      </c>
      <c r="K112" s="12" t="str">
        <f t="shared" ca="1" si="96"/>
        <v/>
      </c>
      <c r="L112" s="12" t="str">
        <f t="shared" ca="1" si="97"/>
        <v/>
      </c>
      <c r="M112" s="12" t="str">
        <f t="shared" ca="1" si="98"/>
        <v/>
      </c>
      <c r="N112" s="12">
        <f t="shared" ca="1" si="99"/>
        <v>-5357.67</v>
      </c>
      <c r="O112" s="12">
        <f t="shared" ca="1" si="100"/>
        <v>-562.79999999999995</v>
      </c>
      <c r="P112" s="12">
        <f t="shared" ca="1" si="101"/>
        <v>27763.7</v>
      </c>
      <c r="Q112" s="12">
        <f t="shared" ca="1" si="102"/>
        <v>2854.59</v>
      </c>
      <c r="S112" s="18"/>
      <c r="T112" s="5">
        <f t="shared" ca="1" si="103"/>
        <v>66810</v>
      </c>
      <c r="U112" s="8">
        <f t="shared" ca="1" si="104"/>
        <v>112</v>
      </c>
      <c r="V112" s="12"/>
      <c r="W112" s="12"/>
      <c r="X112" s="12"/>
      <c r="Y112" s="12"/>
      <c r="Z112" s="12"/>
      <c r="AA112" s="12"/>
      <c r="AB112" s="12">
        <v>43405805.759999998</v>
      </c>
      <c r="AC112" s="12">
        <v>4462869.04</v>
      </c>
      <c r="AE112" s="21">
        <v>59</v>
      </c>
      <c r="AF112" s="22">
        <f t="shared" ca="1" si="157"/>
        <v>1</v>
      </c>
      <c r="AI112" s="21">
        <f t="shared" ca="1" si="94"/>
        <v>1</v>
      </c>
      <c r="AJ112" s="22">
        <v>0</v>
      </c>
      <c r="AN112" s="32">
        <f t="shared" ca="1" si="113"/>
        <v>63.583333333333336</v>
      </c>
      <c r="AO112" s="53">
        <f t="shared" ca="1" si="144"/>
        <v>48792</v>
      </c>
      <c r="AP112" s="22">
        <v>105</v>
      </c>
      <c r="AQ112" s="32">
        <f t="shared" ca="1" si="145"/>
        <v>2086334.5960239961</v>
      </c>
      <c r="AR112" s="23">
        <f t="array" aca="1" ref="AR112" ca="1">SUM(IF(lsc_start_date=AO112,lsc_amount,0))</f>
        <v>0</v>
      </c>
      <c r="AS112" s="24">
        <f t="shared" ca="1" si="119"/>
        <v>0</v>
      </c>
      <c r="AT112" s="24">
        <f t="shared" ca="1" si="120"/>
        <v>0</v>
      </c>
      <c r="AU112" s="24">
        <f t="shared" ca="1" si="121"/>
        <v>0</v>
      </c>
      <c r="AV112" s="25">
        <f t="shared" ca="1" si="122"/>
        <v>0</v>
      </c>
      <c r="AW112" s="23">
        <f t="array" aca="1" ref="AW112" ca="1">SUM(IF(rcs_start_date&lt;=AO112,1,0)*IF(rcs_end_date&gt;=AO112,1,0)*rcs_amount*(1+rcs_escalation/100)^(INT((AP112-rcs_months_since_start)/12))*IF(MOD((AP112-rcs_months_since_start),rcs_frequency)=0,1,0)*IF(rcs_frequency=13,0,1))+SUM(IF(rcs_start_date=AO112,rcs_amount,0)*IF(rcs_frequency=13,1,0))</f>
        <v>6158.5607268237336</v>
      </c>
      <c r="AX112" s="24">
        <f t="shared" ca="1" si="123"/>
        <v>0</v>
      </c>
      <c r="AY112" s="24">
        <f t="shared" ca="1" si="124"/>
        <v>0</v>
      </c>
      <c r="AZ112" s="24">
        <f t="shared" ca="1" si="125"/>
        <v>0</v>
      </c>
      <c r="BA112" s="25">
        <f t="shared" ca="1" si="126"/>
        <v>6158.5607268237336</v>
      </c>
      <c r="BB112" s="23">
        <f t="array" aca="1" ref="BB112" ca="1">SUM(IF(w_start_date&lt;=AO112,1,0)*IF(w_end_date&gt;=AO112,1,0)*w_amount*(1+w_escalation/100)^(INT((AP112-w_months_since_start)/12))*IF(MOD(AP112-w_months_since_start,w_frequency)=0,1,0)*IF(w_frequency=13,0,1))+SUM(IF(w_start_date=AO112,w_amount,0)*IF(w_frequency=13,1,0))</f>
        <v>0</v>
      </c>
      <c r="BC112" s="25">
        <f t="shared" ca="1" si="127"/>
        <v>0</v>
      </c>
      <c r="BD112" s="24" t="b">
        <f t="shared" ca="1" si="128"/>
        <v>0</v>
      </c>
      <c r="BE112" s="24" t="b">
        <f t="shared" ca="1" si="129"/>
        <v>1</v>
      </c>
      <c r="BF112" s="23">
        <f t="array" aca="1" ref="BF112" ca="1">SUM(IF(BD112,1,0)*IF(ap_start_date&lt;=AO112,1,0)*IF(ap_end_date&gt;=AO112,1,0)*ap_amount*(1+ap_escalation/100)^(INT((AP112-ap_months_since_start)/12))*IF(MOD(AP112-ap_months_since_start,ap_frequency)=0,1,0))</f>
        <v>0</v>
      </c>
      <c r="BG112" s="24">
        <f t="shared" ca="1" si="130"/>
        <v>0</v>
      </c>
      <c r="BH112" s="24">
        <f t="shared" ca="1" si="131"/>
        <v>0</v>
      </c>
      <c r="BI112">
        <f t="shared" ca="1" si="132"/>
        <v>0</v>
      </c>
      <c r="BJ112" s="24">
        <f t="shared" ca="1" si="133"/>
        <v>0</v>
      </c>
      <c r="BK112">
        <f t="shared" ca="1" si="134"/>
        <v>0</v>
      </c>
      <c r="BL112" s="25">
        <f t="shared" ca="1" si="135"/>
        <v>0</v>
      </c>
      <c r="BM112" s="32">
        <f t="shared" ca="1" si="114"/>
        <v>2107574.4314683266</v>
      </c>
      <c r="BN112" s="23">
        <f t="shared" ca="1" si="136"/>
        <v>0</v>
      </c>
      <c r="BO112" s="24">
        <f t="shared" ca="1" si="137"/>
        <v>0</v>
      </c>
      <c r="BP112" s="25">
        <f t="shared" ca="1" si="138"/>
        <v>0</v>
      </c>
      <c r="BQ112" s="34">
        <f t="shared" ca="1" si="139"/>
        <v>48822</v>
      </c>
      <c r="BR112" s="23">
        <f t="shared" ca="1" si="140"/>
        <v>2107574.4314683266</v>
      </c>
      <c r="BS112" s="24">
        <f t="shared" ca="1" si="141"/>
        <v>6158.5607268237336</v>
      </c>
      <c r="BT112" s="24">
        <f t="shared" ca="1" si="150"/>
        <v>73192.125561097462</v>
      </c>
      <c r="BU112" s="24">
        <f t="shared" ca="1" si="142"/>
        <v>0</v>
      </c>
      <c r="BV112" s="24">
        <f t="shared" ca="1" si="151"/>
        <v>0</v>
      </c>
      <c r="BW112" s="24">
        <f t="shared" ca="1" si="143"/>
        <v>0</v>
      </c>
      <c r="BX112" s="25">
        <f t="shared" ca="1" si="152"/>
        <v>0</v>
      </c>
      <c r="BY112" s="23">
        <f t="shared" ca="1" si="115"/>
        <v>1495344.3093771858</v>
      </c>
      <c r="BZ112" s="24">
        <f t="shared" ca="1" si="116"/>
        <v>4383.8628049911522</v>
      </c>
      <c r="CA112" s="24">
        <f t="shared" ca="1" si="153"/>
        <v>53041.336037023044</v>
      </c>
      <c r="CB112" s="24">
        <f t="shared" ca="1" si="117"/>
        <v>0</v>
      </c>
      <c r="CC112" s="24">
        <f t="shared" ca="1" si="154"/>
        <v>0</v>
      </c>
      <c r="CD112" s="24">
        <f t="shared" ca="1" si="118"/>
        <v>0</v>
      </c>
      <c r="CE112" s="25">
        <f t="shared" ca="1" si="155"/>
        <v>0</v>
      </c>
      <c r="CF112" s="23">
        <f t="shared" ca="1" si="156"/>
        <v>0</v>
      </c>
      <c r="CG112" s="25">
        <f t="array" aca="1" ref="CG112" ca="1">SUM(BF101:BF112/(1+inflation/100)^(AP101:AP112/12))</f>
        <v>0</v>
      </c>
      <c r="CH112" s="32">
        <f ca="1">IFERROR(IF(MOD(AP112-ap_months_since_start,12)=0,ap_drawdown/100*(AQ112+AV112+BA112-BC112),CH111),0)</f>
        <v>293255.32518862543</v>
      </c>
      <c r="EL112" s="21">
        <f t="shared" ca="1" si="148"/>
        <v>6</v>
      </c>
      <c r="EM112" t="str">
        <f t="shared" ca="1" si="163"/>
        <v/>
      </c>
      <c r="EN112" t="str">
        <f t="shared" ca="1" si="164"/>
        <v/>
      </c>
      <c r="EO112" t="str">
        <f t="shared" ca="1" si="165"/>
        <v/>
      </c>
      <c r="EP112" s="1" t="str">
        <f t="shared" ca="1" si="166"/>
        <v/>
      </c>
      <c r="EQ112" s="1" t="str">
        <f t="shared" ca="1" si="167"/>
        <v/>
      </c>
      <c r="ER112" t="str">
        <f t="shared" ca="1" si="168"/>
        <v/>
      </c>
      <c r="ES112" t="str">
        <f t="shared" si="169"/>
        <v/>
      </c>
      <c r="ET112">
        <v>0</v>
      </c>
      <c r="EU112" s="22">
        <v>103</v>
      </c>
      <c r="EX112" s="21" t="str">
        <f ca="1">IF(EX111="","",IF(EX111+1&lt;=MAX('Financial Planning Tool'!$EL$10:$EL$209),EX111+1,""))</f>
        <v/>
      </c>
      <c r="EY112" t="str">
        <f ca="1">IF(EX112&lt;&gt;"",VLOOKUP(EX112,'Financial Planning Tool'!$EL$10:$ER$209,2,FALSE),"")</f>
        <v/>
      </c>
      <c r="EZ112" t="str">
        <f ca="1">IF(EX112&lt;&gt;"",VLOOKUP(EX112,'Financial Planning Tool'!$EL$10:$ER$209,3,FALSE),"")</f>
        <v/>
      </c>
      <c r="FA112" t="str">
        <f ca="1">IF(EX112&lt;&gt;"",VLOOKUP(EX112,'Financial Planning Tool'!$EL$10:$ER$209,4,FALSE),"")</f>
        <v/>
      </c>
      <c r="FB112" t="str">
        <f t="shared" ca="1" si="149"/>
        <v/>
      </c>
      <c r="FC112" s="1" t="str">
        <f ca="1">IF(EX112&lt;&gt;"",VLOOKUP(EX112,'Financial Planning Tool'!$EL$10:$ER$209,5,FALSE),"")</f>
        <v/>
      </c>
      <c r="FD112" s="1" t="str">
        <f ca="1">IF(EX112&lt;&gt;"",VLOOKUP(EX112,'Financial Planning Tool'!$EL$10:$ER$209,6,FALSE),"")</f>
        <v/>
      </c>
      <c r="FE112" t="str">
        <f ca="1">IF(EX112&lt;&gt;"",VLOOKUP(EX112,'Financial Planning Tool'!$EL$10:$ER$209,7,FALSE),"")</f>
        <v/>
      </c>
      <c r="FF112" t="str">
        <f ca="1">IF(EX112&lt;&gt;"",VLOOKUP(EX112,'Financial Planning Tool'!$EL$10:$ES$209,8,FALSE),"")</f>
        <v/>
      </c>
      <c r="FG112" t="str">
        <f ca="1">IF(EX112&lt;&gt;"",VLOOKUP(EX112,'Financial Planning Tool'!$EL$10:$ET$209,9,FALSE),"")</f>
        <v/>
      </c>
      <c r="FH112" t="str">
        <f t="shared" ca="1" si="160"/>
        <v/>
      </c>
      <c r="FI112" s="22" t="str">
        <f t="shared" ca="1" si="161"/>
        <v/>
      </c>
    </row>
    <row r="113" spans="2:165" x14ac:dyDescent="0.25">
      <c r="F113" s="88"/>
      <c r="G113" s="18"/>
      <c r="H113" s="5">
        <f t="shared" ca="1" si="158"/>
        <v>67175</v>
      </c>
      <c r="I113" s="8">
        <f t="shared" ca="1" si="159"/>
        <v>113</v>
      </c>
      <c r="J113" s="12" t="str">
        <f t="shared" ca="1" si="95"/>
        <v/>
      </c>
      <c r="K113" s="12" t="str">
        <f t="shared" ca="1" si="96"/>
        <v/>
      </c>
      <c r="L113" s="12" t="str">
        <f t="shared" ca="1" si="97"/>
        <v/>
      </c>
      <c r="M113" s="12" t="str">
        <f t="shared" ca="1" si="98"/>
        <v/>
      </c>
      <c r="N113" s="12">
        <f t="shared" ca="1" si="99"/>
        <v>-4857.16</v>
      </c>
      <c r="O113" s="12">
        <f t="shared" ca="1" si="100"/>
        <v>-490.6</v>
      </c>
      <c r="P113" s="12">
        <f t="shared" ca="1" si="101"/>
        <v>25170.04</v>
      </c>
      <c r="Q113" s="12">
        <f t="shared" ca="1" si="102"/>
        <v>2488.38</v>
      </c>
      <c r="S113" s="18"/>
      <c r="T113" s="5">
        <f t="shared" ca="1" si="103"/>
        <v>67175</v>
      </c>
      <c r="U113" s="8">
        <f t="shared" ca="1" si="104"/>
        <v>113</v>
      </c>
      <c r="V113" s="12"/>
      <c r="W113" s="12"/>
      <c r="X113" s="12"/>
      <c r="Y113" s="12"/>
      <c r="Z113" s="12"/>
      <c r="AA113" s="12"/>
      <c r="AB113" s="12">
        <v>46878270.219999999</v>
      </c>
      <c r="AC113" s="12">
        <v>4634517.8499999996</v>
      </c>
      <c r="AE113" s="21">
        <v>60</v>
      </c>
      <c r="AF113" s="22">
        <f t="shared" ca="1" si="157"/>
        <v>1</v>
      </c>
      <c r="AI113" s="21">
        <f t="shared" ca="1" si="94"/>
        <v>1</v>
      </c>
      <c r="AJ113" s="22">
        <v>0</v>
      </c>
      <c r="AN113" s="32">
        <f t="shared" ca="1" si="113"/>
        <v>63.666666666666664</v>
      </c>
      <c r="AO113" s="53">
        <f t="shared" ca="1" si="144"/>
        <v>48823</v>
      </c>
      <c r="AP113" s="22">
        <v>106</v>
      </c>
      <c r="AQ113" s="32">
        <f t="shared" ca="1" si="145"/>
        <v>2107574.4314683266</v>
      </c>
      <c r="AR113" s="23">
        <f t="array" aca="1" ref="AR113" ca="1">SUM(IF(lsc_start_date=AO113,lsc_amount,0))</f>
        <v>0</v>
      </c>
      <c r="AS113" s="24">
        <f t="shared" ca="1" si="119"/>
        <v>0</v>
      </c>
      <c r="AT113" s="24">
        <f t="shared" ca="1" si="120"/>
        <v>0</v>
      </c>
      <c r="AU113" s="24">
        <f t="shared" ca="1" si="121"/>
        <v>0</v>
      </c>
      <c r="AV113" s="25">
        <f t="shared" ca="1" si="122"/>
        <v>0</v>
      </c>
      <c r="AW113" s="23">
        <f t="array" aca="1" ref="AW113" ca="1">SUM(IF(rcs_start_date&lt;=AO113,1,0)*IF(rcs_end_date&gt;=AO113,1,0)*rcs_amount*(1+rcs_escalation/100)^(INT((AP113-rcs_months_since_start)/12))*IF(MOD((AP113-rcs_months_since_start),rcs_frequency)=0,1,0)*IF(rcs_frequency=13,0,1))+SUM(IF(rcs_start_date=AO113,rcs_amount,0)*IF(rcs_frequency=13,1,0))</f>
        <v>6158.5607268237336</v>
      </c>
      <c r="AX113" s="24">
        <f t="shared" ca="1" si="123"/>
        <v>0</v>
      </c>
      <c r="AY113" s="24">
        <f t="shared" ca="1" si="124"/>
        <v>0</v>
      </c>
      <c r="AZ113" s="24">
        <f t="shared" ca="1" si="125"/>
        <v>0</v>
      </c>
      <c r="BA113" s="25">
        <f t="shared" ca="1" si="126"/>
        <v>6158.5607268237336</v>
      </c>
      <c r="BB113" s="23">
        <f t="array" aca="1" ref="BB113" ca="1">SUM(IF(w_start_date&lt;=AO113,1,0)*IF(w_end_date&gt;=AO113,1,0)*w_amount*(1+w_escalation/100)^(INT((AP113-w_months_since_start)/12))*IF(MOD(AP113-w_months_since_start,w_frequency)=0,1,0)*IF(w_frequency=13,0,1))+SUM(IF(w_start_date=AO113,w_amount,0)*IF(w_frequency=13,1,0))</f>
        <v>0</v>
      </c>
      <c r="BC113" s="25">
        <f t="shared" ca="1" si="127"/>
        <v>0</v>
      </c>
      <c r="BD113" s="24" t="b">
        <f t="shared" ca="1" si="128"/>
        <v>0</v>
      </c>
      <c r="BE113" s="24" t="b">
        <f t="shared" ca="1" si="129"/>
        <v>1</v>
      </c>
      <c r="BF113" s="23">
        <f t="array" aca="1" ref="BF113" ca="1">SUM(IF(BD113,1,0)*IF(ap_start_date&lt;=AO113,1,0)*IF(ap_end_date&gt;=AO113,1,0)*ap_amount*(1+ap_escalation/100)^(INT((AP113-ap_months_since_start)/12))*IF(MOD(AP113-ap_months_since_start,ap_frequency)=0,1,0))</f>
        <v>0</v>
      </c>
      <c r="BG113" s="24">
        <f t="shared" ca="1" si="130"/>
        <v>0</v>
      </c>
      <c r="BH113" s="24">
        <f t="shared" ca="1" si="131"/>
        <v>0</v>
      </c>
      <c r="BI113">
        <f t="shared" ca="1" si="132"/>
        <v>0</v>
      </c>
      <c r="BJ113" s="24">
        <f t="shared" ca="1" si="133"/>
        <v>0</v>
      </c>
      <c r="BK113">
        <f t="shared" ca="1" si="134"/>
        <v>0</v>
      </c>
      <c r="BL113" s="25">
        <f t="shared" ca="1" si="135"/>
        <v>0</v>
      </c>
      <c r="BM113" s="32">
        <f t="shared" ca="1" si="114"/>
        <v>2128967.3492738861</v>
      </c>
      <c r="BN113" s="23">
        <f t="shared" ca="1" si="136"/>
        <v>0</v>
      </c>
      <c r="BO113" s="24">
        <f t="shared" ca="1" si="137"/>
        <v>0</v>
      </c>
      <c r="BP113" s="25">
        <f t="shared" ca="1" si="138"/>
        <v>0</v>
      </c>
      <c r="BQ113" s="34">
        <f t="shared" ca="1" si="139"/>
        <v>48852</v>
      </c>
      <c r="BR113" s="23">
        <f t="shared" ca="1" si="140"/>
        <v>2128967.3492738861</v>
      </c>
      <c r="BS113" s="24">
        <f t="shared" ca="1" si="141"/>
        <v>6158.5607268237336</v>
      </c>
      <c r="BT113" s="24">
        <f t="shared" ca="1" si="150"/>
        <v>73428.993281359915</v>
      </c>
      <c r="BU113" s="24">
        <f t="shared" ca="1" si="142"/>
        <v>0</v>
      </c>
      <c r="BV113" s="24">
        <f t="shared" ca="1" si="151"/>
        <v>0</v>
      </c>
      <c r="BW113" s="24">
        <f t="shared" ca="1" si="143"/>
        <v>0</v>
      </c>
      <c r="BX113" s="25">
        <f t="shared" ca="1" si="152"/>
        <v>0</v>
      </c>
      <c r="BY113" s="23">
        <f t="shared" ca="1" si="115"/>
        <v>1505593.8675701397</v>
      </c>
      <c r="BZ113" s="24">
        <f t="shared" ca="1" si="116"/>
        <v>4369.5580091061165</v>
      </c>
      <c r="CA113" s="24">
        <f t="shared" ca="1" si="153"/>
        <v>53041.336037023051</v>
      </c>
      <c r="CB113" s="24">
        <f t="shared" ca="1" si="117"/>
        <v>0</v>
      </c>
      <c r="CC113" s="24">
        <f t="shared" ca="1" si="154"/>
        <v>0</v>
      </c>
      <c r="CD113" s="24">
        <f t="shared" ca="1" si="118"/>
        <v>0</v>
      </c>
      <c r="CE113" s="25">
        <f t="shared" ca="1" si="155"/>
        <v>0</v>
      </c>
      <c r="CF113" s="23">
        <f t="shared" ca="1" si="156"/>
        <v>0</v>
      </c>
      <c r="CG113" s="25">
        <f t="array" aca="1" ref="CG113" ca="1">SUM(BF102:BF113/(1+inflation/100)^(AP102:AP113/12))</f>
        <v>0</v>
      </c>
      <c r="CH113" s="32">
        <f ca="1">IFERROR(IF(MOD(AP113-ap_months_since_start,12)=0,ap_drawdown/100*(AQ113+AV113+BA113-BC113),CH112),0)</f>
        <v>293255.32518862543</v>
      </c>
      <c r="EL113" s="21">
        <f t="shared" ca="1" si="148"/>
        <v>6</v>
      </c>
      <c r="EM113" t="str">
        <f t="shared" ca="1" si="163"/>
        <v/>
      </c>
      <c r="EN113" t="str">
        <f t="shared" ca="1" si="164"/>
        <v/>
      </c>
      <c r="EO113" t="str">
        <f t="shared" ca="1" si="165"/>
        <v/>
      </c>
      <c r="EP113" s="1" t="str">
        <f t="shared" ca="1" si="166"/>
        <v/>
      </c>
      <c r="EQ113" s="1" t="str">
        <f t="shared" ca="1" si="167"/>
        <v/>
      </c>
      <c r="ER113" t="str">
        <f t="shared" ca="1" si="168"/>
        <v/>
      </c>
      <c r="ES113" t="str">
        <f t="shared" si="169"/>
        <v/>
      </c>
      <c r="ET113">
        <v>0</v>
      </c>
      <c r="EU113" s="22">
        <v>104</v>
      </c>
      <c r="EX113" s="21" t="str">
        <f ca="1">IF(EX112="","",IF(EX112+1&lt;=MAX('Financial Planning Tool'!$EL$10:$EL$209),EX112+1,""))</f>
        <v/>
      </c>
      <c r="EY113" t="str">
        <f ca="1">IF(EX113&lt;&gt;"",VLOOKUP(EX113,'Financial Planning Tool'!$EL$10:$ER$209,2,FALSE),"")</f>
        <v/>
      </c>
      <c r="EZ113" t="str">
        <f ca="1">IF(EX113&lt;&gt;"",VLOOKUP(EX113,'Financial Planning Tool'!$EL$10:$ER$209,3,FALSE),"")</f>
        <v/>
      </c>
      <c r="FA113" t="str">
        <f ca="1">IF(EX113&lt;&gt;"",VLOOKUP(EX113,'Financial Planning Tool'!$EL$10:$ER$209,4,FALSE),"")</f>
        <v/>
      </c>
      <c r="FB113" t="str">
        <f t="shared" ca="1" si="149"/>
        <v/>
      </c>
      <c r="FC113" s="1" t="str">
        <f ca="1">IF(EX113&lt;&gt;"",VLOOKUP(EX113,'Financial Planning Tool'!$EL$10:$ER$209,5,FALSE),"")</f>
        <v/>
      </c>
      <c r="FD113" s="1" t="str">
        <f ca="1">IF(EX113&lt;&gt;"",VLOOKUP(EX113,'Financial Planning Tool'!$EL$10:$ER$209,6,FALSE),"")</f>
        <v/>
      </c>
      <c r="FE113" t="str">
        <f ca="1">IF(EX113&lt;&gt;"",VLOOKUP(EX113,'Financial Planning Tool'!$EL$10:$ER$209,7,FALSE),"")</f>
        <v/>
      </c>
      <c r="FF113" t="str">
        <f ca="1">IF(EX113&lt;&gt;"",VLOOKUP(EX113,'Financial Planning Tool'!$EL$10:$ES$209,8,FALSE),"")</f>
        <v/>
      </c>
      <c r="FG113" t="str">
        <f ca="1">IF(EX113&lt;&gt;"",VLOOKUP(EX113,'Financial Planning Tool'!$EL$10:$ET$209,9,FALSE),"")</f>
        <v/>
      </c>
      <c r="FH113" t="str">
        <f t="shared" ca="1" si="160"/>
        <v/>
      </c>
      <c r="FI113" s="22" t="str">
        <f t="shared" ca="1" si="161"/>
        <v/>
      </c>
    </row>
    <row r="114" spans="2:165" x14ac:dyDescent="0.25">
      <c r="B114" s="3" t="s">
        <v>156</v>
      </c>
      <c r="G114" s="18"/>
      <c r="H114" s="5">
        <f t="shared" ca="1" si="158"/>
        <v>67541</v>
      </c>
      <c r="I114" s="8">
        <f t="shared" ca="1" si="159"/>
        <v>114</v>
      </c>
      <c r="J114" s="12" t="str">
        <f t="shared" ca="1" si="95"/>
        <v/>
      </c>
      <c r="K114" s="12" t="str">
        <f t="shared" ca="1" si="96"/>
        <v/>
      </c>
      <c r="L114" s="12" t="str">
        <f t="shared" ca="1" si="97"/>
        <v/>
      </c>
      <c r="M114" s="12" t="str">
        <f t="shared" ca="1" si="98"/>
        <v/>
      </c>
      <c r="N114" s="12">
        <f t="shared" ca="1" si="99"/>
        <v>-4403.41</v>
      </c>
      <c r="O114" s="12">
        <f t="shared" ca="1" si="100"/>
        <v>-427.66</v>
      </c>
      <c r="P114" s="12">
        <f t="shared" ca="1" si="101"/>
        <v>22818.68</v>
      </c>
      <c r="Q114" s="12">
        <f t="shared" ca="1" si="102"/>
        <v>2169.15</v>
      </c>
      <c r="S114" s="18"/>
      <c r="T114" s="5">
        <f t="shared" ca="1" si="103"/>
        <v>67541</v>
      </c>
      <c r="U114" s="8">
        <f t="shared" ca="1" si="104"/>
        <v>114</v>
      </c>
      <c r="V114" s="12"/>
      <c r="W114" s="12"/>
      <c r="X114" s="12"/>
      <c r="Y114" s="12"/>
      <c r="Z114" s="12"/>
      <c r="AA114" s="12"/>
      <c r="AB114" s="12">
        <v>50628531.829999998</v>
      </c>
      <c r="AC114" s="12">
        <v>4812768.54</v>
      </c>
      <c r="AE114" s="21">
        <v>61</v>
      </c>
      <c r="AF114" s="22">
        <f t="shared" ca="1" si="157"/>
        <v>1</v>
      </c>
      <c r="AI114" s="21">
        <f t="shared" ca="1" si="94"/>
        <v>1</v>
      </c>
      <c r="AJ114" s="22">
        <v>0</v>
      </c>
      <c r="AN114" s="32">
        <f t="shared" ca="1" si="113"/>
        <v>63.75</v>
      </c>
      <c r="AO114" s="53">
        <f t="shared" ca="1" si="144"/>
        <v>48853</v>
      </c>
      <c r="AP114" s="22">
        <v>107</v>
      </c>
      <c r="AQ114" s="32">
        <f t="shared" ca="1" si="145"/>
        <v>2128967.3492738861</v>
      </c>
      <c r="AR114" s="23">
        <f t="array" aca="1" ref="AR114" ca="1">SUM(IF(lsc_start_date=AO114,lsc_amount,0))</f>
        <v>0</v>
      </c>
      <c r="AS114" s="24">
        <f t="shared" ca="1" si="119"/>
        <v>0</v>
      </c>
      <c r="AT114" s="24">
        <f t="shared" ca="1" si="120"/>
        <v>0</v>
      </c>
      <c r="AU114" s="24">
        <f t="shared" ca="1" si="121"/>
        <v>0</v>
      </c>
      <c r="AV114" s="25">
        <f t="shared" ca="1" si="122"/>
        <v>0</v>
      </c>
      <c r="AW114" s="23">
        <f t="array" aca="1" ref="AW114" ca="1">SUM(IF(rcs_start_date&lt;=AO114,1,0)*IF(rcs_end_date&gt;=AO114,1,0)*rcs_amount*(1+rcs_escalation/100)^(INT((AP114-rcs_months_since_start)/12))*IF(MOD((AP114-rcs_months_since_start),rcs_frequency)=0,1,0)*IF(rcs_frequency=13,0,1))+SUM(IF(rcs_start_date=AO114,rcs_amount,0)*IF(rcs_frequency=13,1,0))</f>
        <v>6158.5607268237336</v>
      </c>
      <c r="AX114" s="24">
        <f t="shared" ca="1" si="123"/>
        <v>0</v>
      </c>
      <c r="AY114" s="24">
        <f t="shared" ca="1" si="124"/>
        <v>0</v>
      </c>
      <c r="AZ114" s="24">
        <f t="shared" ca="1" si="125"/>
        <v>0</v>
      </c>
      <c r="BA114" s="25">
        <f t="shared" ca="1" si="126"/>
        <v>6158.5607268237336</v>
      </c>
      <c r="BB114" s="23">
        <f t="array" aca="1" ref="BB114" ca="1">SUM(IF(w_start_date&lt;=AO114,1,0)*IF(w_end_date&gt;=AO114,1,0)*w_amount*(1+w_escalation/100)^(INT((AP114-w_months_since_start)/12))*IF(MOD(AP114-w_months_since_start,w_frequency)=0,1,0)*IF(w_frequency=13,0,1))+SUM(IF(w_start_date=AO114,w_amount,0)*IF(w_frequency=13,1,0))</f>
        <v>0</v>
      </c>
      <c r="BC114" s="25">
        <f t="shared" ca="1" si="127"/>
        <v>0</v>
      </c>
      <c r="BD114" s="24" t="b">
        <f t="shared" ca="1" si="128"/>
        <v>0</v>
      </c>
      <c r="BE114" s="24" t="b">
        <f t="shared" ca="1" si="129"/>
        <v>1</v>
      </c>
      <c r="BF114" s="23">
        <f t="array" aca="1" ref="BF114" ca="1">SUM(IF(BD114,1,0)*IF(ap_start_date&lt;=AO114,1,0)*IF(ap_end_date&gt;=AO114,1,0)*ap_amount*(1+ap_escalation/100)^(INT((AP114-ap_months_since_start)/12))*IF(MOD(AP114-ap_months_since_start,ap_frequency)=0,1,0))</f>
        <v>0</v>
      </c>
      <c r="BG114" s="24">
        <f t="shared" ca="1" si="130"/>
        <v>0</v>
      </c>
      <c r="BH114" s="24">
        <f t="shared" ca="1" si="131"/>
        <v>0</v>
      </c>
      <c r="BI114">
        <f t="shared" ca="1" si="132"/>
        <v>0</v>
      </c>
      <c r="BJ114" s="24">
        <f t="shared" ca="1" si="133"/>
        <v>0</v>
      </c>
      <c r="BK114">
        <f t="shared" ca="1" si="134"/>
        <v>0</v>
      </c>
      <c r="BL114" s="25">
        <f t="shared" ca="1" si="135"/>
        <v>0</v>
      </c>
      <c r="BM114" s="32">
        <f t="shared" ca="1" si="114"/>
        <v>2150514.4527547457</v>
      </c>
      <c r="BN114" s="23">
        <f t="shared" ca="1" si="136"/>
        <v>0</v>
      </c>
      <c r="BO114" s="24">
        <f t="shared" ca="1" si="137"/>
        <v>0</v>
      </c>
      <c r="BP114" s="25">
        <f t="shared" ca="1" si="138"/>
        <v>0</v>
      </c>
      <c r="BQ114" s="34">
        <f t="shared" ca="1" si="139"/>
        <v>48883</v>
      </c>
      <c r="BR114" s="23">
        <f t="shared" ca="1" si="140"/>
        <v>2150514.4527547457</v>
      </c>
      <c r="BS114" s="24">
        <f t="shared" ca="1" si="141"/>
        <v>6158.5607268237336</v>
      </c>
      <c r="BT114" s="24">
        <f t="shared" ca="1" si="150"/>
        <v>73665.861001622368</v>
      </c>
      <c r="BU114" s="24">
        <f t="shared" ca="1" si="142"/>
        <v>0</v>
      </c>
      <c r="BV114" s="24">
        <f t="shared" ca="1" si="151"/>
        <v>0</v>
      </c>
      <c r="BW114" s="24">
        <f t="shared" ca="1" si="143"/>
        <v>0</v>
      </c>
      <c r="BX114" s="25">
        <f t="shared" ca="1" si="152"/>
        <v>0</v>
      </c>
      <c r="BY114" s="23">
        <f t="shared" ca="1" si="115"/>
        <v>1515869.2976771323</v>
      </c>
      <c r="BZ114" s="24">
        <f t="shared" ca="1" si="116"/>
        <v>4355.2998905908817</v>
      </c>
      <c r="CA114" s="24">
        <f t="shared" ca="1" si="153"/>
        <v>53041.336037023044</v>
      </c>
      <c r="CB114" s="24">
        <f t="shared" ca="1" si="117"/>
        <v>0</v>
      </c>
      <c r="CC114" s="24">
        <f t="shared" ca="1" si="154"/>
        <v>0</v>
      </c>
      <c r="CD114" s="24">
        <f t="shared" ca="1" si="118"/>
        <v>0</v>
      </c>
      <c r="CE114" s="25">
        <f t="shared" ca="1" si="155"/>
        <v>0</v>
      </c>
      <c r="CF114" s="23">
        <f t="shared" ca="1" si="156"/>
        <v>0</v>
      </c>
      <c r="CG114" s="25">
        <f t="array" aca="1" ref="CG114" ca="1">SUM(BF103:BF114/(1+inflation/100)^(AP103:AP114/12))</f>
        <v>0</v>
      </c>
      <c r="CH114" s="32">
        <f ca="1">IFERROR(IF(MOD(AP114-ap_months_since_start,12)=0,ap_drawdown/100*(AQ114+AV114+BA114-BC114),CH113),0)</f>
        <v>293255.32518862543</v>
      </c>
      <c r="EL114" s="21">
        <f t="shared" ca="1" si="148"/>
        <v>6</v>
      </c>
      <c r="EM114" t="str">
        <f t="shared" ca="1" si="163"/>
        <v/>
      </c>
      <c r="EN114" t="str">
        <f t="shared" ca="1" si="164"/>
        <v/>
      </c>
      <c r="EO114" t="str">
        <f t="shared" ca="1" si="165"/>
        <v/>
      </c>
      <c r="EP114" s="1" t="str">
        <f t="shared" ca="1" si="166"/>
        <v/>
      </c>
      <c r="EQ114" s="1" t="str">
        <f t="shared" ca="1" si="167"/>
        <v/>
      </c>
      <c r="ER114" t="str">
        <f t="shared" ca="1" si="168"/>
        <v/>
      </c>
      <c r="ES114" t="str">
        <f t="shared" si="169"/>
        <v/>
      </c>
      <c r="ET114">
        <v>0</v>
      </c>
      <c r="EU114" s="22">
        <v>105</v>
      </c>
      <c r="EX114" s="21" t="str">
        <f ca="1">IF(EX113="","",IF(EX113+1&lt;=MAX('Financial Planning Tool'!$EL$10:$EL$209),EX113+1,""))</f>
        <v/>
      </c>
      <c r="EY114" t="str">
        <f ca="1">IF(EX114&lt;&gt;"",VLOOKUP(EX114,'Financial Planning Tool'!$EL$10:$ER$209,2,FALSE),"")</f>
        <v/>
      </c>
      <c r="EZ114" t="str">
        <f ca="1">IF(EX114&lt;&gt;"",VLOOKUP(EX114,'Financial Planning Tool'!$EL$10:$ER$209,3,FALSE),"")</f>
        <v/>
      </c>
      <c r="FA114" t="str">
        <f ca="1">IF(EX114&lt;&gt;"",VLOOKUP(EX114,'Financial Planning Tool'!$EL$10:$ER$209,4,FALSE),"")</f>
        <v/>
      </c>
      <c r="FB114" t="str">
        <f t="shared" ca="1" si="149"/>
        <v/>
      </c>
      <c r="FC114" s="1" t="str">
        <f ca="1">IF(EX114&lt;&gt;"",VLOOKUP(EX114,'Financial Planning Tool'!$EL$10:$ER$209,5,FALSE),"")</f>
        <v/>
      </c>
      <c r="FD114" s="1" t="str">
        <f ca="1">IF(EX114&lt;&gt;"",VLOOKUP(EX114,'Financial Planning Tool'!$EL$10:$ER$209,6,FALSE),"")</f>
        <v/>
      </c>
      <c r="FE114" t="str">
        <f ca="1">IF(EX114&lt;&gt;"",VLOOKUP(EX114,'Financial Planning Tool'!$EL$10:$ER$209,7,FALSE),"")</f>
        <v/>
      </c>
      <c r="FF114" t="str">
        <f ca="1">IF(EX114&lt;&gt;"",VLOOKUP(EX114,'Financial Planning Tool'!$EL$10:$ES$209,8,FALSE),"")</f>
        <v/>
      </c>
      <c r="FG114" t="str">
        <f ca="1">IF(EX114&lt;&gt;"",VLOOKUP(EX114,'Financial Planning Tool'!$EL$10:$ET$209,9,FALSE),"")</f>
        <v/>
      </c>
      <c r="FH114" t="str">
        <f t="shared" ca="1" si="160"/>
        <v/>
      </c>
      <c r="FI114" s="22" t="str">
        <f t="shared" ca="1" si="161"/>
        <v/>
      </c>
    </row>
    <row r="115" spans="2:165" x14ac:dyDescent="0.25">
      <c r="G115" s="18"/>
      <c r="H115" s="5">
        <f t="shared" ca="1" si="158"/>
        <v>67906</v>
      </c>
      <c r="I115" s="8">
        <f t="shared" ca="1" si="159"/>
        <v>115</v>
      </c>
      <c r="J115" s="12" t="str">
        <f t="shared" ca="1" si="95"/>
        <v/>
      </c>
      <c r="K115" s="12" t="str">
        <f t="shared" ca="1" si="96"/>
        <v/>
      </c>
      <c r="L115" s="12" t="str">
        <f t="shared" ca="1" si="97"/>
        <v/>
      </c>
      <c r="M115" s="12" t="str">
        <f t="shared" ca="1" si="98"/>
        <v/>
      </c>
      <c r="N115" s="12">
        <f t="shared" ca="1" si="99"/>
        <v>-3992.05</v>
      </c>
      <c r="O115" s="12">
        <f t="shared" ca="1" si="100"/>
        <v>-372.8</v>
      </c>
      <c r="P115" s="12">
        <f t="shared" ca="1" si="101"/>
        <v>20686.990000000002</v>
      </c>
      <c r="Q115" s="12">
        <f t="shared" ca="1" si="102"/>
        <v>1890.88</v>
      </c>
      <c r="S115" s="18"/>
      <c r="T115" s="5">
        <f t="shared" ca="1" si="103"/>
        <v>67906</v>
      </c>
      <c r="U115" s="8">
        <f t="shared" ca="1" si="104"/>
        <v>115</v>
      </c>
      <c r="V115" s="12"/>
      <c r="W115" s="12"/>
      <c r="X115" s="12"/>
      <c r="Y115" s="12"/>
      <c r="Z115" s="12"/>
      <c r="AA115" s="12"/>
      <c r="AB115" s="12">
        <v>54678814.380000003</v>
      </c>
      <c r="AC115" s="12">
        <v>4997875.0199999996</v>
      </c>
      <c r="AE115" s="21">
        <v>62</v>
      </c>
      <c r="AF115" s="22">
        <f t="shared" ca="1" si="157"/>
        <v>1</v>
      </c>
      <c r="AI115" s="21">
        <f t="shared" ca="1" si="94"/>
        <v>1</v>
      </c>
      <c r="AJ115" s="22">
        <v>0</v>
      </c>
      <c r="AN115" s="32">
        <f t="shared" ca="1" si="113"/>
        <v>63.833333333333336</v>
      </c>
      <c r="AO115" s="53">
        <f t="shared" ca="1" si="144"/>
        <v>48884</v>
      </c>
      <c r="AP115" s="22">
        <v>108</v>
      </c>
      <c r="AQ115" s="32">
        <f t="shared" ca="1" si="145"/>
        <v>2150514.4527547457</v>
      </c>
      <c r="AR115" s="23">
        <f t="array" aca="1" ref="AR115" ca="1">SUM(IF(lsc_start_date=AO115,lsc_amount,0))</f>
        <v>0</v>
      </c>
      <c r="AS115" s="24">
        <f t="shared" ca="1" si="119"/>
        <v>0</v>
      </c>
      <c r="AT115" s="24">
        <f t="shared" ca="1" si="120"/>
        <v>0</v>
      </c>
      <c r="AU115" s="24">
        <f t="shared" ca="1" si="121"/>
        <v>0</v>
      </c>
      <c r="AV115" s="25">
        <f t="shared" ca="1" si="122"/>
        <v>0</v>
      </c>
      <c r="AW115" s="23">
        <f t="array" aca="1" ref="AW115" ca="1">SUM(IF(rcs_start_date&lt;=AO115,1,0)*IF(rcs_end_date&gt;=AO115,1,0)*rcs_amount*(1+rcs_escalation/100)^(INT((AP115-rcs_months_since_start)/12))*IF(MOD((AP115-rcs_months_since_start),rcs_frequency)=0,1,0)*IF(rcs_frequency=13,0,1))+SUM(IF(rcs_start_date=AO115,rcs_amount,0)*IF(rcs_frequency=13,1,0))</f>
        <v>6158.5607268237336</v>
      </c>
      <c r="AX115" s="24">
        <f t="shared" ca="1" si="123"/>
        <v>0</v>
      </c>
      <c r="AY115" s="24">
        <f t="shared" ca="1" si="124"/>
        <v>0</v>
      </c>
      <c r="AZ115" s="24">
        <f t="shared" ca="1" si="125"/>
        <v>0</v>
      </c>
      <c r="BA115" s="25">
        <f t="shared" ca="1" si="126"/>
        <v>6158.5607268237336</v>
      </c>
      <c r="BB115" s="23">
        <f t="array" aca="1" ref="BB115" ca="1">SUM(IF(w_start_date&lt;=AO115,1,0)*IF(w_end_date&gt;=AO115,1,0)*w_amount*(1+w_escalation/100)^(INT((AP115-w_months_since_start)/12))*IF(MOD(AP115-w_months_since_start,w_frequency)=0,1,0)*IF(w_frequency=13,0,1))+SUM(IF(w_start_date=AO115,w_amount,0)*IF(w_frequency=13,1,0))</f>
        <v>0</v>
      </c>
      <c r="BC115" s="25">
        <f t="shared" ca="1" si="127"/>
        <v>0</v>
      </c>
      <c r="BD115" s="24" t="b">
        <f t="shared" ca="1" si="128"/>
        <v>0</v>
      </c>
      <c r="BE115" s="24" t="b">
        <f t="shared" ca="1" si="129"/>
        <v>1</v>
      </c>
      <c r="BF115" s="23">
        <f t="array" aca="1" ref="BF115" ca="1">SUM(IF(BD115,1,0)*IF(ap_start_date&lt;=AO115,1,0)*IF(ap_end_date&gt;=AO115,1,0)*ap_amount*(1+ap_escalation/100)^(INT((AP115-ap_months_since_start)/12))*IF(MOD(AP115-ap_months_since_start,ap_frequency)=0,1,0))</f>
        <v>0</v>
      </c>
      <c r="BG115" s="24">
        <f t="shared" ca="1" si="130"/>
        <v>0</v>
      </c>
      <c r="BH115" s="24">
        <f t="shared" ca="1" si="131"/>
        <v>0</v>
      </c>
      <c r="BI115">
        <f t="shared" ca="1" si="132"/>
        <v>0</v>
      </c>
      <c r="BJ115" s="24">
        <f t="shared" ca="1" si="133"/>
        <v>0</v>
      </c>
      <c r="BK115">
        <f t="shared" ca="1" si="134"/>
        <v>0</v>
      </c>
      <c r="BL115" s="25">
        <f t="shared" ca="1" si="135"/>
        <v>0</v>
      </c>
      <c r="BM115" s="32">
        <f t="shared" ca="1" si="114"/>
        <v>2172216.8531769179</v>
      </c>
      <c r="BN115" s="23">
        <f t="shared" ca="1" si="136"/>
        <v>0</v>
      </c>
      <c r="BO115" s="24">
        <f t="shared" ca="1" si="137"/>
        <v>0</v>
      </c>
      <c r="BP115" s="25">
        <f t="shared" ca="1" si="138"/>
        <v>0</v>
      </c>
      <c r="BQ115" s="34">
        <f t="shared" ca="1" si="139"/>
        <v>48913</v>
      </c>
      <c r="BR115" s="23">
        <f t="shared" ca="1" si="140"/>
        <v>2172216.8531769179</v>
      </c>
      <c r="BS115" s="24">
        <f t="shared" ca="1" si="141"/>
        <v>6158.5607268237336</v>
      </c>
      <c r="BT115" s="24">
        <f t="shared" ca="1" si="150"/>
        <v>73902.728721884821</v>
      </c>
      <c r="BU115" s="24">
        <f t="shared" ca="1" si="142"/>
        <v>0</v>
      </c>
      <c r="BV115" s="24">
        <f t="shared" ca="1" si="151"/>
        <v>0</v>
      </c>
      <c r="BW115" s="24">
        <f t="shared" ca="1" si="143"/>
        <v>0</v>
      </c>
      <c r="BX115" s="25">
        <f t="shared" ca="1" si="152"/>
        <v>0</v>
      </c>
      <c r="BY115" s="23">
        <f t="shared" ca="1" si="115"/>
        <v>1526170.7478428904</v>
      </c>
      <c r="BZ115" s="24">
        <f t="shared" ca="1" si="116"/>
        <v>4341.0882971345145</v>
      </c>
      <c r="CA115" s="24">
        <f t="shared" ca="1" si="153"/>
        <v>53041.336037023044</v>
      </c>
      <c r="CB115" s="24">
        <f t="shared" ca="1" si="117"/>
        <v>0</v>
      </c>
      <c r="CC115" s="24">
        <f t="shared" ca="1" si="154"/>
        <v>0</v>
      </c>
      <c r="CD115" s="24">
        <f t="shared" ca="1" si="118"/>
        <v>0</v>
      </c>
      <c r="CE115" s="25">
        <f t="shared" ca="1" si="155"/>
        <v>0</v>
      </c>
      <c r="CF115" s="23">
        <f t="shared" ca="1" si="156"/>
        <v>0</v>
      </c>
      <c r="CG115" s="25">
        <f t="array" aca="1" ref="CG115" ca="1">SUM(BF104:BF115/(1+inflation/100)^(AP104:AP115/12))</f>
        <v>0</v>
      </c>
      <c r="CH115" s="32">
        <f ca="1">IFERROR(IF(MOD(AP115-ap_months_since_start,12)=0,ap_drawdown/100*(AQ115+AV115+BA115-BC115),CH114),0)</f>
        <v>331467.96463140153</v>
      </c>
      <c r="EL115" s="21">
        <f t="shared" ca="1" si="148"/>
        <v>6</v>
      </c>
      <c r="EM115" t="str">
        <f t="shared" ca="1" si="163"/>
        <v/>
      </c>
      <c r="EN115" t="str">
        <f t="shared" ca="1" si="164"/>
        <v/>
      </c>
      <c r="EO115" t="str">
        <f t="shared" ca="1" si="165"/>
        <v/>
      </c>
      <c r="EP115" s="1" t="str">
        <f t="shared" ca="1" si="166"/>
        <v/>
      </c>
      <c r="EQ115" s="1" t="str">
        <f t="shared" ca="1" si="167"/>
        <v/>
      </c>
      <c r="ER115" t="str">
        <f t="shared" ca="1" si="168"/>
        <v/>
      </c>
      <c r="ES115" t="str">
        <f t="shared" si="169"/>
        <v/>
      </c>
      <c r="ET115">
        <v>0</v>
      </c>
      <c r="EU115" s="22">
        <v>106</v>
      </c>
      <c r="EX115" s="21" t="str">
        <f ca="1">IF(EX114="","",IF(EX114+1&lt;=MAX('Financial Planning Tool'!$EL$10:$EL$209),EX114+1,""))</f>
        <v/>
      </c>
      <c r="EY115" t="str">
        <f ca="1">IF(EX115&lt;&gt;"",VLOOKUP(EX115,'Financial Planning Tool'!$EL$10:$ER$209,2,FALSE),"")</f>
        <v/>
      </c>
      <c r="EZ115" t="str">
        <f ca="1">IF(EX115&lt;&gt;"",VLOOKUP(EX115,'Financial Planning Tool'!$EL$10:$ER$209,3,FALSE),"")</f>
        <v/>
      </c>
      <c r="FA115" t="str">
        <f ca="1">IF(EX115&lt;&gt;"",VLOOKUP(EX115,'Financial Planning Tool'!$EL$10:$ER$209,4,FALSE),"")</f>
        <v/>
      </c>
      <c r="FB115" t="str">
        <f t="shared" ca="1" si="149"/>
        <v/>
      </c>
      <c r="FC115" s="1" t="str">
        <f ca="1">IF(EX115&lt;&gt;"",VLOOKUP(EX115,'Financial Planning Tool'!$EL$10:$ER$209,5,FALSE),"")</f>
        <v/>
      </c>
      <c r="FD115" s="1" t="str">
        <f ca="1">IF(EX115&lt;&gt;"",VLOOKUP(EX115,'Financial Planning Tool'!$EL$10:$ER$209,6,FALSE),"")</f>
        <v/>
      </c>
      <c r="FE115" t="str">
        <f ca="1">IF(EX115&lt;&gt;"",VLOOKUP(EX115,'Financial Planning Tool'!$EL$10:$ER$209,7,FALSE),"")</f>
        <v/>
      </c>
      <c r="FF115" t="str">
        <f ca="1">IF(EX115&lt;&gt;"",VLOOKUP(EX115,'Financial Planning Tool'!$EL$10:$ES$209,8,FALSE),"")</f>
        <v/>
      </c>
      <c r="FG115" t="str">
        <f ca="1">IF(EX115&lt;&gt;"",VLOOKUP(EX115,'Financial Planning Tool'!$EL$10:$ET$209,9,FALSE),"")</f>
        <v/>
      </c>
      <c r="FH115" t="str">
        <f t="shared" ca="1" si="160"/>
        <v/>
      </c>
      <c r="FI115" s="22" t="str">
        <f t="shared" ca="1" si="161"/>
        <v/>
      </c>
    </row>
    <row r="116" spans="2:165" x14ac:dyDescent="0.25">
      <c r="B116" s="140" t="s">
        <v>187</v>
      </c>
      <c r="C116" s="140"/>
      <c r="D116" s="140"/>
      <c r="G116" s="18"/>
      <c r="H116" s="5">
        <f t="shared" ca="1" si="158"/>
        <v>68271</v>
      </c>
      <c r="I116" s="8">
        <f t="shared" ca="1" si="159"/>
        <v>116</v>
      </c>
      <c r="J116" s="12" t="str">
        <f t="shared" ca="1" si="95"/>
        <v/>
      </c>
      <c r="K116" s="12" t="str">
        <f t="shared" ca="1" si="96"/>
        <v/>
      </c>
      <c r="L116" s="12" t="str">
        <f t="shared" ca="1" si="97"/>
        <v/>
      </c>
      <c r="M116" s="12" t="str">
        <f t="shared" ca="1" si="98"/>
        <v/>
      </c>
      <c r="N116" s="12">
        <f t="shared" ca="1" si="99"/>
        <v>-3619.11</v>
      </c>
      <c r="O116" s="12">
        <f t="shared" ca="1" si="100"/>
        <v>-324.98</v>
      </c>
      <c r="P116" s="12">
        <f t="shared" ca="1" si="101"/>
        <v>18754.43</v>
      </c>
      <c r="Q116" s="12">
        <f t="shared" ca="1" si="102"/>
        <v>1648.3</v>
      </c>
      <c r="S116" s="18"/>
      <c r="T116" s="5">
        <f t="shared" ca="1" si="103"/>
        <v>68271</v>
      </c>
      <c r="U116" s="8">
        <f t="shared" ca="1" si="104"/>
        <v>116</v>
      </c>
      <c r="V116" s="12"/>
      <c r="W116" s="12"/>
      <c r="X116" s="12"/>
      <c r="Y116" s="12"/>
      <c r="Z116" s="12"/>
      <c r="AA116" s="12"/>
      <c r="AB116" s="12">
        <v>59053119.530000001</v>
      </c>
      <c r="AC116" s="12">
        <v>5190100.9800000004</v>
      </c>
      <c r="AE116" s="21">
        <v>63</v>
      </c>
      <c r="AF116" s="22">
        <f t="shared" ca="1" si="157"/>
        <v>1</v>
      </c>
      <c r="AI116" s="21">
        <f t="shared" ca="1" si="94"/>
        <v>1</v>
      </c>
      <c r="AJ116" s="22">
        <v>0</v>
      </c>
      <c r="AN116" s="32">
        <f t="shared" ca="1" si="113"/>
        <v>63.916666666666664</v>
      </c>
      <c r="AO116" s="53">
        <f t="shared" ca="1" si="144"/>
        <v>48914</v>
      </c>
      <c r="AP116" s="22">
        <v>109</v>
      </c>
      <c r="AQ116" s="32">
        <f t="shared" ca="1" si="145"/>
        <v>2172216.8531769179</v>
      </c>
      <c r="AR116" s="23">
        <f t="array" aca="1" ref="AR116" ca="1">SUM(IF(lsc_start_date=AO116,lsc_amount,0))</f>
        <v>0</v>
      </c>
      <c r="AS116" s="24">
        <f t="shared" ca="1" si="119"/>
        <v>0</v>
      </c>
      <c r="AT116" s="24">
        <f t="shared" ca="1" si="120"/>
        <v>0</v>
      </c>
      <c r="AU116" s="24">
        <f t="shared" ca="1" si="121"/>
        <v>0</v>
      </c>
      <c r="AV116" s="25">
        <f t="shared" ca="1" si="122"/>
        <v>0</v>
      </c>
      <c r="AW116" s="23">
        <f t="array" aca="1" ref="AW116" ca="1">SUM(IF(rcs_start_date&lt;=AO116,1,0)*IF(rcs_end_date&gt;=AO116,1,0)*rcs_amount*(1+rcs_escalation/100)^(INT((AP116-rcs_months_since_start)/12))*IF(MOD((AP116-rcs_months_since_start),rcs_frequency)=0,1,0)*IF(rcs_frequency=13,0,1))+SUM(IF(rcs_start_date=AO116,rcs_amount,0)*IF(rcs_frequency=13,1,0))</f>
        <v>6404.9031558966835</v>
      </c>
      <c r="AX116" s="24">
        <f t="shared" ca="1" si="123"/>
        <v>0</v>
      </c>
      <c r="AY116" s="24">
        <f t="shared" ca="1" si="124"/>
        <v>0</v>
      </c>
      <c r="AZ116" s="24">
        <f t="shared" ca="1" si="125"/>
        <v>0</v>
      </c>
      <c r="BA116" s="25">
        <f t="shared" ca="1" si="126"/>
        <v>6404.9031558966835</v>
      </c>
      <c r="BB116" s="23">
        <f t="array" aca="1" ref="BB116" ca="1">SUM(IF(w_start_date&lt;=AO116,1,0)*IF(w_end_date&gt;=AO116,1,0)*w_amount*(1+w_escalation/100)^(INT((AP116-w_months_since_start)/12))*IF(MOD(AP116-w_months_since_start,w_frequency)=0,1,0)*IF(w_frequency=13,0,1))+SUM(IF(w_start_date=AO116,w_amount,0)*IF(w_frequency=13,1,0))</f>
        <v>0</v>
      </c>
      <c r="BC116" s="25">
        <f t="shared" ca="1" si="127"/>
        <v>0</v>
      </c>
      <c r="BD116" s="24" t="b">
        <f t="shared" ca="1" si="128"/>
        <v>0</v>
      </c>
      <c r="BE116" s="24" t="b">
        <f t="shared" ca="1" si="129"/>
        <v>1</v>
      </c>
      <c r="BF116" s="23">
        <f t="array" aca="1" ref="BF116" ca="1">SUM(IF(BD116,1,0)*IF(ap_start_date&lt;=AO116,1,0)*IF(ap_end_date&gt;=AO116,1,0)*ap_amount*(1+ap_escalation/100)^(INT((AP116-ap_months_since_start)/12))*IF(MOD(AP116-ap_months_since_start,ap_frequency)=0,1,0))</f>
        <v>0</v>
      </c>
      <c r="BG116" s="24">
        <f t="shared" ca="1" si="130"/>
        <v>0</v>
      </c>
      <c r="BH116" s="24">
        <f t="shared" ca="1" si="131"/>
        <v>0</v>
      </c>
      <c r="BI116">
        <f t="shared" ca="1" si="132"/>
        <v>0</v>
      </c>
      <c r="BJ116" s="24">
        <f t="shared" ca="1" si="133"/>
        <v>0</v>
      </c>
      <c r="BK116">
        <f t="shared" ca="1" si="134"/>
        <v>0</v>
      </c>
      <c r="BL116" s="25">
        <f t="shared" ca="1" si="135"/>
        <v>0</v>
      </c>
      <c r="BM116" s="32">
        <f t="shared" ca="1" si="114"/>
        <v>2194323.7877142751</v>
      </c>
      <c r="BN116" s="23">
        <f t="shared" ca="1" si="136"/>
        <v>0</v>
      </c>
      <c r="BO116" s="24">
        <f t="shared" ca="1" si="137"/>
        <v>0</v>
      </c>
      <c r="BP116" s="25">
        <f t="shared" ca="1" si="138"/>
        <v>0</v>
      </c>
      <c r="BQ116" s="34">
        <f t="shared" ca="1" si="139"/>
        <v>48944</v>
      </c>
      <c r="BR116" s="23">
        <f t="shared" ca="1" si="140"/>
        <v>2194323.7877142751</v>
      </c>
      <c r="BS116" s="24">
        <f t="shared" ca="1" si="141"/>
        <v>6404.9031558966835</v>
      </c>
      <c r="BT116" s="24">
        <f t="shared" ca="1" si="150"/>
        <v>74149.071150957767</v>
      </c>
      <c r="BU116" s="24">
        <f t="shared" ca="1" si="142"/>
        <v>0</v>
      </c>
      <c r="BV116" s="24">
        <f t="shared" ca="1" si="151"/>
        <v>0</v>
      </c>
      <c r="BW116" s="24">
        <f t="shared" ca="1" si="143"/>
        <v>0</v>
      </c>
      <c r="BX116" s="25">
        <f t="shared" ca="1" si="152"/>
        <v>0</v>
      </c>
      <c r="BY116" s="23">
        <f t="shared" ca="1" si="115"/>
        <v>1536672.1221546535</v>
      </c>
      <c r="BZ116" s="24">
        <f t="shared" ca="1" si="116"/>
        <v>4500</v>
      </c>
      <c r="CA116" s="24">
        <f t="shared" ca="1" si="153"/>
        <v>53041.336037023044</v>
      </c>
      <c r="CB116" s="24">
        <f t="shared" ca="1" si="117"/>
        <v>0</v>
      </c>
      <c r="CC116" s="24">
        <f t="shared" ca="1" si="154"/>
        <v>0</v>
      </c>
      <c r="CD116" s="24">
        <f t="shared" ca="1" si="118"/>
        <v>0</v>
      </c>
      <c r="CE116" s="25">
        <f t="shared" ca="1" si="155"/>
        <v>0</v>
      </c>
      <c r="CF116" s="23">
        <f t="shared" ca="1" si="156"/>
        <v>0</v>
      </c>
      <c r="CG116" s="25">
        <f t="array" aca="1" ref="CG116" ca="1">SUM(BF105:BF116/(1+inflation/100)^(AP105:AP116/12))</f>
        <v>0</v>
      </c>
      <c r="CH116" s="32">
        <f ca="1">IFERROR(IF(MOD(AP116-ap_months_since_start,12)=0,ap_drawdown/100*(AQ116+AV116+BA116-BC116),CH115),0)</f>
        <v>331467.96463140153</v>
      </c>
      <c r="EL116" s="21">
        <f t="shared" ca="1" si="148"/>
        <v>6</v>
      </c>
      <c r="EM116" t="str">
        <f t="shared" ca="1" si="163"/>
        <v/>
      </c>
      <c r="EN116" t="str">
        <f t="shared" ca="1" si="164"/>
        <v/>
      </c>
      <c r="EO116" t="str">
        <f t="shared" ca="1" si="165"/>
        <v/>
      </c>
      <c r="EP116" s="1" t="str">
        <f t="shared" ca="1" si="166"/>
        <v/>
      </c>
      <c r="EQ116" s="1" t="str">
        <f t="shared" ca="1" si="167"/>
        <v/>
      </c>
      <c r="ER116" t="str">
        <f t="shared" ca="1" si="168"/>
        <v/>
      </c>
      <c r="ES116" t="str">
        <f t="shared" si="169"/>
        <v/>
      </c>
      <c r="ET116">
        <v>0</v>
      </c>
      <c r="EU116" s="22">
        <v>107</v>
      </c>
      <c r="EX116" s="21" t="str">
        <f ca="1">IF(EX115="","",IF(EX115+1&lt;=MAX('Financial Planning Tool'!$EL$10:$EL$209),EX115+1,""))</f>
        <v/>
      </c>
      <c r="EY116" t="str">
        <f ca="1">IF(EX116&lt;&gt;"",VLOOKUP(EX116,'Financial Planning Tool'!$EL$10:$ER$209,2,FALSE),"")</f>
        <v/>
      </c>
      <c r="EZ116" t="str">
        <f ca="1">IF(EX116&lt;&gt;"",VLOOKUP(EX116,'Financial Planning Tool'!$EL$10:$ER$209,3,FALSE),"")</f>
        <v/>
      </c>
      <c r="FA116" t="str">
        <f ca="1">IF(EX116&lt;&gt;"",VLOOKUP(EX116,'Financial Planning Tool'!$EL$10:$ER$209,4,FALSE),"")</f>
        <v/>
      </c>
      <c r="FB116" t="str">
        <f t="shared" ca="1" si="149"/>
        <v/>
      </c>
      <c r="FC116" s="1" t="str">
        <f ca="1">IF(EX116&lt;&gt;"",VLOOKUP(EX116,'Financial Planning Tool'!$EL$10:$ER$209,5,FALSE),"")</f>
        <v/>
      </c>
      <c r="FD116" s="1" t="str">
        <f ca="1">IF(EX116&lt;&gt;"",VLOOKUP(EX116,'Financial Planning Tool'!$EL$10:$ER$209,6,FALSE),"")</f>
        <v/>
      </c>
      <c r="FE116" t="str">
        <f ca="1">IF(EX116&lt;&gt;"",VLOOKUP(EX116,'Financial Planning Tool'!$EL$10:$ER$209,7,FALSE),"")</f>
        <v/>
      </c>
      <c r="FF116" t="str">
        <f ca="1">IF(EX116&lt;&gt;"",VLOOKUP(EX116,'Financial Planning Tool'!$EL$10:$ES$209,8,FALSE),"")</f>
        <v/>
      </c>
      <c r="FG116" t="str">
        <f ca="1">IF(EX116&lt;&gt;"",VLOOKUP(EX116,'Financial Planning Tool'!$EL$10:$ET$209,9,FALSE),"")</f>
        <v/>
      </c>
      <c r="FH116" t="str">
        <f t="shared" ca="1" si="160"/>
        <v/>
      </c>
      <c r="FI116" s="22" t="str">
        <f t="shared" ca="1" si="161"/>
        <v/>
      </c>
    </row>
    <row r="117" spans="2:165" x14ac:dyDescent="0.25">
      <c r="B117" s="140"/>
      <c r="C117" s="140"/>
      <c r="D117" s="140"/>
      <c r="G117" s="18"/>
      <c r="H117" s="5">
        <f t="shared" ca="1" si="158"/>
        <v>68636</v>
      </c>
      <c r="I117" s="8">
        <f t="shared" ca="1" si="159"/>
        <v>117</v>
      </c>
      <c r="J117" s="12" t="str">
        <f t="shared" ca="1" si="95"/>
        <v/>
      </c>
      <c r="K117" s="12" t="str">
        <f t="shared" ca="1" si="96"/>
        <v/>
      </c>
      <c r="L117" s="12" t="str">
        <f t="shared" ca="1" si="97"/>
        <v/>
      </c>
      <c r="M117" s="12" t="str">
        <f t="shared" ca="1" si="98"/>
        <v/>
      </c>
      <c r="N117" s="12">
        <f t="shared" ca="1" si="99"/>
        <v>-3281.02</v>
      </c>
      <c r="O117" s="12">
        <f t="shared" ca="1" si="100"/>
        <v>-283.27999999999997</v>
      </c>
      <c r="P117" s="12">
        <f t="shared" ca="1" si="101"/>
        <v>17002.41</v>
      </c>
      <c r="Q117" s="12">
        <f t="shared" ca="1" si="102"/>
        <v>1436.85</v>
      </c>
      <c r="S117" s="18"/>
      <c r="T117" s="5">
        <f t="shared" ca="1" si="103"/>
        <v>68636</v>
      </c>
      <c r="U117" s="8">
        <f t="shared" ca="1" si="104"/>
        <v>117</v>
      </c>
      <c r="V117" s="12"/>
      <c r="W117" s="12"/>
      <c r="X117" s="12"/>
      <c r="Y117" s="12"/>
      <c r="Z117" s="12"/>
      <c r="AA117" s="12"/>
      <c r="AB117" s="12">
        <v>63777369.090000004</v>
      </c>
      <c r="AC117" s="12">
        <v>5389720.25</v>
      </c>
      <c r="AE117" s="21">
        <v>64</v>
      </c>
      <c r="AF117" s="22">
        <f t="shared" ca="1" si="157"/>
        <v>1</v>
      </c>
      <c r="AI117" s="21">
        <f t="shared" ca="1" si="94"/>
        <v>1</v>
      </c>
      <c r="AJ117" s="22">
        <v>0</v>
      </c>
      <c r="AN117" s="32">
        <f t="shared" ca="1" si="113"/>
        <v>64</v>
      </c>
      <c r="AO117" s="53">
        <f t="shared" ca="1" si="144"/>
        <v>48945</v>
      </c>
      <c r="AP117" s="22">
        <v>110</v>
      </c>
      <c r="AQ117" s="32">
        <f t="shared" ca="1" si="145"/>
        <v>2194323.7877142751</v>
      </c>
      <c r="AR117" s="23">
        <f t="array" aca="1" ref="AR117" ca="1">SUM(IF(lsc_start_date=AO117,lsc_amount,0))</f>
        <v>0</v>
      </c>
      <c r="AS117" s="24">
        <f t="shared" ca="1" si="119"/>
        <v>0</v>
      </c>
      <c r="AT117" s="24">
        <f t="shared" ca="1" si="120"/>
        <v>0</v>
      </c>
      <c r="AU117" s="24">
        <f t="shared" ca="1" si="121"/>
        <v>0</v>
      </c>
      <c r="AV117" s="25">
        <f t="shared" ca="1" si="122"/>
        <v>0</v>
      </c>
      <c r="AW117" s="23">
        <f t="array" aca="1" ref="AW117" ca="1">SUM(IF(rcs_start_date&lt;=AO117,1,0)*IF(rcs_end_date&gt;=AO117,1,0)*rcs_amount*(1+rcs_escalation/100)^(INT((AP117-rcs_months_since_start)/12))*IF(MOD((AP117-rcs_months_since_start),rcs_frequency)=0,1,0)*IF(rcs_frequency=13,0,1))+SUM(IF(rcs_start_date=AO117,rcs_amount,0)*IF(rcs_frequency=13,1,0))</f>
        <v>6404.9031558966835</v>
      </c>
      <c r="AX117" s="24">
        <f t="shared" ca="1" si="123"/>
        <v>0</v>
      </c>
      <c r="AY117" s="24">
        <f t="shared" ca="1" si="124"/>
        <v>0</v>
      </c>
      <c r="AZ117" s="24">
        <f t="shared" ca="1" si="125"/>
        <v>0</v>
      </c>
      <c r="BA117" s="25">
        <f t="shared" ca="1" si="126"/>
        <v>6404.9031558966835</v>
      </c>
      <c r="BB117" s="23">
        <f t="array" aca="1" ref="BB117" ca="1">SUM(IF(w_start_date&lt;=AO117,1,0)*IF(w_end_date&gt;=AO117,1,0)*w_amount*(1+w_escalation/100)^(INT((AP117-w_months_since_start)/12))*IF(MOD(AP117-w_months_since_start,w_frequency)=0,1,0)*IF(w_frequency=13,0,1))+SUM(IF(w_start_date=AO117,w_amount,0)*IF(w_frequency=13,1,0))</f>
        <v>0</v>
      </c>
      <c r="BC117" s="25">
        <f t="shared" ca="1" si="127"/>
        <v>0</v>
      </c>
      <c r="BD117" s="24" t="b">
        <f t="shared" ca="1" si="128"/>
        <v>0</v>
      </c>
      <c r="BE117" s="24" t="b">
        <f t="shared" ca="1" si="129"/>
        <v>1</v>
      </c>
      <c r="BF117" s="23">
        <f t="array" aca="1" ref="BF117" ca="1">SUM(IF(BD117,1,0)*IF(ap_start_date&lt;=AO117,1,0)*IF(ap_end_date&gt;=AO117,1,0)*ap_amount*(1+ap_escalation/100)^(INT((AP117-ap_months_since_start)/12))*IF(MOD(AP117-ap_months_since_start,ap_frequency)=0,1,0))</f>
        <v>0</v>
      </c>
      <c r="BG117" s="24">
        <f t="shared" ca="1" si="130"/>
        <v>0</v>
      </c>
      <c r="BH117" s="24">
        <f t="shared" ca="1" si="131"/>
        <v>0</v>
      </c>
      <c r="BI117">
        <f t="shared" ca="1" si="132"/>
        <v>0</v>
      </c>
      <c r="BJ117" s="24">
        <f t="shared" ca="1" si="133"/>
        <v>0</v>
      </c>
      <c r="BK117">
        <f t="shared" ca="1" si="134"/>
        <v>0</v>
      </c>
      <c r="BL117" s="25">
        <f t="shared" ca="1" si="135"/>
        <v>0</v>
      </c>
      <c r="BM117" s="32">
        <f t="shared" ca="1" si="114"/>
        <v>2216590.0540763717</v>
      </c>
      <c r="BN117" s="23">
        <f t="shared" ca="1" si="136"/>
        <v>0</v>
      </c>
      <c r="BO117" s="24">
        <f t="shared" ca="1" si="137"/>
        <v>0</v>
      </c>
      <c r="BP117" s="25">
        <f t="shared" ca="1" si="138"/>
        <v>0</v>
      </c>
      <c r="BQ117" s="34">
        <f t="shared" ca="1" si="139"/>
        <v>48975</v>
      </c>
      <c r="BR117" s="23">
        <f t="shared" ca="1" si="140"/>
        <v>2216590.0540763717</v>
      </c>
      <c r="BS117" s="24">
        <f t="shared" ca="1" si="141"/>
        <v>6404.9031558966835</v>
      </c>
      <c r="BT117" s="24">
        <f t="shared" ca="1" si="150"/>
        <v>74395.413580030712</v>
      </c>
      <c r="BU117" s="24">
        <f t="shared" ca="1" si="142"/>
        <v>0</v>
      </c>
      <c r="BV117" s="24">
        <f t="shared" ca="1" si="151"/>
        <v>0</v>
      </c>
      <c r="BW117" s="24">
        <f t="shared" ca="1" si="143"/>
        <v>0</v>
      </c>
      <c r="BX117" s="25">
        <f t="shared" ca="1" si="152"/>
        <v>0</v>
      </c>
      <c r="BY117" s="23">
        <f t="shared" ca="1" si="115"/>
        <v>1547199.9283794786</v>
      </c>
      <c r="BZ117" s="24">
        <f t="shared" ca="1" si="116"/>
        <v>4485.316241783531</v>
      </c>
      <c r="CA117" s="24">
        <f t="shared" ca="1" si="153"/>
        <v>53041.336037023051</v>
      </c>
      <c r="CB117" s="24">
        <f t="shared" ca="1" si="117"/>
        <v>0</v>
      </c>
      <c r="CC117" s="24">
        <f t="shared" ca="1" si="154"/>
        <v>0</v>
      </c>
      <c r="CD117" s="24">
        <f t="shared" ca="1" si="118"/>
        <v>0</v>
      </c>
      <c r="CE117" s="25">
        <f t="shared" ca="1" si="155"/>
        <v>0</v>
      </c>
      <c r="CF117" s="23">
        <f t="shared" ca="1" si="156"/>
        <v>0</v>
      </c>
      <c r="CG117" s="25">
        <f t="array" aca="1" ref="CG117" ca="1">SUM(BF106:BF117/(1+inflation/100)^(AP106:AP117/12))</f>
        <v>0</v>
      </c>
      <c r="CH117" s="32">
        <f ca="1">IFERROR(IF(MOD(AP117-ap_months_since_start,12)=0,ap_drawdown/100*(AQ117+AV117+BA117-BC117),CH116),0)</f>
        <v>331467.96463140153</v>
      </c>
      <c r="EL117" s="21">
        <f t="shared" ca="1" si="148"/>
        <v>6</v>
      </c>
      <c r="EM117" t="str">
        <f t="shared" ca="1" si="163"/>
        <v/>
      </c>
      <c r="EN117" t="str">
        <f t="shared" ca="1" si="164"/>
        <v/>
      </c>
      <c r="EO117" t="str">
        <f t="shared" ca="1" si="165"/>
        <v/>
      </c>
      <c r="EP117" s="1" t="str">
        <f t="shared" ca="1" si="166"/>
        <v/>
      </c>
      <c r="EQ117" s="1" t="str">
        <f t="shared" ca="1" si="167"/>
        <v/>
      </c>
      <c r="ER117" t="str">
        <f t="shared" ca="1" si="168"/>
        <v/>
      </c>
      <c r="ES117" t="str">
        <f t="shared" si="169"/>
        <v/>
      </c>
      <c r="ET117">
        <v>0</v>
      </c>
      <c r="EU117" s="22">
        <v>108</v>
      </c>
      <c r="EX117" s="21" t="str">
        <f ca="1">IF(EX116="","",IF(EX116+1&lt;=MAX('Financial Planning Tool'!$EL$10:$EL$209),EX116+1,""))</f>
        <v/>
      </c>
      <c r="EY117" t="str">
        <f ca="1">IF(EX117&lt;&gt;"",VLOOKUP(EX117,'Financial Planning Tool'!$EL$10:$ER$209,2,FALSE),"")</f>
        <v/>
      </c>
      <c r="EZ117" t="str">
        <f ca="1">IF(EX117&lt;&gt;"",VLOOKUP(EX117,'Financial Planning Tool'!$EL$10:$ER$209,3,FALSE),"")</f>
        <v/>
      </c>
      <c r="FA117" t="str">
        <f ca="1">IF(EX117&lt;&gt;"",VLOOKUP(EX117,'Financial Planning Tool'!$EL$10:$ER$209,4,FALSE),"")</f>
        <v/>
      </c>
      <c r="FB117" t="str">
        <f t="shared" ca="1" si="149"/>
        <v/>
      </c>
      <c r="FC117" s="1" t="str">
        <f ca="1">IF(EX117&lt;&gt;"",VLOOKUP(EX117,'Financial Planning Tool'!$EL$10:$ER$209,5,FALSE),"")</f>
        <v/>
      </c>
      <c r="FD117" s="1" t="str">
        <f ca="1">IF(EX117&lt;&gt;"",VLOOKUP(EX117,'Financial Planning Tool'!$EL$10:$ER$209,6,FALSE),"")</f>
        <v/>
      </c>
      <c r="FE117" t="str">
        <f ca="1">IF(EX117&lt;&gt;"",VLOOKUP(EX117,'Financial Planning Tool'!$EL$10:$ER$209,7,FALSE),"")</f>
        <v/>
      </c>
      <c r="FF117" t="str">
        <f ca="1">IF(EX117&lt;&gt;"",VLOOKUP(EX117,'Financial Planning Tool'!$EL$10:$ES$209,8,FALSE),"")</f>
        <v/>
      </c>
      <c r="FG117" t="str">
        <f ca="1">IF(EX117&lt;&gt;"",VLOOKUP(EX117,'Financial Planning Tool'!$EL$10:$ET$209,9,FALSE),"")</f>
        <v/>
      </c>
      <c r="FH117" t="str">
        <f t="shared" ca="1" si="160"/>
        <v/>
      </c>
      <c r="FI117" s="22" t="str">
        <f t="shared" ca="1" si="161"/>
        <v/>
      </c>
    </row>
    <row r="118" spans="2:165" x14ac:dyDescent="0.25">
      <c r="B118" s="140"/>
      <c r="C118" s="140"/>
      <c r="D118" s="140"/>
      <c r="G118" s="18"/>
      <c r="H118" s="5">
        <f t="shared" ca="1" si="158"/>
        <v>69002</v>
      </c>
      <c r="I118" s="8">
        <f t="shared" ca="1" si="159"/>
        <v>118</v>
      </c>
      <c r="J118" s="12" t="str">
        <f t="shared" ca="1" si="95"/>
        <v/>
      </c>
      <c r="K118" s="12" t="str">
        <f t="shared" ca="1" si="96"/>
        <v/>
      </c>
      <c r="L118" s="12" t="str">
        <f t="shared" ca="1" si="97"/>
        <v/>
      </c>
      <c r="M118" s="12" t="str">
        <f t="shared" ca="1" si="98"/>
        <v/>
      </c>
      <c r="N118" s="12">
        <f t="shared" ca="1" si="99"/>
        <v>-2974.51</v>
      </c>
      <c r="O118" s="12">
        <f t="shared" ca="1" si="100"/>
        <v>-246.94</v>
      </c>
      <c r="P118" s="12">
        <f t="shared" ca="1" si="101"/>
        <v>15414.06</v>
      </c>
      <c r="Q118" s="12">
        <f t="shared" ca="1" si="102"/>
        <v>1252.52</v>
      </c>
      <c r="S118" s="18"/>
      <c r="T118" s="5">
        <f t="shared" ca="1" si="103"/>
        <v>69002</v>
      </c>
      <c r="U118" s="8">
        <f t="shared" ca="1" si="104"/>
        <v>118</v>
      </c>
      <c r="V118" s="12"/>
      <c r="W118" s="12"/>
      <c r="X118" s="12"/>
      <c r="Y118" s="12"/>
      <c r="Z118" s="12"/>
      <c r="AA118" s="12"/>
      <c r="AB118" s="12">
        <v>68879558.620000005</v>
      </c>
      <c r="AC118" s="12">
        <v>5597017.1900000004</v>
      </c>
      <c r="AE118" s="21">
        <v>65</v>
      </c>
      <c r="AF118" s="22">
        <f t="shared" ref="AF118:AF153" ca="1" si="170">IF(OR(N119=0,N119=""),0,1)</f>
        <v>1</v>
      </c>
      <c r="AI118" s="21">
        <f t="shared" ca="1" si="94"/>
        <v>1</v>
      </c>
      <c r="AJ118" s="22">
        <v>0</v>
      </c>
      <c r="AN118" s="32">
        <f t="shared" ca="1" si="113"/>
        <v>64.083333333333329</v>
      </c>
      <c r="AO118" s="53">
        <f t="shared" ca="1" si="144"/>
        <v>48976</v>
      </c>
      <c r="AP118" s="22">
        <v>111</v>
      </c>
      <c r="AQ118" s="32">
        <f t="shared" ca="1" si="145"/>
        <v>2216590.0540763717</v>
      </c>
      <c r="AR118" s="23">
        <f t="array" aca="1" ref="AR118" ca="1">SUM(IF(lsc_start_date=AO118,lsc_amount,0))</f>
        <v>0</v>
      </c>
      <c r="AS118" s="24">
        <f t="shared" ca="1" si="119"/>
        <v>0</v>
      </c>
      <c r="AT118" s="24">
        <f t="shared" ca="1" si="120"/>
        <v>0</v>
      </c>
      <c r="AU118" s="24">
        <f t="shared" ca="1" si="121"/>
        <v>0</v>
      </c>
      <c r="AV118" s="25">
        <f t="shared" ca="1" si="122"/>
        <v>0</v>
      </c>
      <c r="AW118" s="23">
        <f t="array" aca="1" ref="AW118" ca="1">SUM(IF(rcs_start_date&lt;=AO118,1,0)*IF(rcs_end_date&gt;=AO118,1,0)*rcs_amount*(1+rcs_escalation/100)^(INT((AP118-rcs_months_since_start)/12))*IF(MOD((AP118-rcs_months_since_start),rcs_frequency)=0,1,0)*IF(rcs_frequency=13,0,1))+SUM(IF(rcs_start_date=AO118,rcs_amount,0)*IF(rcs_frequency=13,1,0))</f>
        <v>6404.9031558966835</v>
      </c>
      <c r="AX118" s="24">
        <f t="shared" ca="1" si="123"/>
        <v>0</v>
      </c>
      <c r="AY118" s="24">
        <f t="shared" ca="1" si="124"/>
        <v>0</v>
      </c>
      <c r="AZ118" s="24">
        <f t="shared" ca="1" si="125"/>
        <v>0</v>
      </c>
      <c r="BA118" s="25">
        <f t="shared" ca="1" si="126"/>
        <v>6404.9031558966835</v>
      </c>
      <c r="BB118" s="23">
        <f t="array" aca="1" ref="BB118" ca="1">SUM(IF(w_start_date&lt;=AO118,1,0)*IF(w_end_date&gt;=AO118,1,0)*w_amount*(1+w_escalation/100)^(INT((AP118-w_months_since_start)/12))*IF(MOD(AP118-w_months_since_start,w_frequency)=0,1,0)*IF(w_frequency=13,0,1))+SUM(IF(w_start_date=AO118,w_amount,0)*IF(w_frequency=13,1,0))</f>
        <v>0</v>
      </c>
      <c r="BC118" s="25">
        <f t="shared" ca="1" si="127"/>
        <v>0</v>
      </c>
      <c r="BD118" s="24" t="b">
        <f t="shared" ca="1" si="128"/>
        <v>0</v>
      </c>
      <c r="BE118" s="24" t="b">
        <f t="shared" ca="1" si="129"/>
        <v>1</v>
      </c>
      <c r="BF118" s="23">
        <f t="array" aca="1" ref="BF118" ca="1">SUM(IF(BD118,1,0)*IF(ap_start_date&lt;=AO118,1,0)*IF(ap_end_date&gt;=AO118,1,0)*ap_amount*(1+ap_escalation/100)^(INT((AP118-ap_months_since_start)/12))*IF(MOD(AP118-ap_months_since_start,ap_frequency)=0,1,0))</f>
        <v>0</v>
      </c>
      <c r="BG118" s="24">
        <f t="shared" ca="1" si="130"/>
        <v>0</v>
      </c>
      <c r="BH118" s="24">
        <f t="shared" ca="1" si="131"/>
        <v>0</v>
      </c>
      <c r="BI118">
        <f t="shared" ca="1" si="132"/>
        <v>0</v>
      </c>
      <c r="BJ118" s="24">
        <f t="shared" ca="1" si="133"/>
        <v>0</v>
      </c>
      <c r="BK118">
        <f t="shared" ca="1" si="134"/>
        <v>0</v>
      </c>
      <c r="BL118" s="25">
        <f t="shared" ca="1" si="135"/>
        <v>0</v>
      </c>
      <c r="BM118" s="32">
        <f t="shared" ca="1" si="114"/>
        <v>2239016.8006191831</v>
      </c>
      <c r="BN118" s="23">
        <f t="shared" ca="1" si="136"/>
        <v>0</v>
      </c>
      <c r="BO118" s="24">
        <f t="shared" ca="1" si="137"/>
        <v>0</v>
      </c>
      <c r="BP118" s="25">
        <f t="shared" ca="1" si="138"/>
        <v>0</v>
      </c>
      <c r="BQ118" s="34">
        <f t="shared" ca="1" si="139"/>
        <v>49003</v>
      </c>
      <c r="BR118" s="23">
        <f t="shared" ca="1" si="140"/>
        <v>2239016.8006191831</v>
      </c>
      <c r="BS118" s="24">
        <f t="shared" ca="1" si="141"/>
        <v>6404.9031558966835</v>
      </c>
      <c r="BT118" s="24">
        <f t="shared" ca="1" si="150"/>
        <v>74641.756009103658</v>
      </c>
      <c r="BU118" s="24">
        <f t="shared" ca="1" si="142"/>
        <v>0</v>
      </c>
      <c r="BV118" s="24">
        <f t="shared" ca="1" si="151"/>
        <v>0</v>
      </c>
      <c r="BW118" s="24">
        <f t="shared" ca="1" si="143"/>
        <v>0</v>
      </c>
      <c r="BX118" s="25">
        <f t="shared" ca="1" si="152"/>
        <v>0</v>
      </c>
      <c r="BY118" s="23">
        <f t="shared" ca="1" si="115"/>
        <v>1557754.3182520401</v>
      </c>
      <c r="BZ118" s="24">
        <f t="shared" ca="1" si="116"/>
        <v>4470.6803975126977</v>
      </c>
      <c r="CA118" s="24">
        <f t="shared" ca="1" si="153"/>
        <v>53041.336037023051</v>
      </c>
      <c r="CB118" s="24">
        <f t="shared" ca="1" si="117"/>
        <v>0</v>
      </c>
      <c r="CC118" s="24">
        <f t="shared" ca="1" si="154"/>
        <v>0</v>
      </c>
      <c r="CD118" s="24">
        <f t="shared" ca="1" si="118"/>
        <v>0</v>
      </c>
      <c r="CE118" s="25">
        <f t="shared" ca="1" si="155"/>
        <v>0</v>
      </c>
      <c r="CF118" s="23">
        <f t="shared" ca="1" si="156"/>
        <v>0</v>
      </c>
      <c r="CG118" s="25">
        <f t="array" aca="1" ref="CG118" ca="1">SUM(BF107:BF118/(1+inflation/100)^(AP107:AP118/12))</f>
        <v>0</v>
      </c>
      <c r="CH118" s="32">
        <f ca="1">IFERROR(IF(MOD(AP118-ap_months_since_start,12)=0,ap_drawdown/100*(AQ118+AV118+BA118-BC118),CH117),0)</f>
        <v>331467.96463140153</v>
      </c>
      <c r="EL118" s="21">
        <f t="shared" ca="1" si="148"/>
        <v>6</v>
      </c>
      <c r="EM118" t="str">
        <f t="shared" ca="1" si="163"/>
        <v/>
      </c>
      <c r="EN118" t="str">
        <f t="shared" ca="1" si="164"/>
        <v/>
      </c>
      <c r="EO118" t="str">
        <f t="shared" ca="1" si="165"/>
        <v/>
      </c>
      <c r="EP118" s="1" t="str">
        <f t="shared" ca="1" si="166"/>
        <v/>
      </c>
      <c r="EQ118" s="1" t="str">
        <f t="shared" ca="1" si="167"/>
        <v/>
      </c>
      <c r="ER118" t="str">
        <f t="shared" ca="1" si="168"/>
        <v/>
      </c>
      <c r="ES118" t="str">
        <f t="shared" si="169"/>
        <v/>
      </c>
      <c r="ET118">
        <v>0</v>
      </c>
      <c r="EU118" s="22">
        <v>109</v>
      </c>
      <c r="EX118" s="21" t="str">
        <f ca="1">IF(EX117="","",IF(EX117+1&lt;=MAX('Financial Planning Tool'!$EL$10:$EL$209),EX117+1,""))</f>
        <v/>
      </c>
      <c r="EY118" t="str">
        <f ca="1">IF(EX118&lt;&gt;"",VLOOKUP(EX118,'Financial Planning Tool'!$EL$10:$ER$209,2,FALSE),"")</f>
        <v/>
      </c>
      <c r="EZ118" t="str">
        <f ca="1">IF(EX118&lt;&gt;"",VLOOKUP(EX118,'Financial Planning Tool'!$EL$10:$ER$209,3,FALSE),"")</f>
        <v/>
      </c>
      <c r="FA118" t="str">
        <f ca="1">IF(EX118&lt;&gt;"",VLOOKUP(EX118,'Financial Planning Tool'!$EL$10:$ER$209,4,FALSE),"")</f>
        <v/>
      </c>
      <c r="FB118" t="str">
        <f t="shared" ca="1" si="149"/>
        <v/>
      </c>
      <c r="FC118" s="1" t="str">
        <f ca="1">IF(EX118&lt;&gt;"",VLOOKUP(EX118,'Financial Planning Tool'!$EL$10:$ER$209,5,FALSE),"")</f>
        <v/>
      </c>
      <c r="FD118" s="1" t="str">
        <f ca="1">IF(EX118&lt;&gt;"",VLOOKUP(EX118,'Financial Planning Tool'!$EL$10:$ER$209,6,FALSE),"")</f>
        <v/>
      </c>
      <c r="FE118" t="str">
        <f ca="1">IF(EX118&lt;&gt;"",VLOOKUP(EX118,'Financial Planning Tool'!$EL$10:$ER$209,7,FALSE),"")</f>
        <v/>
      </c>
      <c r="FF118" t="str">
        <f ca="1">IF(EX118&lt;&gt;"",VLOOKUP(EX118,'Financial Planning Tool'!$EL$10:$ES$209,8,FALSE),"")</f>
        <v/>
      </c>
      <c r="FG118" t="str">
        <f ca="1">IF(EX118&lt;&gt;"",VLOOKUP(EX118,'Financial Planning Tool'!$EL$10:$ET$209,9,FALSE),"")</f>
        <v/>
      </c>
      <c r="FH118" t="str">
        <f t="shared" ca="1" si="160"/>
        <v/>
      </c>
      <c r="FI118" s="22" t="str">
        <f t="shared" ca="1" si="161"/>
        <v/>
      </c>
    </row>
    <row r="119" spans="2:165" x14ac:dyDescent="0.25">
      <c r="B119" s="140"/>
      <c r="C119" s="140"/>
      <c r="D119" s="140"/>
      <c r="G119" s="18"/>
      <c r="H119" s="5">
        <f t="shared" ref="H119:H154" ca="1" si="171">DATE(YEAR($AO$8)+$AE118,MONTH($AO$8),DAY($AO$8))-1</f>
        <v>69367</v>
      </c>
      <c r="I119" s="8">
        <f t="shared" ref="I119:I150" ca="1" si="172">IFERROR(IF(Date_of_birth&lt;&gt;"",FLOOR(YEARFRAC($C$20,H119),1),AE118),AE118)</f>
        <v>119</v>
      </c>
      <c r="J119" s="12" t="str">
        <f t="shared" ca="1" si="95"/>
        <v/>
      </c>
      <c r="K119" s="12" t="str">
        <f t="shared" ca="1" si="96"/>
        <v/>
      </c>
      <c r="L119" s="12" t="str">
        <f t="shared" ca="1" si="97"/>
        <v/>
      </c>
      <c r="M119" s="12" t="str">
        <f t="shared" ca="1" si="98"/>
        <v/>
      </c>
      <c r="N119" s="12">
        <f t="shared" ca="1" si="99"/>
        <v>-2696.64</v>
      </c>
      <c r="O119" s="12">
        <f t="shared" ca="1" si="100"/>
        <v>-215.26</v>
      </c>
      <c r="P119" s="12">
        <f t="shared" ca="1" si="101"/>
        <v>13974.1</v>
      </c>
      <c r="Q119" s="12">
        <f t="shared" ca="1" si="102"/>
        <v>1091.83</v>
      </c>
      <c r="S119" s="18"/>
      <c r="T119" s="5">
        <f t="shared" ca="1" si="103"/>
        <v>69367</v>
      </c>
      <c r="U119" s="8">
        <f t="shared" ca="1" si="104"/>
        <v>119</v>
      </c>
      <c r="V119" s="12"/>
      <c r="W119" s="12"/>
      <c r="X119" s="12"/>
      <c r="Y119" s="12"/>
      <c r="Z119" s="12"/>
      <c r="AA119" s="12"/>
      <c r="AB119" s="12">
        <v>74389923.310000002</v>
      </c>
      <c r="AC119" s="12">
        <v>5812287.0800000001</v>
      </c>
      <c r="AE119" s="21">
        <v>66</v>
      </c>
      <c r="AF119" s="22">
        <f t="shared" ca="1" si="170"/>
        <v>1</v>
      </c>
      <c r="AI119" s="21">
        <f t="shared" ref="AI119:AI153" ca="1" si="173">IFERROR(VLOOKUP(EOMONTH(H120,-1)+1,$AO$8:$BS$1219,21,FALSE)+VLOOKUP(EOMONTH(H120,-1)+1,$AO$8:$BS$1219,23,FALSE),0)*AF119</f>
        <v>1</v>
      </c>
      <c r="AJ119" s="22">
        <v>0</v>
      </c>
      <c r="AN119" s="32">
        <f t="shared" ca="1" si="113"/>
        <v>64.166666666666671</v>
      </c>
      <c r="AO119" s="53">
        <f t="shared" ca="1" si="144"/>
        <v>49004</v>
      </c>
      <c r="AP119" s="22">
        <v>112</v>
      </c>
      <c r="AQ119" s="32">
        <f t="shared" ca="1" si="145"/>
        <v>2239016.8006191831</v>
      </c>
      <c r="AR119" s="23">
        <f t="array" aca="1" ref="AR119" ca="1">SUM(IF(lsc_start_date=AO119,lsc_amount,0))</f>
        <v>0</v>
      </c>
      <c r="AS119" s="24">
        <f t="shared" ca="1" si="119"/>
        <v>0</v>
      </c>
      <c r="AT119" s="24">
        <f t="shared" ca="1" si="120"/>
        <v>0</v>
      </c>
      <c r="AU119" s="24">
        <f t="shared" ca="1" si="121"/>
        <v>0</v>
      </c>
      <c r="AV119" s="25">
        <f t="shared" ca="1" si="122"/>
        <v>0</v>
      </c>
      <c r="AW119" s="23">
        <f t="array" aca="1" ref="AW119" ca="1">SUM(IF(rcs_start_date&lt;=AO119,1,0)*IF(rcs_end_date&gt;=AO119,1,0)*rcs_amount*(1+rcs_escalation/100)^(INT((AP119-rcs_months_since_start)/12))*IF(MOD((AP119-rcs_months_since_start),rcs_frequency)=0,1,0)*IF(rcs_frequency=13,0,1))+SUM(IF(rcs_start_date=AO119,rcs_amount,0)*IF(rcs_frequency=13,1,0))</f>
        <v>6404.9031558966835</v>
      </c>
      <c r="AX119" s="24">
        <f t="shared" ca="1" si="123"/>
        <v>0</v>
      </c>
      <c r="AY119" s="24">
        <f t="shared" ca="1" si="124"/>
        <v>0</v>
      </c>
      <c r="AZ119" s="24">
        <f t="shared" ca="1" si="125"/>
        <v>0</v>
      </c>
      <c r="BA119" s="25">
        <f t="shared" ca="1" si="126"/>
        <v>6404.9031558966835</v>
      </c>
      <c r="BB119" s="23">
        <f t="array" aca="1" ref="BB119" ca="1">SUM(IF(w_start_date&lt;=AO119,1,0)*IF(w_end_date&gt;=AO119,1,0)*w_amount*(1+w_escalation/100)^(INT((AP119-w_months_since_start)/12))*IF(MOD(AP119-w_months_since_start,w_frequency)=0,1,0)*IF(w_frequency=13,0,1))+SUM(IF(w_start_date=AO119,w_amount,0)*IF(w_frequency=13,1,0))</f>
        <v>0</v>
      </c>
      <c r="BC119" s="25">
        <f t="shared" ca="1" si="127"/>
        <v>0</v>
      </c>
      <c r="BD119" s="24" t="b">
        <f t="shared" ca="1" si="128"/>
        <v>0</v>
      </c>
      <c r="BE119" s="24" t="b">
        <f t="shared" ca="1" si="129"/>
        <v>1</v>
      </c>
      <c r="BF119" s="23">
        <f t="array" aca="1" ref="BF119" ca="1">SUM(IF(BD119,1,0)*IF(ap_start_date&lt;=AO119,1,0)*IF(ap_end_date&gt;=AO119,1,0)*ap_amount*(1+ap_escalation/100)^(INT((AP119-ap_months_since_start)/12))*IF(MOD(AP119-ap_months_since_start,ap_frequency)=0,1,0))</f>
        <v>0</v>
      </c>
      <c r="BG119" s="24">
        <f t="shared" ca="1" si="130"/>
        <v>0</v>
      </c>
      <c r="BH119" s="24">
        <f t="shared" ca="1" si="131"/>
        <v>0</v>
      </c>
      <c r="BI119">
        <f t="shared" ca="1" si="132"/>
        <v>0</v>
      </c>
      <c r="BJ119" s="24">
        <f t="shared" ca="1" si="133"/>
        <v>0</v>
      </c>
      <c r="BK119">
        <f t="shared" ca="1" si="134"/>
        <v>0</v>
      </c>
      <c r="BL119" s="25">
        <f t="shared" ca="1" si="135"/>
        <v>0</v>
      </c>
      <c r="BM119" s="32">
        <f t="shared" ca="1" si="114"/>
        <v>2261605.1839752574</v>
      </c>
      <c r="BN119" s="23">
        <f t="shared" ca="1" si="136"/>
        <v>0</v>
      </c>
      <c r="BO119" s="24">
        <f t="shared" ca="1" si="137"/>
        <v>0</v>
      </c>
      <c r="BP119" s="25">
        <f t="shared" ca="1" si="138"/>
        <v>0</v>
      </c>
      <c r="BQ119" s="34">
        <f t="shared" ca="1" si="139"/>
        <v>49034</v>
      </c>
      <c r="BR119" s="23">
        <f t="shared" ca="1" si="140"/>
        <v>2261605.1839752574</v>
      </c>
      <c r="BS119" s="24">
        <f t="shared" ca="1" si="141"/>
        <v>6404.9031558966835</v>
      </c>
      <c r="BT119" s="24">
        <f t="shared" ca="1" si="150"/>
        <v>74888.098438176603</v>
      </c>
      <c r="BU119" s="24">
        <f t="shared" ca="1" si="142"/>
        <v>0</v>
      </c>
      <c r="BV119" s="24">
        <f t="shared" ca="1" si="151"/>
        <v>0</v>
      </c>
      <c r="BW119" s="24">
        <f t="shared" ca="1" si="143"/>
        <v>0</v>
      </c>
      <c r="BX119" s="25">
        <f t="shared" ca="1" si="152"/>
        <v>0</v>
      </c>
      <c r="BY119" s="23">
        <f t="shared" ca="1" si="115"/>
        <v>1568335.4439449681</v>
      </c>
      <c r="BZ119" s="24">
        <f t="shared" ca="1" si="116"/>
        <v>4456.0923108415445</v>
      </c>
      <c r="CA119" s="24">
        <f t="shared" ca="1" si="153"/>
        <v>53041.336037023058</v>
      </c>
      <c r="CB119" s="24">
        <f t="shared" ca="1" si="117"/>
        <v>0</v>
      </c>
      <c r="CC119" s="24">
        <f t="shared" ca="1" si="154"/>
        <v>0</v>
      </c>
      <c r="CD119" s="24">
        <f t="shared" ca="1" si="118"/>
        <v>0</v>
      </c>
      <c r="CE119" s="25">
        <f t="shared" ca="1" si="155"/>
        <v>0</v>
      </c>
      <c r="CF119" s="23">
        <f t="shared" ca="1" si="156"/>
        <v>0</v>
      </c>
      <c r="CG119" s="25">
        <f t="array" aca="1" ref="CG119" ca="1">SUM(BF108:BF119/(1+inflation/100)^(AP108:AP119/12))</f>
        <v>0</v>
      </c>
      <c r="CH119" s="32">
        <f ca="1">IFERROR(IF(MOD(AP119-ap_months_since_start,12)=0,ap_drawdown/100*(AQ119+AV119+BA119-BC119),CH118),0)</f>
        <v>331467.96463140153</v>
      </c>
      <c r="EL119" s="21">
        <f t="shared" ca="1" si="148"/>
        <v>6</v>
      </c>
      <c r="EM119" t="str">
        <f t="shared" ca="1" si="163"/>
        <v/>
      </c>
      <c r="EN119" t="str">
        <f t="shared" ca="1" si="164"/>
        <v/>
      </c>
      <c r="EO119" t="str">
        <f t="shared" ca="1" si="165"/>
        <v/>
      </c>
      <c r="EP119" s="1" t="str">
        <f t="shared" ca="1" si="166"/>
        <v/>
      </c>
      <c r="EQ119" s="1" t="str">
        <f t="shared" ca="1" si="167"/>
        <v/>
      </c>
      <c r="ER119" t="str">
        <f t="shared" ca="1" si="168"/>
        <v/>
      </c>
      <c r="ES119" t="str">
        <f t="shared" si="169"/>
        <v/>
      </c>
      <c r="ET119">
        <v>0</v>
      </c>
      <c r="EU119" s="22">
        <v>110</v>
      </c>
      <c r="EX119" s="21" t="str">
        <f ca="1">IF(EX118="","",IF(EX118+1&lt;=MAX('Financial Planning Tool'!$EL$10:$EL$209),EX118+1,""))</f>
        <v/>
      </c>
      <c r="EY119" t="str">
        <f ca="1">IF(EX119&lt;&gt;"",VLOOKUP(EX119,'Financial Planning Tool'!$EL$10:$ER$209,2,FALSE),"")</f>
        <v/>
      </c>
      <c r="EZ119" t="str">
        <f ca="1">IF(EX119&lt;&gt;"",VLOOKUP(EX119,'Financial Planning Tool'!$EL$10:$ER$209,3,FALSE),"")</f>
        <v/>
      </c>
      <c r="FA119" t="str">
        <f ca="1">IF(EX119&lt;&gt;"",VLOOKUP(EX119,'Financial Planning Tool'!$EL$10:$ER$209,4,FALSE),"")</f>
        <v/>
      </c>
      <c r="FB119" t="str">
        <f t="shared" ca="1" si="149"/>
        <v/>
      </c>
      <c r="FC119" s="1" t="str">
        <f ca="1">IF(EX119&lt;&gt;"",VLOOKUP(EX119,'Financial Planning Tool'!$EL$10:$ER$209,5,FALSE),"")</f>
        <v/>
      </c>
      <c r="FD119" s="1" t="str">
        <f ca="1">IF(EX119&lt;&gt;"",VLOOKUP(EX119,'Financial Planning Tool'!$EL$10:$ER$209,6,FALSE),"")</f>
        <v/>
      </c>
      <c r="FE119" t="str">
        <f ca="1">IF(EX119&lt;&gt;"",VLOOKUP(EX119,'Financial Planning Tool'!$EL$10:$ER$209,7,FALSE),"")</f>
        <v/>
      </c>
      <c r="FF119" t="str">
        <f ca="1">IF(EX119&lt;&gt;"",VLOOKUP(EX119,'Financial Planning Tool'!$EL$10:$ES$209,8,FALSE),"")</f>
        <v/>
      </c>
      <c r="FG119" t="str">
        <f ca="1">IF(EX119&lt;&gt;"",VLOOKUP(EX119,'Financial Planning Tool'!$EL$10:$ET$209,9,FALSE),"")</f>
        <v/>
      </c>
      <c r="FH119" t="str">
        <f t="shared" ca="1" si="160"/>
        <v/>
      </c>
      <c r="FI119" s="22" t="str">
        <f t="shared" ca="1" si="161"/>
        <v/>
      </c>
    </row>
    <row r="120" spans="2:165" x14ac:dyDescent="0.25">
      <c r="B120" s="140"/>
      <c r="C120" s="140"/>
      <c r="D120" s="140"/>
      <c r="G120" s="18"/>
      <c r="H120" s="5">
        <f t="shared" ca="1" si="171"/>
        <v>69732</v>
      </c>
      <c r="I120" s="8">
        <f t="shared" ca="1" si="172"/>
        <v>120</v>
      </c>
      <c r="J120" s="12" t="str">
        <f t="shared" ref="J120:J154" ca="1" si="174">IF(VLOOKUP($H120,$BQ$8:$CE$1207,4,FALSE)=0,"",ROUND(VLOOKUP($H120,$BQ$8:$CE$1207,4,FALSE),2))</f>
        <v/>
      </c>
      <c r="K120" s="12" t="str">
        <f t="shared" ref="K120:K154" ca="1" si="175">IF(VLOOKUP($H120,$BQ$9:$CE$1207,11,FALSE)=0,"",ROUND(VLOOKUP($H120,$BQ$9:$CE$1207,11,FALSE),2))</f>
        <v/>
      </c>
      <c r="L120" s="12" t="str">
        <f t="shared" ref="L120:L154" ca="1" si="176">IF(VLOOKUP($H120,$BQ$8:$CE$1207,6,FALSE)=0,"",ROUND(VLOOKUP($H120,$BQ$8:$CE$1207,6,FALSE),2))</f>
        <v/>
      </c>
      <c r="M120" s="12" t="str">
        <f t="shared" ref="M120:M154" ca="1" si="177">IF(VLOOKUP($H120,$BQ$8:$CE$1207,13,FALSE)=0,"",ROUND(VLOOKUP($H120,$BQ$8:$CE$1207,13,FALSE),2))</f>
        <v/>
      </c>
      <c r="N120" s="12">
        <f t="shared" ref="N120:N154" ca="1" si="178">IF(VLOOKUP($H120,$BQ$8:$CE$1207,8,FALSE)=0,"",ROUND(VLOOKUP($H120,$BQ$8:$CE$1207,8,FALSE),2))</f>
        <v>-2444.7199999999998</v>
      </c>
      <c r="O120" s="12">
        <f t="shared" ref="O120:O154" ca="1" si="179">IF(VLOOKUP($H120,$BQ$8:$CE$1207,15,FALSE)=0,"",ROUND(VLOOKUP($H120,$BQ$8:$CE$1207,15,FALSE),2))</f>
        <v>-187.65</v>
      </c>
      <c r="P120" s="12">
        <f t="shared" ref="P120:P154" ca="1" si="180">IF(VLOOKUP($H120,$BQ$8:$CE$1207,2,FALSE)=0,0,ROUND(VLOOKUP($H120,$BQ$8:$CE$1207,2,FALSE),2))</f>
        <v>12668.65</v>
      </c>
      <c r="Q120" s="12">
        <f t="shared" ref="Q120:Q154" ca="1" si="181">IF(VLOOKUP($H120,$BQ$8:$CE$1207,9,FALSE)=0,0,ROUND(VLOOKUP($H120,$BQ$8:$CE$1207,9,FALSE),2))</f>
        <v>951.77</v>
      </c>
      <c r="S120" s="18"/>
      <c r="T120" s="5">
        <f t="shared" ref="T120:T154" ca="1" si="182">H120</f>
        <v>69732</v>
      </c>
      <c r="U120" s="8">
        <f t="shared" ref="U120:U154" ca="1" si="183">I120</f>
        <v>120</v>
      </c>
      <c r="V120" s="12"/>
      <c r="W120" s="12"/>
      <c r="X120" s="12"/>
      <c r="Y120" s="12"/>
      <c r="Z120" s="12"/>
      <c r="AA120" s="12"/>
      <c r="AB120" s="12">
        <v>80341117.180000007</v>
      </c>
      <c r="AC120" s="12">
        <v>6035836.5800000001</v>
      </c>
      <c r="AE120" s="21">
        <v>67</v>
      </c>
      <c r="AF120" s="22">
        <f t="shared" ca="1" si="170"/>
        <v>1</v>
      </c>
      <c r="AI120" s="21">
        <f t="shared" ca="1" si="173"/>
        <v>1</v>
      </c>
      <c r="AJ120" s="22">
        <v>0</v>
      </c>
      <c r="AN120" s="32">
        <f t="shared" ca="1" si="113"/>
        <v>64.25</v>
      </c>
      <c r="AO120" s="53">
        <f t="shared" ca="1" si="144"/>
        <v>49035</v>
      </c>
      <c r="AP120" s="22">
        <v>113</v>
      </c>
      <c r="AQ120" s="32">
        <f t="shared" ca="1" si="145"/>
        <v>2261605.1839752574</v>
      </c>
      <c r="AR120" s="23">
        <f t="array" aca="1" ref="AR120" ca="1">SUM(IF(lsc_start_date=AO120,lsc_amount,0))</f>
        <v>0</v>
      </c>
      <c r="AS120" s="24">
        <f t="shared" ca="1" si="119"/>
        <v>0</v>
      </c>
      <c r="AT120" s="24">
        <f t="shared" ca="1" si="120"/>
        <v>0</v>
      </c>
      <c r="AU120" s="24">
        <f t="shared" ca="1" si="121"/>
        <v>0</v>
      </c>
      <c r="AV120" s="25">
        <f t="shared" ca="1" si="122"/>
        <v>0</v>
      </c>
      <c r="AW120" s="23">
        <f t="array" aca="1" ref="AW120" ca="1">SUM(IF(rcs_start_date&lt;=AO120,1,0)*IF(rcs_end_date&gt;=AO120,1,0)*rcs_amount*(1+rcs_escalation/100)^(INT((AP120-rcs_months_since_start)/12))*IF(MOD((AP120-rcs_months_since_start),rcs_frequency)=0,1,0)*IF(rcs_frequency=13,0,1))+SUM(IF(rcs_start_date=AO120,rcs_amount,0)*IF(rcs_frequency=13,1,0))</f>
        <v>6404.9031558966835</v>
      </c>
      <c r="AX120" s="24">
        <f t="shared" ca="1" si="123"/>
        <v>0</v>
      </c>
      <c r="AY120" s="24">
        <f t="shared" ca="1" si="124"/>
        <v>0</v>
      </c>
      <c r="AZ120" s="24">
        <f t="shared" ca="1" si="125"/>
        <v>0</v>
      </c>
      <c r="BA120" s="25">
        <f t="shared" ca="1" si="126"/>
        <v>6404.9031558966835</v>
      </c>
      <c r="BB120" s="23">
        <f t="array" aca="1" ref="BB120" ca="1">SUM(IF(w_start_date&lt;=AO120,1,0)*IF(w_end_date&gt;=AO120,1,0)*w_amount*(1+w_escalation/100)^(INT((AP120-w_months_since_start)/12))*IF(MOD(AP120-w_months_since_start,w_frequency)=0,1,0)*IF(w_frequency=13,0,1))+SUM(IF(w_start_date=AO120,w_amount,0)*IF(w_frequency=13,1,0))</f>
        <v>0</v>
      </c>
      <c r="BC120" s="25">
        <f t="shared" ca="1" si="127"/>
        <v>0</v>
      </c>
      <c r="BD120" s="24" t="b">
        <f t="shared" ca="1" si="128"/>
        <v>0</v>
      </c>
      <c r="BE120" s="24" t="b">
        <f t="shared" ca="1" si="129"/>
        <v>1</v>
      </c>
      <c r="BF120" s="23">
        <f t="array" aca="1" ref="BF120" ca="1">SUM(IF(BD120,1,0)*IF(ap_start_date&lt;=AO120,1,0)*IF(ap_end_date&gt;=AO120,1,0)*ap_amount*(1+ap_escalation/100)^(INT((AP120-ap_months_since_start)/12))*IF(MOD(AP120-ap_months_since_start,ap_frequency)=0,1,0))</f>
        <v>0</v>
      </c>
      <c r="BG120" s="24">
        <f t="shared" ca="1" si="130"/>
        <v>0</v>
      </c>
      <c r="BH120" s="24">
        <f t="shared" ca="1" si="131"/>
        <v>0</v>
      </c>
      <c r="BI120">
        <f t="shared" ca="1" si="132"/>
        <v>0</v>
      </c>
      <c r="BJ120" s="24">
        <f t="shared" ca="1" si="133"/>
        <v>0</v>
      </c>
      <c r="BK120">
        <f t="shared" ca="1" si="134"/>
        <v>0</v>
      </c>
      <c r="BL120" s="25">
        <f t="shared" ca="1" si="135"/>
        <v>0</v>
      </c>
      <c r="BM120" s="32">
        <f t="shared" ca="1" si="114"/>
        <v>2284356.369113368</v>
      </c>
      <c r="BN120" s="23">
        <f t="shared" ca="1" si="136"/>
        <v>0</v>
      </c>
      <c r="BO120" s="24">
        <f t="shared" ca="1" si="137"/>
        <v>0</v>
      </c>
      <c r="BP120" s="25">
        <f t="shared" ca="1" si="138"/>
        <v>0</v>
      </c>
      <c r="BQ120" s="34">
        <f t="shared" ca="1" si="139"/>
        <v>49064</v>
      </c>
      <c r="BR120" s="23">
        <f t="shared" ca="1" si="140"/>
        <v>2284356.369113368</v>
      </c>
      <c r="BS120" s="24">
        <f t="shared" ca="1" si="141"/>
        <v>6404.9031558966835</v>
      </c>
      <c r="BT120" s="24">
        <f t="shared" ca="1" si="150"/>
        <v>75134.440867249548</v>
      </c>
      <c r="BU120" s="24">
        <f t="shared" ca="1" si="142"/>
        <v>0</v>
      </c>
      <c r="BV120" s="24">
        <f t="shared" ca="1" si="151"/>
        <v>0</v>
      </c>
      <c r="BW120" s="24">
        <f t="shared" ca="1" si="143"/>
        <v>0</v>
      </c>
      <c r="BX120" s="25">
        <f t="shared" ca="1" si="152"/>
        <v>0</v>
      </c>
      <c r="BY120" s="23">
        <f t="shared" ca="1" si="115"/>
        <v>1578943.4580710754</v>
      </c>
      <c r="BZ120" s="24">
        <f t="shared" ca="1" si="116"/>
        <v>4441.5518259342862</v>
      </c>
      <c r="CA120" s="24">
        <f t="shared" ca="1" si="153"/>
        <v>53041.336037023058</v>
      </c>
      <c r="CB120" s="24">
        <f t="shared" ca="1" si="117"/>
        <v>0</v>
      </c>
      <c r="CC120" s="24">
        <f t="shared" ca="1" si="154"/>
        <v>0</v>
      </c>
      <c r="CD120" s="24">
        <f t="shared" ca="1" si="118"/>
        <v>0</v>
      </c>
      <c r="CE120" s="25">
        <f t="shared" ca="1" si="155"/>
        <v>0</v>
      </c>
      <c r="CF120" s="23">
        <f t="shared" ca="1" si="156"/>
        <v>0</v>
      </c>
      <c r="CG120" s="25">
        <f t="array" aca="1" ref="CG120" ca="1">SUM(BF109:BF120/(1+inflation/100)^(AP109:AP120/12))</f>
        <v>0</v>
      </c>
      <c r="CH120" s="32">
        <f ca="1">IFERROR(IF(MOD(AP120-ap_months_since_start,12)=0,ap_drawdown/100*(AQ120+AV120+BA120-BC120),CH119),0)</f>
        <v>331467.96463140153</v>
      </c>
      <c r="EL120" s="21">
        <f t="shared" ca="1" si="148"/>
        <v>6</v>
      </c>
      <c r="EM120" t="str">
        <f t="shared" ca="1" si="163"/>
        <v/>
      </c>
      <c r="EN120" t="str">
        <f t="shared" ca="1" si="164"/>
        <v/>
      </c>
      <c r="EO120" t="str">
        <f t="shared" ca="1" si="165"/>
        <v/>
      </c>
      <c r="EP120" s="1" t="str">
        <f t="shared" ca="1" si="166"/>
        <v/>
      </c>
      <c r="EQ120" s="1" t="str">
        <f t="shared" ca="1" si="167"/>
        <v/>
      </c>
      <c r="ER120" t="str">
        <f t="shared" ca="1" si="168"/>
        <v/>
      </c>
      <c r="ES120" t="str">
        <f t="shared" si="169"/>
        <v/>
      </c>
      <c r="ET120">
        <v>0</v>
      </c>
      <c r="EU120" s="22">
        <v>111</v>
      </c>
      <c r="EX120" s="21" t="str">
        <f ca="1">IF(EX119="","",IF(EX119+1&lt;=MAX('Financial Planning Tool'!$EL$10:$EL$209),EX119+1,""))</f>
        <v/>
      </c>
      <c r="EY120" t="str">
        <f ca="1">IF(EX120&lt;&gt;"",VLOOKUP(EX120,'Financial Planning Tool'!$EL$10:$ER$209,2,FALSE),"")</f>
        <v/>
      </c>
      <c r="EZ120" t="str">
        <f ca="1">IF(EX120&lt;&gt;"",VLOOKUP(EX120,'Financial Planning Tool'!$EL$10:$ER$209,3,FALSE),"")</f>
        <v/>
      </c>
      <c r="FA120" t="str">
        <f ca="1">IF(EX120&lt;&gt;"",VLOOKUP(EX120,'Financial Planning Tool'!$EL$10:$ER$209,4,FALSE),"")</f>
        <v/>
      </c>
      <c r="FB120" t="str">
        <f t="shared" ca="1" si="149"/>
        <v/>
      </c>
      <c r="FC120" s="1" t="str">
        <f ca="1">IF(EX120&lt;&gt;"",VLOOKUP(EX120,'Financial Planning Tool'!$EL$10:$ER$209,5,FALSE),"")</f>
        <v/>
      </c>
      <c r="FD120" s="1" t="str">
        <f ca="1">IF(EX120&lt;&gt;"",VLOOKUP(EX120,'Financial Planning Tool'!$EL$10:$ER$209,6,FALSE),"")</f>
        <v/>
      </c>
      <c r="FE120" t="str">
        <f ca="1">IF(EX120&lt;&gt;"",VLOOKUP(EX120,'Financial Planning Tool'!$EL$10:$ER$209,7,FALSE),"")</f>
        <v/>
      </c>
      <c r="FF120" t="str">
        <f ca="1">IF(EX120&lt;&gt;"",VLOOKUP(EX120,'Financial Planning Tool'!$EL$10:$ES$209,8,FALSE),"")</f>
        <v/>
      </c>
      <c r="FG120" t="str">
        <f ca="1">IF(EX120&lt;&gt;"",VLOOKUP(EX120,'Financial Planning Tool'!$EL$10:$ET$209,9,FALSE),"")</f>
        <v/>
      </c>
      <c r="FH120" t="str">
        <f t="shared" ca="1" si="160"/>
        <v/>
      </c>
      <c r="FI120" s="22" t="str">
        <f t="shared" ca="1" si="161"/>
        <v/>
      </c>
    </row>
    <row r="121" spans="2:165" x14ac:dyDescent="0.25">
      <c r="B121" s="140"/>
      <c r="C121" s="140"/>
      <c r="D121" s="140"/>
      <c r="G121" s="18"/>
      <c r="H121" s="5">
        <f t="shared" ca="1" si="171"/>
        <v>70097</v>
      </c>
      <c r="I121" s="8">
        <f t="shared" ca="1" si="172"/>
        <v>121</v>
      </c>
      <c r="J121" s="12" t="str">
        <f t="shared" ca="1" si="174"/>
        <v/>
      </c>
      <c r="K121" s="12" t="str">
        <f t="shared" ca="1" si="175"/>
        <v/>
      </c>
      <c r="L121" s="12" t="str">
        <f t="shared" ca="1" si="176"/>
        <v/>
      </c>
      <c r="M121" s="12" t="str">
        <f t="shared" ca="1" si="177"/>
        <v/>
      </c>
      <c r="N121" s="12">
        <f t="shared" ca="1" si="178"/>
        <v>-2216.34</v>
      </c>
      <c r="O121" s="12">
        <f t="shared" ca="1" si="179"/>
        <v>-163.57</v>
      </c>
      <c r="P121" s="12">
        <f t="shared" ca="1" si="180"/>
        <v>11485.16</v>
      </c>
      <c r="Q121" s="12">
        <f t="shared" ca="1" si="181"/>
        <v>829.67</v>
      </c>
      <c r="S121" s="18"/>
      <c r="T121" s="5">
        <f t="shared" ca="1" si="182"/>
        <v>70097</v>
      </c>
      <c r="U121" s="8">
        <f t="shared" ca="1" si="183"/>
        <v>121</v>
      </c>
      <c r="V121" s="12"/>
      <c r="W121" s="12"/>
      <c r="X121" s="12"/>
      <c r="Y121" s="12"/>
      <c r="Z121" s="12"/>
      <c r="AA121" s="12"/>
      <c r="AB121" s="12">
        <v>86768406.549999997</v>
      </c>
      <c r="AC121" s="12">
        <v>6267984.1399999997</v>
      </c>
      <c r="AE121" s="21">
        <v>68</v>
      </c>
      <c r="AF121" s="22">
        <f t="shared" ca="1" si="170"/>
        <v>1</v>
      </c>
      <c r="AI121" s="21">
        <f t="shared" ca="1" si="173"/>
        <v>1</v>
      </c>
      <c r="AJ121" s="22">
        <v>0</v>
      </c>
      <c r="AN121" s="32">
        <f t="shared" ca="1" si="113"/>
        <v>64.333333333333329</v>
      </c>
      <c r="AO121" s="53">
        <f t="shared" ca="1" si="144"/>
        <v>49065</v>
      </c>
      <c r="AP121" s="22">
        <v>114</v>
      </c>
      <c r="AQ121" s="32">
        <f t="shared" ca="1" si="145"/>
        <v>2284356.369113368</v>
      </c>
      <c r="AR121" s="23">
        <f t="array" aca="1" ref="AR121" ca="1">SUM(IF(lsc_start_date=AO121,lsc_amount,0))</f>
        <v>0</v>
      </c>
      <c r="AS121" s="24">
        <f t="shared" ca="1" si="119"/>
        <v>0</v>
      </c>
      <c r="AT121" s="24">
        <f t="shared" ca="1" si="120"/>
        <v>0</v>
      </c>
      <c r="AU121" s="24">
        <f t="shared" ca="1" si="121"/>
        <v>0</v>
      </c>
      <c r="AV121" s="25">
        <f t="shared" ca="1" si="122"/>
        <v>0</v>
      </c>
      <c r="AW121" s="23">
        <f t="array" aca="1" ref="AW121" ca="1">SUM(IF(rcs_start_date&lt;=AO121,1,0)*IF(rcs_end_date&gt;=AO121,1,0)*rcs_amount*(1+rcs_escalation/100)^(INT((AP121-rcs_months_since_start)/12))*IF(MOD((AP121-rcs_months_since_start),rcs_frequency)=0,1,0)*IF(rcs_frequency=13,0,1))+SUM(IF(rcs_start_date=AO121,rcs_amount,0)*IF(rcs_frequency=13,1,0))</f>
        <v>6404.9031558966835</v>
      </c>
      <c r="AX121" s="24">
        <f t="shared" ca="1" si="123"/>
        <v>0</v>
      </c>
      <c r="AY121" s="24">
        <f t="shared" ca="1" si="124"/>
        <v>0</v>
      </c>
      <c r="AZ121" s="24">
        <f t="shared" ca="1" si="125"/>
        <v>0</v>
      </c>
      <c r="BA121" s="25">
        <f t="shared" ca="1" si="126"/>
        <v>6404.9031558966835</v>
      </c>
      <c r="BB121" s="23">
        <f t="array" aca="1" ref="BB121" ca="1">SUM(IF(w_start_date&lt;=AO121,1,0)*IF(w_end_date&gt;=AO121,1,0)*w_amount*(1+w_escalation/100)^(INT((AP121-w_months_since_start)/12))*IF(MOD(AP121-w_months_since_start,w_frequency)=0,1,0)*IF(w_frequency=13,0,1))+SUM(IF(w_start_date=AO121,w_amount,0)*IF(w_frequency=13,1,0))</f>
        <v>0</v>
      </c>
      <c r="BC121" s="25">
        <f t="shared" ca="1" si="127"/>
        <v>0</v>
      </c>
      <c r="BD121" s="24" t="b">
        <f t="shared" ca="1" si="128"/>
        <v>0</v>
      </c>
      <c r="BE121" s="24" t="b">
        <f t="shared" ca="1" si="129"/>
        <v>1</v>
      </c>
      <c r="BF121" s="23">
        <f t="array" aca="1" ref="BF121" ca="1">SUM(IF(BD121,1,0)*IF(ap_start_date&lt;=AO121,1,0)*IF(ap_end_date&gt;=AO121,1,0)*ap_amount*(1+ap_escalation/100)^(INT((AP121-ap_months_since_start)/12))*IF(MOD(AP121-ap_months_since_start,ap_frequency)=0,1,0))</f>
        <v>0</v>
      </c>
      <c r="BG121" s="24">
        <f t="shared" ca="1" si="130"/>
        <v>0</v>
      </c>
      <c r="BH121" s="24">
        <f t="shared" ca="1" si="131"/>
        <v>0</v>
      </c>
      <c r="BI121">
        <f t="shared" ca="1" si="132"/>
        <v>0</v>
      </c>
      <c r="BJ121" s="24">
        <f t="shared" ca="1" si="133"/>
        <v>0</v>
      </c>
      <c r="BK121">
        <f t="shared" ca="1" si="134"/>
        <v>0</v>
      </c>
      <c r="BL121" s="25">
        <f t="shared" ca="1" si="135"/>
        <v>0</v>
      </c>
      <c r="BM121" s="32">
        <f t="shared" ca="1" si="114"/>
        <v>2307271.5293985941</v>
      </c>
      <c r="BN121" s="23">
        <f t="shared" ca="1" si="136"/>
        <v>0</v>
      </c>
      <c r="BO121" s="24">
        <f t="shared" ca="1" si="137"/>
        <v>0</v>
      </c>
      <c r="BP121" s="25">
        <f t="shared" ca="1" si="138"/>
        <v>0</v>
      </c>
      <c r="BQ121" s="34">
        <f t="shared" ca="1" si="139"/>
        <v>49095</v>
      </c>
      <c r="BR121" s="23">
        <f t="shared" ca="1" si="140"/>
        <v>2307271.5293985941</v>
      </c>
      <c r="BS121" s="24">
        <f t="shared" ca="1" si="141"/>
        <v>6404.9031558966835</v>
      </c>
      <c r="BT121" s="24">
        <f t="shared" ca="1" si="150"/>
        <v>75380.783296322494</v>
      </c>
      <c r="BU121" s="24">
        <f t="shared" ca="1" si="142"/>
        <v>0</v>
      </c>
      <c r="BV121" s="24">
        <f t="shared" ca="1" si="151"/>
        <v>0</v>
      </c>
      <c r="BW121" s="24">
        <f t="shared" ca="1" si="143"/>
        <v>0</v>
      </c>
      <c r="BX121" s="25">
        <f t="shared" ca="1" si="152"/>
        <v>0</v>
      </c>
      <c r="BY121" s="23">
        <f t="shared" ca="1" si="115"/>
        <v>1589578.5136855962</v>
      </c>
      <c r="BZ121" s="24">
        <f t="shared" ca="1" si="116"/>
        <v>4427.0587874636331</v>
      </c>
      <c r="CA121" s="24">
        <f t="shared" ca="1" si="153"/>
        <v>53041.336037023058</v>
      </c>
      <c r="CB121" s="24">
        <f t="shared" ca="1" si="117"/>
        <v>0</v>
      </c>
      <c r="CC121" s="24">
        <f t="shared" ca="1" si="154"/>
        <v>0</v>
      </c>
      <c r="CD121" s="24">
        <f t="shared" ca="1" si="118"/>
        <v>0</v>
      </c>
      <c r="CE121" s="25">
        <f t="shared" ca="1" si="155"/>
        <v>0</v>
      </c>
      <c r="CF121" s="23">
        <f t="shared" ca="1" si="156"/>
        <v>0</v>
      </c>
      <c r="CG121" s="25">
        <f t="array" aca="1" ref="CG121" ca="1">SUM(BF110:BF121/(1+inflation/100)^(AP110:AP121/12))</f>
        <v>0</v>
      </c>
      <c r="CH121" s="32">
        <f ca="1">IFERROR(IF(MOD(AP121-ap_months_since_start,12)=0,ap_drawdown/100*(AQ121+AV121+BA121-BC121),CH120),0)</f>
        <v>331467.96463140153</v>
      </c>
      <c r="EL121" s="21">
        <f t="shared" ca="1" si="148"/>
        <v>6</v>
      </c>
      <c r="EM121" t="str">
        <f t="shared" ca="1" si="163"/>
        <v/>
      </c>
      <c r="EN121" t="str">
        <f t="shared" ca="1" si="164"/>
        <v/>
      </c>
      <c r="EO121" t="str">
        <f t="shared" ca="1" si="165"/>
        <v/>
      </c>
      <c r="EP121" s="1" t="str">
        <f t="shared" ca="1" si="166"/>
        <v/>
      </c>
      <c r="EQ121" s="1" t="str">
        <f t="shared" ca="1" si="167"/>
        <v/>
      </c>
      <c r="ER121" t="str">
        <f t="shared" ca="1" si="168"/>
        <v/>
      </c>
      <c r="ES121" t="str">
        <f t="shared" si="169"/>
        <v/>
      </c>
      <c r="ET121">
        <v>0</v>
      </c>
      <c r="EU121" s="22">
        <v>112</v>
      </c>
      <c r="EX121" s="21" t="str">
        <f ca="1">IF(EX120="","",IF(EX120+1&lt;=MAX('Financial Planning Tool'!$EL$10:$EL$209),EX120+1,""))</f>
        <v/>
      </c>
      <c r="EY121" t="str">
        <f ca="1">IF(EX121&lt;&gt;"",VLOOKUP(EX121,'Financial Planning Tool'!$EL$10:$ER$209,2,FALSE),"")</f>
        <v/>
      </c>
      <c r="EZ121" t="str">
        <f ca="1">IF(EX121&lt;&gt;"",VLOOKUP(EX121,'Financial Planning Tool'!$EL$10:$ER$209,3,FALSE),"")</f>
        <v/>
      </c>
      <c r="FA121" t="str">
        <f ca="1">IF(EX121&lt;&gt;"",VLOOKUP(EX121,'Financial Planning Tool'!$EL$10:$ER$209,4,FALSE),"")</f>
        <v/>
      </c>
      <c r="FB121" t="str">
        <f t="shared" ca="1" si="149"/>
        <v/>
      </c>
      <c r="FC121" s="1" t="str">
        <f ca="1">IF(EX121&lt;&gt;"",VLOOKUP(EX121,'Financial Planning Tool'!$EL$10:$ER$209,5,FALSE),"")</f>
        <v/>
      </c>
      <c r="FD121" s="1" t="str">
        <f ca="1">IF(EX121&lt;&gt;"",VLOOKUP(EX121,'Financial Planning Tool'!$EL$10:$ER$209,6,FALSE),"")</f>
        <v/>
      </c>
      <c r="FE121" t="str">
        <f ca="1">IF(EX121&lt;&gt;"",VLOOKUP(EX121,'Financial Planning Tool'!$EL$10:$ER$209,7,FALSE),"")</f>
        <v/>
      </c>
      <c r="FF121" t="str">
        <f ca="1">IF(EX121&lt;&gt;"",VLOOKUP(EX121,'Financial Planning Tool'!$EL$10:$ES$209,8,FALSE),"")</f>
        <v/>
      </c>
      <c r="FG121" t="str">
        <f ca="1">IF(EX121&lt;&gt;"",VLOOKUP(EX121,'Financial Planning Tool'!$EL$10:$ET$209,9,FALSE),"")</f>
        <v/>
      </c>
      <c r="FH121" t="str">
        <f t="shared" ca="1" si="160"/>
        <v/>
      </c>
      <c r="FI121" s="22" t="str">
        <f t="shared" ca="1" si="161"/>
        <v/>
      </c>
    </row>
    <row r="122" spans="2:165" x14ac:dyDescent="0.25">
      <c r="B122" s="140"/>
      <c r="C122" s="140"/>
      <c r="D122" s="140"/>
      <c r="G122" s="18"/>
      <c r="H122" s="5">
        <f t="shared" ca="1" si="171"/>
        <v>70463</v>
      </c>
      <c r="I122" s="8">
        <f t="shared" ca="1" si="172"/>
        <v>122</v>
      </c>
      <c r="J122" s="12" t="str">
        <f t="shared" ca="1" si="174"/>
        <v/>
      </c>
      <c r="K122" s="12" t="str">
        <f t="shared" ca="1" si="175"/>
        <v/>
      </c>
      <c r="L122" s="12" t="str">
        <f t="shared" ca="1" si="176"/>
        <v/>
      </c>
      <c r="M122" s="12" t="str">
        <f t="shared" ca="1" si="177"/>
        <v/>
      </c>
      <c r="N122" s="12">
        <f t="shared" ca="1" si="178"/>
        <v>-2009.29</v>
      </c>
      <c r="O122" s="12">
        <f t="shared" ca="1" si="179"/>
        <v>-142.59</v>
      </c>
      <c r="P122" s="12">
        <f t="shared" ca="1" si="180"/>
        <v>10412.23</v>
      </c>
      <c r="Q122" s="12">
        <f t="shared" ca="1" si="181"/>
        <v>723.23</v>
      </c>
      <c r="S122" s="18"/>
      <c r="T122" s="5">
        <f t="shared" ca="1" si="182"/>
        <v>70463</v>
      </c>
      <c r="U122" s="8">
        <f t="shared" ca="1" si="183"/>
        <v>122</v>
      </c>
      <c r="V122" s="12"/>
      <c r="W122" s="12"/>
      <c r="X122" s="12"/>
      <c r="Y122" s="12"/>
      <c r="Z122" s="12"/>
      <c r="AA122" s="12"/>
      <c r="AB122" s="12">
        <v>93709879.069999993</v>
      </c>
      <c r="AC122" s="12">
        <v>6509060.4500000002</v>
      </c>
      <c r="AE122" s="21">
        <v>69</v>
      </c>
      <c r="AF122" s="22">
        <f t="shared" ca="1" si="170"/>
        <v>1</v>
      </c>
      <c r="AI122" s="21">
        <f t="shared" ca="1" si="173"/>
        <v>1</v>
      </c>
      <c r="AJ122" s="22">
        <v>0</v>
      </c>
      <c r="AN122" s="32">
        <f t="shared" ca="1" si="113"/>
        <v>64.416666666666671</v>
      </c>
      <c r="AO122" s="53">
        <f t="shared" ca="1" si="144"/>
        <v>49096</v>
      </c>
      <c r="AP122" s="22">
        <v>115</v>
      </c>
      <c r="AQ122" s="32">
        <f t="shared" ca="1" si="145"/>
        <v>2307271.5293985941</v>
      </c>
      <c r="AR122" s="23">
        <f t="array" aca="1" ref="AR122" ca="1">SUM(IF(lsc_start_date=AO122,lsc_amount,0))</f>
        <v>0</v>
      </c>
      <c r="AS122" s="24">
        <f t="shared" ca="1" si="119"/>
        <v>0</v>
      </c>
      <c r="AT122" s="24">
        <f t="shared" ca="1" si="120"/>
        <v>0</v>
      </c>
      <c r="AU122" s="24">
        <f t="shared" ca="1" si="121"/>
        <v>0</v>
      </c>
      <c r="AV122" s="25">
        <f t="shared" ca="1" si="122"/>
        <v>0</v>
      </c>
      <c r="AW122" s="23">
        <f t="array" aca="1" ref="AW122" ca="1">SUM(IF(rcs_start_date&lt;=AO122,1,0)*IF(rcs_end_date&gt;=AO122,1,0)*rcs_amount*(1+rcs_escalation/100)^(INT((AP122-rcs_months_since_start)/12))*IF(MOD((AP122-rcs_months_since_start),rcs_frequency)=0,1,0)*IF(rcs_frequency=13,0,1))+SUM(IF(rcs_start_date=AO122,rcs_amount,0)*IF(rcs_frequency=13,1,0))</f>
        <v>6404.9031558966835</v>
      </c>
      <c r="AX122" s="24">
        <f t="shared" ca="1" si="123"/>
        <v>0</v>
      </c>
      <c r="AY122" s="24">
        <f t="shared" ca="1" si="124"/>
        <v>0</v>
      </c>
      <c r="AZ122" s="24">
        <f t="shared" ca="1" si="125"/>
        <v>0</v>
      </c>
      <c r="BA122" s="25">
        <f t="shared" ca="1" si="126"/>
        <v>6404.9031558966835</v>
      </c>
      <c r="BB122" s="23">
        <f t="array" aca="1" ref="BB122" ca="1">SUM(IF(w_start_date&lt;=AO122,1,0)*IF(w_end_date&gt;=AO122,1,0)*w_amount*(1+w_escalation/100)^(INT((AP122-w_months_since_start)/12))*IF(MOD(AP122-w_months_since_start,w_frequency)=0,1,0)*IF(w_frequency=13,0,1))+SUM(IF(w_start_date=AO122,w_amount,0)*IF(w_frequency=13,1,0))</f>
        <v>0</v>
      </c>
      <c r="BC122" s="25">
        <f t="shared" ca="1" si="127"/>
        <v>0</v>
      </c>
      <c r="BD122" s="24" t="b">
        <f t="shared" ca="1" si="128"/>
        <v>0</v>
      </c>
      <c r="BE122" s="24" t="b">
        <f t="shared" ca="1" si="129"/>
        <v>1</v>
      </c>
      <c r="BF122" s="23">
        <f t="array" aca="1" ref="BF122" ca="1">SUM(IF(BD122,1,0)*IF(ap_start_date&lt;=AO122,1,0)*IF(ap_end_date&gt;=AO122,1,0)*ap_amount*(1+ap_escalation/100)^(INT((AP122-ap_months_since_start)/12))*IF(MOD(AP122-ap_months_since_start,ap_frequency)=0,1,0))</f>
        <v>0</v>
      </c>
      <c r="BG122" s="24">
        <f t="shared" ca="1" si="130"/>
        <v>0</v>
      </c>
      <c r="BH122" s="24">
        <f t="shared" ca="1" si="131"/>
        <v>0</v>
      </c>
      <c r="BI122">
        <f t="shared" ca="1" si="132"/>
        <v>0</v>
      </c>
      <c r="BJ122" s="24">
        <f t="shared" ca="1" si="133"/>
        <v>0</v>
      </c>
      <c r="BK122">
        <f t="shared" ca="1" si="134"/>
        <v>0</v>
      </c>
      <c r="BL122" s="25">
        <f t="shared" ca="1" si="135"/>
        <v>0</v>
      </c>
      <c r="BM122" s="32">
        <f t="shared" ca="1" si="114"/>
        <v>2330351.846652837</v>
      </c>
      <c r="BN122" s="23">
        <f t="shared" ca="1" si="136"/>
        <v>0</v>
      </c>
      <c r="BO122" s="24">
        <f t="shared" ca="1" si="137"/>
        <v>0</v>
      </c>
      <c r="BP122" s="25">
        <f t="shared" ca="1" si="138"/>
        <v>0</v>
      </c>
      <c r="BQ122" s="34">
        <f t="shared" ca="1" si="139"/>
        <v>49125</v>
      </c>
      <c r="BR122" s="23">
        <f t="shared" ca="1" si="140"/>
        <v>2330351.846652837</v>
      </c>
      <c r="BS122" s="24">
        <f t="shared" ca="1" si="141"/>
        <v>6404.9031558966835</v>
      </c>
      <c r="BT122" s="24">
        <f t="shared" ca="1" si="150"/>
        <v>75627.125725395439</v>
      </c>
      <c r="BU122" s="24">
        <f t="shared" ca="1" si="142"/>
        <v>0</v>
      </c>
      <c r="BV122" s="24">
        <f t="shared" ca="1" si="151"/>
        <v>0</v>
      </c>
      <c r="BW122" s="24">
        <f t="shared" ca="1" si="143"/>
        <v>0</v>
      </c>
      <c r="BX122" s="25">
        <f t="shared" ca="1" si="152"/>
        <v>0</v>
      </c>
      <c r="BY122" s="23">
        <f t="shared" ca="1" si="115"/>
        <v>1600240.7642884271</v>
      </c>
      <c r="BZ122" s="24">
        <f t="shared" ca="1" si="116"/>
        <v>4412.6130406091415</v>
      </c>
      <c r="CA122" s="24">
        <f t="shared" ca="1" si="153"/>
        <v>53041.336037023051</v>
      </c>
      <c r="CB122" s="24">
        <f t="shared" ca="1" si="117"/>
        <v>0</v>
      </c>
      <c r="CC122" s="24">
        <f t="shared" ca="1" si="154"/>
        <v>0</v>
      </c>
      <c r="CD122" s="24">
        <f t="shared" ca="1" si="118"/>
        <v>0</v>
      </c>
      <c r="CE122" s="25">
        <f t="shared" ca="1" si="155"/>
        <v>0</v>
      </c>
      <c r="CF122" s="23">
        <f t="shared" ca="1" si="156"/>
        <v>0</v>
      </c>
      <c r="CG122" s="25">
        <f t="array" aca="1" ref="CG122" ca="1">SUM(BF111:BF122/(1+inflation/100)^(AP111:AP122/12))</f>
        <v>0</v>
      </c>
      <c r="CH122" s="32">
        <f ca="1">IFERROR(IF(MOD(AP122-ap_months_since_start,12)=0,ap_drawdown/100*(AQ122+AV122+BA122-BC122),CH121),0)</f>
        <v>331467.96463140153</v>
      </c>
      <c r="EL122" s="21">
        <f t="shared" ca="1" si="148"/>
        <v>6</v>
      </c>
      <c r="EM122" t="str">
        <f t="shared" ca="1" si="163"/>
        <v/>
      </c>
      <c r="EN122" t="str">
        <f t="shared" ca="1" si="164"/>
        <v/>
      </c>
      <c r="EO122" t="str">
        <f t="shared" ca="1" si="165"/>
        <v/>
      </c>
      <c r="EP122" s="1" t="str">
        <f t="shared" ca="1" si="166"/>
        <v/>
      </c>
      <c r="EQ122" s="1" t="str">
        <f t="shared" ca="1" si="167"/>
        <v/>
      </c>
      <c r="ER122" t="str">
        <f t="shared" ca="1" si="168"/>
        <v/>
      </c>
      <c r="ES122" t="str">
        <f t="shared" si="169"/>
        <v/>
      </c>
      <c r="ET122">
        <v>0</v>
      </c>
      <c r="EU122" s="22">
        <v>113</v>
      </c>
      <c r="EX122" s="21" t="str">
        <f ca="1">IF(EX121="","",IF(EX121+1&lt;=MAX('Financial Planning Tool'!$EL$10:$EL$209),EX121+1,""))</f>
        <v/>
      </c>
      <c r="EY122" t="str">
        <f ca="1">IF(EX122&lt;&gt;"",VLOOKUP(EX122,'Financial Planning Tool'!$EL$10:$ER$209,2,FALSE),"")</f>
        <v/>
      </c>
      <c r="EZ122" t="str">
        <f ca="1">IF(EX122&lt;&gt;"",VLOOKUP(EX122,'Financial Planning Tool'!$EL$10:$ER$209,3,FALSE),"")</f>
        <v/>
      </c>
      <c r="FA122" t="str">
        <f ca="1">IF(EX122&lt;&gt;"",VLOOKUP(EX122,'Financial Planning Tool'!$EL$10:$ER$209,4,FALSE),"")</f>
        <v/>
      </c>
      <c r="FB122" t="str">
        <f t="shared" ca="1" si="149"/>
        <v/>
      </c>
      <c r="FC122" s="1" t="str">
        <f ca="1">IF(EX122&lt;&gt;"",VLOOKUP(EX122,'Financial Planning Tool'!$EL$10:$ER$209,5,FALSE),"")</f>
        <v/>
      </c>
      <c r="FD122" s="1" t="str">
        <f ca="1">IF(EX122&lt;&gt;"",VLOOKUP(EX122,'Financial Planning Tool'!$EL$10:$ER$209,6,FALSE),"")</f>
        <v/>
      </c>
      <c r="FE122" t="str">
        <f ca="1">IF(EX122&lt;&gt;"",VLOOKUP(EX122,'Financial Planning Tool'!$EL$10:$ER$209,7,FALSE),"")</f>
        <v/>
      </c>
      <c r="FF122" t="str">
        <f ca="1">IF(EX122&lt;&gt;"",VLOOKUP(EX122,'Financial Planning Tool'!$EL$10:$ES$209,8,FALSE),"")</f>
        <v/>
      </c>
      <c r="FG122" t="str">
        <f ca="1">IF(EX122&lt;&gt;"",VLOOKUP(EX122,'Financial Planning Tool'!$EL$10:$ET$209,9,FALSE),"")</f>
        <v/>
      </c>
      <c r="FH122" t="str">
        <f t="shared" ca="1" si="160"/>
        <v/>
      </c>
      <c r="FI122" s="22" t="str">
        <f t="shared" ca="1" si="161"/>
        <v/>
      </c>
    </row>
    <row r="123" spans="2:165" x14ac:dyDescent="0.25">
      <c r="B123" s="140"/>
      <c r="C123" s="140"/>
      <c r="D123" s="140"/>
      <c r="G123" s="18"/>
      <c r="H123" s="5">
        <f t="shared" ca="1" si="171"/>
        <v>70828</v>
      </c>
      <c r="I123" s="8">
        <f t="shared" ca="1" si="172"/>
        <v>123</v>
      </c>
      <c r="J123" s="12" t="str">
        <f t="shared" ca="1" si="174"/>
        <v/>
      </c>
      <c r="K123" s="12" t="str">
        <f t="shared" ca="1" si="175"/>
        <v/>
      </c>
      <c r="L123" s="12" t="str">
        <f t="shared" ca="1" si="176"/>
        <v/>
      </c>
      <c r="M123" s="12" t="str">
        <f t="shared" ca="1" si="177"/>
        <v/>
      </c>
      <c r="N123" s="12">
        <f t="shared" ca="1" si="178"/>
        <v>-1821.58</v>
      </c>
      <c r="O123" s="12">
        <f t="shared" ca="1" si="179"/>
        <v>-124.3</v>
      </c>
      <c r="P123" s="12">
        <f t="shared" ca="1" si="180"/>
        <v>9439.5300000000007</v>
      </c>
      <c r="Q123" s="12">
        <f t="shared" ca="1" si="181"/>
        <v>630.45000000000005</v>
      </c>
      <c r="S123" s="18"/>
      <c r="T123" s="5">
        <f t="shared" ca="1" si="182"/>
        <v>70828</v>
      </c>
      <c r="U123" s="8">
        <f t="shared" ca="1" si="183"/>
        <v>123</v>
      </c>
      <c r="V123" s="12"/>
      <c r="W123" s="12"/>
      <c r="X123" s="12"/>
      <c r="Y123" s="12"/>
      <c r="Z123" s="12"/>
      <c r="AA123" s="12"/>
      <c r="AB123" s="12">
        <v>101206669.40000001</v>
      </c>
      <c r="AC123" s="12">
        <v>6759408.9299999997</v>
      </c>
      <c r="AE123" s="21">
        <v>70</v>
      </c>
      <c r="AF123" s="22">
        <f t="shared" ca="1" si="170"/>
        <v>1</v>
      </c>
      <c r="AI123" s="21">
        <f t="shared" ca="1" si="173"/>
        <v>1</v>
      </c>
      <c r="AJ123" s="22">
        <v>0</v>
      </c>
      <c r="AN123" s="32">
        <f t="shared" ca="1" si="113"/>
        <v>64.5</v>
      </c>
      <c r="AO123" s="53">
        <f t="shared" ca="1" si="144"/>
        <v>49126</v>
      </c>
      <c r="AP123" s="22">
        <v>116</v>
      </c>
      <c r="AQ123" s="32">
        <f t="shared" ca="1" si="145"/>
        <v>2330351.846652837</v>
      </c>
      <c r="AR123" s="23">
        <f t="array" aca="1" ref="AR123" ca="1">SUM(IF(lsc_start_date=AO123,lsc_amount,0))</f>
        <v>0</v>
      </c>
      <c r="AS123" s="24">
        <f t="shared" ca="1" si="119"/>
        <v>0</v>
      </c>
      <c r="AT123" s="24">
        <f t="shared" ca="1" si="120"/>
        <v>0</v>
      </c>
      <c r="AU123" s="24">
        <f t="shared" ca="1" si="121"/>
        <v>0</v>
      </c>
      <c r="AV123" s="25">
        <f t="shared" ca="1" si="122"/>
        <v>0</v>
      </c>
      <c r="AW123" s="23">
        <f t="array" aca="1" ref="AW123" ca="1">SUM(IF(rcs_start_date&lt;=AO123,1,0)*IF(rcs_end_date&gt;=AO123,1,0)*rcs_amount*(1+rcs_escalation/100)^(INT((AP123-rcs_months_since_start)/12))*IF(MOD((AP123-rcs_months_since_start),rcs_frequency)=0,1,0)*IF(rcs_frequency=13,0,1))+SUM(IF(rcs_start_date=AO123,rcs_amount,0)*IF(rcs_frequency=13,1,0))</f>
        <v>6404.9031558966835</v>
      </c>
      <c r="AX123" s="24">
        <f t="shared" ca="1" si="123"/>
        <v>0</v>
      </c>
      <c r="AY123" s="24">
        <f t="shared" ca="1" si="124"/>
        <v>0</v>
      </c>
      <c r="AZ123" s="24">
        <f t="shared" ca="1" si="125"/>
        <v>0</v>
      </c>
      <c r="BA123" s="25">
        <f t="shared" ca="1" si="126"/>
        <v>6404.9031558966835</v>
      </c>
      <c r="BB123" s="23">
        <f t="array" aca="1" ref="BB123" ca="1">SUM(IF(w_start_date&lt;=AO123,1,0)*IF(w_end_date&gt;=AO123,1,0)*w_amount*(1+w_escalation/100)^(INT((AP123-w_months_since_start)/12))*IF(MOD(AP123-w_months_since_start,w_frequency)=0,1,0)*IF(w_frequency=13,0,1))+SUM(IF(w_start_date=AO123,w_amount,0)*IF(w_frequency=13,1,0))</f>
        <v>0</v>
      </c>
      <c r="BC123" s="25">
        <f t="shared" ca="1" si="127"/>
        <v>0</v>
      </c>
      <c r="BD123" s="24" t="b">
        <f t="shared" ca="1" si="128"/>
        <v>0</v>
      </c>
      <c r="BE123" s="24" t="b">
        <f t="shared" ca="1" si="129"/>
        <v>1</v>
      </c>
      <c r="BF123" s="23">
        <f t="array" aca="1" ref="BF123" ca="1">SUM(IF(BD123,1,0)*IF(ap_start_date&lt;=AO123,1,0)*IF(ap_end_date&gt;=AO123,1,0)*ap_amount*(1+ap_escalation/100)^(INT((AP123-ap_months_since_start)/12))*IF(MOD(AP123-ap_months_since_start,ap_frequency)=0,1,0))</f>
        <v>0</v>
      </c>
      <c r="BG123" s="24">
        <f t="shared" ca="1" si="130"/>
        <v>0</v>
      </c>
      <c r="BH123" s="24">
        <f t="shared" ca="1" si="131"/>
        <v>0</v>
      </c>
      <c r="BI123">
        <f t="shared" ca="1" si="132"/>
        <v>0</v>
      </c>
      <c r="BJ123" s="24">
        <f t="shared" ca="1" si="133"/>
        <v>0</v>
      </c>
      <c r="BK123">
        <f t="shared" ca="1" si="134"/>
        <v>0</v>
      </c>
      <c r="BL123" s="25">
        <f t="shared" ca="1" si="135"/>
        <v>0</v>
      </c>
      <c r="BM123" s="32">
        <f t="shared" ca="1" si="114"/>
        <v>2353598.5112157702</v>
      </c>
      <c r="BN123" s="23">
        <f t="shared" ca="1" si="136"/>
        <v>0</v>
      </c>
      <c r="BO123" s="24">
        <f t="shared" ca="1" si="137"/>
        <v>0</v>
      </c>
      <c r="BP123" s="25">
        <f t="shared" ca="1" si="138"/>
        <v>0</v>
      </c>
      <c r="BQ123" s="34">
        <f t="shared" ca="1" si="139"/>
        <v>49156</v>
      </c>
      <c r="BR123" s="23">
        <f t="shared" ca="1" si="140"/>
        <v>2353598.5112157702</v>
      </c>
      <c r="BS123" s="24">
        <f t="shared" ca="1" si="141"/>
        <v>6404.9031558966835</v>
      </c>
      <c r="BT123" s="24">
        <f t="shared" ca="1" si="150"/>
        <v>75873.468154468399</v>
      </c>
      <c r="BU123" s="24">
        <f t="shared" ca="1" si="142"/>
        <v>0</v>
      </c>
      <c r="BV123" s="24">
        <f t="shared" ca="1" si="151"/>
        <v>0</v>
      </c>
      <c r="BW123" s="24">
        <f t="shared" ca="1" si="143"/>
        <v>0</v>
      </c>
      <c r="BX123" s="25">
        <f t="shared" ca="1" si="152"/>
        <v>0</v>
      </c>
      <c r="BY123" s="23">
        <f t="shared" ca="1" si="115"/>
        <v>1610930.3638263787</v>
      </c>
      <c r="BZ123" s="24">
        <f t="shared" ca="1" si="116"/>
        <v>4398.2144310555541</v>
      </c>
      <c r="CA123" s="24">
        <f t="shared" ca="1" si="153"/>
        <v>53041.336037023044</v>
      </c>
      <c r="CB123" s="24">
        <f t="shared" ca="1" si="117"/>
        <v>0</v>
      </c>
      <c r="CC123" s="24">
        <f t="shared" ca="1" si="154"/>
        <v>0</v>
      </c>
      <c r="CD123" s="24">
        <f t="shared" ca="1" si="118"/>
        <v>0</v>
      </c>
      <c r="CE123" s="25">
        <f t="shared" ca="1" si="155"/>
        <v>0</v>
      </c>
      <c r="CF123" s="23">
        <f t="shared" ca="1" si="156"/>
        <v>0</v>
      </c>
      <c r="CG123" s="25">
        <f t="array" aca="1" ref="CG123" ca="1">SUM(BF112:BF123/(1+inflation/100)^(AP112:AP123/12))</f>
        <v>0</v>
      </c>
      <c r="CH123" s="32">
        <f ca="1">IFERROR(IF(MOD(AP123-ap_months_since_start,12)=0,ap_drawdown/100*(AQ123+AV123+BA123-BC123),CH122),0)</f>
        <v>331467.96463140153</v>
      </c>
      <c r="EL123" s="21">
        <f t="shared" ca="1" si="148"/>
        <v>6</v>
      </c>
      <c r="EM123" t="str">
        <f t="shared" ca="1" si="163"/>
        <v/>
      </c>
      <c r="EN123" t="str">
        <f t="shared" ca="1" si="164"/>
        <v/>
      </c>
      <c r="EO123" t="str">
        <f t="shared" ca="1" si="165"/>
        <v/>
      </c>
      <c r="EP123" s="1" t="str">
        <f t="shared" ca="1" si="166"/>
        <v/>
      </c>
      <c r="EQ123" s="1" t="str">
        <f t="shared" ca="1" si="167"/>
        <v/>
      </c>
      <c r="ER123" t="str">
        <f t="shared" ca="1" si="168"/>
        <v/>
      </c>
      <c r="ES123" t="str">
        <f t="shared" si="169"/>
        <v/>
      </c>
      <c r="ET123">
        <v>0</v>
      </c>
      <c r="EU123" s="22">
        <v>114</v>
      </c>
      <c r="EX123" s="21" t="str">
        <f ca="1">IF(EX122="","",IF(EX122+1&lt;=MAX('Financial Planning Tool'!$EL$10:$EL$209),EX122+1,""))</f>
        <v/>
      </c>
      <c r="EY123" t="str">
        <f ca="1">IF(EX123&lt;&gt;"",VLOOKUP(EX123,'Financial Planning Tool'!$EL$10:$ER$209,2,FALSE),"")</f>
        <v/>
      </c>
      <c r="EZ123" t="str">
        <f ca="1">IF(EX123&lt;&gt;"",VLOOKUP(EX123,'Financial Planning Tool'!$EL$10:$ER$209,3,FALSE),"")</f>
        <v/>
      </c>
      <c r="FA123" t="str">
        <f ca="1">IF(EX123&lt;&gt;"",VLOOKUP(EX123,'Financial Planning Tool'!$EL$10:$ER$209,4,FALSE),"")</f>
        <v/>
      </c>
      <c r="FB123" t="str">
        <f t="shared" ca="1" si="149"/>
        <v/>
      </c>
      <c r="FC123" s="1" t="str">
        <f ca="1">IF(EX123&lt;&gt;"",VLOOKUP(EX123,'Financial Planning Tool'!$EL$10:$ER$209,5,FALSE),"")</f>
        <v/>
      </c>
      <c r="FD123" s="1" t="str">
        <f ca="1">IF(EX123&lt;&gt;"",VLOOKUP(EX123,'Financial Planning Tool'!$EL$10:$ER$209,6,FALSE),"")</f>
        <v/>
      </c>
      <c r="FE123" t="str">
        <f ca="1">IF(EX123&lt;&gt;"",VLOOKUP(EX123,'Financial Planning Tool'!$EL$10:$ER$209,7,FALSE),"")</f>
        <v/>
      </c>
      <c r="FF123" t="str">
        <f ca="1">IF(EX123&lt;&gt;"",VLOOKUP(EX123,'Financial Planning Tool'!$EL$10:$ES$209,8,FALSE),"")</f>
        <v/>
      </c>
      <c r="FG123" t="str">
        <f ca="1">IF(EX123&lt;&gt;"",VLOOKUP(EX123,'Financial Planning Tool'!$EL$10:$ET$209,9,FALSE),"")</f>
        <v/>
      </c>
      <c r="FH123" t="str">
        <f t="shared" ca="1" si="160"/>
        <v/>
      </c>
      <c r="FI123" s="22" t="str">
        <f t="shared" ca="1" si="161"/>
        <v/>
      </c>
    </row>
    <row r="124" spans="2:165" x14ac:dyDescent="0.25">
      <c r="B124" s="140"/>
      <c r="C124" s="140"/>
      <c r="D124" s="140"/>
      <c r="G124" s="18"/>
      <c r="H124" s="5">
        <f t="shared" ca="1" si="171"/>
        <v>71193</v>
      </c>
      <c r="I124" s="8">
        <f t="shared" ca="1" si="172"/>
        <v>124</v>
      </c>
      <c r="J124" s="12" t="str">
        <f t="shared" ca="1" si="174"/>
        <v/>
      </c>
      <c r="K124" s="12" t="str">
        <f t="shared" ca="1" si="175"/>
        <v/>
      </c>
      <c r="L124" s="12" t="str">
        <f t="shared" ca="1" si="176"/>
        <v/>
      </c>
      <c r="M124" s="12" t="str">
        <f t="shared" ca="1" si="177"/>
        <v/>
      </c>
      <c r="N124" s="12">
        <f t="shared" ca="1" si="178"/>
        <v>-1651.41</v>
      </c>
      <c r="O124" s="12">
        <f t="shared" ca="1" si="179"/>
        <v>-108.35</v>
      </c>
      <c r="P124" s="12">
        <f t="shared" ca="1" si="180"/>
        <v>8557.7000000000007</v>
      </c>
      <c r="Q124" s="12">
        <f t="shared" ca="1" si="181"/>
        <v>549.57000000000005</v>
      </c>
      <c r="S124" s="18"/>
      <c r="T124" s="5">
        <f t="shared" ca="1" si="182"/>
        <v>71193</v>
      </c>
      <c r="U124" s="8">
        <f t="shared" ca="1" si="183"/>
        <v>124</v>
      </c>
      <c r="V124" s="12"/>
      <c r="W124" s="12"/>
      <c r="X124" s="12"/>
      <c r="Y124" s="12"/>
      <c r="Z124" s="12"/>
      <c r="AA124" s="12"/>
      <c r="AB124" s="12">
        <v>109303202.95</v>
      </c>
      <c r="AC124" s="12">
        <v>7019386.2000000002</v>
      </c>
      <c r="AE124" s="21">
        <v>71</v>
      </c>
      <c r="AF124" s="22">
        <f t="shared" ca="1" si="170"/>
        <v>1</v>
      </c>
      <c r="AI124" s="21">
        <f t="shared" ca="1" si="173"/>
        <v>1</v>
      </c>
      <c r="AJ124" s="22">
        <v>0</v>
      </c>
      <c r="AN124" s="32">
        <f t="shared" ca="1" si="113"/>
        <v>64.583333333333329</v>
      </c>
      <c r="AO124" s="53">
        <f t="shared" ca="1" si="144"/>
        <v>49157</v>
      </c>
      <c r="AP124" s="22">
        <v>117</v>
      </c>
      <c r="AQ124" s="32">
        <f t="shared" ca="1" si="145"/>
        <v>2353598.5112157702</v>
      </c>
      <c r="AR124" s="23">
        <f t="array" aca="1" ref="AR124" ca="1">SUM(IF(lsc_start_date=AO124,lsc_amount,0))</f>
        <v>0</v>
      </c>
      <c r="AS124" s="24">
        <f t="shared" ca="1" si="119"/>
        <v>0</v>
      </c>
      <c r="AT124" s="24">
        <f t="shared" ca="1" si="120"/>
        <v>0</v>
      </c>
      <c r="AU124" s="24">
        <f t="shared" ca="1" si="121"/>
        <v>0</v>
      </c>
      <c r="AV124" s="25">
        <f t="shared" ca="1" si="122"/>
        <v>0</v>
      </c>
      <c r="AW124" s="23">
        <f t="array" aca="1" ref="AW124" ca="1">SUM(IF(rcs_start_date&lt;=AO124,1,0)*IF(rcs_end_date&gt;=AO124,1,0)*rcs_amount*(1+rcs_escalation/100)^(INT((AP124-rcs_months_since_start)/12))*IF(MOD((AP124-rcs_months_since_start),rcs_frequency)=0,1,0)*IF(rcs_frequency=13,0,1))+SUM(IF(rcs_start_date=AO124,rcs_amount,0)*IF(rcs_frequency=13,1,0))</f>
        <v>6404.9031558966835</v>
      </c>
      <c r="AX124" s="24">
        <f t="shared" ca="1" si="123"/>
        <v>0</v>
      </c>
      <c r="AY124" s="24">
        <f t="shared" ca="1" si="124"/>
        <v>0</v>
      </c>
      <c r="AZ124" s="24">
        <f t="shared" ca="1" si="125"/>
        <v>0</v>
      </c>
      <c r="BA124" s="25">
        <f t="shared" ca="1" si="126"/>
        <v>6404.9031558966835</v>
      </c>
      <c r="BB124" s="23">
        <f t="array" aca="1" ref="BB124" ca="1">SUM(IF(w_start_date&lt;=AO124,1,0)*IF(w_end_date&gt;=AO124,1,0)*w_amount*(1+w_escalation/100)^(INT((AP124-w_months_since_start)/12))*IF(MOD(AP124-w_months_since_start,w_frequency)=0,1,0)*IF(w_frequency=13,0,1))+SUM(IF(w_start_date=AO124,w_amount,0)*IF(w_frequency=13,1,0))</f>
        <v>0</v>
      </c>
      <c r="BC124" s="25">
        <f t="shared" ca="1" si="127"/>
        <v>0</v>
      </c>
      <c r="BD124" s="24" t="b">
        <f t="shared" ca="1" si="128"/>
        <v>0</v>
      </c>
      <c r="BE124" s="24" t="b">
        <f t="shared" ca="1" si="129"/>
        <v>1</v>
      </c>
      <c r="BF124" s="23">
        <f t="array" aca="1" ref="BF124" ca="1">SUM(IF(BD124,1,0)*IF(ap_start_date&lt;=AO124,1,0)*IF(ap_end_date&gt;=AO124,1,0)*ap_amount*(1+ap_escalation/100)^(INT((AP124-ap_months_since_start)/12))*IF(MOD(AP124-ap_months_since_start,ap_frequency)=0,1,0))</f>
        <v>0</v>
      </c>
      <c r="BG124" s="24">
        <f t="shared" ca="1" si="130"/>
        <v>0</v>
      </c>
      <c r="BH124" s="24">
        <f t="shared" ca="1" si="131"/>
        <v>0</v>
      </c>
      <c r="BI124">
        <f t="shared" ca="1" si="132"/>
        <v>0</v>
      </c>
      <c r="BJ124" s="24">
        <f t="shared" ca="1" si="133"/>
        <v>0</v>
      </c>
      <c r="BK124">
        <f t="shared" ca="1" si="134"/>
        <v>0</v>
      </c>
      <c r="BL124" s="25">
        <f t="shared" ca="1" si="135"/>
        <v>0</v>
      </c>
      <c r="BM124" s="32">
        <f t="shared" ca="1" si="114"/>
        <v>2377012.7220062301</v>
      </c>
      <c r="BN124" s="23">
        <f t="shared" ca="1" si="136"/>
        <v>0</v>
      </c>
      <c r="BO124" s="24">
        <f t="shared" ca="1" si="137"/>
        <v>0</v>
      </c>
      <c r="BP124" s="25">
        <f t="shared" ca="1" si="138"/>
        <v>0</v>
      </c>
      <c r="BQ124" s="34">
        <f t="shared" ca="1" si="139"/>
        <v>49187</v>
      </c>
      <c r="BR124" s="23">
        <f t="shared" ca="1" si="140"/>
        <v>2377012.7220062301</v>
      </c>
      <c r="BS124" s="24">
        <f t="shared" ca="1" si="141"/>
        <v>6404.9031558966835</v>
      </c>
      <c r="BT124" s="24">
        <f t="shared" ca="1" si="150"/>
        <v>76119.810583541344</v>
      </c>
      <c r="BU124" s="24">
        <f t="shared" ca="1" si="142"/>
        <v>0</v>
      </c>
      <c r="BV124" s="24">
        <f t="shared" ca="1" si="151"/>
        <v>0</v>
      </c>
      <c r="BW124" s="24">
        <f t="shared" ca="1" si="143"/>
        <v>0</v>
      </c>
      <c r="BX124" s="25">
        <f t="shared" ca="1" si="152"/>
        <v>0</v>
      </c>
      <c r="BY124" s="23">
        <f t="shared" ca="1" si="115"/>
        <v>1621647.4666954349</v>
      </c>
      <c r="BZ124" s="24">
        <f t="shared" ca="1" si="116"/>
        <v>4383.8628049911522</v>
      </c>
      <c r="CA124" s="24">
        <f t="shared" ca="1" si="153"/>
        <v>53041.336037023051</v>
      </c>
      <c r="CB124" s="24">
        <f t="shared" ca="1" si="117"/>
        <v>0</v>
      </c>
      <c r="CC124" s="24">
        <f t="shared" ca="1" si="154"/>
        <v>0</v>
      </c>
      <c r="CD124" s="24">
        <f t="shared" ca="1" si="118"/>
        <v>0</v>
      </c>
      <c r="CE124" s="25">
        <f t="shared" ca="1" si="155"/>
        <v>0</v>
      </c>
      <c r="CF124" s="23">
        <f t="shared" ca="1" si="156"/>
        <v>0</v>
      </c>
      <c r="CG124" s="25">
        <f t="array" aca="1" ref="CG124" ca="1">SUM(BF113:BF124/(1+inflation/100)^(AP113:AP124/12))</f>
        <v>0</v>
      </c>
      <c r="CH124" s="32">
        <f ca="1">IFERROR(IF(MOD(AP124-ap_months_since_start,12)=0,ap_drawdown/100*(AQ124+AV124+BA124-BC124),CH123),0)</f>
        <v>331467.96463140153</v>
      </c>
      <c r="EL124" s="21">
        <f t="shared" ca="1" si="148"/>
        <v>6</v>
      </c>
      <c r="EM124" t="str">
        <f t="shared" ca="1" si="163"/>
        <v/>
      </c>
      <c r="EN124" t="str">
        <f t="shared" ca="1" si="164"/>
        <v/>
      </c>
      <c r="EO124" t="str">
        <f t="shared" ca="1" si="165"/>
        <v/>
      </c>
      <c r="EP124" s="1" t="str">
        <f t="shared" ca="1" si="166"/>
        <v/>
      </c>
      <c r="EQ124" s="1" t="str">
        <f t="shared" ca="1" si="167"/>
        <v/>
      </c>
      <c r="ER124" t="str">
        <f t="shared" ca="1" si="168"/>
        <v/>
      </c>
      <c r="ES124" t="str">
        <f t="shared" si="169"/>
        <v/>
      </c>
      <c r="ET124">
        <v>0</v>
      </c>
      <c r="EU124" s="22">
        <v>115</v>
      </c>
      <c r="EX124" s="21" t="str">
        <f ca="1">IF(EX123="","",IF(EX123+1&lt;=MAX('Financial Planning Tool'!$EL$10:$EL$209),EX123+1,""))</f>
        <v/>
      </c>
      <c r="EY124" t="str">
        <f ca="1">IF(EX124&lt;&gt;"",VLOOKUP(EX124,'Financial Planning Tool'!$EL$10:$ER$209,2,FALSE),"")</f>
        <v/>
      </c>
      <c r="EZ124" t="str">
        <f ca="1">IF(EX124&lt;&gt;"",VLOOKUP(EX124,'Financial Planning Tool'!$EL$10:$ER$209,3,FALSE),"")</f>
        <v/>
      </c>
      <c r="FA124" t="str">
        <f ca="1">IF(EX124&lt;&gt;"",VLOOKUP(EX124,'Financial Planning Tool'!$EL$10:$ER$209,4,FALSE),"")</f>
        <v/>
      </c>
      <c r="FB124" t="str">
        <f t="shared" ca="1" si="149"/>
        <v/>
      </c>
      <c r="FC124" s="1" t="str">
        <f ca="1">IF(EX124&lt;&gt;"",VLOOKUP(EX124,'Financial Planning Tool'!$EL$10:$ER$209,5,FALSE),"")</f>
        <v/>
      </c>
      <c r="FD124" s="1" t="str">
        <f ca="1">IF(EX124&lt;&gt;"",VLOOKUP(EX124,'Financial Planning Tool'!$EL$10:$ER$209,6,FALSE),"")</f>
        <v/>
      </c>
      <c r="FE124" t="str">
        <f ca="1">IF(EX124&lt;&gt;"",VLOOKUP(EX124,'Financial Planning Tool'!$EL$10:$ER$209,7,FALSE),"")</f>
        <v/>
      </c>
      <c r="FF124" t="str">
        <f ca="1">IF(EX124&lt;&gt;"",VLOOKUP(EX124,'Financial Planning Tool'!$EL$10:$ES$209,8,FALSE),"")</f>
        <v/>
      </c>
      <c r="FG124" t="str">
        <f ca="1">IF(EX124&lt;&gt;"",VLOOKUP(EX124,'Financial Planning Tool'!$EL$10:$ET$209,9,FALSE),"")</f>
        <v/>
      </c>
      <c r="FH124" t="str">
        <f t="shared" ca="1" si="160"/>
        <v/>
      </c>
      <c r="FI124" s="22" t="str">
        <f t="shared" ca="1" si="161"/>
        <v/>
      </c>
    </row>
    <row r="125" spans="2:165" x14ac:dyDescent="0.25">
      <c r="B125" s="140"/>
      <c r="C125" s="140"/>
      <c r="D125" s="140"/>
      <c r="G125" s="18"/>
      <c r="H125" s="5">
        <f t="shared" ca="1" si="171"/>
        <v>71558</v>
      </c>
      <c r="I125" s="8">
        <f t="shared" ca="1" si="172"/>
        <v>125</v>
      </c>
      <c r="J125" s="12" t="str">
        <f t="shared" ca="1" si="174"/>
        <v/>
      </c>
      <c r="K125" s="12" t="str">
        <f t="shared" ca="1" si="175"/>
        <v/>
      </c>
      <c r="L125" s="12" t="str">
        <f t="shared" ca="1" si="176"/>
        <v/>
      </c>
      <c r="M125" s="12" t="str">
        <f t="shared" ca="1" si="177"/>
        <v/>
      </c>
      <c r="N125" s="12">
        <f t="shared" ca="1" si="178"/>
        <v>-1497.14</v>
      </c>
      <c r="O125" s="12">
        <f t="shared" ca="1" si="179"/>
        <v>-94.45</v>
      </c>
      <c r="P125" s="12">
        <f t="shared" ca="1" si="180"/>
        <v>7758.25</v>
      </c>
      <c r="Q125" s="12">
        <f t="shared" ca="1" si="181"/>
        <v>479.07</v>
      </c>
      <c r="S125" s="18"/>
      <c r="T125" s="5">
        <f t="shared" ca="1" si="182"/>
        <v>71558</v>
      </c>
      <c r="U125" s="8">
        <f t="shared" ca="1" si="183"/>
        <v>125</v>
      </c>
      <c r="V125" s="12"/>
      <c r="W125" s="12"/>
      <c r="X125" s="12"/>
      <c r="Y125" s="12"/>
      <c r="Z125" s="12"/>
      <c r="AA125" s="12"/>
      <c r="AB125" s="12">
        <v>118047459.19</v>
      </c>
      <c r="AC125" s="12">
        <v>7289362.5899999999</v>
      </c>
      <c r="AE125" s="21">
        <v>72</v>
      </c>
      <c r="AF125" s="22">
        <f t="shared" ca="1" si="170"/>
        <v>1</v>
      </c>
      <c r="AI125" s="21">
        <f t="shared" ca="1" si="173"/>
        <v>1</v>
      </c>
      <c r="AJ125" s="22">
        <v>0</v>
      </c>
      <c r="AN125" s="32">
        <f t="shared" ca="1" si="113"/>
        <v>64.666666666666671</v>
      </c>
      <c r="AO125" s="53">
        <f t="shared" ca="1" si="144"/>
        <v>49188</v>
      </c>
      <c r="AP125" s="22">
        <v>118</v>
      </c>
      <c r="AQ125" s="32">
        <f t="shared" ca="1" si="145"/>
        <v>2377012.7220062301</v>
      </c>
      <c r="AR125" s="23">
        <f t="array" aca="1" ref="AR125" ca="1">SUM(IF(lsc_start_date=AO125,lsc_amount,0))</f>
        <v>0</v>
      </c>
      <c r="AS125" s="24">
        <f t="shared" ca="1" si="119"/>
        <v>0</v>
      </c>
      <c r="AT125" s="24">
        <f t="shared" ca="1" si="120"/>
        <v>0</v>
      </c>
      <c r="AU125" s="24">
        <f t="shared" ca="1" si="121"/>
        <v>0</v>
      </c>
      <c r="AV125" s="25">
        <f t="shared" ca="1" si="122"/>
        <v>0</v>
      </c>
      <c r="AW125" s="23">
        <f t="array" aca="1" ref="AW125" ca="1">SUM(IF(rcs_start_date&lt;=AO125,1,0)*IF(rcs_end_date&gt;=AO125,1,0)*rcs_amount*(1+rcs_escalation/100)^(INT((AP125-rcs_months_since_start)/12))*IF(MOD((AP125-rcs_months_since_start),rcs_frequency)=0,1,0)*IF(rcs_frequency=13,0,1))+SUM(IF(rcs_start_date=AO125,rcs_amount,0)*IF(rcs_frequency=13,1,0))</f>
        <v>6404.9031558966835</v>
      </c>
      <c r="AX125" s="24">
        <f t="shared" ca="1" si="123"/>
        <v>0</v>
      </c>
      <c r="AY125" s="24">
        <f t="shared" ca="1" si="124"/>
        <v>0</v>
      </c>
      <c r="AZ125" s="24">
        <f t="shared" ca="1" si="125"/>
        <v>0</v>
      </c>
      <c r="BA125" s="25">
        <f t="shared" ca="1" si="126"/>
        <v>6404.9031558966835</v>
      </c>
      <c r="BB125" s="23">
        <f t="array" aca="1" ref="BB125" ca="1">SUM(IF(w_start_date&lt;=AO125,1,0)*IF(w_end_date&gt;=AO125,1,0)*w_amount*(1+w_escalation/100)^(INT((AP125-w_months_since_start)/12))*IF(MOD(AP125-w_months_since_start,w_frequency)=0,1,0)*IF(w_frequency=13,0,1))+SUM(IF(w_start_date=AO125,w_amount,0)*IF(w_frequency=13,1,0))</f>
        <v>0</v>
      </c>
      <c r="BC125" s="25">
        <f t="shared" ca="1" si="127"/>
        <v>0</v>
      </c>
      <c r="BD125" s="24" t="b">
        <f t="shared" ca="1" si="128"/>
        <v>0</v>
      </c>
      <c r="BE125" s="24" t="b">
        <f t="shared" ca="1" si="129"/>
        <v>1</v>
      </c>
      <c r="BF125" s="23">
        <f t="array" aca="1" ref="BF125" ca="1">SUM(IF(BD125,1,0)*IF(ap_start_date&lt;=AO125,1,0)*IF(ap_end_date&gt;=AO125,1,0)*ap_amount*(1+ap_escalation/100)^(INT((AP125-ap_months_since_start)/12))*IF(MOD(AP125-ap_months_since_start,ap_frequency)=0,1,0))</f>
        <v>0</v>
      </c>
      <c r="BG125" s="24">
        <f t="shared" ca="1" si="130"/>
        <v>0</v>
      </c>
      <c r="BH125" s="24">
        <f t="shared" ca="1" si="131"/>
        <v>0</v>
      </c>
      <c r="BI125">
        <f t="shared" ca="1" si="132"/>
        <v>0</v>
      </c>
      <c r="BJ125" s="24">
        <f t="shared" ca="1" si="133"/>
        <v>0</v>
      </c>
      <c r="BK125">
        <f t="shared" ca="1" si="134"/>
        <v>0</v>
      </c>
      <c r="BL125" s="25">
        <f t="shared" ca="1" si="135"/>
        <v>0</v>
      </c>
      <c r="BM125" s="32">
        <f t="shared" ca="1" si="114"/>
        <v>2400595.6865840494</v>
      </c>
      <c r="BN125" s="23">
        <f t="shared" ca="1" si="136"/>
        <v>0</v>
      </c>
      <c r="BO125" s="24">
        <f t="shared" ca="1" si="137"/>
        <v>0</v>
      </c>
      <c r="BP125" s="25">
        <f t="shared" ca="1" si="138"/>
        <v>0</v>
      </c>
      <c r="BQ125" s="34">
        <f t="shared" ca="1" si="139"/>
        <v>49217</v>
      </c>
      <c r="BR125" s="23">
        <f t="shared" ca="1" si="140"/>
        <v>2400595.6865840494</v>
      </c>
      <c r="BS125" s="24">
        <f t="shared" ca="1" si="141"/>
        <v>6404.9031558966835</v>
      </c>
      <c r="BT125" s="24">
        <f t="shared" ca="1" si="150"/>
        <v>76366.15301261429</v>
      </c>
      <c r="BU125" s="24">
        <f t="shared" ca="1" si="142"/>
        <v>0</v>
      </c>
      <c r="BV125" s="24">
        <f t="shared" ca="1" si="151"/>
        <v>0</v>
      </c>
      <c r="BW125" s="24">
        <f t="shared" ca="1" si="143"/>
        <v>0</v>
      </c>
      <c r="BX125" s="25">
        <f t="shared" ca="1" si="152"/>
        <v>0</v>
      </c>
      <c r="BY125" s="23">
        <f t="shared" ca="1" si="115"/>
        <v>1632392.2277430149</v>
      </c>
      <c r="BZ125" s="24">
        <f t="shared" ca="1" si="116"/>
        <v>4369.5580091061156</v>
      </c>
      <c r="CA125" s="24">
        <f t="shared" ca="1" si="153"/>
        <v>53041.336037023044</v>
      </c>
      <c r="CB125" s="24">
        <f t="shared" ca="1" si="117"/>
        <v>0</v>
      </c>
      <c r="CC125" s="24">
        <f t="shared" ca="1" si="154"/>
        <v>0</v>
      </c>
      <c r="CD125" s="24">
        <f t="shared" ca="1" si="118"/>
        <v>0</v>
      </c>
      <c r="CE125" s="25">
        <f t="shared" ca="1" si="155"/>
        <v>0</v>
      </c>
      <c r="CF125" s="23">
        <f t="shared" ca="1" si="156"/>
        <v>0</v>
      </c>
      <c r="CG125" s="25">
        <f t="array" aca="1" ref="CG125" ca="1">SUM(BF114:BF125/(1+inflation/100)^(AP114:AP125/12))</f>
        <v>0</v>
      </c>
      <c r="CH125" s="32">
        <f ca="1">IFERROR(IF(MOD(AP125-ap_months_since_start,12)=0,ap_drawdown/100*(AQ125+AV125+BA125-BC125),CH124),0)</f>
        <v>331467.96463140153</v>
      </c>
      <c r="EL125" s="21">
        <f t="shared" ca="1" si="148"/>
        <v>6</v>
      </c>
      <c r="EM125" t="str">
        <f t="shared" ca="1" si="163"/>
        <v/>
      </c>
      <c r="EN125" t="str">
        <f t="shared" ca="1" si="164"/>
        <v/>
      </c>
      <c r="EO125" t="str">
        <f t="shared" ca="1" si="165"/>
        <v/>
      </c>
      <c r="EP125" s="1" t="str">
        <f t="shared" ca="1" si="166"/>
        <v/>
      </c>
      <c r="EQ125" s="1" t="str">
        <f t="shared" ca="1" si="167"/>
        <v/>
      </c>
      <c r="ER125" t="str">
        <f t="shared" ca="1" si="168"/>
        <v/>
      </c>
      <c r="ES125" t="str">
        <f t="shared" si="169"/>
        <v/>
      </c>
      <c r="ET125">
        <v>0</v>
      </c>
      <c r="EU125" s="22">
        <v>116</v>
      </c>
      <c r="EX125" s="21" t="str">
        <f ca="1">IF(EX124="","",IF(EX124+1&lt;=MAX('Financial Planning Tool'!$EL$10:$EL$209),EX124+1,""))</f>
        <v/>
      </c>
      <c r="EY125" t="str">
        <f ca="1">IF(EX125&lt;&gt;"",VLOOKUP(EX125,'Financial Planning Tool'!$EL$10:$ER$209,2,FALSE),"")</f>
        <v/>
      </c>
      <c r="EZ125" t="str">
        <f ca="1">IF(EX125&lt;&gt;"",VLOOKUP(EX125,'Financial Planning Tool'!$EL$10:$ER$209,3,FALSE),"")</f>
        <v/>
      </c>
      <c r="FA125" t="str">
        <f ca="1">IF(EX125&lt;&gt;"",VLOOKUP(EX125,'Financial Planning Tool'!$EL$10:$ER$209,4,FALSE),"")</f>
        <v/>
      </c>
      <c r="FB125" t="str">
        <f t="shared" ca="1" si="149"/>
        <v/>
      </c>
      <c r="FC125" s="1" t="str">
        <f ca="1">IF(EX125&lt;&gt;"",VLOOKUP(EX125,'Financial Planning Tool'!$EL$10:$ER$209,5,FALSE),"")</f>
        <v/>
      </c>
      <c r="FD125" s="1" t="str">
        <f ca="1">IF(EX125&lt;&gt;"",VLOOKUP(EX125,'Financial Planning Tool'!$EL$10:$ER$209,6,FALSE),"")</f>
        <v/>
      </c>
      <c r="FE125" t="str">
        <f ca="1">IF(EX125&lt;&gt;"",VLOOKUP(EX125,'Financial Planning Tool'!$EL$10:$ER$209,7,FALSE),"")</f>
        <v/>
      </c>
      <c r="FF125" t="str">
        <f ca="1">IF(EX125&lt;&gt;"",VLOOKUP(EX125,'Financial Planning Tool'!$EL$10:$ES$209,8,FALSE),"")</f>
        <v/>
      </c>
      <c r="FG125" t="str">
        <f ca="1">IF(EX125&lt;&gt;"",VLOOKUP(EX125,'Financial Planning Tool'!$EL$10:$ET$209,9,FALSE),"")</f>
        <v/>
      </c>
      <c r="FH125" t="str">
        <f t="shared" ca="1" si="160"/>
        <v/>
      </c>
      <c r="FI125" s="22" t="str">
        <f t="shared" ca="1" si="161"/>
        <v/>
      </c>
    </row>
    <row r="126" spans="2:165" x14ac:dyDescent="0.25">
      <c r="G126" s="18"/>
      <c r="H126" s="5">
        <f t="shared" ca="1" si="171"/>
        <v>71924</v>
      </c>
      <c r="I126" s="8">
        <f t="shared" ca="1" si="172"/>
        <v>126</v>
      </c>
      <c r="J126" s="12" t="str">
        <f t="shared" ca="1" si="174"/>
        <v/>
      </c>
      <c r="K126" s="12" t="str">
        <f t="shared" ca="1" si="175"/>
        <v/>
      </c>
      <c r="L126" s="12" t="str">
        <f t="shared" ca="1" si="176"/>
        <v/>
      </c>
      <c r="M126" s="12" t="str">
        <f t="shared" ca="1" si="177"/>
        <v/>
      </c>
      <c r="N126" s="12">
        <f t="shared" ca="1" si="178"/>
        <v>-1357.28</v>
      </c>
      <c r="O126" s="12">
        <f t="shared" ca="1" si="179"/>
        <v>-82.33</v>
      </c>
      <c r="P126" s="12">
        <f t="shared" ca="1" si="180"/>
        <v>7033.48</v>
      </c>
      <c r="Q126" s="12">
        <f t="shared" ca="1" si="181"/>
        <v>417.61</v>
      </c>
      <c r="S126" s="18"/>
      <c r="T126" s="5">
        <f t="shared" ca="1" si="182"/>
        <v>71924</v>
      </c>
      <c r="U126" s="8">
        <f t="shared" ca="1" si="183"/>
        <v>126</v>
      </c>
      <c r="V126" s="12"/>
      <c r="W126" s="12"/>
      <c r="X126" s="12"/>
      <c r="Y126" s="12"/>
      <c r="Z126" s="12"/>
      <c r="AA126" s="12"/>
      <c r="AB126" s="12">
        <v>127491255.92</v>
      </c>
      <c r="AC126" s="12">
        <v>7569722.6900000004</v>
      </c>
      <c r="AE126" s="21">
        <v>73</v>
      </c>
      <c r="AF126" s="22">
        <f t="shared" ca="1" si="170"/>
        <v>1</v>
      </c>
      <c r="AI126" s="21">
        <f t="shared" ca="1" si="173"/>
        <v>1</v>
      </c>
      <c r="AJ126" s="22">
        <v>0</v>
      </c>
      <c r="AN126" s="32">
        <f t="shared" ca="1" si="113"/>
        <v>64.75</v>
      </c>
      <c r="AO126" s="53">
        <f t="shared" ca="1" si="144"/>
        <v>49218</v>
      </c>
      <c r="AP126" s="22">
        <v>119</v>
      </c>
      <c r="AQ126" s="32">
        <f t="shared" ca="1" si="145"/>
        <v>2400595.6865840494</v>
      </c>
      <c r="AR126" s="23">
        <f t="array" aca="1" ref="AR126" ca="1">SUM(IF(lsc_start_date=AO126,lsc_amount,0))</f>
        <v>0</v>
      </c>
      <c r="AS126" s="24">
        <f t="shared" ca="1" si="119"/>
        <v>0</v>
      </c>
      <c r="AT126" s="24">
        <f t="shared" ca="1" si="120"/>
        <v>0</v>
      </c>
      <c r="AU126" s="24">
        <f t="shared" ca="1" si="121"/>
        <v>0</v>
      </c>
      <c r="AV126" s="25">
        <f t="shared" ca="1" si="122"/>
        <v>0</v>
      </c>
      <c r="AW126" s="23">
        <f t="array" aca="1" ref="AW126" ca="1">SUM(IF(rcs_start_date&lt;=AO126,1,0)*IF(rcs_end_date&gt;=AO126,1,0)*rcs_amount*(1+rcs_escalation/100)^(INT((AP126-rcs_months_since_start)/12))*IF(MOD((AP126-rcs_months_since_start),rcs_frequency)=0,1,0)*IF(rcs_frequency=13,0,1))+SUM(IF(rcs_start_date=AO126,rcs_amount,0)*IF(rcs_frequency=13,1,0))</f>
        <v>6404.9031558966835</v>
      </c>
      <c r="AX126" s="24">
        <f t="shared" ca="1" si="123"/>
        <v>0</v>
      </c>
      <c r="AY126" s="24">
        <f t="shared" ca="1" si="124"/>
        <v>0</v>
      </c>
      <c r="AZ126" s="24">
        <f t="shared" ca="1" si="125"/>
        <v>0</v>
      </c>
      <c r="BA126" s="25">
        <f t="shared" ca="1" si="126"/>
        <v>6404.9031558966835</v>
      </c>
      <c r="BB126" s="23">
        <f t="array" aca="1" ref="BB126" ca="1">SUM(IF(w_start_date&lt;=AO126,1,0)*IF(w_end_date&gt;=AO126,1,0)*w_amount*(1+w_escalation/100)^(INT((AP126-w_months_since_start)/12))*IF(MOD(AP126-w_months_since_start,w_frequency)=0,1,0)*IF(w_frequency=13,0,1))+SUM(IF(w_start_date=AO126,w_amount,0)*IF(w_frequency=13,1,0))</f>
        <v>0</v>
      </c>
      <c r="BC126" s="25">
        <f t="shared" ca="1" si="127"/>
        <v>0</v>
      </c>
      <c r="BD126" s="24" t="b">
        <f t="shared" ca="1" si="128"/>
        <v>0</v>
      </c>
      <c r="BE126" s="24" t="b">
        <f t="shared" ca="1" si="129"/>
        <v>1</v>
      </c>
      <c r="BF126" s="23">
        <f t="array" aca="1" ref="BF126" ca="1">SUM(IF(BD126,1,0)*IF(ap_start_date&lt;=AO126,1,0)*IF(ap_end_date&gt;=AO126,1,0)*ap_amount*(1+ap_escalation/100)^(INT((AP126-ap_months_since_start)/12))*IF(MOD(AP126-ap_months_since_start,ap_frequency)=0,1,0))</f>
        <v>0</v>
      </c>
      <c r="BG126" s="24">
        <f t="shared" ca="1" si="130"/>
        <v>0</v>
      </c>
      <c r="BH126" s="24">
        <f t="shared" ca="1" si="131"/>
        <v>0</v>
      </c>
      <c r="BI126">
        <f t="shared" ca="1" si="132"/>
        <v>0</v>
      </c>
      <c r="BJ126" s="24">
        <f t="shared" ca="1" si="133"/>
        <v>0</v>
      </c>
      <c r="BK126">
        <f t="shared" ca="1" si="134"/>
        <v>0</v>
      </c>
      <c r="BL126" s="25">
        <f t="shared" ca="1" si="135"/>
        <v>0</v>
      </c>
      <c r="BM126" s="32">
        <f t="shared" ca="1" si="114"/>
        <v>2424348.6212123339</v>
      </c>
      <c r="BN126" s="23">
        <f t="shared" ca="1" si="136"/>
        <v>0</v>
      </c>
      <c r="BO126" s="24">
        <f t="shared" ca="1" si="137"/>
        <v>0</v>
      </c>
      <c r="BP126" s="25">
        <f t="shared" ca="1" si="138"/>
        <v>0</v>
      </c>
      <c r="BQ126" s="34">
        <f t="shared" ca="1" si="139"/>
        <v>49248</v>
      </c>
      <c r="BR126" s="23">
        <f t="shared" ca="1" si="140"/>
        <v>2424348.6212123339</v>
      </c>
      <c r="BS126" s="24">
        <f t="shared" ca="1" si="141"/>
        <v>6404.9031558966835</v>
      </c>
      <c r="BT126" s="24">
        <f t="shared" ca="1" si="150"/>
        <v>76612.495441687235</v>
      </c>
      <c r="BU126" s="24">
        <f t="shared" ca="1" si="142"/>
        <v>0</v>
      </c>
      <c r="BV126" s="24">
        <f t="shared" ca="1" si="151"/>
        <v>0</v>
      </c>
      <c r="BW126" s="24">
        <f t="shared" ca="1" si="143"/>
        <v>0</v>
      </c>
      <c r="BX126" s="25">
        <f t="shared" ca="1" si="152"/>
        <v>0</v>
      </c>
      <c r="BY126" s="23">
        <f t="shared" ca="1" si="115"/>
        <v>1643164.8022702481</v>
      </c>
      <c r="BZ126" s="24">
        <f t="shared" ca="1" si="116"/>
        <v>4355.2998905908826</v>
      </c>
      <c r="CA126" s="24">
        <f t="shared" ca="1" si="153"/>
        <v>53041.336037023044</v>
      </c>
      <c r="CB126" s="24">
        <f t="shared" ca="1" si="117"/>
        <v>0</v>
      </c>
      <c r="CC126" s="24">
        <f t="shared" ca="1" si="154"/>
        <v>0</v>
      </c>
      <c r="CD126" s="24">
        <f t="shared" ca="1" si="118"/>
        <v>0</v>
      </c>
      <c r="CE126" s="25">
        <f t="shared" ca="1" si="155"/>
        <v>0</v>
      </c>
      <c r="CF126" s="23">
        <f t="shared" ca="1" si="156"/>
        <v>0</v>
      </c>
      <c r="CG126" s="25">
        <f t="array" aca="1" ref="CG126" ca="1">SUM(BF115:BF126/(1+inflation/100)^(AP115:AP126/12))</f>
        <v>0</v>
      </c>
      <c r="CH126" s="32">
        <f ca="1">IFERROR(IF(MOD(AP126-ap_months_since_start,12)=0,ap_drawdown/100*(AQ126+AV126+BA126-BC126),CH125),0)</f>
        <v>331467.96463140153</v>
      </c>
      <c r="EL126" s="21">
        <f t="shared" ca="1" si="148"/>
        <v>6</v>
      </c>
      <c r="EM126" t="str">
        <f t="shared" ca="1" si="163"/>
        <v/>
      </c>
      <c r="EN126" t="str">
        <f t="shared" ca="1" si="164"/>
        <v/>
      </c>
      <c r="EO126" t="str">
        <f t="shared" ca="1" si="165"/>
        <v/>
      </c>
      <c r="EP126" s="1" t="str">
        <f t="shared" ca="1" si="166"/>
        <v/>
      </c>
      <c r="EQ126" s="1" t="str">
        <f t="shared" ca="1" si="167"/>
        <v/>
      </c>
      <c r="ER126" t="str">
        <f t="shared" ca="1" si="168"/>
        <v/>
      </c>
      <c r="ES126" t="str">
        <f t="shared" si="169"/>
        <v/>
      </c>
      <c r="ET126">
        <v>0</v>
      </c>
      <c r="EU126" s="22">
        <v>117</v>
      </c>
      <c r="EX126" s="21" t="str">
        <f ca="1">IF(EX125="","",IF(EX125+1&lt;=MAX('Financial Planning Tool'!$EL$10:$EL$209),EX125+1,""))</f>
        <v/>
      </c>
      <c r="EY126" t="str">
        <f ca="1">IF(EX126&lt;&gt;"",VLOOKUP(EX126,'Financial Planning Tool'!$EL$10:$ER$209,2,FALSE),"")</f>
        <v/>
      </c>
      <c r="EZ126" t="str">
        <f ca="1">IF(EX126&lt;&gt;"",VLOOKUP(EX126,'Financial Planning Tool'!$EL$10:$ER$209,3,FALSE),"")</f>
        <v/>
      </c>
      <c r="FA126" t="str">
        <f ca="1">IF(EX126&lt;&gt;"",VLOOKUP(EX126,'Financial Planning Tool'!$EL$10:$ER$209,4,FALSE),"")</f>
        <v/>
      </c>
      <c r="FB126" t="str">
        <f t="shared" ca="1" si="149"/>
        <v/>
      </c>
      <c r="FC126" s="1" t="str">
        <f ca="1">IF(EX126&lt;&gt;"",VLOOKUP(EX126,'Financial Planning Tool'!$EL$10:$ER$209,5,FALSE),"")</f>
        <v/>
      </c>
      <c r="FD126" s="1" t="str">
        <f ca="1">IF(EX126&lt;&gt;"",VLOOKUP(EX126,'Financial Planning Tool'!$EL$10:$ER$209,6,FALSE),"")</f>
        <v/>
      </c>
      <c r="FE126" t="str">
        <f ca="1">IF(EX126&lt;&gt;"",VLOOKUP(EX126,'Financial Planning Tool'!$EL$10:$ER$209,7,FALSE),"")</f>
        <v/>
      </c>
      <c r="FF126" t="str">
        <f ca="1">IF(EX126&lt;&gt;"",VLOOKUP(EX126,'Financial Planning Tool'!$EL$10:$ES$209,8,FALSE),"")</f>
        <v/>
      </c>
      <c r="FG126" t="str">
        <f ca="1">IF(EX126&lt;&gt;"",VLOOKUP(EX126,'Financial Planning Tool'!$EL$10:$ET$209,9,FALSE),"")</f>
        <v/>
      </c>
      <c r="FH126" t="str">
        <f t="shared" ca="1" si="160"/>
        <v/>
      </c>
      <c r="FI126" s="22" t="str">
        <f t="shared" ca="1" si="161"/>
        <v/>
      </c>
    </row>
    <row r="127" spans="2:165" x14ac:dyDescent="0.25">
      <c r="G127" s="18"/>
      <c r="H127" s="5">
        <f t="shared" ca="1" si="171"/>
        <v>72289</v>
      </c>
      <c r="I127" s="8">
        <f t="shared" ca="1" si="172"/>
        <v>127</v>
      </c>
      <c r="J127" s="12" t="str">
        <f t="shared" ca="1" si="174"/>
        <v/>
      </c>
      <c r="K127" s="12" t="str">
        <f t="shared" ca="1" si="175"/>
        <v/>
      </c>
      <c r="L127" s="12" t="str">
        <f t="shared" ca="1" si="176"/>
        <v/>
      </c>
      <c r="M127" s="12" t="str">
        <f t="shared" ca="1" si="177"/>
        <v/>
      </c>
      <c r="N127" s="12">
        <f t="shared" ca="1" si="178"/>
        <v>-1230.48</v>
      </c>
      <c r="O127" s="12">
        <f t="shared" ca="1" si="179"/>
        <v>-71.77</v>
      </c>
      <c r="P127" s="12">
        <f t="shared" ca="1" si="180"/>
        <v>6376.42</v>
      </c>
      <c r="Q127" s="12">
        <f t="shared" ca="1" si="181"/>
        <v>364.04</v>
      </c>
      <c r="S127" s="18"/>
      <c r="T127" s="5">
        <f t="shared" ca="1" si="182"/>
        <v>72289</v>
      </c>
      <c r="U127" s="8">
        <f t="shared" ca="1" si="183"/>
        <v>127</v>
      </c>
      <c r="V127" s="12"/>
      <c r="W127" s="12"/>
      <c r="X127" s="12"/>
      <c r="Y127" s="12"/>
      <c r="Z127" s="12"/>
      <c r="AA127" s="12"/>
      <c r="AB127" s="12">
        <v>137690556.40000001</v>
      </c>
      <c r="AC127" s="12">
        <v>7860865.8700000001</v>
      </c>
      <c r="AE127" s="21">
        <v>74</v>
      </c>
      <c r="AF127" s="22">
        <f t="shared" ca="1" si="170"/>
        <v>1</v>
      </c>
      <c r="AI127" s="21">
        <f t="shared" ca="1" si="173"/>
        <v>1</v>
      </c>
      <c r="AJ127" s="22">
        <v>0</v>
      </c>
      <c r="AN127" s="32">
        <f t="shared" ca="1" si="113"/>
        <v>64.833333333333329</v>
      </c>
      <c r="AO127" s="53">
        <f t="shared" ca="1" si="144"/>
        <v>49249</v>
      </c>
      <c r="AP127" s="22">
        <v>120</v>
      </c>
      <c r="AQ127" s="32">
        <f t="shared" ca="1" si="145"/>
        <v>2424348.6212123339</v>
      </c>
      <c r="AR127" s="23">
        <f t="array" aca="1" ref="AR127" ca="1">SUM(IF(lsc_start_date=AO127,lsc_amount,0))</f>
        <v>0</v>
      </c>
      <c r="AS127" s="24">
        <f t="shared" ca="1" si="119"/>
        <v>0</v>
      </c>
      <c r="AT127" s="24">
        <f t="shared" ca="1" si="120"/>
        <v>0</v>
      </c>
      <c r="AU127" s="24">
        <f t="shared" ca="1" si="121"/>
        <v>0</v>
      </c>
      <c r="AV127" s="25">
        <f t="shared" ca="1" si="122"/>
        <v>0</v>
      </c>
      <c r="AW127" s="23">
        <f t="array" aca="1" ref="AW127" ca="1">SUM(IF(rcs_start_date&lt;=AO127,1,0)*IF(rcs_end_date&gt;=AO127,1,0)*rcs_amount*(1+rcs_escalation/100)^(INT((AP127-rcs_months_since_start)/12))*IF(MOD((AP127-rcs_months_since_start),rcs_frequency)=0,1,0)*IF(rcs_frequency=13,0,1))+SUM(IF(rcs_start_date=AO127,rcs_amount,0)*IF(rcs_frequency=13,1,0))</f>
        <v>6404.9031558966835</v>
      </c>
      <c r="AX127" s="24">
        <f t="shared" ca="1" si="123"/>
        <v>0</v>
      </c>
      <c r="AY127" s="24">
        <f t="shared" ca="1" si="124"/>
        <v>0</v>
      </c>
      <c r="AZ127" s="24">
        <f t="shared" ca="1" si="125"/>
        <v>0</v>
      </c>
      <c r="BA127" s="25">
        <f t="shared" ca="1" si="126"/>
        <v>6404.9031558966835</v>
      </c>
      <c r="BB127" s="23">
        <f t="array" aca="1" ref="BB127" ca="1">SUM(IF(w_start_date&lt;=AO127,1,0)*IF(w_end_date&gt;=AO127,1,0)*w_amount*(1+w_escalation/100)^(INT((AP127-w_months_since_start)/12))*IF(MOD(AP127-w_months_since_start,w_frequency)=0,1,0)*IF(w_frequency=13,0,1))+SUM(IF(w_start_date=AO127,w_amount,0)*IF(w_frequency=13,1,0))</f>
        <v>0</v>
      </c>
      <c r="BC127" s="25">
        <f t="shared" ca="1" si="127"/>
        <v>0</v>
      </c>
      <c r="BD127" s="24" t="b">
        <f t="shared" ca="1" si="128"/>
        <v>0</v>
      </c>
      <c r="BE127" s="24" t="b">
        <f t="shared" ca="1" si="129"/>
        <v>1</v>
      </c>
      <c r="BF127" s="23">
        <f t="array" aca="1" ref="BF127" ca="1">SUM(IF(BD127,1,0)*IF(ap_start_date&lt;=AO127,1,0)*IF(ap_end_date&gt;=AO127,1,0)*ap_amount*(1+ap_escalation/100)^(INT((AP127-ap_months_since_start)/12))*IF(MOD(AP127-ap_months_since_start,ap_frequency)=0,1,0))</f>
        <v>0</v>
      </c>
      <c r="BG127" s="24">
        <f t="shared" ca="1" si="130"/>
        <v>0</v>
      </c>
      <c r="BH127" s="24">
        <f t="shared" ca="1" si="131"/>
        <v>0</v>
      </c>
      <c r="BI127">
        <f t="shared" ca="1" si="132"/>
        <v>0</v>
      </c>
      <c r="BJ127" s="24">
        <f t="shared" ca="1" si="133"/>
        <v>0</v>
      </c>
      <c r="BK127">
        <f t="shared" ca="1" si="134"/>
        <v>0</v>
      </c>
      <c r="BL127" s="25">
        <f t="shared" ca="1" si="135"/>
        <v>0</v>
      </c>
      <c r="BM127" s="32">
        <f t="shared" ca="1" si="114"/>
        <v>2448272.7509201914</v>
      </c>
      <c r="BN127" s="23">
        <f t="shared" ca="1" si="136"/>
        <v>0</v>
      </c>
      <c r="BO127" s="24">
        <f t="shared" ca="1" si="137"/>
        <v>0</v>
      </c>
      <c r="BP127" s="25">
        <f t="shared" ca="1" si="138"/>
        <v>0</v>
      </c>
      <c r="BQ127" s="34">
        <f t="shared" ca="1" si="139"/>
        <v>49278</v>
      </c>
      <c r="BR127" s="23">
        <f t="shared" ca="1" si="140"/>
        <v>2448272.7509201914</v>
      </c>
      <c r="BS127" s="24">
        <f t="shared" ca="1" si="141"/>
        <v>6404.9031558966835</v>
      </c>
      <c r="BT127" s="24">
        <f t="shared" ca="1" si="150"/>
        <v>76858.837870760195</v>
      </c>
      <c r="BU127" s="24">
        <f t="shared" ca="1" si="142"/>
        <v>0</v>
      </c>
      <c r="BV127" s="24">
        <f t="shared" ca="1" si="151"/>
        <v>0</v>
      </c>
      <c r="BW127" s="24">
        <f t="shared" ca="1" si="143"/>
        <v>0</v>
      </c>
      <c r="BX127" s="25">
        <f t="shared" ca="1" si="152"/>
        <v>0</v>
      </c>
      <c r="BY127" s="23">
        <f t="shared" ca="1" si="115"/>
        <v>1653965.3460342502</v>
      </c>
      <c r="BZ127" s="24">
        <f t="shared" ca="1" si="116"/>
        <v>4341.0882971345154</v>
      </c>
      <c r="CA127" s="24">
        <f t="shared" ca="1" si="153"/>
        <v>53041.336037023044</v>
      </c>
      <c r="CB127" s="24">
        <f t="shared" ca="1" si="117"/>
        <v>0</v>
      </c>
      <c r="CC127" s="24">
        <f t="shared" ca="1" si="154"/>
        <v>0</v>
      </c>
      <c r="CD127" s="24">
        <f t="shared" ca="1" si="118"/>
        <v>0</v>
      </c>
      <c r="CE127" s="25">
        <f t="shared" ca="1" si="155"/>
        <v>0</v>
      </c>
      <c r="CF127" s="23">
        <f t="shared" ca="1" si="156"/>
        <v>0</v>
      </c>
      <c r="CG127" s="25">
        <f t="array" aca="1" ref="CG127" ca="1">SUM(BF116:BF127/(1+inflation/100)^(AP116:AP127/12))</f>
        <v>0</v>
      </c>
      <c r="CH127" s="32">
        <f ca="1">IFERROR(IF(MOD(AP127-ap_months_since_start,12)=0,ap_drawdown/100*(AQ127+AV127+BA127-BC127),CH126),0)</f>
        <v>373592.52803105972</v>
      </c>
      <c r="EL127" s="21">
        <f t="shared" ca="1" si="148"/>
        <v>6</v>
      </c>
      <c r="EM127" t="str">
        <f t="shared" ca="1" si="163"/>
        <v/>
      </c>
      <c r="EN127" t="str">
        <f t="shared" ca="1" si="164"/>
        <v/>
      </c>
      <c r="EO127" t="str">
        <f t="shared" ca="1" si="165"/>
        <v/>
      </c>
      <c r="EP127" s="1" t="str">
        <f t="shared" ca="1" si="166"/>
        <v/>
      </c>
      <c r="EQ127" s="1" t="str">
        <f t="shared" ca="1" si="167"/>
        <v/>
      </c>
      <c r="ER127" t="str">
        <f t="shared" ca="1" si="168"/>
        <v/>
      </c>
      <c r="ES127" t="str">
        <f t="shared" si="169"/>
        <v/>
      </c>
      <c r="ET127">
        <v>0</v>
      </c>
      <c r="EU127" s="22">
        <v>118</v>
      </c>
      <c r="EX127" s="21" t="str">
        <f ca="1">IF(EX126="","",IF(EX126+1&lt;=MAX('Financial Planning Tool'!$EL$10:$EL$209),EX126+1,""))</f>
        <v/>
      </c>
      <c r="EY127" t="str">
        <f ca="1">IF(EX127&lt;&gt;"",VLOOKUP(EX127,'Financial Planning Tool'!$EL$10:$ER$209,2,FALSE),"")</f>
        <v/>
      </c>
      <c r="EZ127" t="str">
        <f ca="1">IF(EX127&lt;&gt;"",VLOOKUP(EX127,'Financial Planning Tool'!$EL$10:$ER$209,3,FALSE),"")</f>
        <v/>
      </c>
      <c r="FA127" t="str">
        <f ca="1">IF(EX127&lt;&gt;"",VLOOKUP(EX127,'Financial Planning Tool'!$EL$10:$ER$209,4,FALSE),"")</f>
        <v/>
      </c>
      <c r="FB127" t="str">
        <f t="shared" ca="1" si="149"/>
        <v/>
      </c>
      <c r="FC127" s="1" t="str">
        <f ca="1">IF(EX127&lt;&gt;"",VLOOKUP(EX127,'Financial Planning Tool'!$EL$10:$ER$209,5,FALSE),"")</f>
        <v/>
      </c>
      <c r="FD127" s="1" t="str">
        <f ca="1">IF(EX127&lt;&gt;"",VLOOKUP(EX127,'Financial Planning Tool'!$EL$10:$ER$209,6,FALSE),"")</f>
        <v/>
      </c>
      <c r="FE127" t="str">
        <f ca="1">IF(EX127&lt;&gt;"",VLOOKUP(EX127,'Financial Planning Tool'!$EL$10:$ER$209,7,FALSE),"")</f>
        <v/>
      </c>
      <c r="FF127" t="str">
        <f ca="1">IF(EX127&lt;&gt;"",VLOOKUP(EX127,'Financial Planning Tool'!$EL$10:$ES$209,8,FALSE),"")</f>
        <v/>
      </c>
      <c r="FG127" t="str">
        <f ca="1">IF(EX127&lt;&gt;"",VLOOKUP(EX127,'Financial Planning Tool'!$EL$10:$ET$209,9,FALSE),"")</f>
        <v/>
      </c>
      <c r="FH127" t="str">
        <f t="shared" ca="1" si="160"/>
        <v/>
      </c>
      <c r="FI127" s="22" t="str">
        <f t="shared" ca="1" si="161"/>
        <v/>
      </c>
    </row>
    <row r="128" spans="2:165" x14ac:dyDescent="0.25">
      <c r="G128" s="18"/>
      <c r="H128" s="5">
        <f t="shared" ca="1" si="171"/>
        <v>72654</v>
      </c>
      <c r="I128" s="8">
        <f t="shared" ca="1" si="172"/>
        <v>128</v>
      </c>
      <c r="J128" s="12" t="str">
        <f t="shared" ca="1" si="174"/>
        <v/>
      </c>
      <c r="K128" s="12" t="str">
        <f t="shared" ca="1" si="175"/>
        <v/>
      </c>
      <c r="L128" s="12" t="str">
        <f t="shared" ca="1" si="176"/>
        <v/>
      </c>
      <c r="M128" s="12" t="str">
        <f t="shared" ca="1" si="177"/>
        <v/>
      </c>
      <c r="N128" s="12">
        <f t="shared" ca="1" si="178"/>
        <v>-1115.53</v>
      </c>
      <c r="O128" s="12">
        <f t="shared" ca="1" si="179"/>
        <v>-62.56</v>
      </c>
      <c r="P128" s="12">
        <f t="shared" ca="1" si="180"/>
        <v>5780.74</v>
      </c>
      <c r="Q128" s="12">
        <f t="shared" ca="1" si="181"/>
        <v>317.33</v>
      </c>
      <c r="S128" s="18"/>
      <c r="T128" s="5">
        <f t="shared" ca="1" si="182"/>
        <v>72654</v>
      </c>
      <c r="U128" s="8">
        <f t="shared" ca="1" si="183"/>
        <v>128</v>
      </c>
      <c r="V128" s="12"/>
      <c r="W128" s="12"/>
      <c r="X128" s="12"/>
      <c r="Y128" s="12"/>
      <c r="Z128" s="12"/>
      <c r="AA128" s="12"/>
      <c r="AB128" s="12">
        <v>148705800.91</v>
      </c>
      <c r="AC128" s="12">
        <v>8163206.8700000001</v>
      </c>
      <c r="AE128" s="21">
        <v>75</v>
      </c>
      <c r="AF128" s="22">
        <f t="shared" ca="1" si="170"/>
        <v>1</v>
      </c>
      <c r="AI128" s="21">
        <f t="shared" ca="1" si="173"/>
        <v>1</v>
      </c>
      <c r="AJ128" s="22">
        <v>0</v>
      </c>
      <c r="AN128" s="32">
        <f t="shared" ca="1" si="113"/>
        <v>64.916666666666671</v>
      </c>
      <c r="AO128" s="53">
        <f t="shared" ca="1" si="144"/>
        <v>49279</v>
      </c>
      <c r="AP128" s="22">
        <v>121</v>
      </c>
      <c r="AQ128" s="32">
        <f t="shared" ca="1" si="145"/>
        <v>2448272.7509201914</v>
      </c>
      <c r="AR128" s="23">
        <f t="array" aca="1" ref="AR128" ca="1">SUM(IF(lsc_start_date=AO128,lsc_amount,0))</f>
        <v>0</v>
      </c>
      <c r="AS128" s="24">
        <f t="shared" ca="1" si="119"/>
        <v>0</v>
      </c>
      <c r="AT128" s="24">
        <f t="shared" ca="1" si="120"/>
        <v>0</v>
      </c>
      <c r="AU128" s="24">
        <f t="shared" ca="1" si="121"/>
        <v>0</v>
      </c>
      <c r="AV128" s="25">
        <f t="shared" ca="1" si="122"/>
        <v>0</v>
      </c>
      <c r="AW128" s="23">
        <f t="array" aca="1" ref="AW128" ca="1">SUM(IF(rcs_start_date&lt;=AO128,1,0)*IF(rcs_end_date&gt;=AO128,1,0)*rcs_amount*(1+rcs_escalation/100)^(INT((AP128-rcs_months_since_start)/12))*IF(MOD((AP128-rcs_months_since_start),rcs_frequency)=0,1,0)*IF(rcs_frequency=13,0,1))+SUM(IF(rcs_start_date=AO128,rcs_amount,0)*IF(rcs_frequency=13,1,0))</f>
        <v>6661.0992821325508</v>
      </c>
      <c r="AX128" s="24">
        <f t="shared" ca="1" si="123"/>
        <v>0</v>
      </c>
      <c r="AY128" s="24">
        <f t="shared" ca="1" si="124"/>
        <v>0</v>
      </c>
      <c r="AZ128" s="24">
        <f t="shared" ca="1" si="125"/>
        <v>0</v>
      </c>
      <c r="BA128" s="25">
        <f t="shared" ca="1" si="126"/>
        <v>6661.0992821325508</v>
      </c>
      <c r="BB128" s="23">
        <f t="array" aca="1" ref="BB128" ca="1">SUM(IF(w_start_date&lt;=AO128,1,0)*IF(w_end_date&gt;=AO128,1,0)*w_amount*(1+w_escalation/100)^(INT((AP128-w_months_since_start)/12))*IF(MOD(AP128-w_months_since_start,w_frequency)=0,1,0)*IF(w_frequency=13,0,1))+SUM(IF(w_start_date=AO128,w_amount,0)*IF(w_frequency=13,1,0))</f>
        <v>0</v>
      </c>
      <c r="BC128" s="25">
        <f t="shared" ca="1" si="127"/>
        <v>0</v>
      </c>
      <c r="BD128" s="24" t="b">
        <f t="shared" ca="1" si="128"/>
        <v>0</v>
      </c>
      <c r="BE128" s="24" t="b">
        <f t="shared" ca="1" si="129"/>
        <v>1</v>
      </c>
      <c r="BF128" s="23">
        <f t="array" aca="1" ref="BF128" ca="1">SUM(IF(BD128,1,0)*IF(ap_start_date&lt;=AO128,1,0)*IF(ap_end_date&gt;=AO128,1,0)*ap_amount*(1+ap_escalation/100)^(INT((AP128-ap_months_since_start)/12))*IF(MOD(AP128-ap_months_since_start,ap_frequency)=0,1,0))</f>
        <v>0</v>
      </c>
      <c r="BG128" s="24">
        <f t="shared" ca="1" si="130"/>
        <v>0</v>
      </c>
      <c r="BH128" s="24">
        <f t="shared" ca="1" si="131"/>
        <v>0</v>
      </c>
      <c r="BI128">
        <f t="shared" ca="1" si="132"/>
        <v>0</v>
      </c>
      <c r="BJ128" s="24">
        <f t="shared" ca="1" si="133"/>
        <v>0</v>
      </c>
      <c r="BK128">
        <f t="shared" ca="1" si="134"/>
        <v>0</v>
      </c>
      <c r="BL128" s="25">
        <f t="shared" ca="1" si="135"/>
        <v>0</v>
      </c>
      <c r="BM128" s="32">
        <f t="shared" ca="1" si="114"/>
        <v>2472627.3521804605</v>
      </c>
      <c r="BN128" s="23">
        <f t="shared" ca="1" si="136"/>
        <v>0</v>
      </c>
      <c r="BO128" s="24">
        <f t="shared" ca="1" si="137"/>
        <v>0</v>
      </c>
      <c r="BP128" s="25">
        <f t="shared" ca="1" si="138"/>
        <v>0</v>
      </c>
      <c r="BQ128" s="34">
        <f t="shared" ca="1" si="139"/>
        <v>49309</v>
      </c>
      <c r="BR128" s="23">
        <f t="shared" ca="1" si="140"/>
        <v>2472627.3521804605</v>
      </c>
      <c r="BS128" s="24">
        <f t="shared" ca="1" si="141"/>
        <v>6661.0992821325508</v>
      </c>
      <c r="BT128" s="24">
        <f t="shared" ca="1" si="150"/>
        <v>77115.033996996062</v>
      </c>
      <c r="BU128" s="24">
        <f t="shared" ca="1" si="142"/>
        <v>0</v>
      </c>
      <c r="BV128" s="24">
        <f t="shared" ca="1" si="151"/>
        <v>0</v>
      </c>
      <c r="BW128" s="24">
        <f t="shared" ca="1" si="143"/>
        <v>0</v>
      </c>
      <c r="BX128" s="25">
        <f t="shared" ca="1" si="152"/>
        <v>0</v>
      </c>
      <c r="BY128" s="23">
        <f t="shared" ca="1" si="115"/>
        <v>1664967.7707644973</v>
      </c>
      <c r="BZ128" s="24">
        <f t="shared" ca="1" si="116"/>
        <v>4500</v>
      </c>
      <c r="CA128" s="24">
        <f t="shared" ca="1" si="153"/>
        <v>53041.336037023044</v>
      </c>
      <c r="CB128" s="24">
        <f t="shared" ca="1" si="117"/>
        <v>0</v>
      </c>
      <c r="CC128" s="24">
        <f t="shared" ca="1" si="154"/>
        <v>0</v>
      </c>
      <c r="CD128" s="24">
        <f t="shared" ca="1" si="118"/>
        <v>0</v>
      </c>
      <c r="CE128" s="25">
        <f t="shared" ca="1" si="155"/>
        <v>0</v>
      </c>
      <c r="CF128" s="23">
        <f t="shared" ca="1" si="156"/>
        <v>0</v>
      </c>
      <c r="CG128" s="25">
        <f t="array" aca="1" ref="CG128" ca="1">SUM(BF117:BF128/(1+inflation/100)^(AP117:AP128/12))</f>
        <v>0</v>
      </c>
      <c r="CH128" s="32">
        <f ca="1">IFERROR(IF(MOD(AP128-ap_months_since_start,12)=0,ap_drawdown/100*(AQ128+AV128+BA128-BC128),CH127),0)</f>
        <v>373592.52803105972</v>
      </c>
      <c r="EL128" s="21">
        <f t="shared" ca="1" si="148"/>
        <v>6</v>
      </c>
      <c r="EM128" t="str">
        <f t="shared" ca="1" si="163"/>
        <v/>
      </c>
      <c r="EN128" t="str">
        <f t="shared" ca="1" si="164"/>
        <v/>
      </c>
      <c r="EO128" t="str">
        <f t="shared" ca="1" si="165"/>
        <v/>
      </c>
      <c r="EP128" s="1" t="str">
        <f t="shared" ca="1" si="166"/>
        <v/>
      </c>
      <c r="EQ128" s="1" t="str">
        <f t="shared" ca="1" si="167"/>
        <v/>
      </c>
      <c r="ER128" t="str">
        <f t="shared" ca="1" si="168"/>
        <v/>
      </c>
      <c r="ES128" t="str">
        <f t="shared" si="169"/>
        <v/>
      </c>
      <c r="ET128">
        <v>0</v>
      </c>
      <c r="EU128" s="22">
        <v>119</v>
      </c>
      <c r="EX128" s="21" t="str">
        <f ca="1">IF(EX127="","",IF(EX127+1&lt;=MAX('Financial Planning Tool'!$EL$10:$EL$209),EX127+1,""))</f>
        <v/>
      </c>
      <c r="EY128" t="str">
        <f ca="1">IF(EX128&lt;&gt;"",VLOOKUP(EX128,'Financial Planning Tool'!$EL$10:$ER$209,2,FALSE),"")</f>
        <v/>
      </c>
      <c r="EZ128" t="str">
        <f ca="1">IF(EX128&lt;&gt;"",VLOOKUP(EX128,'Financial Planning Tool'!$EL$10:$ER$209,3,FALSE),"")</f>
        <v/>
      </c>
      <c r="FA128" t="str">
        <f ca="1">IF(EX128&lt;&gt;"",VLOOKUP(EX128,'Financial Planning Tool'!$EL$10:$ER$209,4,FALSE),"")</f>
        <v/>
      </c>
      <c r="FB128" t="str">
        <f t="shared" ca="1" si="149"/>
        <v/>
      </c>
      <c r="FC128" s="1" t="str">
        <f ca="1">IF(EX128&lt;&gt;"",VLOOKUP(EX128,'Financial Planning Tool'!$EL$10:$ER$209,5,FALSE),"")</f>
        <v/>
      </c>
      <c r="FD128" s="1" t="str">
        <f ca="1">IF(EX128&lt;&gt;"",VLOOKUP(EX128,'Financial Planning Tool'!$EL$10:$ER$209,6,FALSE),"")</f>
        <v/>
      </c>
      <c r="FE128" t="str">
        <f ca="1">IF(EX128&lt;&gt;"",VLOOKUP(EX128,'Financial Planning Tool'!$EL$10:$ER$209,7,FALSE),"")</f>
        <v/>
      </c>
      <c r="FF128" t="str">
        <f ca="1">IF(EX128&lt;&gt;"",VLOOKUP(EX128,'Financial Planning Tool'!$EL$10:$ES$209,8,FALSE),"")</f>
        <v/>
      </c>
      <c r="FG128" t="str">
        <f ca="1">IF(EX128&lt;&gt;"",VLOOKUP(EX128,'Financial Planning Tool'!$EL$10:$ET$209,9,FALSE),"")</f>
        <v/>
      </c>
      <c r="FH128" t="str">
        <f t="shared" ca="1" si="160"/>
        <v/>
      </c>
      <c r="FI128" s="22" t="str">
        <f t="shared" ca="1" si="161"/>
        <v/>
      </c>
    </row>
    <row r="129" spans="7:165" x14ac:dyDescent="0.25">
      <c r="G129" s="18"/>
      <c r="H129" s="5">
        <f t="shared" ca="1" si="171"/>
        <v>73019</v>
      </c>
      <c r="I129" s="8">
        <f t="shared" ca="1" si="172"/>
        <v>129</v>
      </c>
      <c r="J129" s="12" t="str">
        <f t="shared" ca="1" si="174"/>
        <v/>
      </c>
      <c r="K129" s="12" t="str">
        <f t="shared" ca="1" si="175"/>
        <v/>
      </c>
      <c r="L129" s="12" t="str">
        <f t="shared" ca="1" si="176"/>
        <v/>
      </c>
      <c r="M129" s="12" t="str">
        <f t="shared" ca="1" si="177"/>
        <v/>
      </c>
      <c r="N129" s="12">
        <f t="shared" ca="1" si="178"/>
        <v>-1011.32</v>
      </c>
      <c r="O129" s="12">
        <f t="shared" ca="1" si="179"/>
        <v>-54.54</v>
      </c>
      <c r="P129" s="12">
        <f t="shared" ca="1" si="180"/>
        <v>5240.71</v>
      </c>
      <c r="Q129" s="12">
        <f t="shared" ca="1" si="181"/>
        <v>276.62</v>
      </c>
      <c r="S129" s="18"/>
      <c r="T129" s="5">
        <f t="shared" ca="1" si="182"/>
        <v>73019</v>
      </c>
      <c r="U129" s="8">
        <f t="shared" ca="1" si="183"/>
        <v>129</v>
      </c>
      <c r="V129" s="12"/>
      <c r="W129" s="12"/>
      <c r="X129" s="12"/>
      <c r="Y129" s="12"/>
      <c r="Z129" s="12"/>
      <c r="AA129" s="12"/>
      <c r="AB129" s="12">
        <v>160602264.97999999</v>
      </c>
      <c r="AC129" s="12">
        <v>8477176.3599999994</v>
      </c>
      <c r="AE129" s="21">
        <v>76</v>
      </c>
      <c r="AF129" s="22">
        <f t="shared" ca="1" si="170"/>
        <v>1</v>
      </c>
      <c r="AI129" s="21">
        <f t="shared" ca="1" si="173"/>
        <v>1</v>
      </c>
      <c r="AJ129" s="22">
        <v>0</v>
      </c>
      <c r="AN129" s="32">
        <f t="shared" ca="1" si="113"/>
        <v>65</v>
      </c>
      <c r="AO129" s="53">
        <f t="shared" ca="1" si="144"/>
        <v>49310</v>
      </c>
      <c r="AP129" s="22">
        <v>122</v>
      </c>
      <c r="AQ129" s="32">
        <f t="shared" ca="1" si="145"/>
        <v>2472627.3521804605</v>
      </c>
      <c r="AR129" s="23">
        <f t="array" aca="1" ref="AR129" ca="1">SUM(IF(lsc_start_date=AO129,lsc_amount,0))</f>
        <v>0</v>
      </c>
      <c r="AS129" s="24">
        <f t="shared" ca="1" si="119"/>
        <v>0</v>
      </c>
      <c r="AT129" s="24">
        <f t="shared" ca="1" si="120"/>
        <v>0</v>
      </c>
      <c r="AU129" s="24">
        <f t="shared" ca="1" si="121"/>
        <v>0</v>
      </c>
      <c r="AV129" s="25">
        <f t="shared" ca="1" si="122"/>
        <v>0</v>
      </c>
      <c r="AW129" s="23">
        <f t="array" aca="1" ref="AW129" ca="1">SUM(IF(rcs_start_date&lt;=AO129,1,0)*IF(rcs_end_date&gt;=AO129,1,0)*rcs_amount*(1+rcs_escalation/100)^(INT((AP129-rcs_months_since_start)/12))*IF(MOD((AP129-rcs_months_since_start),rcs_frequency)=0,1,0)*IF(rcs_frequency=13,0,1))+SUM(IF(rcs_start_date=AO129,rcs_amount,0)*IF(rcs_frequency=13,1,0))</f>
        <v>6661.0992821325508</v>
      </c>
      <c r="AX129" s="24">
        <f t="shared" ca="1" si="123"/>
        <v>0</v>
      </c>
      <c r="AY129" s="24">
        <f t="shared" ca="1" si="124"/>
        <v>0</v>
      </c>
      <c r="AZ129" s="24">
        <f t="shared" ca="1" si="125"/>
        <v>0</v>
      </c>
      <c r="BA129" s="25">
        <f t="shared" ca="1" si="126"/>
        <v>6661.0992821325508</v>
      </c>
      <c r="BB129" s="23">
        <f t="array" aca="1" ref="BB129" ca="1">SUM(IF(w_start_date&lt;=AO129,1,0)*IF(w_end_date&gt;=AO129,1,0)*w_amount*(1+w_escalation/100)^(INT((AP129-w_months_since_start)/12))*IF(MOD(AP129-w_months_since_start,w_frequency)=0,1,0)*IF(w_frequency=13,0,1))+SUM(IF(w_start_date=AO129,w_amount,0)*IF(w_frequency=13,1,0))</f>
        <v>0</v>
      </c>
      <c r="BC129" s="25">
        <f t="shared" ca="1" si="127"/>
        <v>0</v>
      </c>
      <c r="BD129" s="24" t="b">
        <f t="shared" ca="1" si="128"/>
        <v>0</v>
      </c>
      <c r="BE129" s="24" t="b">
        <f t="shared" ca="1" si="129"/>
        <v>1</v>
      </c>
      <c r="BF129" s="23">
        <f t="array" aca="1" ref="BF129" ca="1">SUM(IF(BD129,1,0)*IF(ap_start_date&lt;=AO129,1,0)*IF(ap_end_date&gt;=AO129,1,0)*ap_amount*(1+ap_escalation/100)^(INT((AP129-ap_months_since_start)/12))*IF(MOD(AP129-ap_months_since_start,ap_frequency)=0,1,0))</f>
        <v>0</v>
      </c>
      <c r="BG129" s="24">
        <f t="shared" ca="1" si="130"/>
        <v>0</v>
      </c>
      <c r="BH129" s="24">
        <f t="shared" ca="1" si="131"/>
        <v>0</v>
      </c>
      <c r="BI129">
        <f t="shared" ca="1" si="132"/>
        <v>0</v>
      </c>
      <c r="BJ129" s="24">
        <f t="shared" ca="1" si="133"/>
        <v>0</v>
      </c>
      <c r="BK129">
        <f t="shared" ca="1" si="134"/>
        <v>0</v>
      </c>
      <c r="BL129" s="25">
        <f t="shared" ca="1" si="135"/>
        <v>0</v>
      </c>
      <c r="BM129" s="32">
        <f t="shared" ca="1" si="114"/>
        <v>2497157.484926248</v>
      </c>
      <c r="BN129" s="23">
        <f t="shared" ca="1" si="136"/>
        <v>0</v>
      </c>
      <c r="BO129" s="24">
        <f t="shared" ca="1" si="137"/>
        <v>0</v>
      </c>
      <c r="BP129" s="25">
        <f t="shared" ca="1" si="138"/>
        <v>0</v>
      </c>
      <c r="BQ129" s="34">
        <f t="shared" ca="1" si="139"/>
        <v>49340</v>
      </c>
      <c r="BR129" s="23">
        <f t="shared" ca="1" si="140"/>
        <v>2497157.484926248</v>
      </c>
      <c r="BS129" s="24">
        <f t="shared" ca="1" si="141"/>
        <v>6661.0992821325508</v>
      </c>
      <c r="BT129" s="24">
        <f t="shared" ca="1" si="150"/>
        <v>77371.23012323193</v>
      </c>
      <c r="BU129" s="24">
        <f t="shared" ca="1" si="142"/>
        <v>0</v>
      </c>
      <c r="BV129" s="24">
        <f t="shared" ca="1" si="151"/>
        <v>0</v>
      </c>
      <c r="BW129" s="24">
        <f t="shared" ca="1" si="143"/>
        <v>0</v>
      </c>
      <c r="BX129" s="25">
        <f t="shared" ca="1" si="152"/>
        <v>0</v>
      </c>
      <c r="BY129" s="23">
        <f t="shared" ca="1" si="115"/>
        <v>1675998.5919002446</v>
      </c>
      <c r="BZ129" s="24">
        <f t="shared" ca="1" si="116"/>
        <v>4485.316241783531</v>
      </c>
      <c r="CA129" s="24">
        <f t="shared" ca="1" si="153"/>
        <v>53041.336037023051</v>
      </c>
      <c r="CB129" s="24">
        <f t="shared" ca="1" si="117"/>
        <v>0</v>
      </c>
      <c r="CC129" s="24">
        <f t="shared" ca="1" si="154"/>
        <v>0</v>
      </c>
      <c r="CD129" s="24">
        <f t="shared" ca="1" si="118"/>
        <v>0</v>
      </c>
      <c r="CE129" s="25">
        <f t="shared" ca="1" si="155"/>
        <v>0</v>
      </c>
      <c r="CF129" s="23">
        <f t="shared" ca="1" si="156"/>
        <v>0</v>
      </c>
      <c r="CG129" s="25">
        <f t="array" aca="1" ref="CG129" ca="1">SUM(BF118:BF129/(1+inflation/100)^(AP118:AP129/12))</f>
        <v>0</v>
      </c>
      <c r="CH129" s="32">
        <f ca="1">IFERROR(IF(MOD(AP129-ap_months_since_start,12)=0,ap_drawdown/100*(AQ129+AV129+BA129-BC129),CH128),0)</f>
        <v>373592.52803105972</v>
      </c>
      <c r="EL129" s="21">
        <f t="shared" ca="1" si="148"/>
        <v>6</v>
      </c>
      <c r="EM129" t="str">
        <f t="shared" ca="1" si="163"/>
        <v/>
      </c>
      <c r="EN129" t="str">
        <f t="shared" ca="1" si="164"/>
        <v/>
      </c>
      <c r="EO129" t="str">
        <f t="shared" ca="1" si="165"/>
        <v/>
      </c>
      <c r="EP129" s="1" t="str">
        <f t="shared" ca="1" si="166"/>
        <v/>
      </c>
      <c r="EQ129" s="1" t="str">
        <f t="shared" ca="1" si="167"/>
        <v/>
      </c>
      <c r="ER129" t="str">
        <f t="shared" ca="1" si="168"/>
        <v/>
      </c>
      <c r="ES129" t="str">
        <f t="shared" si="169"/>
        <v/>
      </c>
      <c r="ET129">
        <v>0</v>
      </c>
      <c r="EU129" s="22">
        <v>120</v>
      </c>
      <c r="EX129" s="21" t="str">
        <f ca="1">IF(EX128="","",IF(EX128+1&lt;=MAX('Financial Planning Tool'!$EL$10:$EL$209),EX128+1,""))</f>
        <v/>
      </c>
      <c r="EY129" t="str">
        <f ca="1">IF(EX129&lt;&gt;"",VLOOKUP(EX129,'Financial Planning Tool'!$EL$10:$ER$209,2,FALSE),"")</f>
        <v/>
      </c>
      <c r="EZ129" t="str">
        <f ca="1">IF(EX129&lt;&gt;"",VLOOKUP(EX129,'Financial Planning Tool'!$EL$10:$ER$209,3,FALSE),"")</f>
        <v/>
      </c>
      <c r="FA129" t="str">
        <f ca="1">IF(EX129&lt;&gt;"",VLOOKUP(EX129,'Financial Planning Tool'!$EL$10:$ER$209,4,FALSE),"")</f>
        <v/>
      </c>
      <c r="FB129" t="str">
        <f t="shared" ca="1" si="149"/>
        <v/>
      </c>
      <c r="FC129" s="1" t="str">
        <f ca="1">IF(EX129&lt;&gt;"",VLOOKUP(EX129,'Financial Planning Tool'!$EL$10:$ER$209,5,FALSE),"")</f>
        <v/>
      </c>
      <c r="FD129" s="1" t="str">
        <f ca="1">IF(EX129&lt;&gt;"",VLOOKUP(EX129,'Financial Planning Tool'!$EL$10:$ER$209,6,FALSE),"")</f>
        <v/>
      </c>
      <c r="FE129" t="str">
        <f ca="1">IF(EX129&lt;&gt;"",VLOOKUP(EX129,'Financial Planning Tool'!$EL$10:$ER$209,7,FALSE),"")</f>
        <v/>
      </c>
      <c r="FF129" t="str">
        <f ca="1">IF(EX129&lt;&gt;"",VLOOKUP(EX129,'Financial Planning Tool'!$EL$10:$ES$209,8,FALSE),"")</f>
        <v/>
      </c>
      <c r="FG129" t="str">
        <f ca="1">IF(EX129&lt;&gt;"",VLOOKUP(EX129,'Financial Planning Tool'!$EL$10:$ET$209,9,FALSE),"")</f>
        <v/>
      </c>
      <c r="FH129" t="str">
        <f t="shared" ca="1" si="160"/>
        <v/>
      </c>
      <c r="FI129" s="22" t="str">
        <f t="shared" ca="1" si="161"/>
        <v/>
      </c>
    </row>
    <row r="130" spans="7:165" x14ac:dyDescent="0.25">
      <c r="G130" s="18"/>
      <c r="H130" s="5">
        <f t="shared" ca="1" si="171"/>
        <v>73384</v>
      </c>
      <c r="I130" s="8">
        <f t="shared" ca="1" si="172"/>
        <v>130</v>
      </c>
      <c r="J130" s="12" t="str">
        <f t="shared" ca="1" si="174"/>
        <v/>
      </c>
      <c r="K130" s="12" t="str">
        <f t="shared" ca="1" si="175"/>
        <v/>
      </c>
      <c r="L130" s="12" t="str">
        <f t="shared" ca="1" si="176"/>
        <v/>
      </c>
      <c r="M130" s="12" t="str">
        <f t="shared" ca="1" si="177"/>
        <v/>
      </c>
      <c r="N130" s="12">
        <f t="shared" ca="1" si="178"/>
        <v>-916.84</v>
      </c>
      <c r="O130" s="12">
        <f t="shared" ca="1" si="179"/>
        <v>-47.54</v>
      </c>
      <c r="P130" s="12">
        <f t="shared" ca="1" si="180"/>
        <v>4751.13</v>
      </c>
      <c r="Q130" s="12">
        <f t="shared" ca="1" si="181"/>
        <v>241.14</v>
      </c>
      <c r="S130" s="18"/>
      <c r="T130" s="5">
        <f t="shared" ca="1" si="182"/>
        <v>73384</v>
      </c>
      <c r="U130" s="8">
        <f t="shared" ca="1" si="183"/>
        <v>130</v>
      </c>
      <c r="V130" s="12"/>
      <c r="W130" s="12"/>
      <c r="X130" s="12"/>
      <c r="Y130" s="12"/>
      <c r="Z130" s="12"/>
      <c r="AA130" s="12"/>
      <c r="AB130" s="12">
        <v>173450446.18000001</v>
      </c>
      <c r="AC130" s="12">
        <v>8803221.6099999994</v>
      </c>
      <c r="AE130" s="21">
        <v>77</v>
      </c>
      <c r="AF130" s="22">
        <f t="shared" ca="1" si="170"/>
        <v>1</v>
      </c>
      <c r="AI130" s="21">
        <f t="shared" ca="1" si="173"/>
        <v>1</v>
      </c>
      <c r="AJ130" s="22">
        <v>0</v>
      </c>
      <c r="AN130" s="32">
        <f t="shared" ca="1" si="113"/>
        <v>65.083333333333329</v>
      </c>
      <c r="AO130" s="53">
        <f t="shared" ca="1" si="144"/>
        <v>49341</v>
      </c>
      <c r="AP130" s="22">
        <v>123</v>
      </c>
      <c r="AQ130" s="32">
        <f t="shared" ca="1" si="145"/>
        <v>2497157.484926248</v>
      </c>
      <c r="AR130" s="23">
        <f t="array" aca="1" ref="AR130" ca="1">SUM(IF(lsc_start_date=AO130,lsc_amount,0))</f>
        <v>0</v>
      </c>
      <c r="AS130" s="24">
        <f t="shared" ca="1" si="119"/>
        <v>0</v>
      </c>
      <c r="AT130" s="24">
        <f t="shared" ca="1" si="120"/>
        <v>0</v>
      </c>
      <c r="AU130" s="24">
        <f t="shared" ca="1" si="121"/>
        <v>0</v>
      </c>
      <c r="AV130" s="25">
        <f t="shared" ca="1" si="122"/>
        <v>0</v>
      </c>
      <c r="AW130" s="23">
        <f t="array" aca="1" ref="AW130" ca="1">SUM(IF(rcs_start_date&lt;=AO130,1,0)*IF(rcs_end_date&gt;=AO130,1,0)*rcs_amount*(1+rcs_escalation/100)^(INT((AP130-rcs_months_since_start)/12))*IF(MOD((AP130-rcs_months_since_start),rcs_frequency)=0,1,0)*IF(rcs_frequency=13,0,1))+SUM(IF(rcs_start_date=AO130,rcs_amount,0)*IF(rcs_frequency=13,1,0))</f>
        <v>6661.0992821325508</v>
      </c>
      <c r="AX130" s="24">
        <f t="shared" ca="1" si="123"/>
        <v>0</v>
      </c>
      <c r="AY130" s="24">
        <f t="shared" ca="1" si="124"/>
        <v>0</v>
      </c>
      <c r="AZ130" s="24">
        <f t="shared" ca="1" si="125"/>
        <v>0</v>
      </c>
      <c r="BA130" s="25">
        <f t="shared" ca="1" si="126"/>
        <v>6661.0992821325508</v>
      </c>
      <c r="BB130" s="23">
        <f t="array" aca="1" ref="BB130" ca="1">SUM(IF(w_start_date&lt;=AO130,1,0)*IF(w_end_date&gt;=AO130,1,0)*w_amount*(1+w_escalation/100)^(INT((AP130-w_months_since_start)/12))*IF(MOD(AP130-w_months_since_start,w_frequency)=0,1,0)*IF(w_frequency=13,0,1))+SUM(IF(w_start_date=AO130,w_amount,0)*IF(w_frequency=13,1,0))</f>
        <v>0</v>
      </c>
      <c r="BC130" s="25">
        <f t="shared" ca="1" si="127"/>
        <v>0</v>
      </c>
      <c r="BD130" s="24" t="b">
        <f t="shared" ca="1" si="128"/>
        <v>0</v>
      </c>
      <c r="BE130" s="24" t="b">
        <f t="shared" ca="1" si="129"/>
        <v>1</v>
      </c>
      <c r="BF130" s="23">
        <f t="array" aca="1" ref="BF130" ca="1">SUM(IF(BD130,1,0)*IF(ap_start_date&lt;=AO130,1,0)*IF(ap_end_date&gt;=AO130,1,0)*ap_amount*(1+ap_escalation/100)^(INT((AP130-ap_months_since_start)/12))*IF(MOD(AP130-ap_months_since_start,ap_frequency)=0,1,0))</f>
        <v>0</v>
      </c>
      <c r="BG130" s="24">
        <f t="shared" ca="1" si="130"/>
        <v>0</v>
      </c>
      <c r="BH130" s="24">
        <f t="shared" ca="1" si="131"/>
        <v>0</v>
      </c>
      <c r="BI130">
        <f t="shared" ca="1" si="132"/>
        <v>0</v>
      </c>
      <c r="BJ130" s="24">
        <f t="shared" ca="1" si="133"/>
        <v>0</v>
      </c>
      <c r="BK130">
        <f t="shared" ca="1" si="134"/>
        <v>0</v>
      </c>
      <c r="BL130" s="25">
        <f t="shared" ca="1" si="135"/>
        <v>0</v>
      </c>
      <c r="BM130" s="32">
        <f t="shared" ca="1" si="114"/>
        <v>2521864.4142697221</v>
      </c>
      <c r="BN130" s="23">
        <f t="shared" ca="1" si="136"/>
        <v>0</v>
      </c>
      <c r="BO130" s="24">
        <f t="shared" ca="1" si="137"/>
        <v>0</v>
      </c>
      <c r="BP130" s="25">
        <f t="shared" ca="1" si="138"/>
        <v>0</v>
      </c>
      <c r="BQ130" s="34">
        <f t="shared" ca="1" si="139"/>
        <v>49368</v>
      </c>
      <c r="BR130" s="23">
        <f t="shared" ca="1" si="140"/>
        <v>2521864.4142697221</v>
      </c>
      <c r="BS130" s="24">
        <f t="shared" ca="1" si="141"/>
        <v>6661.0992821325508</v>
      </c>
      <c r="BT130" s="24">
        <f t="shared" ca="1" si="150"/>
        <v>77627.426249467797</v>
      </c>
      <c r="BU130" s="24">
        <f t="shared" ca="1" si="142"/>
        <v>0</v>
      </c>
      <c r="BV130" s="24">
        <f t="shared" ca="1" si="151"/>
        <v>0</v>
      </c>
      <c r="BW130" s="24">
        <f t="shared" ca="1" si="143"/>
        <v>0</v>
      </c>
      <c r="BX130" s="25">
        <f t="shared" ca="1" si="152"/>
        <v>0</v>
      </c>
      <c r="BY130" s="23">
        <f t="shared" ca="1" si="115"/>
        <v>1687057.9688784473</v>
      </c>
      <c r="BZ130" s="24">
        <f t="shared" ca="1" si="116"/>
        <v>4470.6803975126968</v>
      </c>
      <c r="CA130" s="24">
        <f t="shared" ca="1" si="153"/>
        <v>53041.336037023051</v>
      </c>
      <c r="CB130" s="24">
        <f t="shared" ca="1" si="117"/>
        <v>0</v>
      </c>
      <c r="CC130" s="24">
        <f t="shared" ca="1" si="154"/>
        <v>0</v>
      </c>
      <c r="CD130" s="24">
        <f t="shared" ca="1" si="118"/>
        <v>0</v>
      </c>
      <c r="CE130" s="25">
        <f t="shared" ca="1" si="155"/>
        <v>0</v>
      </c>
      <c r="CF130" s="23">
        <f t="shared" ca="1" si="156"/>
        <v>0</v>
      </c>
      <c r="CG130" s="25">
        <f t="array" aca="1" ref="CG130" ca="1">SUM(BF119:BF130/(1+inflation/100)^(AP119:AP130/12))</f>
        <v>0</v>
      </c>
      <c r="CH130" s="32">
        <f ca="1">IFERROR(IF(MOD(AP130-ap_months_since_start,12)=0,ap_drawdown/100*(AQ130+AV130+BA130-BC130),CH129),0)</f>
        <v>373592.52803105972</v>
      </c>
      <c r="EL130" s="21">
        <f t="shared" ca="1" si="148"/>
        <v>6</v>
      </c>
      <c r="EM130" t="str">
        <f t="shared" ca="1" si="163"/>
        <v/>
      </c>
      <c r="EN130" t="str">
        <f t="shared" ca="1" si="164"/>
        <v/>
      </c>
      <c r="EO130" t="str">
        <f t="shared" ca="1" si="165"/>
        <v/>
      </c>
      <c r="EP130" s="1" t="str">
        <f t="shared" ca="1" si="166"/>
        <v/>
      </c>
      <c r="EQ130" s="1" t="str">
        <f t="shared" ca="1" si="167"/>
        <v/>
      </c>
      <c r="ER130" t="str">
        <f t="shared" ca="1" si="168"/>
        <v/>
      </c>
      <c r="ES130" t="str">
        <f t="shared" si="169"/>
        <v/>
      </c>
      <c r="ET130">
        <v>0</v>
      </c>
      <c r="EU130" s="22">
        <v>121</v>
      </c>
      <c r="EX130" s="21" t="str">
        <f ca="1">IF(EX129="","",IF(EX129+1&lt;=MAX('Financial Planning Tool'!$EL$10:$EL$209),EX129+1,""))</f>
        <v/>
      </c>
      <c r="EY130" t="str">
        <f ca="1">IF(EX130&lt;&gt;"",VLOOKUP(EX130,'Financial Planning Tool'!$EL$10:$ER$209,2,FALSE),"")</f>
        <v/>
      </c>
      <c r="EZ130" t="str">
        <f ca="1">IF(EX130&lt;&gt;"",VLOOKUP(EX130,'Financial Planning Tool'!$EL$10:$ER$209,3,FALSE),"")</f>
        <v/>
      </c>
      <c r="FA130" t="str">
        <f ca="1">IF(EX130&lt;&gt;"",VLOOKUP(EX130,'Financial Planning Tool'!$EL$10:$ER$209,4,FALSE),"")</f>
        <v/>
      </c>
      <c r="FB130" t="str">
        <f t="shared" ca="1" si="149"/>
        <v/>
      </c>
      <c r="FC130" s="1" t="str">
        <f ca="1">IF(EX130&lt;&gt;"",VLOOKUP(EX130,'Financial Planning Tool'!$EL$10:$ER$209,5,FALSE),"")</f>
        <v/>
      </c>
      <c r="FD130" s="1" t="str">
        <f ca="1">IF(EX130&lt;&gt;"",VLOOKUP(EX130,'Financial Planning Tool'!$EL$10:$ER$209,6,FALSE),"")</f>
        <v/>
      </c>
      <c r="FE130" t="str">
        <f ca="1">IF(EX130&lt;&gt;"",VLOOKUP(EX130,'Financial Planning Tool'!$EL$10:$ER$209,7,FALSE),"")</f>
        <v/>
      </c>
      <c r="FF130" t="str">
        <f ca="1">IF(EX130&lt;&gt;"",VLOOKUP(EX130,'Financial Planning Tool'!$EL$10:$ES$209,8,FALSE),"")</f>
        <v/>
      </c>
      <c r="FG130" t="str">
        <f ca="1">IF(EX130&lt;&gt;"",VLOOKUP(EX130,'Financial Planning Tool'!$EL$10:$ET$209,9,FALSE),"")</f>
        <v/>
      </c>
      <c r="FH130" t="str">
        <f t="shared" ca="1" si="160"/>
        <v/>
      </c>
      <c r="FI130" s="22" t="str">
        <f t="shared" ca="1" si="161"/>
        <v/>
      </c>
    </row>
    <row r="131" spans="7:165" x14ac:dyDescent="0.25">
      <c r="G131" s="18"/>
      <c r="H131" s="5">
        <f t="shared" ca="1" si="171"/>
        <v>73749</v>
      </c>
      <c r="I131" s="8">
        <f t="shared" ca="1" si="172"/>
        <v>131</v>
      </c>
      <c r="J131" s="12" t="str">
        <f t="shared" ca="1" si="174"/>
        <v/>
      </c>
      <c r="K131" s="12" t="str">
        <f t="shared" ca="1" si="175"/>
        <v/>
      </c>
      <c r="L131" s="12" t="str">
        <f t="shared" ca="1" si="176"/>
        <v/>
      </c>
      <c r="M131" s="12" t="str">
        <f t="shared" ca="1" si="177"/>
        <v/>
      </c>
      <c r="N131" s="12">
        <f t="shared" ca="1" si="178"/>
        <v>-831.19</v>
      </c>
      <c r="O131" s="12">
        <f t="shared" ca="1" si="179"/>
        <v>-41.44</v>
      </c>
      <c r="P131" s="12">
        <f t="shared" ca="1" si="180"/>
        <v>4307.28</v>
      </c>
      <c r="Q131" s="12">
        <f t="shared" ca="1" si="181"/>
        <v>210.2</v>
      </c>
      <c r="S131" s="18"/>
      <c r="T131" s="5">
        <f t="shared" ca="1" si="182"/>
        <v>73749</v>
      </c>
      <c r="U131" s="8">
        <f t="shared" ca="1" si="183"/>
        <v>131</v>
      </c>
      <c r="V131" s="12"/>
      <c r="W131" s="12"/>
      <c r="X131" s="12"/>
      <c r="Y131" s="12"/>
      <c r="Z131" s="12"/>
      <c r="AA131" s="12"/>
      <c r="AB131" s="12">
        <v>187326481.87</v>
      </c>
      <c r="AC131" s="12">
        <v>9141807.0500000007</v>
      </c>
      <c r="AE131" s="21">
        <v>78</v>
      </c>
      <c r="AF131" s="22">
        <f t="shared" ca="1" si="170"/>
        <v>1</v>
      </c>
      <c r="AI131" s="21">
        <f t="shared" ca="1" si="173"/>
        <v>1</v>
      </c>
      <c r="AJ131" s="22">
        <v>0</v>
      </c>
      <c r="AN131" s="32">
        <f t="shared" ca="1" si="113"/>
        <v>65.166666666666671</v>
      </c>
      <c r="AO131" s="53">
        <f t="shared" ca="1" si="144"/>
        <v>49369</v>
      </c>
      <c r="AP131" s="22">
        <v>124</v>
      </c>
      <c r="AQ131" s="32">
        <f t="shared" ca="1" si="145"/>
        <v>2521864.4142697221</v>
      </c>
      <c r="AR131" s="23">
        <f t="array" aca="1" ref="AR131" ca="1">SUM(IF(lsc_start_date=AO131,lsc_amount,0))</f>
        <v>0</v>
      </c>
      <c r="AS131" s="24">
        <f t="shared" ca="1" si="119"/>
        <v>0</v>
      </c>
      <c r="AT131" s="24">
        <f t="shared" ca="1" si="120"/>
        <v>0</v>
      </c>
      <c r="AU131" s="24">
        <f t="shared" ca="1" si="121"/>
        <v>0</v>
      </c>
      <c r="AV131" s="25">
        <f t="shared" ca="1" si="122"/>
        <v>0</v>
      </c>
      <c r="AW131" s="23">
        <f t="array" aca="1" ref="AW131" ca="1">SUM(IF(rcs_start_date&lt;=AO131,1,0)*IF(rcs_end_date&gt;=AO131,1,0)*rcs_amount*(1+rcs_escalation/100)^(INT((AP131-rcs_months_since_start)/12))*IF(MOD((AP131-rcs_months_since_start),rcs_frequency)=0,1,0)*IF(rcs_frequency=13,0,1))+SUM(IF(rcs_start_date=AO131,rcs_amount,0)*IF(rcs_frequency=13,1,0))</f>
        <v>6661.0992821325508</v>
      </c>
      <c r="AX131" s="24">
        <f t="shared" ca="1" si="123"/>
        <v>0</v>
      </c>
      <c r="AY131" s="24">
        <f t="shared" ca="1" si="124"/>
        <v>0</v>
      </c>
      <c r="AZ131" s="24">
        <f t="shared" ca="1" si="125"/>
        <v>0</v>
      </c>
      <c r="BA131" s="25">
        <f t="shared" ca="1" si="126"/>
        <v>6661.0992821325508</v>
      </c>
      <c r="BB131" s="23">
        <f t="array" aca="1" ref="BB131" ca="1">SUM(IF(w_start_date&lt;=AO131,1,0)*IF(w_end_date&gt;=AO131,1,0)*w_amount*(1+w_escalation/100)^(INT((AP131-w_months_since_start)/12))*IF(MOD(AP131-w_months_since_start,w_frequency)=0,1,0)*IF(w_frequency=13,0,1))+SUM(IF(w_start_date=AO131,w_amount,0)*IF(w_frequency=13,1,0))</f>
        <v>0</v>
      </c>
      <c r="BC131" s="25">
        <f t="shared" ca="1" si="127"/>
        <v>0</v>
      </c>
      <c r="BD131" s="24" t="b">
        <f t="shared" ca="1" si="128"/>
        <v>0</v>
      </c>
      <c r="BE131" s="24" t="b">
        <f t="shared" ca="1" si="129"/>
        <v>1</v>
      </c>
      <c r="BF131" s="23">
        <f t="array" aca="1" ref="BF131" ca="1">SUM(IF(BD131,1,0)*IF(ap_start_date&lt;=AO131,1,0)*IF(ap_end_date&gt;=AO131,1,0)*ap_amount*(1+ap_escalation/100)^(INT((AP131-ap_months_since_start)/12))*IF(MOD(AP131-ap_months_since_start,ap_frequency)=0,1,0))</f>
        <v>0</v>
      </c>
      <c r="BG131" s="24">
        <f t="shared" ca="1" si="130"/>
        <v>0</v>
      </c>
      <c r="BH131" s="24">
        <f t="shared" ca="1" si="131"/>
        <v>0</v>
      </c>
      <c r="BI131">
        <f t="shared" ca="1" si="132"/>
        <v>0</v>
      </c>
      <c r="BJ131" s="24">
        <f t="shared" ca="1" si="133"/>
        <v>0</v>
      </c>
      <c r="BK131">
        <f t="shared" ca="1" si="134"/>
        <v>0</v>
      </c>
      <c r="BL131" s="25">
        <f t="shared" ca="1" si="135"/>
        <v>0</v>
      </c>
      <c r="BM131" s="32">
        <f t="shared" ca="1" si="114"/>
        <v>2546749.4144411236</v>
      </c>
      <c r="BN131" s="23">
        <f t="shared" ca="1" si="136"/>
        <v>0</v>
      </c>
      <c r="BO131" s="24">
        <f t="shared" ca="1" si="137"/>
        <v>0</v>
      </c>
      <c r="BP131" s="25">
        <f t="shared" ca="1" si="138"/>
        <v>0</v>
      </c>
      <c r="BQ131" s="34">
        <f t="shared" ca="1" si="139"/>
        <v>49399</v>
      </c>
      <c r="BR131" s="23">
        <f t="shared" ca="1" si="140"/>
        <v>2546749.4144411236</v>
      </c>
      <c r="BS131" s="24">
        <f t="shared" ca="1" si="141"/>
        <v>6661.0992821325508</v>
      </c>
      <c r="BT131" s="24">
        <f t="shared" ca="1" si="150"/>
        <v>77883.622375703664</v>
      </c>
      <c r="BU131" s="24">
        <f t="shared" ca="1" si="142"/>
        <v>0</v>
      </c>
      <c r="BV131" s="24">
        <f t="shared" ca="1" si="151"/>
        <v>0</v>
      </c>
      <c r="BW131" s="24">
        <f t="shared" ca="1" si="143"/>
        <v>0</v>
      </c>
      <c r="BX131" s="25">
        <f t="shared" ca="1" si="152"/>
        <v>0</v>
      </c>
      <c r="BY131" s="23">
        <f t="shared" ca="1" si="115"/>
        <v>1698146.0616042134</v>
      </c>
      <c r="BZ131" s="24">
        <f t="shared" ca="1" si="116"/>
        <v>4456.0923108415445</v>
      </c>
      <c r="CA131" s="24">
        <f t="shared" ca="1" si="153"/>
        <v>53041.336037023058</v>
      </c>
      <c r="CB131" s="24">
        <f t="shared" ca="1" si="117"/>
        <v>0</v>
      </c>
      <c r="CC131" s="24">
        <f t="shared" ca="1" si="154"/>
        <v>0</v>
      </c>
      <c r="CD131" s="24">
        <f t="shared" ca="1" si="118"/>
        <v>0</v>
      </c>
      <c r="CE131" s="25">
        <f t="shared" ca="1" si="155"/>
        <v>0</v>
      </c>
      <c r="CF131" s="23">
        <f t="shared" ca="1" si="156"/>
        <v>0</v>
      </c>
      <c r="CG131" s="25">
        <f t="array" aca="1" ref="CG131" ca="1">SUM(BF120:BF131/(1+inflation/100)^(AP120:AP131/12))</f>
        <v>0</v>
      </c>
      <c r="CH131" s="32">
        <f ca="1">IFERROR(IF(MOD(AP131-ap_months_since_start,12)=0,ap_drawdown/100*(AQ131+AV131+BA131-BC131),CH130),0)</f>
        <v>373592.52803105972</v>
      </c>
      <c r="EL131" s="21">
        <f t="shared" ca="1" si="148"/>
        <v>6</v>
      </c>
      <c r="EM131" t="str">
        <f t="shared" ca="1" si="163"/>
        <v/>
      </c>
      <c r="EN131" t="str">
        <f t="shared" ca="1" si="164"/>
        <v/>
      </c>
      <c r="EO131" t="str">
        <f t="shared" ca="1" si="165"/>
        <v/>
      </c>
      <c r="EP131" s="1" t="str">
        <f t="shared" ca="1" si="166"/>
        <v/>
      </c>
      <c r="EQ131" s="1" t="str">
        <f t="shared" ca="1" si="167"/>
        <v/>
      </c>
      <c r="ER131" t="str">
        <f t="shared" ca="1" si="168"/>
        <v/>
      </c>
      <c r="ES131" t="str">
        <f t="shared" si="169"/>
        <v/>
      </c>
      <c r="ET131">
        <v>0</v>
      </c>
      <c r="EU131" s="22">
        <v>122</v>
      </c>
      <c r="EX131" s="21" t="str">
        <f ca="1">IF(EX130="","",IF(EX130+1&lt;=MAX('Financial Planning Tool'!$EL$10:$EL$209),EX130+1,""))</f>
        <v/>
      </c>
      <c r="EY131" t="str">
        <f ca="1">IF(EX131&lt;&gt;"",VLOOKUP(EX131,'Financial Planning Tool'!$EL$10:$ER$209,2,FALSE),"")</f>
        <v/>
      </c>
      <c r="EZ131" t="str">
        <f ca="1">IF(EX131&lt;&gt;"",VLOOKUP(EX131,'Financial Planning Tool'!$EL$10:$ER$209,3,FALSE),"")</f>
        <v/>
      </c>
      <c r="FA131" t="str">
        <f ca="1">IF(EX131&lt;&gt;"",VLOOKUP(EX131,'Financial Planning Tool'!$EL$10:$ER$209,4,FALSE),"")</f>
        <v/>
      </c>
      <c r="FB131" t="str">
        <f t="shared" ca="1" si="149"/>
        <v/>
      </c>
      <c r="FC131" s="1" t="str">
        <f ca="1">IF(EX131&lt;&gt;"",VLOOKUP(EX131,'Financial Planning Tool'!$EL$10:$ER$209,5,FALSE),"")</f>
        <v/>
      </c>
      <c r="FD131" s="1" t="str">
        <f ca="1">IF(EX131&lt;&gt;"",VLOOKUP(EX131,'Financial Planning Tool'!$EL$10:$ER$209,6,FALSE),"")</f>
        <v/>
      </c>
      <c r="FE131" t="str">
        <f ca="1">IF(EX131&lt;&gt;"",VLOOKUP(EX131,'Financial Planning Tool'!$EL$10:$ER$209,7,FALSE),"")</f>
        <v/>
      </c>
      <c r="FF131" t="str">
        <f ca="1">IF(EX131&lt;&gt;"",VLOOKUP(EX131,'Financial Planning Tool'!$EL$10:$ES$209,8,FALSE),"")</f>
        <v/>
      </c>
      <c r="FG131" t="str">
        <f ca="1">IF(EX131&lt;&gt;"",VLOOKUP(EX131,'Financial Planning Tool'!$EL$10:$ET$209,9,FALSE),"")</f>
        <v/>
      </c>
      <c r="FH131" t="str">
        <f t="shared" ca="1" si="160"/>
        <v/>
      </c>
      <c r="FI131" s="22" t="str">
        <f t="shared" ca="1" si="161"/>
        <v/>
      </c>
    </row>
    <row r="132" spans="7:165" x14ac:dyDescent="0.25">
      <c r="G132" s="18"/>
      <c r="H132" s="5">
        <f t="shared" ca="1" si="171"/>
        <v>74114</v>
      </c>
      <c r="I132" s="8">
        <f t="shared" ca="1" si="172"/>
        <v>132</v>
      </c>
      <c r="J132" s="12" t="str">
        <f t="shared" ca="1" si="174"/>
        <v/>
      </c>
      <c r="K132" s="12" t="str">
        <f t="shared" ca="1" si="175"/>
        <v/>
      </c>
      <c r="L132" s="12" t="str">
        <f t="shared" ca="1" si="176"/>
        <v/>
      </c>
      <c r="M132" s="12" t="str">
        <f t="shared" ca="1" si="177"/>
        <v/>
      </c>
      <c r="N132" s="12">
        <f t="shared" ca="1" si="178"/>
        <v>-753.54</v>
      </c>
      <c r="O132" s="12">
        <f t="shared" ca="1" si="179"/>
        <v>-36.130000000000003</v>
      </c>
      <c r="P132" s="12">
        <f t="shared" ca="1" si="180"/>
        <v>3904.9</v>
      </c>
      <c r="Q132" s="12">
        <f t="shared" ca="1" si="181"/>
        <v>183.24</v>
      </c>
      <c r="S132" s="18"/>
      <c r="T132" s="5">
        <f t="shared" ca="1" si="182"/>
        <v>74114</v>
      </c>
      <c r="U132" s="8">
        <f t="shared" ca="1" si="183"/>
        <v>132</v>
      </c>
      <c r="V132" s="12"/>
      <c r="W132" s="12"/>
      <c r="X132" s="12"/>
      <c r="Y132" s="12"/>
      <c r="Z132" s="12"/>
      <c r="AA132" s="12"/>
      <c r="AB132" s="12">
        <v>202312600.41999999</v>
      </c>
      <c r="AC132" s="12">
        <v>9493415.0199999996</v>
      </c>
      <c r="AE132" s="21">
        <v>79</v>
      </c>
      <c r="AF132" s="22">
        <f t="shared" ca="1" si="170"/>
        <v>1</v>
      </c>
      <c r="AI132" s="21">
        <f t="shared" ca="1" si="173"/>
        <v>1</v>
      </c>
      <c r="AJ132" s="22">
        <v>0</v>
      </c>
      <c r="AN132" s="32">
        <f t="shared" ca="1" si="113"/>
        <v>65.25</v>
      </c>
      <c r="AO132" s="53">
        <f t="shared" ca="1" si="144"/>
        <v>49400</v>
      </c>
      <c r="AP132" s="22">
        <v>125</v>
      </c>
      <c r="AQ132" s="32">
        <f t="shared" ca="1" si="145"/>
        <v>2546749.4144411236</v>
      </c>
      <c r="AR132" s="23">
        <f t="array" aca="1" ref="AR132" ca="1">SUM(IF(lsc_start_date=AO132,lsc_amount,0))</f>
        <v>0</v>
      </c>
      <c r="AS132" s="24">
        <f t="shared" ca="1" si="119"/>
        <v>0</v>
      </c>
      <c r="AT132" s="24">
        <f t="shared" ca="1" si="120"/>
        <v>0</v>
      </c>
      <c r="AU132" s="24">
        <f t="shared" ca="1" si="121"/>
        <v>0</v>
      </c>
      <c r="AV132" s="25">
        <f t="shared" ca="1" si="122"/>
        <v>0</v>
      </c>
      <c r="AW132" s="23">
        <f t="array" aca="1" ref="AW132" ca="1">SUM(IF(rcs_start_date&lt;=AO132,1,0)*IF(rcs_end_date&gt;=AO132,1,0)*rcs_amount*(1+rcs_escalation/100)^(INT((AP132-rcs_months_since_start)/12))*IF(MOD((AP132-rcs_months_since_start),rcs_frequency)=0,1,0)*IF(rcs_frequency=13,0,1))+SUM(IF(rcs_start_date=AO132,rcs_amount,0)*IF(rcs_frequency=13,1,0))</f>
        <v>6661.0992821325508</v>
      </c>
      <c r="AX132" s="24">
        <f t="shared" ca="1" si="123"/>
        <v>0</v>
      </c>
      <c r="AY132" s="24">
        <f t="shared" ca="1" si="124"/>
        <v>0</v>
      </c>
      <c r="AZ132" s="24">
        <f t="shared" ca="1" si="125"/>
        <v>0</v>
      </c>
      <c r="BA132" s="25">
        <f t="shared" ca="1" si="126"/>
        <v>6661.0992821325508</v>
      </c>
      <c r="BB132" s="23">
        <f t="array" aca="1" ref="BB132" ca="1">SUM(IF(w_start_date&lt;=AO132,1,0)*IF(w_end_date&gt;=AO132,1,0)*w_amount*(1+w_escalation/100)^(INT((AP132-w_months_since_start)/12))*IF(MOD(AP132-w_months_since_start,w_frequency)=0,1,0)*IF(w_frequency=13,0,1))+SUM(IF(w_start_date=AO132,w_amount,0)*IF(w_frequency=13,1,0))</f>
        <v>0</v>
      </c>
      <c r="BC132" s="25">
        <f t="shared" ca="1" si="127"/>
        <v>0</v>
      </c>
      <c r="BD132" s="24" t="b">
        <f t="shared" ca="1" si="128"/>
        <v>0</v>
      </c>
      <c r="BE132" s="24" t="b">
        <f t="shared" ca="1" si="129"/>
        <v>1</v>
      </c>
      <c r="BF132" s="23">
        <f t="array" aca="1" ref="BF132" ca="1">SUM(IF(BD132,1,0)*IF(ap_start_date&lt;=AO132,1,0)*IF(ap_end_date&gt;=AO132,1,0)*ap_amount*(1+ap_escalation/100)^(INT((AP132-ap_months_since_start)/12))*IF(MOD(AP132-ap_months_since_start,ap_frequency)=0,1,0))</f>
        <v>0</v>
      </c>
      <c r="BG132" s="24">
        <f t="shared" ca="1" si="130"/>
        <v>0</v>
      </c>
      <c r="BH132" s="24">
        <f t="shared" ca="1" si="131"/>
        <v>0</v>
      </c>
      <c r="BI132">
        <f t="shared" ca="1" si="132"/>
        <v>0</v>
      </c>
      <c r="BJ132" s="24">
        <f t="shared" ca="1" si="133"/>
        <v>0</v>
      </c>
      <c r="BK132">
        <f t="shared" ca="1" si="134"/>
        <v>0</v>
      </c>
      <c r="BL132" s="25">
        <f t="shared" ca="1" si="135"/>
        <v>0</v>
      </c>
      <c r="BM132" s="32">
        <f t="shared" ca="1" si="114"/>
        <v>2571813.7688544821</v>
      </c>
      <c r="BN132" s="23">
        <f t="shared" ca="1" si="136"/>
        <v>0</v>
      </c>
      <c r="BO132" s="24">
        <f t="shared" ca="1" si="137"/>
        <v>0</v>
      </c>
      <c r="BP132" s="25">
        <f t="shared" ca="1" si="138"/>
        <v>0</v>
      </c>
      <c r="BQ132" s="34">
        <f t="shared" ca="1" si="139"/>
        <v>49429</v>
      </c>
      <c r="BR132" s="23">
        <f t="shared" ca="1" si="140"/>
        <v>2571813.7688544821</v>
      </c>
      <c r="BS132" s="24">
        <f t="shared" ca="1" si="141"/>
        <v>6661.0992821325508</v>
      </c>
      <c r="BT132" s="24">
        <f t="shared" ca="1" si="150"/>
        <v>78139.818501939531</v>
      </c>
      <c r="BU132" s="24">
        <f t="shared" ca="1" si="142"/>
        <v>0</v>
      </c>
      <c r="BV132" s="24">
        <f t="shared" ca="1" si="151"/>
        <v>0</v>
      </c>
      <c r="BW132" s="24">
        <f t="shared" ca="1" si="143"/>
        <v>0</v>
      </c>
      <c r="BX132" s="25">
        <f t="shared" ca="1" si="152"/>
        <v>0</v>
      </c>
      <c r="BY132" s="23">
        <f t="shared" ca="1" si="115"/>
        <v>1709263.030453152</v>
      </c>
      <c r="BZ132" s="24">
        <f t="shared" ca="1" si="116"/>
        <v>4441.5518259342853</v>
      </c>
      <c r="CA132" s="24">
        <f t="shared" ca="1" si="153"/>
        <v>53041.336037023058</v>
      </c>
      <c r="CB132" s="24">
        <f t="shared" ca="1" si="117"/>
        <v>0</v>
      </c>
      <c r="CC132" s="24">
        <f t="shared" ca="1" si="154"/>
        <v>0</v>
      </c>
      <c r="CD132" s="24">
        <f t="shared" ca="1" si="118"/>
        <v>0</v>
      </c>
      <c r="CE132" s="25">
        <f t="shared" ca="1" si="155"/>
        <v>0</v>
      </c>
      <c r="CF132" s="23">
        <f t="shared" ca="1" si="156"/>
        <v>0</v>
      </c>
      <c r="CG132" s="25">
        <f t="array" aca="1" ref="CG132" ca="1">SUM(BF121:BF132/(1+inflation/100)^(AP121:AP132/12))</f>
        <v>0</v>
      </c>
      <c r="CH132" s="32">
        <f ca="1">IFERROR(IF(MOD(AP132-ap_months_since_start,12)=0,ap_drawdown/100*(AQ132+AV132+BA132-BC132),CH131),0)</f>
        <v>373592.52803105972</v>
      </c>
      <c r="EL132" s="21">
        <f t="shared" ca="1" si="148"/>
        <v>6</v>
      </c>
      <c r="EM132" t="str">
        <f t="shared" ca="1" si="163"/>
        <v/>
      </c>
      <c r="EN132" t="str">
        <f t="shared" ca="1" si="164"/>
        <v/>
      </c>
      <c r="EO132" t="str">
        <f t="shared" ca="1" si="165"/>
        <v/>
      </c>
      <c r="EP132" s="1" t="str">
        <f t="shared" ca="1" si="166"/>
        <v/>
      </c>
      <c r="EQ132" s="1" t="str">
        <f t="shared" ca="1" si="167"/>
        <v/>
      </c>
      <c r="ER132" t="str">
        <f t="shared" ca="1" si="168"/>
        <v/>
      </c>
      <c r="ES132" t="str">
        <f t="shared" si="169"/>
        <v/>
      </c>
      <c r="ET132">
        <v>0</v>
      </c>
      <c r="EU132" s="22">
        <v>123</v>
      </c>
      <c r="EX132" s="21" t="str">
        <f ca="1">IF(EX131="","",IF(EX131+1&lt;=MAX('Financial Planning Tool'!$EL$10:$EL$209),EX131+1,""))</f>
        <v/>
      </c>
      <c r="EY132" t="str">
        <f ca="1">IF(EX132&lt;&gt;"",VLOOKUP(EX132,'Financial Planning Tool'!$EL$10:$ER$209,2,FALSE),"")</f>
        <v/>
      </c>
      <c r="EZ132" t="str">
        <f ca="1">IF(EX132&lt;&gt;"",VLOOKUP(EX132,'Financial Planning Tool'!$EL$10:$ER$209,3,FALSE),"")</f>
        <v/>
      </c>
      <c r="FA132" t="str">
        <f ca="1">IF(EX132&lt;&gt;"",VLOOKUP(EX132,'Financial Planning Tool'!$EL$10:$ER$209,4,FALSE),"")</f>
        <v/>
      </c>
      <c r="FB132" t="str">
        <f t="shared" ca="1" si="149"/>
        <v/>
      </c>
      <c r="FC132" s="1" t="str">
        <f ca="1">IF(EX132&lt;&gt;"",VLOOKUP(EX132,'Financial Planning Tool'!$EL$10:$ER$209,5,FALSE),"")</f>
        <v/>
      </c>
      <c r="FD132" s="1" t="str">
        <f ca="1">IF(EX132&lt;&gt;"",VLOOKUP(EX132,'Financial Planning Tool'!$EL$10:$ER$209,6,FALSE),"")</f>
        <v/>
      </c>
      <c r="FE132" t="str">
        <f ca="1">IF(EX132&lt;&gt;"",VLOOKUP(EX132,'Financial Planning Tool'!$EL$10:$ER$209,7,FALSE),"")</f>
        <v/>
      </c>
      <c r="FF132" t="str">
        <f ca="1">IF(EX132&lt;&gt;"",VLOOKUP(EX132,'Financial Planning Tool'!$EL$10:$ES$209,8,FALSE),"")</f>
        <v/>
      </c>
      <c r="FG132" t="str">
        <f ca="1">IF(EX132&lt;&gt;"",VLOOKUP(EX132,'Financial Planning Tool'!$EL$10:$ET$209,9,FALSE),"")</f>
        <v/>
      </c>
      <c r="FH132" t="str">
        <f t="shared" ca="1" si="160"/>
        <v/>
      </c>
      <c r="FI132" s="22" t="str">
        <f t="shared" ca="1" si="161"/>
        <v/>
      </c>
    </row>
    <row r="133" spans="7:165" x14ac:dyDescent="0.25">
      <c r="G133" s="18"/>
      <c r="H133" s="5">
        <f t="shared" ca="1" si="171"/>
        <v>74479</v>
      </c>
      <c r="I133" s="8">
        <f t="shared" ca="1" si="172"/>
        <v>133</v>
      </c>
      <c r="J133" s="12" t="str">
        <f t="shared" ca="1" si="174"/>
        <v/>
      </c>
      <c r="K133" s="12" t="str">
        <f t="shared" ca="1" si="175"/>
        <v/>
      </c>
      <c r="L133" s="12" t="str">
        <f t="shared" ca="1" si="176"/>
        <v/>
      </c>
      <c r="M133" s="12" t="str">
        <f t="shared" ca="1" si="177"/>
        <v/>
      </c>
      <c r="N133" s="12">
        <f t="shared" ca="1" si="178"/>
        <v>-683.15</v>
      </c>
      <c r="O133" s="12">
        <f t="shared" ca="1" si="179"/>
        <v>-31.49</v>
      </c>
      <c r="P133" s="12">
        <f t="shared" ca="1" si="180"/>
        <v>3540.11</v>
      </c>
      <c r="Q133" s="12">
        <f t="shared" ca="1" si="181"/>
        <v>159.72999999999999</v>
      </c>
      <c r="S133" s="18"/>
      <c r="T133" s="5">
        <f t="shared" ca="1" si="182"/>
        <v>74479</v>
      </c>
      <c r="U133" s="8">
        <f t="shared" ca="1" si="183"/>
        <v>133</v>
      </c>
      <c r="V133" s="12"/>
      <c r="W133" s="12"/>
      <c r="X133" s="12"/>
      <c r="Y133" s="12"/>
      <c r="Z133" s="12"/>
      <c r="AA133" s="12"/>
      <c r="AB133" s="12">
        <v>218497608.46000001</v>
      </c>
      <c r="AC133" s="12">
        <v>9858546.3599999994</v>
      </c>
      <c r="AE133" s="21">
        <v>80</v>
      </c>
      <c r="AF133" s="22">
        <f t="shared" ca="1" si="170"/>
        <v>1</v>
      </c>
      <c r="AI133" s="21">
        <f t="shared" ca="1" si="173"/>
        <v>1</v>
      </c>
      <c r="AJ133" s="22">
        <v>0</v>
      </c>
      <c r="AN133" s="32">
        <f t="shared" ca="1" si="113"/>
        <v>65.333333333333329</v>
      </c>
      <c r="AO133" s="53">
        <f t="shared" ca="1" si="144"/>
        <v>49430</v>
      </c>
      <c r="AP133" s="22">
        <v>126</v>
      </c>
      <c r="AQ133" s="32">
        <f t="shared" ca="1" si="145"/>
        <v>2571813.7688544821</v>
      </c>
      <c r="AR133" s="23">
        <f t="array" aca="1" ref="AR133" ca="1">SUM(IF(lsc_start_date=AO133,lsc_amount,0))</f>
        <v>0</v>
      </c>
      <c r="AS133" s="24">
        <f t="shared" ca="1" si="119"/>
        <v>0</v>
      </c>
      <c r="AT133" s="24">
        <f t="shared" ca="1" si="120"/>
        <v>0</v>
      </c>
      <c r="AU133" s="24">
        <f t="shared" ca="1" si="121"/>
        <v>0</v>
      </c>
      <c r="AV133" s="25">
        <f t="shared" ca="1" si="122"/>
        <v>0</v>
      </c>
      <c r="AW133" s="23">
        <f t="array" aca="1" ref="AW133" ca="1">SUM(IF(rcs_start_date&lt;=AO133,1,0)*IF(rcs_end_date&gt;=AO133,1,0)*rcs_amount*(1+rcs_escalation/100)^(INT((AP133-rcs_months_since_start)/12))*IF(MOD((AP133-rcs_months_since_start),rcs_frequency)=0,1,0)*IF(rcs_frequency=13,0,1))+SUM(IF(rcs_start_date=AO133,rcs_amount,0)*IF(rcs_frequency=13,1,0))</f>
        <v>6661.0992821325508</v>
      </c>
      <c r="AX133" s="24">
        <f t="shared" ca="1" si="123"/>
        <v>0</v>
      </c>
      <c r="AY133" s="24">
        <f t="shared" ca="1" si="124"/>
        <v>0</v>
      </c>
      <c r="AZ133" s="24">
        <f t="shared" ca="1" si="125"/>
        <v>0</v>
      </c>
      <c r="BA133" s="25">
        <f t="shared" ca="1" si="126"/>
        <v>6661.0992821325508</v>
      </c>
      <c r="BB133" s="23">
        <f t="array" aca="1" ref="BB133" ca="1">SUM(IF(w_start_date&lt;=AO133,1,0)*IF(w_end_date&gt;=AO133,1,0)*w_amount*(1+w_escalation/100)^(INT((AP133-w_months_since_start)/12))*IF(MOD(AP133-w_months_since_start,w_frequency)=0,1,0)*IF(w_frequency=13,0,1))+SUM(IF(w_start_date=AO133,w_amount,0)*IF(w_frequency=13,1,0))</f>
        <v>0</v>
      </c>
      <c r="BC133" s="25">
        <f t="shared" ca="1" si="127"/>
        <v>0</v>
      </c>
      <c r="BD133" s="24" t="b">
        <f t="shared" ca="1" si="128"/>
        <v>0</v>
      </c>
      <c r="BE133" s="24" t="b">
        <f t="shared" ca="1" si="129"/>
        <v>1</v>
      </c>
      <c r="BF133" s="23">
        <f t="array" aca="1" ref="BF133" ca="1">SUM(IF(BD133,1,0)*IF(ap_start_date&lt;=AO133,1,0)*IF(ap_end_date&gt;=AO133,1,0)*ap_amount*(1+ap_escalation/100)^(INT((AP133-ap_months_since_start)/12))*IF(MOD(AP133-ap_months_since_start,ap_frequency)=0,1,0))</f>
        <v>0</v>
      </c>
      <c r="BG133" s="24">
        <f t="shared" ca="1" si="130"/>
        <v>0</v>
      </c>
      <c r="BH133" s="24">
        <f t="shared" ca="1" si="131"/>
        <v>0</v>
      </c>
      <c r="BI133">
        <f t="shared" ca="1" si="132"/>
        <v>0</v>
      </c>
      <c r="BJ133" s="24">
        <f t="shared" ca="1" si="133"/>
        <v>0</v>
      </c>
      <c r="BK133">
        <f t="shared" ca="1" si="134"/>
        <v>0</v>
      </c>
      <c r="BL133" s="25">
        <f t="shared" ca="1" si="135"/>
        <v>0</v>
      </c>
      <c r="BM133" s="32">
        <f t="shared" ca="1" si="114"/>
        <v>2597058.7701738081</v>
      </c>
      <c r="BN133" s="23">
        <f t="shared" ca="1" si="136"/>
        <v>0</v>
      </c>
      <c r="BO133" s="24">
        <f t="shared" ca="1" si="137"/>
        <v>0</v>
      </c>
      <c r="BP133" s="25">
        <f t="shared" ca="1" si="138"/>
        <v>0</v>
      </c>
      <c r="BQ133" s="34">
        <f t="shared" ca="1" si="139"/>
        <v>49460</v>
      </c>
      <c r="BR133" s="23">
        <f t="shared" ca="1" si="140"/>
        <v>2597058.7701738081</v>
      </c>
      <c r="BS133" s="24">
        <f t="shared" ca="1" si="141"/>
        <v>6661.0992821325508</v>
      </c>
      <c r="BT133" s="24">
        <f t="shared" ca="1" si="150"/>
        <v>78396.014628175399</v>
      </c>
      <c r="BU133" s="24">
        <f t="shared" ca="1" si="142"/>
        <v>0</v>
      </c>
      <c r="BV133" s="24">
        <f t="shared" ca="1" si="151"/>
        <v>0</v>
      </c>
      <c r="BW133" s="24">
        <f t="shared" ca="1" si="143"/>
        <v>0</v>
      </c>
      <c r="BX133" s="25">
        <f t="shared" ca="1" si="152"/>
        <v>0</v>
      </c>
      <c r="BY133" s="23">
        <f t="shared" ca="1" si="115"/>
        <v>1720409.0362737281</v>
      </c>
      <c r="BZ133" s="24">
        <f t="shared" ca="1" si="116"/>
        <v>4427.0587874636331</v>
      </c>
      <c r="CA133" s="24">
        <f t="shared" ca="1" si="153"/>
        <v>53041.336037023058</v>
      </c>
      <c r="CB133" s="24">
        <f t="shared" ca="1" si="117"/>
        <v>0</v>
      </c>
      <c r="CC133" s="24">
        <f t="shared" ca="1" si="154"/>
        <v>0</v>
      </c>
      <c r="CD133" s="24">
        <f t="shared" ca="1" si="118"/>
        <v>0</v>
      </c>
      <c r="CE133" s="25">
        <f t="shared" ca="1" si="155"/>
        <v>0</v>
      </c>
      <c r="CF133" s="23">
        <f t="shared" ca="1" si="156"/>
        <v>0</v>
      </c>
      <c r="CG133" s="25">
        <f t="array" aca="1" ref="CG133" ca="1">SUM(BF122:BF133/(1+inflation/100)^(AP122:AP133/12))</f>
        <v>0</v>
      </c>
      <c r="CH133" s="32">
        <f ca="1">IFERROR(IF(MOD(AP133-ap_months_since_start,12)=0,ap_drawdown/100*(AQ133+AV133+BA133-BC133),CH132),0)</f>
        <v>373592.52803105972</v>
      </c>
      <c r="EL133" s="21">
        <f t="shared" ca="1" si="148"/>
        <v>6</v>
      </c>
      <c r="EM133" t="str">
        <f t="shared" ca="1" si="163"/>
        <v/>
      </c>
      <c r="EN133" t="str">
        <f t="shared" ca="1" si="164"/>
        <v/>
      </c>
      <c r="EO133" t="str">
        <f t="shared" ca="1" si="165"/>
        <v/>
      </c>
      <c r="EP133" s="1" t="str">
        <f t="shared" ca="1" si="166"/>
        <v/>
      </c>
      <c r="EQ133" s="1" t="str">
        <f t="shared" ca="1" si="167"/>
        <v/>
      </c>
      <c r="ER133" t="str">
        <f t="shared" ca="1" si="168"/>
        <v/>
      </c>
      <c r="ES133" t="str">
        <f t="shared" si="169"/>
        <v/>
      </c>
      <c r="ET133">
        <v>0</v>
      </c>
      <c r="EU133" s="22">
        <v>124</v>
      </c>
      <c r="EX133" s="21" t="str">
        <f ca="1">IF(EX132="","",IF(EX132+1&lt;=MAX('Financial Planning Tool'!$EL$10:$EL$209),EX132+1,""))</f>
        <v/>
      </c>
      <c r="EY133" t="str">
        <f ca="1">IF(EX133&lt;&gt;"",VLOOKUP(EX133,'Financial Planning Tool'!$EL$10:$ER$209,2,FALSE),"")</f>
        <v/>
      </c>
      <c r="EZ133" t="str">
        <f ca="1">IF(EX133&lt;&gt;"",VLOOKUP(EX133,'Financial Planning Tool'!$EL$10:$ER$209,3,FALSE),"")</f>
        <v/>
      </c>
      <c r="FA133" t="str">
        <f ca="1">IF(EX133&lt;&gt;"",VLOOKUP(EX133,'Financial Planning Tool'!$EL$10:$ER$209,4,FALSE),"")</f>
        <v/>
      </c>
      <c r="FB133" t="str">
        <f t="shared" ca="1" si="149"/>
        <v/>
      </c>
      <c r="FC133" s="1" t="str">
        <f ca="1">IF(EX133&lt;&gt;"",VLOOKUP(EX133,'Financial Planning Tool'!$EL$10:$ER$209,5,FALSE),"")</f>
        <v/>
      </c>
      <c r="FD133" s="1" t="str">
        <f ca="1">IF(EX133&lt;&gt;"",VLOOKUP(EX133,'Financial Planning Tool'!$EL$10:$ER$209,6,FALSE),"")</f>
        <v/>
      </c>
      <c r="FE133" t="str">
        <f ca="1">IF(EX133&lt;&gt;"",VLOOKUP(EX133,'Financial Planning Tool'!$EL$10:$ER$209,7,FALSE),"")</f>
        <v/>
      </c>
      <c r="FF133" t="str">
        <f ca="1">IF(EX133&lt;&gt;"",VLOOKUP(EX133,'Financial Planning Tool'!$EL$10:$ES$209,8,FALSE),"")</f>
        <v/>
      </c>
      <c r="FG133" t="str">
        <f ca="1">IF(EX133&lt;&gt;"",VLOOKUP(EX133,'Financial Planning Tool'!$EL$10:$ET$209,9,FALSE),"")</f>
        <v/>
      </c>
      <c r="FH133" t="str">
        <f t="shared" ca="1" si="160"/>
        <v/>
      </c>
      <c r="FI133" s="22" t="str">
        <f t="shared" ca="1" si="161"/>
        <v/>
      </c>
    </row>
    <row r="134" spans="7:165" x14ac:dyDescent="0.25">
      <c r="G134" s="18"/>
      <c r="H134" s="5">
        <f t="shared" ca="1" si="171"/>
        <v>74845</v>
      </c>
      <c r="I134" s="8">
        <f t="shared" ca="1" si="172"/>
        <v>134</v>
      </c>
      <c r="J134" s="12" t="str">
        <f t="shared" ca="1" si="174"/>
        <v/>
      </c>
      <c r="K134" s="12" t="str">
        <f t="shared" ca="1" si="175"/>
        <v/>
      </c>
      <c r="L134" s="12" t="str">
        <f t="shared" ca="1" si="176"/>
        <v/>
      </c>
      <c r="M134" s="12" t="str">
        <f t="shared" ca="1" si="177"/>
        <v/>
      </c>
      <c r="N134" s="12">
        <f t="shared" ca="1" si="178"/>
        <v>-619.33000000000004</v>
      </c>
      <c r="O134" s="12">
        <f t="shared" ca="1" si="179"/>
        <v>-27.45</v>
      </c>
      <c r="P134" s="12">
        <f t="shared" ca="1" si="180"/>
        <v>3209.4</v>
      </c>
      <c r="Q134" s="12">
        <f t="shared" ca="1" si="181"/>
        <v>139.24</v>
      </c>
      <c r="S134" s="18"/>
      <c r="T134" s="5">
        <f t="shared" ca="1" si="182"/>
        <v>74845</v>
      </c>
      <c r="U134" s="8">
        <f t="shared" ca="1" si="183"/>
        <v>134</v>
      </c>
      <c r="V134" s="12"/>
      <c r="W134" s="12"/>
      <c r="X134" s="12"/>
      <c r="Y134" s="12"/>
      <c r="Z134" s="12"/>
      <c r="AA134" s="12"/>
      <c r="AB134" s="12">
        <v>235977417.13</v>
      </c>
      <c r="AC134" s="12">
        <v>10237721.220000001</v>
      </c>
      <c r="AE134" s="21">
        <v>81</v>
      </c>
      <c r="AF134" s="22">
        <f t="shared" ca="1" si="170"/>
        <v>1</v>
      </c>
      <c r="AI134" s="21">
        <f t="shared" ca="1" si="173"/>
        <v>1</v>
      </c>
      <c r="AJ134" s="22">
        <v>0</v>
      </c>
      <c r="AN134" s="32">
        <f t="shared" ca="1" si="113"/>
        <v>65.416666666666671</v>
      </c>
      <c r="AO134" s="53">
        <f t="shared" ca="1" si="144"/>
        <v>49461</v>
      </c>
      <c r="AP134" s="22">
        <v>127</v>
      </c>
      <c r="AQ134" s="32">
        <f t="shared" ca="1" si="145"/>
        <v>2597058.7701738081</v>
      </c>
      <c r="AR134" s="23">
        <f t="array" aca="1" ref="AR134" ca="1">SUM(IF(lsc_start_date=AO134,lsc_amount,0))</f>
        <v>0</v>
      </c>
      <c r="AS134" s="24">
        <f t="shared" ca="1" si="119"/>
        <v>0</v>
      </c>
      <c r="AT134" s="24">
        <f t="shared" ca="1" si="120"/>
        <v>0</v>
      </c>
      <c r="AU134" s="24">
        <f t="shared" ca="1" si="121"/>
        <v>0</v>
      </c>
      <c r="AV134" s="25">
        <f t="shared" ca="1" si="122"/>
        <v>0</v>
      </c>
      <c r="AW134" s="23">
        <f t="array" aca="1" ref="AW134" ca="1">SUM(IF(rcs_start_date&lt;=AO134,1,0)*IF(rcs_end_date&gt;=AO134,1,0)*rcs_amount*(1+rcs_escalation/100)^(INT((AP134-rcs_months_since_start)/12))*IF(MOD((AP134-rcs_months_since_start),rcs_frequency)=0,1,0)*IF(rcs_frequency=13,0,1))+SUM(IF(rcs_start_date=AO134,rcs_amount,0)*IF(rcs_frequency=13,1,0))</f>
        <v>6661.0992821325508</v>
      </c>
      <c r="AX134" s="24">
        <f t="shared" ca="1" si="123"/>
        <v>0</v>
      </c>
      <c r="AY134" s="24">
        <f t="shared" ca="1" si="124"/>
        <v>0</v>
      </c>
      <c r="AZ134" s="24">
        <f t="shared" ca="1" si="125"/>
        <v>0</v>
      </c>
      <c r="BA134" s="25">
        <f t="shared" ca="1" si="126"/>
        <v>6661.0992821325508</v>
      </c>
      <c r="BB134" s="23">
        <f t="array" aca="1" ref="BB134" ca="1">SUM(IF(w_start_date&lt;=AO134,1,0)*IF(w_end_date&gt;=AO134,1,0)*w_amount*(1+w_escalation/100)^(INT((AP134-w_months_since_start)/12))*IF(MOD(AP134-w_months_since_start,w_frequency)=0,1,0)*IF(w_frequency=13,0,1))+SUM(IF(w_start_date=AO134,w_amount,0)*IF(w_frequency=13,1,0))</f>
        <v>0</v>
      </c>
      <c r="BC134" s="25">
        <f t="shared" ca="1" si="127"/>
        <v>0</v>
      </c>
      <c r="BD134" s="24" t="b">
        <f t="shared" ca="1" si="128"/>
        <v>0</v>
      </c>
      <c r="BE134" s="24" t="b">
        <f t="shared" ca="1" si="129"/>
        <v>1</v>
      </c>
      <c r="BF134" s="23">
        <f t="array" aca="1" ref="BF134" ca="1">SUM(IF(BD134,1,0)*IF(ap_start_date&lt;=AO134,1,0)*IF(ap_end_date&gt;=AO134,1,0)*ap_amount*(1+ap_escalation/100)^(INT((AP134-ap_months_since_start)/12))*IF(MOD(AP134-ap_months_since_start,ap_frequency)=0,1,0))</f>
        <v>0</v>
      </c>
      <c r="BG134" s="24">
        <f t="shared" ca="1" si="130"/>
        <v>0</v>
      </c>
      <c r="BH134" s="24">
        <f t="shared" ca="1" si="131"/>
        <v>0</v>
      </c>
      <c r="BI134">
        <f t="shared" ca="1" si="132"/>
        <v>0</v>
      </c>
      <c r="BJ134" s="24">
        <f t="shared" ca="1" si="133"/>
        <v>0</v>
      </c>
      <c r="BK134">
        <f t="shared" ca="1" si="134"/>
        <v>0</v>
      </c>
      <c r="BL134" s="25">
        <f t="shared" ca="1" si="135"/>
        <v>0</v>
      </c>
      <c r="BM134" s="32">
        <f t="shared" ca="1" si="114"/>
        <v>2622485.7203797586</v>
      </c>
      <c r="BN134" s="23">
        <f t="shared" ca="1" si="136"/>
        <v>0</v>
      </c>
      <c r="BO134" s="24">
        <f t="shared" ca="1" si="137"/>
        <v>0</v>
      </c>
      <c r="BP134" s="25">
        <f t="shared" ca="1" si="138"/>
        <v>0</v>
      </c>
      <c r="BQ134" s="34">
        <f t="shared" ca="1" si="139"/>
        <v>49490</v>
      </c>
      <c r="BR134" s="23">
        <f t="shared" ca="1" si="140"/>
        <v>2622485.7203797586</v>
      </c>
      <c r="BS134" s="24">
        <f t="shared" ca="1" si="141"/>
        <v>6661.0992821325508</v>
      </c>
      <c r="BT134" s="24">
        <f t="shared" ca="1" si="150"/>
        <v>78652.210754411266</v>
      </c>
      <c r="BU134" s="24">
        <f t="shared" ca="1" si="142"/>
        <v>0</v>
      </c>
      <c r="BV134" s="24">
        <f t="shared" ca="1" si="151"/>
        <v>0</v>
      </c>
      <c r="BW134" s="24">
        <f t="shared" ca="1" si="143"/>
        <v>0</v>
      </c>
      <c r="BX134" s="25">
        <f t="shared" ca="1" si="152"/>
        <v>0</v>
      </c>
      <c r="BY134" s="23">
        <f t="shared" ca="1" si="115"/>
        <v>1731584.2403896255</v>
      </c>
      <c r="BZ134" s="24">
        <f t="shared" ca="1" si="116"/>
        <v>4412.6130406091415</v>
      </c>
      <c r="CA134" s="24">
        <f t="shared" ca="1" si="153"/>
        <v>53041.336037023051</v>
      </c>
      <c r="CB134" s="24">
        <f t="shared" ca="1" si="117"/>
        <v>0</v>
      </c>
      <c r="CC134" s="24">
        <f t="shared" ca="1" si="154"/>
        <v>0</v>
      </c>
      <c r="CD134" s="24">
        <f t="shared" ca="1" si="118"/>
        <v>0</v>
      </c>
      <c r="CE134" s="25">
        <f t="shared" ca="1" si="155"/>
        <v>0</v>
      </c>
      <c r="CF134" s="23">
        <f t="shared" ca="1" si="156"/>
        <v>0</v>
      </c>
      <c r="CG134" s="25">
        <f t="array" aca="1" ref="CG134" ca="1">SUM(BF123:BF134/(1+inflation/100)^(AP123:AP134/12))</f>
        <v>0</v>
      </c>
      <c r="CH134" s="32">
        <f ca="1">IFERROR(IF(MOD(AP134-ap_months_since_start,12)=0,ap_drawdown/100*(AQ134+AV134+BA134-BC134),CH133),0)</f>
        <v>373592.52803105972</v>
      </c>
      <c r="EL134" s="21">
        <f t="shared" ca="1" si="148"/>
        <v>6</v>
      </c>
      <c r="EM134" t="str">
        <f t="shared" ca="1" si="163"/>
        <v/>
      </c>
      <c r="EN134" t="str">
        <f t="shared" ca="1" si="164"/>
        <v/>
      </c>
      <c r="EO134" t="str">
        <f t="shared" ca="1" si="165"/>
        <v/>
      </c>
      <c r="EP134" s="1" t="str">
        <f t="shared" ca="1" si="166"/>
        <v/>
      </c>
      <c r="EQ134" s="1" t="str">
        <f t="shared" ca="1" si="167"/>
        <v/>
      </c>
      <c r="ER134" t="str">
        <f t="shared" ca="1" si="168"/>
        <v/>
      </c>
      <c r="ES134" t="str">
        <f t="shared" si="169"/>
        <v/>
      </c>
      <c r="ET134">
        <v>0</v>
      </c>
      <c r="EU134" s="22">
        <v>125</v>
      </c>
      <c r="EX134" s="21" t="str">
        <f ca="1">IF(EX133="","",IF(EX133+1&lt;=MAX('Financial Planning Tool'!$EL$10:$EL$209),EX133+1,""))</f>
        <v/>
      </c>
      <c r="EY134" t="str">
        <f ca="1">IF(EX134&lt;&gt;"",VLOOKUP(EX134,'Financial Planning Tool'!$EL$10:$ER$209,2,FALSE),"")</f>
        <v/>
      </c>
      <c r="EZ134" t="str">
        <f ca="1">IF(EX134&lt;&gt;"",VLOOKUP(EX134,'Financial Planning Tool'!$EL$10:$ER$209,3,FALSE),"")</f>
        <v/>
      </c>
      <c r="FA134" t="str">
        <f ca="1">IF(EX134&lt;&gt;"",VLOOKUP(EX134,'Financial Planning Tool'!$EL$10:$ER$209,4,FALSE),"")</f>
        <v/>
      </c>
      <c r="FB134" t="str">
        <f t="shared" ca="1" si="149"/>
        <v/>
      </c>
      <c r="FC134" s="1" t="str">
        <f ca="1">IF(EX134&lt;&gt;"",VLOOKUP(EX134,'Financial Planning Tool'!$EL$10:$ER$209,5,FALSE),"")</f>
        <v/>
      </c>
      <c r="FD134" s="1" t="str">
        <f ca="1">IF(EX134&lt;&gt;"",VLOOKUP(EX134,'Financial Planning Tool'!$EL$10:$ER$209,6,FALSE),"")</f>
        <v/>
      </c>
      <c r="FE134" t="str">
        <f ca="1">IF(EX134&lt;&gt;"",VLOOKUP(EX134,'Financial Planning Tool'!$EL$10:$ER$209,7,FALSE),"")</f>
        <v/>
      </c>
      <c r="FF134" t="str">
        <f ca="1">IF(EX134&lt;&gt;"",VLOOKUP(EX134,'Financial Planning Tool'!$EL$10:$ES$209,8,FALSE),"")</f>
        <v/>
      </c>
      <c r="FG134" t="str">
        <f ca="1">IF(EX134&lt;&gt;"",VLOOKUP(EX134,'Financial Planning Tool'!$EL$10:$ET$209,9,FALSE),"")</f>
        <v/>
      </c>
      <c r="FH134" t="str">
        <f t="shared" ca="1" si="160"/>
        <v/>
      </c>
      <c r="FI134" s="22" t="str">
        <f t="shared" ca="1" si="161"/>
        <v/>
      </c>
    </row>
    <row r="135" spans="7:165" x14ac:dyDescent="0.25">
      <c r="G135" s="18"/>
      <c r="H135" s="5">
        <f t="shared" ca="1" si="171"/>
        <v>75210</v>
      </c>
      <c r="I135" s="8">
        <f t="shared" ca="1" si="172"/>
        <v>135</v>
      </c>
      <c r="J135" s="12" t="str">
        <f t="shared" ca="1" si="174"/>
        <v/>
      </c>
      <c r="K135" s="12" t="str">
        <f t="shared" ca="1" si="175"/>
        <v/>
      </c>
      <c r="L135" s="12" t="str">
        <f t="shared" ca="1" si="176"/>
        <v/>
      </c>
      <c r="M135" s="12" t="str">
        <f t="shared" ca="1" si="177"/>
        <v/>
      </c>
      <c r="N135" s="12">
        <f t="shared" ca="1" si="178"/>
        <v>-561.47</v>
      </c>
      <c r="O135" s="12">
        <f t="shared" ca="1" si="179"/>
        <v>-23.93</v>
      </c>
      <c r="P135" s="12">
        <f t="shared" ca="1" si="180"/>
        <v>2909.58</v>
      </c>
      <c r="Q135" s="12">
        <f t="shared" ca="1" si="181"/>
        <v>121.38</v>
      </c>
      <c r="S135" s="18"/>
      <c r="T135" s="5">
        <f t="shared" ca="1" si="182"/>
        <v>75210</v>
      </c>
      <c r="U135" s="8">
        <f t="shared" ca="1" si="183"/>
        <v>135</v>
      </c>
      <c r="V135" s="12"/>
      <c r="W135" s="12"/>
      <c r="X135" s="12"/>
      <c r="Y135" s="12"/>
      <c r="Z135" s="12"/>
      <c r="AA135" s="12"/>
      <c r="AB135" s="12">
        <v>254855610.5</v>
      </c>
      <c r="AC135" s="12">
        <v>10631479.73</v>
      </c>
      <c r="AE135" s="21">
        <v>82</v>
      </c>
      <c r="AF135" s="22">
        <f t="shared" ca="1" si="170"/>
        <v>1</v>
      </c>
      <c r="AI135" s="21">
        <f t="shared" ca="1" si="173"/>
        <v>1</v>
      </c>
      <c r="AJ135" s="22">
        <v>0</v>
      </c>
      <c r="AN135" s="32">
        <f t="shared" ca="1" si="113"/>
        <v>65.5</v>
      </c>
      <c r="AO135" s="53">
        <f t="shared" ca="1" si="144"/>
        <v>49491</v>
      </c>
      <c r="AP135" s="22">
        <v>128</v>
      </c>
      <c r="AQ135" s="32">
        <f t="shared" ca="1" si="145"/>
        <v>2622485.7203797586</v>
      </c>
      <c r="AR135" s="23">
        <f t="array" aca="1" ref="AR135" ca="1">SUM(IF(lsc_start_date=AO135,lsc_amount,0))</f>
        <v>0</v>
      </c>
      <c r="AS135" s="24">
        <f t="shared" ca="1" si="119"/>
        <v>0</v>
      </c>
      <c r="AT135" s="24">
        <f t="shared" ca="1" si="120"/>
        <v>0</v>
      </c>
      <c r="AU135" s="24">
        <f t="shared" ca="1" si="121"/>
        <v>0</v>
      </c>
      <c r="AV135" s="25">
        <f t="shared" ca="1" si="122"/>
        <v>0</v>
      </c>
      <c r="AW135" s="23">
        <f t="array" aca="1" ref="AW135" ca="1">SUM(IF(rcs_start_date&lt;=AO135,1,0)*IF(rcs_end_date&gt;=AO135,1,0)*rcs_amount*(1+rcs_escalation/100)^(INT((AP135-rcs_months_since_start)/12))*IF(MOD((AP135-rcs_months_since_start),rcs_frequency)=0,1,0)*IF(rcs_frequency=13,0,1))+SUM(IF(rcs_start_date=AO135,rcs_amount,0)*IF(rcs_frequency=13,1,0))</f>
        <v>6661.0992821325508</v>
      </c>
      <c r="AX135" s="24">
        <f t="shared" ca="1" si="123"/>
        <v>0</v>
      </c>
      <c r="AY135" s="24">
        <f t="shared" ca="1" si="124"/>
        <v>0</v>
      </c>
      <c r="AZ135" s="24">
        <f t="shared" ca="1" si="125"/>
        <v>0</v>
      </c>
      <c r="BA135" s="25">
        <f t="shared" ca="1" si="126"/>
        <v>6661.0992821325508</v>
      </c>
      <c r="BB135" s="23">
        <f t="array" aca="1" ref="BB135" ca="1">SUM(IF(w_start_date&lt;=AO135,1,0)*IF(w_end_date&gt;=AO135,1,0)*w_amount*(1+w_escalation/100)^(INT((AP135-w_months_since_start)/12))*IF(MOD(AP135-w_months_since_start,w_frequency)=0,1,0)*IF(w_frequency=13,0,1))+SUM(IF(w_start_date=AO135,w_amount,0)*IF(w_frequency=13,1,0))</f>
        <v>0</v>
      </c>
      <c r="BC135" s="25">
        <f t="shared" ca="1" si="127"/>
        <v>0</v>
      </c>
      <c r="BD135" s="24" t="b">
        <f t="shared" ca="1" si="128"/>
        <v>0</v>
      </c>
      <c r="BE135" s="24" t="b">
        <f t="shared" ca="1" si="129"/>
        <v>1</v>
      </c>
      <c r="BF135" s="23">
        <f t="array" aca="1" ref="BF135" ca="1">SUM(IF(BD135,1,0)*IF(ap_start_date&lt;=AO135,1,0)*IF(ap_end_date&gt;=AO135,1,0)*ap_amount*(1+ap_escalation/100)^(INT((AP135-ap_months_since_start)/12))*IF(MOD(AP135-ap_months_since_start,ap_frequency)=0,1,0))</f>
        <v>0</v>
      </c>
      <c r="BG135" s="24">
        <f t="shared" ca="1" si="130"/>
        <v>0</v>
      </c>
      <c r="BH135" s="24">
        <f t="shared" ca="1" si="131"/>
        <v>0</v>
      </c>
      <c r="BI135">
        <f t="shared" ca="1" si="132"/>
        <v>0</v>
      </c>
      <c r="BJ135" s="24">
        <f t="shared" ca="1" si="133"/>
        <v>0</v>
      </c>
      <c r="BK135">
        <f t="shared" ca="1" si="134"/>
        <v>0</v>
      </c>
      <c r="BL135" s="25">
        <f t="shared" ca="1" si="135"/>
        <v>0</v>
      </c>
      <c r="BM135" s="32">
        <f t="shared" ca="1" si="114"/>
        <v>2648095.930836787</v>
      </c>
      <c r="BN135" s="23">
        <f t="shared" ca="1" si="136"/>
        <v>0</v>
      </c>
      <c r="BO135" s="24">
        <f t="shared" ca="1" si="137"/>
        <v>0</v>
      </c>
      <c r="BP135" s="25">
        <f t="shared" ca="1" si="138"/>
        <v>0</v>
      </c>
      <c r="BQ135" s="34">
        <f t="shared" ca="1" si="139"/>
        <v>49521</v>
      </c>
      <c r="BR135" s="23">
        <f t="shared" ca="1" si="140"/>
        <v>2648095.930836787</v>
      </c>
      <c r="BS135" s="24">
        <f t="shared" ca="1" si="141"/>
        <v>6661.0992821325508</v>
      </c>
      <c r="BT135" s="24">
        <f t="shared" ca="1" si="150"/>
        <v>78908.406880647133</v>
      </c>
      <c r="BU135" s="24">
        <f t="shared" ca="1" si="142"/>
        <v>0</v>
      </c>
      <c r="BV135" s="24">
        <f t="shared" ca="1" si="151"/>
        <v>0</v>
      </c>
      <c r="BW135" s="24">
        <f t="shared" ca="1" si="143"/>
        <v>0</v>
      </c>
      <c r="BX135" s="25">
        <f t="shared" ca="1" si="152"/>
        <v>0</v>
      </c>
      <c r="BY135" s="23">
        <f t="shared" ca="1" si="115"/>
        <v>1742788.804602118</v>
      </c>
      <c r="BZ135" s="24">
        <f t="shared" ca="1" si="116"/>
        <v>4398.2144310555532</v>
      </c>
      <c r="CA135" s="24">
        <f t="shared" ca="1" si="153"/>
        <v>53041.336037023044</v>
      </c>
      <c r="CB135" s="24">
        <f t="shared" ca="1" si="117"/>
        <v>0</v>
      </c>
      <c r="CC135" s="24">
        <f t="shared" ca="1" si="154"/>
        <v>0</v>
      </c>
      <c r="CD135" s="24">
        <f t="shared" ca="1" si="118"/>
        <v>0</v>
      </c>
      <c r="CE135" s="25">
        <f t="shared" ca="1" si="155"/>
        <v>0</v>
      </c>
      <c r="CF135" s="23">
        <f t="shared" ca="1" si="156"/>
        <v>0</v>
      </c>
      <c r="CG135" s="25">
        <f t="array" aca="1" ref="CG135" ca="1">SUM(BF124:BF135/(1+inflation/100)^(AP124:AP135/12))</f>
        <v>0</v>
      </c>
      <c r="CH135" s="32">
        <f ca="1">IFERROR(IF(MOD(AP135-ap_months_since_start,12)=0,ap_drawdown/100*(AQ135+AV135+BA135-BC135),CH134),0)</f>
        <v>373592.52803105972</v>
      </c>
      <c r="EL135" s="21">
        <f t="shared" ca="1" si="148"/>
        <v>6</v>
      </c>
      <c r="EM135" t="str">
        <f t="shared" ca="1" si="163"/>
        <v/>
      </c>
      <c r="EN135" t="str">
        <f t="shared" ca="1" si="164"/>
        <v/>
      </c>
      <c r="EO135" t="str">
        <f t="shared" ca="1" si="165"/>
        <v/>
      </c>
      <c r="EP135" s="1" t="str">
        <f t="shared" ca="1" si="166"/>
        <v/>
      </c>
      <c r="EQ135" s="1" t="str">
        <f t="shared" ca="1" si="167"/>
        <v/>
      </c>
      <c r="ER135" t="str">
        <f t="shared" ca="1" si="168"/>
        <v/>
      </c>
      <c r="ES135" t="str">
        <f t="shared" si="169"/>
        <v/>
      </c>
      <c r="ET135">
        <v>0</v>
      </c>
      <c r="EU135" s="22">
        <v>126</v>
      </c>
      <c r="EX135" s="21" t="str">
        <f ca="1">IF(EX134="","",IF(EX134+1&lt;=MAX('Financial Planning Tool'!$EL$10:$EL$209),EX134+1,""))</f>
        <v/>
      </c>
      <c r="EY135" t="str">
        <f ca="1">IF(EX135&lt;&gt;"",VLOOKUP(EX135,'Financial Planning Tool'!$EL$10:$ER$209,2,FALSE),"")</f>
        <v/>
      </c>
      <c r="EZ135" t="str">
        <f ca="1">IF(EX135&lt;&gt;"",VLOOKUP(EX135,'Financial Planning Tool'!$EL$10:$ER$209,3,FALSE),"")</f>
        <v/>
      </c>
      <c r="FA135" t="str">
        <f ca="1">IF(EX135&lt;&gt;"",VLOOKUP(EX135,'Financial Planning Tool'!$EL$10:$ER$209,4,FALSE),"")</f>
        <v/>
      </c>
      <c r="FB135" t="str">
        <f t="shared" ca="1" si="149"/>
        <v/>
      </c>
      <c r="FC135" s="1" t="str">
        <f ca="1">IF(EX135&lt;&gt;"",VLOOKUP(EX135,'Financial Planning Tool'!$EL$10:$ER$209,5,FALSE),"")</f>
        <v/>
      </c>
      <c r="FD135" s="1" t="str">
        <f ca="1">IF(EX135&lt;&gt;"",VLOOKUP(EX135,'Financial Planning Tool'!$EL$10:$ER$209,6,FALSE),"")</f>
        <v/>
      </c>
      <c r="FE135" t="str">
        <f ca="1">IF(EX135&lt;&gt;"",VLOOKUP(EX135,'Financial Planning Tool'!$EL$10:$ER$209,7,FALSE),"")</f>
        <v/>
      </c>
      <c r="FF135" t="str">
        <f ca="1">IF(EX135&lt;&gt;"",VLOOKUP(EX135,'Financial Planning Tool'!$EL$10:$ES$209,8,FALSE),"")</f>
        <v/>
      </c>
      <c r="FG135" t="str">
        <f ca="1">IF(EX135&lt;&gt;"",VLOOKUP(EX135,'Financial Planning Tool'!$EL$10:$ET$209,9,FALSE),"")</f>
        <v/>
      </c>
      <c r="FH135" t="str">
        <f t="shared" ca="1" si="160"/>
        <v/>
      </c>
      <c r="FI135" s="22" t="str">
        <f t="shared" ca="1" si="161"/>
        <v/>
      </c>
    </row>
    <row r="136" spans="7:165" x14ac:dyDescent="0.25">
      <c r="G136" s="18"/>
      <c r="H136" s="5">
        <f t="shared" ca="1" si="171"/>
        <v>75575</v>
      </c>
      <c r="I136" s="8">
        <f t="shared" ca="1" si="172"/>
        <v>136</v>
      </c>
      <c r="J136" s="12" t="str">
        <f t="shared" ca="1" si="174"/>
        <v/>
      </c>
      <c r="K136" s="12" t="str">
        <f t="shared" ca="1" si="175"/>
        <v/>
      </c>
      <c r="L136" s="12" t="str">
        <f t="shared" ca="1" si="176"/>
        <v/>
      </c>
      <c r="M136" s="12" t="str">
        <f t="shared" ca="1" si="177"/>
        <v/>
      </c>
      <c r="N136" s="12">
        <f t="shared" ca="1" si="178"/>
        <v>-509.02</v>
      </c>
      <c r="O136" s="12">
        <f t="shared" ca="1" si="179"/>
        <v>-20.86</v>
      </c>
      <c r="P136" s="12">
        <f t="shared" ca="1" si="180"/>
        <v>2637.77</v>
      </c>
      <c r="Q136" s="12">
        <f t="shared" ca="1" si="181"/>
        <v>105.8</v>
      </c>
      <c r="S136" s="18"/>
      <c r="T136" s="5">
        <f t="shared" ca="1" si="182"/>
        <v>75575</v>
      </c>
      <c r="U136" s="8">
        <f t="shared" ca="1" si="183"/>
        <v>136</v>
      </c>
      <c r="V136" s="12"/>
      <c r="W136" s="12"/>
      <c r="X136" s="12"/>
      <c r="Y136" s="12"/>
      <c r="Z136" s="12"/>
      <c r="AA136" s="12"/>
      <c r="AB136" s="12">
        <v>275244059.33999997</v>
      </c>
      <c r="AC136" s="12">
        <v>11040382.800000001</v>
      </c>
      <c r="AE136" s="21">
        <v>83</v>
      </c>
      <c r="AF136" s="22">
        <f t="shared" ca="1" si="170"/>
        <v>1</v>
      </c>
      <c r="AI136" s="21">
        <f t="shared" ca="1" si="173"/>
        <v>1</v>
      </c>
      <c r="AJ136" s="22">
        <v>0</v>
      </c>
      <c r="AN136" s="32">
        <f t="shared" ref="AN136:AN199" ca="1" si="184">IF(AND(Date_of_birth&lt;&gt;"",Date_of_birth&lt;&gt;"Please enter date of birth"),YEARFRAC(Date_of_birth,AO136),AP136/12)</f>
        <v>65.583333333333329</v>
      </c>
      <c r="AO136" s="53">
        <f t="shared" ca="1" si="144"/>
        <v>49522</v>
      </c>
      <c r="AP136" s="22">
        <v>129</v>
      </c>
      <c r="AQ136" s="32">
        <f t="shared" ca="1" si="145"/>
        <v>2648095.930836787</v>
      </c>
      <c r="AR136" s="23">
        <f t="array" aca="1" ref="AR136" ca="1">SUM(IF(lsc_start_date=AO136,lsc_amount,0))</f>
        <v>0</v>
      </c>
      <c r="AS136" s="24">
        <f t="shared" ca="1" si="119"/>
        <v>0</v>
      </c>
      <c r="AT136" s="24">
        <f t="shared" ca="1" si="120"/>
        <v>0</v>
      </c>
      <c r="AU136" s="24">
        <f t="shared" ca="1" si="121"/>
        <v>0</v>
      </c>
      <c r="AV136" s="25">
        <f t="shared" ca="1" si="122"/>
        <v>0</v>
      </c>
      <c r="AW136" s="23">
        <f t="array" aca="1" ref="AW136" ca="1">SUM(IF(rcs_start_date&lt;=AO136,1,0)*IF(rcs_end_date&gt;=AO136,1,0)*rcs_amount*(1+rcs_escalation/100)^(INT((AP136-rcs_months_since_start)/12))*IF(MOD((AP136-rcs_months_since_start),rcs_frequency)=0,1,0)*IF(rcs_frequency=13,0,1))+SUM(IF(rcs_start_date=AO136,rcs_amount,0)*IF(rcs_frequency=13,1,0))</f>
        <v>6661.0992821325508</v>
      </c>
      <c r="AX136" s="24">
        <f t="shared" ca="1" si="123"/>
        <v>0</v>
      </c>
      <c r="AY136" s="24">
        <f t="shared" ca="1" si="124"/>
        <v>0</v>
      </c>
      <c r="AZ136" s="24">
        <f t="shared" ca="1" si="125"/>
        <v>0</v>
      </c>
      <c r="BA136" s="25">
        <f t="shared" ca="1" si="126"/>
        <v>6661.0992821325508</v>
      </c>
      <c r="BB136" s="23">
        <f t="array" aca="1" ref="BB136" ca="1">SUM(IF(w_start_date&lt;=AO136,1,0)*IF(w_end_date&gt;=AO136,1,0)*w_amount*(1+w_escalation/100)^(INT((AP136-w_months_since_start)/12))*IF(MOD(AP136-w_months_since_start,w_frequency)=0,1,0)*IF(w_frequency=13,0,1))+SUM(IF(w_start_date=AO136,w_amount,0)*IF(w_frequency=13,1,0))</f>
        <v>0</v>
      </c>
      <c r="BC136" s="25">
        <f t="shared" ca="1" si="127"/>
        <v>0</v>
      </c>
      <c r="BD136" s="24" t="b">
        <f t="shared" ca="1" si="128"/>
        <v>0</v>
      </c>
      <c r="BE136" s="24" t="b">
        <f t="shared" ca="1" si="129"/>
        <v>1</v>
      </c>
      <c r="BF136" s="23">
        <f t="array" aca="1" ref="BF136" ca="1">SUM(IF(BD136,1,0)*IF(ap_start_date&lt;=AO136,1,0)*IF(ap_end_date&gt;=AO136,1,0)*ap_amount*(1+ap_escalation/100)^(INT((AP136-ap_months_since_start)/12))*IF(MOD(AP136-ap_months_since_start,ap_frequency)=0,1,0))</f>
        <v>0</v>
      </c>
      <c r="BG136" s="24">
        <f t="shared" ca="1" si="130"/>
        <v>0</v>
      </c>
      <c r="BH136" s="24">
        <f t="shared" ca="1" si="131"/>
        <v>0</v>
      </c>
      <c r="BI136">
        <f t="shared" ca="1" si="132"/>
        <v>0</v>
      </c>
      <c r="BJ136" s="24">
        <f t="shared" ca="1" si="133"/>
        <v>0</v>
      </c>
      <c r="BK136">
        <f t="shared" ca="1" si="134"/>
        <v>0</v>
      </c>
      <c r="BL136" s="25">
        <f t="shared" ca="1" si="135"/>
        <v>0</v>
      </c>
      <c r="BM136" s="32">
        <f t="shared" ref="BM136:BM199" ca="1" si="185">(AQ136+AV136+BA136-BC136-BL136)*(1+NomRetn/100)^(1/12)</f>
        <v>2673890.7223607735</v>
      </c>
      <c r="BN136" s="23">
        <f t="shared" ca="1" si="136"/>
        <v>0</v>
      </c>
      <c r="BO136" s="24">
        <f t="shared" ca="1" si="137"/>
        <v>0</v>
      </c>
      <c r="BP136" s="25">
        <f t="shared" ca="1" si="138"/>
        <v>0</v>
      </c>
      <c r="BQ136" s="34">
        <f t="shared" ca="1" si="139"/>
        <v>49552</v>
      </c>
      <c r="BR136" s="23">
        <f t="shared" ca="1" si="140"/>
        <v>2673890.7223607735</v>
      </c>
      <c r="BS136" s="24">
        <f t="shared" ca="1" si="141"/>
        <v>6661.0992821325508</v>
      </c>
      <c r="BT136" s="24">
        <f t="shared" ca="1" si="150"/>
        <v>79164.603006883</v>
      </c>
      <c r="BU136" s="24">
        <f t="shared" ca="1" si="142"/>
        <v>0</v>
      </c>
      <c r="BV136" s="24">
        <f t="shared" ca="1" si="151"/>
        <v>0</v>
      </c>
      <c r="BW136" s="24">
        <f t="shared" ca="1" si="143"/>
        <v>0</v>
      </c>
      <c r="BX136" s="25">
        <f t="shared" ca="1" si="152"/>
        <v>0</v>
      </c>
      <c r="BY136" s="23">
        <f t="shared" ref="BY136:BY199" ca="1" si="186">BR136*(1+inflation/100)^(-$AP136/12)</f>
        <v>1754022.8911924448</v>
      </c>
      <c r="BZ136" s="24">
        <f t="shared" ref="BZ136:BZ199" ca="1" si="187">BS136*(1+inflation/100)^(-(AP136-1)/12)</f>
        <v>4383.8628049911522</v>
      </c>
      <c r="CA136" s="24">
        <f t="shared" ca="1" si="153"/>
        <v>53041.336037023044</v>
      </c>
      <c r="CB136" s="24">
        <f t="shared" ref="CB136:CB199" ca="1" si="188">BU136*(1+inflation/100)^(-($AP136-1)/12)</f>
        <v>0</v>
      </c>
      <c r="CC136" s="24">
        <f t="shared" ca="1" si="154"/>
        <v>0</v>
      </c>
      <c r="CD136" s="24">
        <f t="shared" ref="CD136:CD199" ca="1" si="189">BW136*(1+inflation/100)^(-($AP136-1)/12)</f>
        <v>0</v>
      </c>
      <c r="CE136" s="25">
        <f t="shared" ca="1" si="155"/>
        <v>0</v>
      </c>
      <c r="CF136" s="23">
        <f t="shared" ca="1" si="156"/>
        <v>0</v>
      </c>
      <c r="CG136" s="25">
        <f t="array" aca="1" ref="CG136" ca="1">SUM(BF125:BF136/(1+inflation/100)^(AP125:AP136/12))</f>
        <v>0</v>
      </c>
      <c r="CH136" s="32">
        <f ca="1">IFERROR(IF(MOD(AP136-ap_months_since_start,12)=0,ap_drawdown/100*(AQ136+AV136+BA136-BC136),CH135),0)</f>
        <v>373592.52803105972</v>
      </c>
      <c r="EL136" s="21">
        <f t="shared" ca="1" si="148"/>
        <v>6</v>
      </c>
      <c r="EM136" t="str">
        <f t="shared" ca="1" si="163"/>
        <v/>
      </c>
      <c r="EN136" t="str">
        <f t="shared" ca="1" si="164"/>
        <v/>
      </c>
      <c r="EO136" t="str">
        <f t="shared" ca="1" si="165"/>
        <v/>
      </c>
      <c r="EP136" s="1" t="str">
        <f t="shared" ca="1" si="166"/>
        <v/>
      </c>
      <c r="EQ136" s="1" t="str">
        <f t="shared" ca="1" si="167"/>
        <v/>
      </c>
      <c r="ER136" t="str">
        <f t="shared" ca="1" si="168"/>
        <v/>
      </c>
      <c r="ES136" t="str">
        <f t="shared" si="169"/>
        <v/>
      </c>
      <c r="ET136">
        <v>0</v>
      </c>
      <c r="EU136" s="22">
        <v>127</v>
      </c>
      <c r="EX136" s="21" t="str">
        <f ca="1">IF(EX135="","",IF(EX135+1&lt;=MAX('Financial Planning Tool'!$EL$10:$EL$209),EX135+1,""))</f>
        <v/>
      </c>
      <c r="EY136" t="str">
        <f ca="1">IF(EX136&lt;&gt;"",VLOOKUP(EX136,'Financial Planning Tool'!$EL$10:$ER$209,2,FALSE),"")</f>
        <v/>
      </c>
      <c r="EZ136" t="str">
        <f ca="1">IF(EX136&lt;&gt;"",VLOOKUP(EX136,'Financial Planning Tool'!$EL$10:$ER$209,3,FALSE),"")</f>
        <v/>
      </c>
      <c r="FA136" t="str">
        <f ca="1">IF(EX136&lt;&gt;"",VLOOKUP(EX136,'Financial Planning Tool'!$EL$10:$ER$209,4,FALSE),"")</f>
        <v/>
      </c>
      <c r="FB136" t="str">
        <f t="shared" ca="1" si="149"/>
        <v/>
      </c>
      <c r="FC136" s="1" t="str">
        <f ca="1">IF(EX136&lt;&gt;"",VLOOKUP(EX136,'Financial Planning Tool'!$EL$10:$ER$209,5,FALSE),"")</f>
        <v/>
      </c>
      <c r="FD136" s="1" t="str">
        <f ca="1">IF(EX136&lt;&gt;"",VLOOKUP(EX136,'Financial Planning Tool'!$EL$10:$ER$209,6,FALSE),"")</f>
        <v/>
      </c>
      <c r="FE136" t="str">
        <f ca="1">IF(EX136&lt;&gt;"",VLOOKUP(EX136,'Financial Planning Tool'!$EL$10:$ER$209,7,FALSE),"")</f>
        <v/>
      </c>
      <c r="FF136" t="str">
        <f ca="1">IF(EX136&lt;&gt;"",VLOOKUP(EX136,'Financial Planning Tool'!$EL$10:$ES$209,8,FALSE),"")</f>
        <v/>
      </c>
      <c r="FG136" t="str">
        <f ca="1">IF(EX136&lt;&gt;"",VLOOKUP(EX136,'Financial Planning Tool'!$EL$10:$ET$209,9,FALSE),"")</f>
        <v/>
      </c>
      <c r="FH136" t="str">
        <f t="shared" ca="1" si="160"/>
        <v/>
      </c>
      <c r="FI136" s="22" t="str">
        <f t="shared" ca="1" si="161"/>
        <v/>
      </c>
    </row>
    <row r="137" spans="7:165" x14ac:dyDescent="0.25">
      <c r="G137" s="18"/>
      <c r="H137" s="5">
        <f t="shared" ca="1" si="171"/>
        <v>75940</v>
      </c>
      <c r="I137" s="8">
        <f t="shared" ca="1" si="172"/>
        <v>137</v>
      </c>
      <c r="J137" s="12" t="str">
        <f t="shared" ca="1" si="174"/>
        <v/>
      </c>
      <c r="K137" s="12" t="str">
        <f t="shared" ca="1" si="175"/>
        <v/>
      </c>
      <c r="L137" s="12" t="str">
        <f t="shared" ca="1" si="176"/>
        <v/>
      </c>
      <c r="M137" s="12" t="str">
        <f t="shared" ca="1" si="177"/>
        <v/>
      </c>
      <c r="N137" s="12">
        <f t="shared" ca="1" si="178"/>
        <v>-461.47</v>
      </c>
      <c r="O137" s="12">
        <f t="shared" ca="1" si="179"/>
        <v>-18.18</v>
      </c>
      <c r="P137" s="12">
        <f t="shared" ca="1" si="180"/>
        <v>2391.35</v>
      </c>
      <c r="Q137" s="12">
        <f t="shared" ca="1" si="181"/>
        <v>92.23</v>
      </c>
      <c r="S137" s="18"/>
      <c r="T137" s="5">
        <f t="shared" ca="1" si="182"/>
        <v>75940</v>
      </c>
      <c r="U137" s="8">
        <f t="shared" ca="1" si="183"/>
        <v>137</v>
      </c>
      <c r="V137" s="12"/>
      <c r="W137" s="12"/>
      <c r="X137" s="12"/>
      <c r="Y137" s="12"/>
      <c r="Z137" s="12"/>
      <c r="AA137" s="12"/>
      <c r="AB137" s="12">
        <v>297263584.08999997</v>
      </c>
      <c r="AC137" s="12">
        <v>11465012.91</v>
      </c>
      <c r="AE137" s="21">
        <v>84</v>
      </c>
      <c r="AF137" s="22">
        <f t="shared" ca="1" si="170"/>
        <v>1</v>
      </c>
      <c r="AI137" s="21">
        <f t="shared" ca="1" si="173"/>
        <v>1</v>
      </c>
      <c r="AJ137" s="22">
        <v>0</v>
      </c>
      <c r="AN137" s="32">
        <f t="shared" ca="1" si="184"/>
        <v>65.666666666666671</v>
      </c>
      <c r="AO137" s="53">
        <f t="shared" ca="1" si="144"/>
        <v>49553</v>
      </c>
      <c r="AP137" s="22">
        <v>130</v>
      </c>
      <c r="AQ137" s="32">
        <f t="shared" ca="1" si="145"/>
        <v>2673890.7223607735</v>
      </c>
      <c r="AR137" s="23">
        <f t="array" aca="1" ref="AR137" ca="1">SUM(IF(lsc_start_date=AO137,lsc_amount,0))</f>
        <v>0</v>
      </c>
      <c r="AS137" s="24">
        <f t="shared" ref="AS137:AS200" ca="1" si="190">AR137*$D$34/100</f>
        <v>0</v>
      </c>
      <c r="AT137" s="24">
        <f t="shared" ref="AT137:AT200" ca="1" si="191">AR137*$D$33/100</f>
        <v>0</v>
      </c>
      <c r="AU137" s="24">
        <f t="shared" ref="AU137:AU200" ca="1" si="192">AR137*$D$35/100</f>
        <v>0</v>
      </c>
      <c r="AV137" s="25">
        <f t="shared" ref="AV137:AV200" ca="1" si="193">AR137-AS137-AT137-AU137</f>
        <v>0</v>
      </c>
      <c r="AW137" s="23">
        <f t="array" aca="1" ref="AW137" ca="1">SUM(IF(rcs_start_date&lt;=AO137,1,0)*IF(rcs_end_date&gt;=AO137,1,0)*rcs_amount*(1+rcs_escalation/100)^(INT((AP137-rcs_months_since_start)/12))*IF(MOD((AP137-rcs_months_since_start),rcs_frequency)=0,1,0)*IF(rcs_frequency=13,0,1))+SUM(IF(rcs_start_date=AO137,rcs_amount,0)*IF(rcs_frequency=13,1,0))</f>
        <v>6661.0992821325508</v>
      </c>
      <c r="AX137" s="24">
        <f t="shared" ref="AX137:AX200" ca="1" si="194">AW137*$D$34/100</f>
        <v>0</v>
      </c>
      <c r="AY137" s="24">
        <f t="shared" ref="AY137:AY200" ca="1" si="195">AW137*$D$33/100</f>
        <v>0</v>
      </c>
      <c r="AZ137" s="24">
        <f t="shared" ref="AZ137:AZ200" ca="1" si="196">AW137*$D$35/100</f>
        <v>0</v>
      </c>
      <c r="BA137" s="25">
        <f t="shared" ref="BA137:BA200" ca="1" si="197">AW137-AX137-AY137-AZ137</f>
        <v>6661.0992821325508</v>
      </c>
      <c r="BB137" s="23">
        <f t="array" aca="1" ref="BB137" ca="1">SUM(IF(w_start_date&lt;=AO137,1,0)*IF(w_end_date&gt;=AO137,1,0)*w_amount*(1+w_escalation/100)^(INT((AP137-w_months_since_start)/12))*IF(MOD(AP137-w_months_since_start,w_frequency)=0,1,0)*IF(w_frequency=13,0,1))+SUM(IF(w_start_date=AO137,w_amount,0)*IF(w_frequency=13,1,0))</f>
        <v>0</v>
      </c>
      <c r="BC137" s="25">
        <f t="shared" ref="BC137:BC200" ca="1" si="198">IF(BB137&gt;AQ137+AV137+BA137,AQ137+AV137+BA137,BB137)</f>
        <v>0</v>
      </c>
      <c r="BD137" s="24" t="b">
        <f t="shared" ref="BD137:BD200" ca="1" si="199">AND($DV$11&lt;=AO137,$DV$11&lt;&gt;0)</f>
        <v>0</v>
      </c>
      <c r="BE137" s="24" t="b">
        <f t="shared" ref="BE137:BE200" ca="1" si="200">$DW$11&lt;&gt;""</f>
        <v>1</v>
      </c>
      <c r="BF137" s="23">
        <f t="array" aca="1" ref="BF137" ca="1">SUM(IF(BD137,1,0)*IF(ap_start_date&lt;=AO137,1,0)*IF(ap_end_date&gt;=AO137,1,0)*ap_amount*(1+ap_escalation/100)^(INT((AP137-ap_months_since_start)/12))*IF(MOD(AP137-ap_months_since_start,ap_frequency)=0,1,0))</f>
        <v>0</v>
      </c>
      <c r="BG137" s="24">
        <f t="shared" ref="BG137:BG200" ca="1" si="201">IF(MOD(YEAR(AO137)*12+MONTH(AO137)-YEAR(Earliest_annuity_payment)*12-MONTH(Earliest_annuity_payment),12)=0,SUM(BF137:BF148),BG136)</f>
        <v>0</v>
      </c>
      <c r="BH137" s="24">
        <f t="shared" ref="BH137:BH200" ca="1" si="202">IF(AO137&gt;=Earliest_annuity_payment,IF(MOD(YEAR(AO137)*12+MONTH(AO137)-YEAR(Earliest_annuity_payment)*12-MONTH(Earliest_annuity_payment),12)=0,(AQ137+AV137+BA137-BC137)*Annuity_min,BH136),0)</f>
        <v>0</v>
      </c>
      <c r="BI137">
        <f t="shared" ref="BI137:BI200" ca="1" si="203">IF(AND(BH137&gt;BG137,BD137),1,0)</f>
        <v>0</v>
      </c>
      <c r="BJ137" s="24">
        <f t="shared" ref="BJ137:BJ200" ca="1" si="204">IF(AO137&gt;=Earliest_annuity_payment,IF(MOD(YEAR(AO137)*12+MONTH(AO137)-YEAR(Earliest_annuity_payment)*12-MONTH(Earliest_annuity_payment),12)=0,(AQ137+AV137+BA137-BC137)*Annuity_cap,BJ136),0)</f>
        <v>0</v>
      </c>
      <c r="BK137">
        <f t="shared" ref="BK137:BK200" ca="1" si="205">IF(BJ137&lt;BG137,1,0)</f>
        <v>0</v>
      </c>
      <c r="BL137" s="25">
        <f t="shared" ref="BL137:BL200" ca="1" si="206">IF(BJ137&lt;BG137,BF137/BG137*BJ137,IF(AND(BH137&gt;BG137,BG137&lt;&gt;0),BF137/BG137*BH137,BF137))</f>
        <v>0</v>
      </c>
      <c r="BM137" s="32">
        <f t="shared" ca="1" si="185"/>
        <v>2699871.4252871457</v>
      </c>
      <c r="BN137" s="23">
        <f t="shared" ref="BN137:BN200" ca="1" si="207">BM137*$E$34/1200</f>
        <v>0</v>
      </c>
      <c r="BO137" s="24">
        <f t="shared" ref="BO137:BO200" ca="1" si="208">BM137*$E$33/1200</f>
        <v>0</v>
      </c>
      <c r="BP137" s="25">
        <f t="shared" ref="BP137:BP200" ca="1" si="209">BM137*$E$35/1200</f>
        <v>0</v>
      </c>
      <c r="BQ137" s="34">
        <f t="shared" ref="BQ137:BQ200" ca="1" si="210">EOMONTH(AO137,0)</f>
        <v>49582</v>
      </c>
      <c r="BR137" s="23">
        <f t="shared" ref="BR137:BR200" ca="1" si="211">BM137-BN137-BO137-BP137</f>
        <v>2699871.4252871457</v>
      </c>
      <c r="BS137" s="24">
        <f t="shared" ref="BS137:BS200" ca="1" si="212">AV137+BA137</f>
        <v>6661.0992821325508</v>
      </c>
      <c r="BT137" s="24">
        <f t="shared" ca="1" si="150"/>
        <v>79420.799133118868</v>
      </c>
      <c r="BU137" s="24">
        <f t="shared" ref="BU137:BU200" ca="1" si="213">-BC137</f>
        <v>0</v>
      </c>
      <c r="BV137" s="24">
        <f t="shared" ca="1" si="151"/>
        <v>0</v>
      </c>
      <c r="BW137" s="24">
        <f t="shared" ref="BW137:BW200" ca="1" si="214">-BL137</f>
        <v>0</v>
      </c>
      <c r="BX137" s="25">
        <f t="shared" ca="1" si="152"/>
        <v>0</v>
      </c>
      <c r="BY137" s="23">
        <f t="shared" ca="1" si="186"/>
        <v>1765286.6629241998</v>
      </c>
      <c r="BZ137" s="24">
        <f t="shared" ca="1" si="187"/>
        <v>4369.5580091061165</v>
      </c>
      <c r="CA137" s="24">
        <f t="shared" ca="1" si="153"/>
        <v>53041.336037023051</v>
      </c>
      <c r="CB137" s="24">
        <f t="shared" ca="1" si="188"/>
        <v>0</v>
      </c>
      <c r="CC137" s="24">
        <f t="shared" ca="1" si="154"/>
        <v>0</v>
      </c>
      <c r="CD137" s="24">
        <f t="shared" ca="1" si="189"/>
        <v>0</v>
      </c>
      <c r="CE137" s="25">
        <f t="shared" ca="1" si="155"/>
        <v>0</v>
      </c>
      <c r="CF137" s="23">
        <f t="shared" ca="1" si="156"/>
        <v>0</v>
      </c>
      <c r="CG137" s="25">
        <f t="array" aca="1" ref="CG137" ca="1">SUM(BF126:BF137/(1+inflation/100)^(AP126:AP137/12))</f>
        <v>0</v>
      </c>
      <c r="CH137" s="32">
        <f ca="1">IFERROR(IF(MOD(AP137-ap_months_since_start,12)=0,ap_drawdown/100*(AQ137+AV137+BA137-BC137),CH136),0)</f>
        <v>373592.52803105972</v>
      </c>
      <c r="EL137" s="21">
        <f t="shared" ca="1" si="148"/>
        <v>6</v>
      </c>
      <c r="EM137" t="str">
        <f t="shared" ca="1" si="163"/>
        <v/>
      </c>
      <c r="EN137" t="str">
        <f t="shared" ca="1" si="164"/>
        <v/>
      </c>
      <c r="EO137" t="str">
        <f t="shared" ca="1" si="165"/>
        <v/>
      </c>
      <c r="EP137" s="1" t="str">
        <f t="shared" ca="1" si="166"/>
        <v/>
      </c>
      <c r="EQ137" s="1" t="str">
        <f t="shared" ca="1" si="167"/>
        <v/>
      </c>
      <c r="ER137" t="str">
        <f t="shared" ca="1" si="168"/>
        <v/>
      </c>
      <c r="ES137" t="str">
        <f t="shared" si="169"/>
        <v/>
      </c>
      <c r="ET137">
        <v>0</v>
      </c>
      <c r="EU137" s="22">
        <v>128</v>
      </c>
      <c r="EX137" s="21" t="str">
        <f ca="1">IF(EX136="","",IF(EX136+1&lt;=MAX('Financial Planning Tool'!$EL$10:$EL$209),EX136+1,""))</f>
        <v/>
      </c>
      <c r="EY137" t="str">
        <f ca="1">IF(EX137&lt;&gt;"",VLOOKUP(EX137,'Financial Planning Tool'!$EL$10:$ER$209,2,FALSE),"")</f>
        <v/>
      </c>
      <c r="EZ137" t="str">
        <f ca="1">IF(EX137&lt;&gt;"",VLOOKUP(EX137,'Financial Planning Tool'!$EL$10:$ER$209,3,FALSE),"")</f>
        <v/>
      </c>
      <c r="FA137" t="str">
        <f ca="1">IF(EX137&lt;&gt;"",VLOOKUP(EX137,'Financial Planning Tool'!$EL$10:$ER$209,4,FALSE),"")</f>
        <v/>
      </c>
      <c r="FB137" t="str">
        <f t="shared" ca="1" si="149"/>
        <v/>
      </c>
      <c r="FC137" s="1" t="str">
        <f ca="1">IF(EX137&lt;&gt;"",VLOOKUP(EX137,'Financial Planning Tool'!$EL$10:$ER$209,5,FALSE),"")</f>
        <v/>
      </c>
      <c r="FD137" s="1" t="str">
        <f ca="1">IF(EX137&lt;&gt;"",VLOOKUP(EX137,'Financial Planning Tool'!$EL$10:$ER$209,6,FALSE),"")</f>
        <v/>
      </c>
      <c r="FE137" t="str">
        <f ca="1">IF(EX137&lt;&gt;"",VLOOKUP(EX137,'Financial Planning Tool'!$EL$10:$ER$209,7,FALSE),"")</f>
        <v/>
      </c>
      <c r="FF137" t="str">
        <f ca="1">IF(EX137&lt;&gt;"",VLOOKUP(EX137,'Financial Planning Tool'!$EL$10:$ES$209,8,FALSE),"")</f>
        <v/>
      </c>
      <c r="FG137" t="str">
        <f ca="1">IF(EX137&lt;&gt;"",VLOOKUP(EX137,'Financial Planning Tool'!$EL$10:$ET$209,9,FALSE),"")</f>
        <v/>
      </c>
      <c r="FH137" t="str">
        <f t="shared" ca="1" si="160"/>
        <v/>
      </c>
      <c r="FI137" s="22" t="str">
        <f t="shared" ca="1" si="161"/>
        <v/>
      </c>
    </row>
    <row r="138" spans="7:165" x14ac:dyDescent="0.25">
      <c r="G138" s="18"/>
      <c r="H138" s="5">
        <f t="shared" ca="1" si="171"/>
        <v>76306</v>
      </c>
      <c r="I138" s="8">
        <f t="shared" ca="1" si="172"/>
        <v>138</v>
      </c>
      <c r="J138" s="12" t="str">
        <f t="shared" ca="1" si="174"/>
        <v/>
      </c>
      <c r="K138" s="12" t="str">
        <f t="shared" ca="1" si="175"/>
        <v/>
      </c>
      <c r="L138" s="12" t="str">
        <f t="shared" ca="1" si="176"/>
        <v/>
      </c>
      <c r="M138" s="12" t="str">
        <f t="shared" ca="1" si="177"/>
        <v/>
      </c>
      <c r="N138" s="12">
        <f t="shared" ca="1" si="178"/>
        <v>-418.36</v>
      </c>
      <c r="O138" s="12">
        <f t="shared" ca="1" si="179"/>
        <v>-15.85</v>
      </c>
      <c r="P138" s="12">
        <f t="shared" ca="1" si="180"/>
        <v>2167.9499999999998</v>
      </c>
      <c r="Q138" s="12">
        <f t="shared" ca="1" si="181"/>
        <v>80.400000000000006</v>
      </c>
      <c r="S138" s="18"/>
      <c r="T138" s="5">
        <f t="shared" ca="1" si="182"/>
        <v>76306</v>
      </c>
      <c r="U138" s="8">
        <f t="shared" ca="1" si="183"/>
        <v>138</v>
      </c>
      <c r="V138" s="12"/>
      <c r="W138" s="12"/>
      <c r="X138" s="12"/>
      <c r="Y138" s="12"/>
      <c r="Z138" s="12"/>
      <c r="AA138" s="12"/>
      <c r="AB138" s="12">
        <v>321044670.81999999</v>
      </c>
      <c r="AC138" s="12">
        <v>11905974.939999999</v>
      </c>
      <c r="AE138" s="21">
        <v>85</v>
      </c>
      <c r="AF138" s="22">
        <f t="shared" ca="1" si="170"/>
        <v>1</v>
      </c>
      <c r="AI138" s="21">
        <f t="shared" ca="1" si="173"/>
        <v>1</v>
      </c>
      <c r="AJ138" s="22">
        <v>0</v>
      </c>
      <c r="AN138" s="32">
        <f t="shared" ca="1" si="184"/>
        <v>65.75</v>
      </c>
      <c r="AO138" s="53">
        <f t="shared" ref="AO138:AO201" ca="1" si="215">DATE(YEAR(AO137),MONTH(AO137)+1,1)</f>
        <v>49583</v>
      </c>
      <c r="AP138" s="22">
        <v>131</v>
      </c>
      <c r="AQ138" s="32">
        <f t="shared" ref="AQ138:AQ201" ca="1" si="216">IF(BR137&lt;0,0,BR137)</f>
        <v>2699871.4252871457</v>
      </c>
      <c r="AR138" s="23">
        <f t="array" aca="1" ref="AR138" ca="1">SUM(IF(lsc_start_date=AO138,lsc_amount,0))</f>
        <v>0</v>
      </c>
      <c r="AS138" s="24">
        <f t="shared" ca="1" si="190"/>
        <v>0</v>
      </c>
      <c r="AT138" s="24">
        <f t="shared" ca="1" si="191"/>
        <v>0</v>
      </c>
      <c r="AU138" s="24">
        <f t="shared" ca="1" si="192"/>
        <v>0</v>
      </c>
      <c r="AV138" s="25">
        <f t="shared" ca="1" si="193"/>
        <v>0</v>
      </c>
      <c r="AW138" s="23">
        <f t="array" aca="1" ref="AW138" ca="1">SUM(IF(rcs_start_date&lt;=AO138,1,0)*IF(rcs_end_date&gt;=AO138,1,0)*rcs_amount*(1+rcs_escalation/100)^(INT((AP138-rcs_months_since_start)/12))*IF(MOD((AP138-rcs_months_since_start),rcs_frequency)=0,1,0)*IF(rcs_frequency=13,0,1))+SUM(IF(rcs_start_date=AO138,rcs_amount,0)*IF(rcs_frequency=13,1,0))</f>
        <v>6661.0992821325508</v>
      </c>
      <c r="AX138" s="24">
        <f t="shared" ca="1" si="194"/>
        <v>0</v>
      </c>
      <c r="AY138" s="24">
        <f t="shared" ca="1" si="195"/>
        <v>0</v>
      </c>
      <c r="AZ138" s="24">
        <f t="shared" ca="1" si="196"/>
        <v>0</v>
      </c>
      <c r="BA138" s="25">
        <f t="shared" ca="1" si="197"/>
        <v>6661.0992821325508</v>
      </c>
      <c r="BB138" s="23">
        <f t="array" aca="1" ref="BB138" ca="1">SUM(IF(w_start_date&lt;=AO138,1,0)*IF(w_end_date&gt;=AO138,1,0)*w_amount*(1+w_escalation/100)^(INT((AP138-w_months_since_start)/12))*IF(MOD(AP138-w_months_since_start,w_frequency)=0,1,0)*IF(w_frequency=13,0,1))+SUM(IF(w_start_date=AO138,w_amount,0)*IF(w_frequency=13,1,0))</f>
        <v>0</v>
      </c>
      <c r="BC138" s="25">
        <f t="shared" ca="1" si="198"/>
        <v>0</v>
      </c>
      <c r="BD138" s="24" t="b">
        <f t="shared" ca="1" si="199"/>
        <v>0</v>
      </c>
      <c r="BE138" s="24" t="b">
        <f t="shared" ca="1" si="200"/>
        <v>1</v>
      </c>
      <c r="BF138" s="23">
        <f t="array" aca="1" ref="BF138" ca="1">SUM(IF(BD138,1,0)*IF(ap_start_date&lt;=AO138,1,0)*IF(ap_end_date&gt;=AO138,1,0)*ap_amount*(1+ap_escalation/100)^(INT((AP138-ap_months_since_start)/12))*IF(MOD(AP138-ap_months_since_start,ap_frequency)=0,1,0))</f>
        <v>0</v>
      </c>
      <c r="BG138" s="24">
        <f t="shared" ca="1" si="201"/>
        <v>0</v>
      </c>
      <c r="BH138" s="24">
        <f t="shared" ca="1" si="202"/>
        <v>0</v>
      </c>
      <c r="BI138">
        <f t="shared" ca="1" si="203"/>
        <v>0</v>
      </c>
      <c r="BJ138" s="24">
        <f t="shared" ca="1" si="204"/>
        <v>0</v>
      </c>
      <c r="BK138">
        <f t="shared" ca="1" si="205"/>
        <v>0</v>
      </c>
      <c r="BL138" s="25">
        <f t="shared" ca="1" si="206"/>
        <v>0</v>
      </c>
      <c r="BM138" s="32">
        <f t="shared" ca="1" si="185"/>
        <v>2726039.3795394888</v>
      </c>
      <c r="BN138" s="23">
        <f t="shared" ca="1" si="207"/>
        <v>0</v>
      </c>
      <c r="BO138" s="24">
        <f t="shared" ca="1" si="208"/>
        <v>0</v>
      </c>
      <c r="BP138" s="25">
        <f t="shared" ca="1" si="209"/>
        <v>0</v>
      </c>
      <c r="BQ138" s="34">
        <f t="shared" ca="1" si="210"/>
        <v>49613</v>
      </c>
      <c r="BR138" s="23">
        <f t="shared" ca="1" si="211"/>
        <v>2726039.3795394888</v>
      </c>
      <c r="BS138" s="24">
        <f t="shared" ca="1" si="212"/>
        <v>6661.0992821325508</v>
      </c>
      <c r="BT138" s="24">
        <f t="shared" ca="1" si="150"/>
        <v>79676.995259354735</v>
      </c>
      <c r="BU138" s="24">
        <f t="shared" ca="1" si="213"/>
        <v>0</v>
      </c>
      <c r="BV138" s="24">
        <f t="shared" ca="1" si="151"/>
        <v>0</v>
      </c>
      <c r="BW138" s="24">
        <f t="shared" ca="1" si="214"/>
        <v>0</v>
      </c>
      <c r="BX138" s="25">
        <f t="shared" ca="1" si="152"/>
        <v>0</v>
      </c>
      <c r="BY138" s="23">
        <f t="shared" ca="1" si="186"/>
        <v>1776580.2830457231</v>
      </c>
      <c r="BZ138" s="24">
        <f t="shared" ca="1" si="187"/>
        <v>4355.2998905908817</v>
      </c>
      <c r="CA138" s="24">
        <f t="shared" ca="1" si="153"/>
        <v>53041.336037023044</v>
      </c>
      <c r="CB138" s="24">
        <f t="shared" ca="1" si="188"/>
        <v>0</v>
      </c>
      <c r="CC138" s="24">
        <f t="shared" ca="1" si="154"/>
        <v>0</v>
      </c>
      <c r="CD138" s="24">
        <f t="shared" ca="1" si="189"/>
        <v>0</v>
      </c>
      <c r="CE138" s="25">
        <f t="shared" ca="1" si="155"/>
        <v>0</v>
      </c>
      <c r="CF138" s="23">
        <f t="shared" ca="1" si="156"/>
        <v>0</v>
      </c>
      <c r="CG138" s="25">
        <f t="array" aca="1" ref="CG138" ca="1">SUM(BF127:BF138/(1+inflation/100)^(AP127:AP138/12))</f>
        <v>0</v>
      </c>
      <c r="CH138" s="32">
        <f ca="1">IFERROR(IF(MOD(AP138-ap_months_since_start,12)=0,ap_drawdown/100*(AQ138+AV138+BA138-BC138),CH137),0)</f>
        <v>373592.52803105972</v>
      </c>
      <c r="EL138" s="21">
        <f t="shared" ca="1" si="148"/>
        <v>6</v>
      </c>
      <c r="EM138" t="str">
        <f t="shared" ca="1" si="163"/>
        <v/>
      </c>
      <c r="EN138" t="str">
        <f t="shared" ca="1" si="164"/>
        <v/>
      </c>
      <c r="EO138" t="str">
        <f t="shared" ca="1" si="165"/>
        <v/>
      </c>
      <c r="EP138" s="1" t="str">
        <f t="shared" ca="1" si="166"/>
        <v/>
      </c>
      <c r="EQ138" s="1" t="str">
        <f t="shared" ca="1" si="167"/>
        <v/>
      </c>
      <c r="ER138" t="str">
        <f t="shared" ca="1" si="168"/>
        <v/>
      </c>
      <c r="ES138" t="str">
        <f t="shared" si="169"/>
        <v/>
      </c>
      <c r="ET138">
        <v>0</v>
      </c>
      <c r="EU138" s="22">
        <v>129</v>
      </c>
      <c r="EX138" s="21" t="str">
        <f ca="1">IF(EX137="","",IF(EX137+1&lt;=MAX('Financial Planning Tool'!$EL$10:$EL$209),EX137+1,""))</f>
        <v/>
      </c>
      <c r="EY138" t="str">
        <f ca="1">IF(EX138&lt;&gt;"",VLOOKUP(EX138,'Financial Planning Tool'!$EL$10:$ER$209,2,FALSE),"")</f>
        <v/>
      </c>
      <c r="EZ138" t="str">
        <f ca="1">IF(EX138&lt;&gt;"",VLOOKUP(EX138,'Financial Planning Tool'!$EL$10:$ER$209,3,FALSE),"")</f>
        <v/>
      </c>
      <c r="FA138" t="str">
        <f ca="1">IF(EX138&lt;&gt;"",VLOOKUP(EX138,'Financial Planning Tool'!$EL$10:$ER$209,4,FALSE),"")</f>
        <v/>
      </c>
      <c r="FB138" t="str">
        <f t="shared" ca="1" si="149"/>
        <v/>
      </c>
      <c r="FC138" s="1" t="str">
        <f ca="1">IF(EX138&lt;&gt;"",VLOOKUP(EX138,'Financial Planning Tool'!$EL$10:$ER$209,5,FALSE),"")</f>
        <v/>
      </c>
      <c r="FD138" s="1" t="str">
        <f ca="1">IF(EX138&lt;&gt;"",VLOOKUP(EX138,'Financial Planning Tool'!$EL$10:$ER$209,6,FALSE),"")</f>
        <v/>
      </c>
      <c r="FE138" t="str">
        <f ca="1">IF(EX138&lt;&gt;"",VLOOKUP(EX138,'Financial Planning Tool'!$EL$10:$ER$209,7,FALSE),"")</f>
        <v/>
      </c>
      <c r="FF138" t="str">
        <f ca="1">IF(EX138&lt;&gt;"",VLOOKUP(EX138,'Financial Planning Tool'!$EL$10:$ES$209,8,FALSE),"")</f>
        <v/>
      </c>
      <c r="FG138" t="str">
        <f ca="1">IF(EX138&lt;&gt;"",VLOOKUP(EX138,'Financial Planning Tool'!$EL$10:$ET$209,9,FALSE),"")</f>
        <v/>
      </c>
      <c r="FH138" t="str">
        <f t="shared" ca="1" si="160"/>
        <v/>
      </c>
      <c r="FI138" s="22" t="str">
        <f t="shared" ca="1" si="161"/>
        <v/>
      </c>
    </row>
    <row r="139" spans="7:165" x14ac:dyDescent="0.25">
      <c r="G139" s="18"/>
      <c r="H139" s="5">
        <f t="shared" ca="1" si="171"/>
        <v>76671</v>
      </c>
      <c r="I139" s="8">
        <f t="shared" ca="1" si="172"/>
        <v>139</v>
      </c>
      <c r="J139" s="12" t="str">
        <f t="shared" ca="1" si="174"/>
        <v/>
      </c>
      <c r="K139" s="12" t="str">
        <f t="shared" ca="1" si="175"/>
        <v/>
      </c>
      <c r="L139" s="12" t="str">
        <f t="shared" ca="1" si="176"/>
        <v/>
      </c>
      <c r="M139" s="12" t="str">
        <f t="shared" ca="1" si="177"/>
        <v/>
      </c>
      <c r="N139" s="12">
        <f t="shared" ca="1" si="178"/>
        <v>-379.28</v>
      </c>
      <c r="O139" s="12">
        <f t="shared" ca="1" si="179"/>
        <v>-13.82</v>
      </c>
      <c r="P139" s="12">
        <f t="shared" ca="1" si="180"/>
        <v>1965.43</v>
      </c>
      <c r="Q139" s="12">
        <f t="shared" ca="1" si="181"/>
        <v>70.08</v>
      </c>
      <c r="S139" s="18"/>
      <c r="T139" s="5">
        <f t="shared" ca="1" si="182"/>
        <v>76671</v>
      </c>
      <c r="U139" s="8">
        <f t="shared" ca="1" si="183"/>
        <v>139</v>
      </c>
      <c r="V139" s="12"/>
      <c r="W139" s="12"/>
      <c r="X139" s="12"/>
      <c r="Y139" s="12"/>
      <c r="Z139" s="12"/>
      <c r="AA139" s="12"/>
      <c r="AB139" s="12">
        <v>346728244.48000002</v>
      </c>
      <c r="AC139" s="12">
        <v>12363897.050000001</v>
      </c>
      <c r="AE139" s="21">
        <v>86</v>
      </c>
      <c r="AF139" s="22">
        <f t="shared" ca="1" si="170"/>
        <v>1</v>
      </c>
      <c r="AI139" s="21">
        <f t="shared" ca="1" si="173"/>
        <v>1</v>
      </c>
      <c r="AJ139" s="22">
        <v>0</v>
      </c>
      <c r="AN139" s="32">
        <f t="shared" ca="1" si="184"/>
        <v>65.833333333333329</v>
      </c>
      <c r="AO139" s="53">
        <f t="shared" ca="1" si="215"/>
        <v>49614</v>
      </c>
      <c r="AP139" s="22">
        <v>132</v>
      </c>
      <c r="AQ139" s="32">
        <f t="shared" ca="1" si="216"/>
        <v>2726039.3795394888</v>
      </c>
      <c r="AR139" s="23">
        <f t="array" aca="1" ref="AR139" ca="1">SUM(IF(lsc_start_date=AO139,lsc_amount,0))</f>
        <v>0</v>
      </c>
      <c r="AS139" s="24">
        <f t="shared" ca="1" si="190"/>
        <v>0</v>
      </c>
      <c r="AT139" s="24">
        <f t="shared" ca="1" si="191"/>
        <v>0</v>
      </c>
      <c r="AU139" s="24">
        <f t="shared" ca="1" si="192"/>
        <v>0</v>
      </c>
      <c r="AV139" s="25">
        <f t="shared" ca="1" si="193"/>
        <v>0</v>
      </c>
      <c r="AW139" s="23">
        <f t="array" aca="1" ref="AW139" ca="1">SUM(IF(rcs_start_date&lt;=AO139,1,0)*IF(rcs_end_date&gt;=AO139,1,0)*rcs_amount*(1+rcs_escalation/100)^(INT((AP139-rcs_months_since_start)/12))*IF(MOD((AP139-rcs_months_since_start),rcs_frequency)=0,1,0)*IF(rcs_frequency=13,0,1))+SUM(IF(rcs_start_date=AO139,rcs_amount,0)*IF(rcs_frequency=13,1,0))</f>
        <v>6661.0992821325508</v>
      </c>
      <c r="AX139" s="24">
        <f t="shared" ca="1" si="194"/>
        <v>0</v>
      </c>
      <c r="AY139" s="24">
        <f t="shared" ca="1" si="195"/>
        <v>0</v>
      </c>
      <c r="AZ139" s="24">
        <f t="shared" ca="1" si="196"/>
        <v>0</v>
      </c>
      <c r="BA139" s="25">
        <f t="shared" ca="1" si="197"/>
        <v>6661.0992821325508</v>
      </c>
      <c r="BB139" s="23">
        <f t="array" aca="1" ref="BB139" ca="1">SUM(IF(w_start_date&lt;=AO139,1,0)*IF(w_end_date&gt;=AO139,1,0)*w_amount*(1+w_escalation/100)^(INT((AP139-w_months_since_start)/12))*IF(MOD(AP139-w_months_since_start,w_frequency)=0,1,0)*IF(w_frequency=13,0,1))+SUM(IF(w_start_date=AO139,w_amount,0)*IF(w_frequency=13,1,0))</f>
        <v>0</v>
      </c>
      <c r="BC139" s="25">
        <f t="shared" ca="1" si="198"/>
        <v>0</v>
      </c>
      <c r="BD139" s="24" t="b">
        <f t="shared" ca="1" si="199"/>
        <v>1</v>
      </c>
      <c r="BE139" s="24" t="b">
        <f t="shared" ca="1" si="200"/>
        <v>1</v>
      </c>
      <c r="BF139" s="23">
        <f t="array" aca="1" ref="BF139" ca="1">SUM(IF(BD139,1,0)*IF(ap_start_date&lt;=AO139,1,0)*IF(ap_end_date&gt;=AO139,1,0)*ap_amount*(1+ap_escalation/100)^(INT((AP139-ap_months_since_start)/12))*IF(MOD(AP139-ap_months_since_start,ap_frequency)=0,1,0))</f>
        <v>35000</v>
      </c>
      <c r="BG139" s="24">
        <f t="shared" ca="1" si="201"/>
        <v>420000</v>
      </c>
      <c r="BH139" s="24">
        <f t="shared" ca="1" si="202"/>
        <v>68317.511970540538</v>
      </c>
      <c r="BI139">
        <f t="shared" ca="1" si="203"/>
        <v>0</v>
      </c>
      <c r="BJ139" s="24">
        <f t="shared" ca="1" si="204"/>
        <v>478222.58379378368</v>
      </c>
      <c r="BK139">
        <f t="shared" ca="1" si="205"/>
        <v>0</v>
      </c>
      <c r="BL139" s="25">
        <f t="shared" ca="1" si="206"/>
        <v>35000</v>
      </c>
      <c r="BM139" s="32">
        <f t="shared" ca="1" si="185"/>
        <v>2717143.6783825858</v>
      </c>
      <c r="BN139" s="23">
        <f t="shared" ca="1" si="207"/>
        <v>0</v>
      </c>
      <c r="BO139" s="24">
        <f t="shared" ca="1" si="208"/>
        <v>0</v>
      </c>
      <c r="BP139" s="25">
        <f t="shared" ca="1" si="209"/>
        <v>0</v>
      </c>
      <c r="BQ139" s="34">
        <f t="shared" ca="1" si="210"/>
        <v>49643</v>
      </c>
      <c r="BR139" s="23">
        <f t="shared" ca="1" si="211"/>
        <v>2717143.6783825858</v>
      </c>
      <c r="BS139" s="24">
        <f t="shared" ca="1" si="212"/>
        <v>6661.0992821325508</v>
      </c>
      <c r="BT139" s="24">
        <f t="shared" ca="1" si="150"/>
        <v>79933.191385590602</v>
      </c>
      <c r="BU139" s="24">
        <f t="shared" ca="1" si="213"/>
        <v>0</v>
      </c>
      <c r="BV139" s="24">
        <f t="shared" ca="1" si="151"/>
        <v>0</v>
      </c>
      <c r="BW139" s="24">
        <f t="shared" ca="1" si="214"/>
        <v>-35000</v>
      </c>
      <c r="BX139" s="25">
        <f t="shared" ca="1" si="152"/>
        <v>-35000</v>
      </c>
      <c r="BY139" s="23">
        <f t="shared" ca="1" si="186"/>
        <v>1765004.7217950046</v>
      </c>
      <c r="BZ139" s="24">
        <f t="shared" ca="1" si="187"/>
        <v>4341.0882971345154</v>
      </c>
      <c r="CA139" s="24">
        <f t="shared" ca="1" si="153"/>
        <v>53041.336037023044</v>
      </c>
      <c r="CB139" s="24">
        <f t="shared" ca="1" si="188"/>
        <v>0</v>
      </c>
      <c r="CC139" s="24">
        <f t="shared" ca="1" si="154"/>
        <v>0</v>
      </c>
      <c r="CD139" s="24">
        <f t="shared" ca="1" si="189"/>
        <v>-22809.762167523957</v>
      </c>
      <c r="CE139" s="25">
        <f t="shared" ca="1" si="155"/>
        <v>-22809.762167523957</v>
      </c>
      <c r="CF139" s="23">
        <f t="shared" ca="1" si="156"/>
        <v>35000</v>
      </c>
      <c r="CG139" s="25">
        <f t="array" aca="1" ref="CG139" ca="1">SUM(BF128:BF139/(1+inflation/100)^(AP128:AP139/12))</f>
        <v>22735.332604714375</v>
      </c>
      <c r="CH139" s="32">
        <f ca="1">IFERROR(IF(MOD(AP139-ap_months_since_start,12)=0,ap_drawdown/100*(AQ139+AV139+BA139-BC139),CH138),0)</f>
        <v>419999.99999999994</v>
      </c>
      <c r="EL139" s="21">
        <f t="shared" ca="1" si="148"/>
        <v>6</v>
      </c>
      <c r="EM139" t="str">
        <f t="shared" ca="1" si="163"/>
        <v/>
      </c>
      <c r="EN139" t="str">
        <f t="shared" ca="1" si="164"/>
        <v/>
      </c>
      <c r="EO139" t="str">
        <f t="shared" ca="1" si="165"/>
        <v/>
      </c>
      <c r="EP139" s="1" t="str">
        <f t="shared" ca="1" si="166"/>
        <v/>
      </c>
      <c r="EQ139" s="1" t="str">
        <f t="shared" ca="1" si="167"/>
        <v/>
      </c>
      <c r="ER139" t="str">
        <f t="shared" ca="1" si="168"/>
        <v/>
      </c>
      <c r="ES139" t="str">
        <f t="shared" si="169"/>
        <v/>
      </c>
      <c r="ET139">
        <v>0</v>
      </c>
      <c r="EU139" s="22">
        <v>130</v>
      </c>
      <c r="EX139" s="21" t="str">
        <f ca="1">IF(EX138="","",IF(EX138+1&lt;=MAX('Financial Planning Tool'!$EL$10:$EL$209),EX138+1,""))</f>
        <v/>
      </c>
      <c r="EY139" t="str">
        <f ca="1">IF(EX139&lt;&gt;"",VLOOKUP(EX139,'Financial Planning Tool'!$EL$10:$ER$209,2,FALSE),"")</f>
        <v/>
      </c>
      <c r="EZ139" t="str">
        <f ca="1">IF(EX139&lt;&gt;"",VLOOKUP(EX139,'Financial Planning Tool'!$EL$10:$ER$209,3,FALSE),"")</f>
        <v/>
      </c>
      <c r="FA139" t="str">
        <f ca="1">IF(EX139&lt;&gt;"",VLOOKUP(EX139,'Financial Planning Tool'!$EL$10:$ER$209,4,FALSE),"")</f>
        <v/>
      </c>
      <c r="FB139" t="str">
        <f t="shared" ca="1" si="149"/>
        <v/>
      </c>
      <c r="FC139" s="1" t="str">
        <f ca="1">IF(EX139&lt;&gt;"",VLOOKUP(EX139,'Financial Planning Tool'!$EL$10:$ER$209,5,FALSE),"")</f>
        <v/>
      </c>
      <c r="FD139" s="1" t="str">
        <f ca="1">IF(EX139&lt;&gt;"",VLOOKUP(EX139,'Financial Planning Tool'!$EL$10:$ER$209,6,FALSE),"")</f>
        <v/>
      </c>
      <c r="FE139" t="str">
        <f ca="1">IF(EX139&lt;&gt;"",VLOOKUP(EX139,'Financial Planning Tool'!$EL$10:$ER$209,7,FALSE),"")</f>
        <v/>
      </c>
      <c r="FF139" t="str">
        <f ca="1">IF(EX139&lt;&gt;"",VLOOKUP(EX139,'Financial Planning Tool'!$EL$10:$ES$209,8,FALSE),"")</f>
        <v/>
      </c>
      <c r="FG139" t="str">
        <f ca="1">IF(EX139&lt;&gt;"",VLOOKUP(EX139,'Financial Planning Tool'!$EL$10:$ET$209,9,FALSE),"")</f>
        <v/>
      </c>
      <c r="FH139" t="str">
        <f t="shared" ref="FH139:FH170" ca="1" si="217">IF(AdjVarType="Escalation",FE139,IF(AdjVarType="Drawdown",FG139,FA139))</f>
        <v/>
      </c>
      <c r="FI139" s="22" t="str">
        <f t="shared" ref="FI139:FI170" ca="1" si="218">IF(AdjVarType="Escalation",IFERROR(FE139-inflation,FE139),IF(AdjVarType="Drawdown",FG139,FB139))</f>
        <v/>
      </c>
    </row>
    <row r="140" spans="7:165" x14ac:dyDescent="0.25">
      <c r="G140" s="18"/>
      <c r="H140" s="5">
        <f t="shared" ca="1" si="171"/>
        <v>77036</v>
      </c>
      <c r="I140" s="8">
        <f t="shared" ca="1" si="172"/>
        <v>140</v>
      </c>
      <c r="J140" s="12" t="str">
        <f t="shared" ca="1" si="174"/>
        <v/>
      </c>
      <c r="K140" s="12" t="str">
        <f t="shared" ca="1" si="175"/>
        <v/>
      </c>
      <c r="L140" s="12" t="str">
        <f t="shared" ca="1" si="176"/>
        <v/>
      </c>
      <c r="M140" s="12" t="str">
        <f t="shared" ca="1" si="177"/>
        <v/>
      </c>
      <c r="N140" s="12">
        <f t="shared" ca="1" si="178"/>
        <v>-343.84</v>
      </c>
      <c r="O140" s="12">
        <f t="shared" ca="1" si="179"/>
        <v>-12.05</v>
      </c>
      <c r="P140" s="12">
        <f t="shared" ca="1" si="180"/>
        <v>1781.82</v>
      </c>
      <c r="Q140" s="12">
        <f t="shared" ca="1" si="181"/>
        <v>61.09</v>
      </c>
      <c r="S140" s="18"/>
      <c r="T140" s="5">
        <f t="shared" ca="1" si="182"/>
        <v>77036</v>
      </c>
      <c r="U140" s="8">
        <f t="shared" ca="1" si="183"/>
        <v>140</v>
      </c>
      <c r="V140" s="12"/>
      <c r="W140" s="12"/>
      <c r="X140" s="12"/>
      <c r="Y140" s="12"/>
      <c r="Z140" s="12"/>
      <c r="AA140" s="12"/>
      <c r="AB140" s="12">
        <v>374466504.04000002</v>
      </c>
      <c r="AC140" s="12">
        <v>12839431.560000001</v>
      </c>
      <c r="AE140" s="21">
        <v>87</v>
      </c>
      <c r="AF140" s="22">
        <f t="shared" ca="1" si="170"/>
        <v>1</v>
      </c>
      <c r="AI140" s="21">
        <f t="shared" ca="1" si="173"/>
        <v>1</v>
      </c>
      <c r="AJ140" s="22">
        <v>0</v>
      </c>
      <c r="AN140" s="32">
        <f t="shared" ca="1" si="184"/>
        <v>65.916666666666671</v>
      </c>
      <c r="AO140" s="53">
        <f t="shared" ca="1" si="215"/>
        <v>49644</v>
      </c>
      <c r="AP140" s="22">
        <v>133</v>
      </c>
      <c r="AQ140" s="32">
        <f t="shared" ca="1" si="216"/>
        <v>2717143.6783825858</v>
      </c>
      <c r="AR140" s="23">
        <f t="array" aca="1" ref="AR140" ca="1">SUM(IF(lsc_start_date=AO140,lsc_amount,0))</f>
        <v>0</v>
      </c>
      <c r="AS140" s="24">
        <f t="shared" ca="1" si="190"/>
        <v>0</v>
      </c>
      <c r="AT140" s="24">
        <f t="shared" ca="1" si="191"/>
        <v>0</v>
      </c>
      <c r="AU140" s="24">
        <f t="shared" ca="1" si="192"/>
        <v>0</v>
      </c>
      <c r="AV140" s="25">
        <f t="shared" ca="1" si="193"/>
        <v>0</v>
      </c>
      <c r="AW140" s="23">
        <f t="array" aca="1" ref="AW140" ca="1">SUM(IF(rcs_start_date&lt;=AO140,1,0)*IF(rcs_end_date&gt;=AO140,1,0)*rcs_amount*(1+rcs_escalation/100)^(INT((AP140-rcs_months_since_start)/12))*IF(MOD((AP140-rcs_months_since_start),rcs_frequency)=0,1,0)*IF(rcs_frequency=13,0,1))+SUM(IF(rcs_start_date=AO140,rcs_amount,0)*IF(rcs_frequency=13,1,0))</f>
        <v>0</v>
      </c>
      <c r="AX140" s="24">
        <f t="shared" ca="1" si="194"/>
        <v>0</v>
      </c>
      <c r="AY140" s="24">
        <f t="shared" ca="1" si="195"/>
        <v>0</v>
      </c>
      <c r="AZ140" s="24">
        <f t="shared" ca="1" si="196"/>
        <v>0</v>
      </c>
      <c r="BA140" s="25">
        <f t="shared" ca="1" si="197"/>
        <v>0</v>
      </c>
      <c r="BB140" s="23">
        <f t="array" aca="1" ref="BB140" ca="1">SUM(IF(w_start_date&lt;=AO140,1,0)*IF(w_end_date&gt;=AO140,1,0)*w_amount*(1+w_escalation/100)^(INT((AP140-w_months_since_start)/12))*IF(MOD(AP140-w_months_since_start,w_frequency)=0,1,0)*IF(w_frequency=13,0,1))+SUM(IF(w_start_date=AO140,w_amount,0)*IF(w_frequency=13,1,0))</f>
        <v>0</v>
      </c>
      <c r="BC140" s="25">
        <f t="shared" ca="1" si="198"/>
        <v>0</v>
      </c>
      <c r="BD140" s="24" t="b">
        <f t="shared" ca="1" si="199"/>
        <v>1</v>
      </c>
      <c r="BE140" s="24" t="b">
        <f t="shared" ca="1" si="200"/>
        <v>1</v>
      </c>
      <c r="BF140" s="23">
        <f t="array" aca="1" ref="BF140" ca="1">SUM(IF(BD140,1,0)*IF(ap_start_date&lt;=AO140,1,0)*IF(ap_end_date&gt;=AO140,1,0)*ap_amount*(1+ap_escalation/100)^(INT((AP140-ap_months_since_start)/12))*IF(MOD(AP140-ap_months_since_start,ap_frequency)=0,1,0))</f>
        <v>35000</v>
      </c>
      <c r="BG140" s="24">
        <f t="shared" ca="1" si="201"/>
        <v>420000</v>
      </c>
      <c r="BH140" s="24">
        <f t="shared" ca="1" si="202"/>
        <v>68317.511970540538</v>
      </c>
      <c r="BI140">
        <f t="shared" ca="1" si="203"/>
        <v>0</v>
      </c>
      <c r="BJ140" s="24">
        <f t="shared" ca="1" si="204"/>
        <v>478222.58379378368</v>
      </c>
      <c r="BK140">
        <f t="shared" ca="1" si="205"/>
        <v>0</v>
      </c>
      <c r="BL140" s="25">
        <f t="shared" ca="1" si="206"/>
        <v>35000</v>
      </c>
      <c r="BM140" s="32">
        <f t="shared" ca="1" si="185"/>
        <v>2701474.7550530215</v>
      </c>
      <c r="BN140" s="23">
        <f t="shared" ca="1" si="207"/>
        <v>0</v>
      </c>
      <c r="BO140" s="24">
        <f t="shared" ca="1" si="208"/>
        <v>0</v>
      </c>
      <c r="BP140" s="25">
        <f t="shared" ca="1" si="209"/>
        <v>0</v>
      </c>
      <c r="BQ140" s="34">
        <f t="shared" ca="1" si="210"/>
        <v>49674</v>
      </c>
      <c r="BR140" s="23">
        <f t="shared" ca="1" si="211"/>
        <v>2701474.7550530215</v>
      </c>
      <c r="BS140" s="24">
        <f t="shared" ca="1" si="212"/>
        <v>0</v>
      </c>
      <c r="BT140" s="24">
        <f t="shared" ca="1" si="150"/>
        <v>73272.092103458053</v>
      </c>
      <c r="BU140" s="24">
        <f t="shared" ca="1" si="213"/>
        <v>0</v>
      </c>
      <c r="BV140" s="24">
        <f t="shared" ca="1" si="151"/>
        <v>0</v>
      </c>
      <c r="BW140" s="24">
        <f t="shared" ca="1" si="214"/>
        <v>-35000</v>
      </c>
      <c r="BX140" s="25">
        <f t="shared" ca="1" si="152"/>
        <v>-70000</v>
      </c>
      <c r="BY140" s="23">
        <f t="shared" ca="1" si="186"/>
        <v>1749100.3884572408</v>
      </c>
      <c r="BZ140" s="24">
        <f t="shared" ca="1" si="187"/>
        <v>0</v>
      </c>
      <c r="CA140" s="24">
        <f t="shared" ca="1" si="153"/>
        <v>48541.336037023044</v>
      </c>
      <c r="CB140" s="24">
        <f t="shared" ca="1" si="188"/>
        <v>0</v>
      </c>
      <c r="CC140" s="24">
        <f t="shared" ca="1" si="154"/>
        <v>0</v>
      </c>
      <c r="CD140" s="24">
        <f t="shared" ca="1" si="189"/>
        <v>-22735.332604714378</v>
      </c>
      <c r="CE140" s="25">
        <f t="shared" ca="1" si="155"/>
        <v>-45545.094772238335</v>
      </c>
      <c r="CF140" s="23">
        <f t="shared" ca="1" si="156"/>
        <v>70000</v>
      </c>
      <c r="CG140" s="25">
        <f t="array" aca="1" ref="CG140" ca="1">SUM(BF129:BF140/(1+inflation/100)^(AP129:AP140/12))</f>
        <v>45396.478514553499</v>
      </c>
      <c r="CH140" s="32">
        <f ca="1">IFERROR(IF(MOD(AP140-ap_months_since_start,12)=0,ap_drawdown/100*(AQ140+AV140+BA140-BC140),CH139),0)</f>
        <v>419999.99999999994</v>
      </c>
      <c r="EL140" s="21">
        <f t="shared" ref="EL140:EL160" ca="1" si="219">IF(EM140&lt;&gt;"",IF(EL139="",1,EL139+1),EL139)</f>
        <v>6</v>
      </c>
      <c r="EM140" t="str">
        <f t="shared" ca="1" si="163"/>
        <v/>
      </c>
      <c r="EN140" t="str">
        <f t="shared" ca="1" si="164"/>
        <v/>
      </c>
      <c r="EO140" t="str">
        <f t="shared" ca="1" si="165"/>
        <v/>
      </c>
      <c r="EP140" s="1" t="str">
        <f t="shared" ca="1" si="166"/>
        <v/>
      </c>
      <c r="EQ140" s="1" t="str">
        <f t="shared" ca="1" si="167"/>
        <v/>
      </c>
      <c r="ER140" t="str">
        <f t="shared" ca="1" si="168"/>
        <v/>
      </c>
      <c r="ES140" t="str">
        <f t="shared" si="169"/>
        <v/>
      </c>
      <c r="ET140">
        <v>0</v>
      </c>
      <c r="EU140" s="22">
        <v>131</v>
      </c>
      <c r="EX140" s="21" t="str">
        <f ca="1">IF(EX139="","",IF(EX139+1&lt;=MAX('Financial Planning Tool'!$EL$10:$EL$209),EX139+1,""))</f>
        <v/>
      </c>
      <c r="EY140" t="str">
        <f ca="1">IF(EX140&lt;&gt;"",VLOOKUP(EX140,'Financial Planning Tool'!$EL$10:$ER$209,2,FALSE),"")</f>
        <v/>
      </c>
      <c r="EZ140" t="str">
        <f ca="1">IF(EX140&lt;&gt;"",VLOOKUP(EX140,'Financial Planning Tool'!$EL$10:$ER$209,3,FALSE),"")</f>
        <v/>
      </c>
      <c r="FA140" t="str">
        <f ca="1">IF(EX140&lt;&gt;"",VLOOKUP(EX140,'Financial Planning Tool'!$EL$10:$ER$209,4,FALSE),"")</f>
        <v/>
      </c>
      <c r="FB140" t="str">
        <f t="shared" ref="FB140:FB203" ca="1" si="220">IF(FA140&lt;&gt;"",FA140/(1+inflation/100)^(YEARFRAC(date_start,FC140)),"")</f>
        <v/>
      </c>
      <c r="FC140" s="1" t="str">
        <f ca="1">IF(EX140&lt;&gt;"",VLOOKUP(EX140,'Financial Planning Tool'!$EL$10:$ER$209,5,FALSE),"")</f>
        <v/>
      </c>
      <c r="FD140" s="1" t="str">
        <f ca="1">IF(EX140&lt;&gt;"",VLOOKUP(EX140,'Financial Planning Tool'!$EL$10:$ER$209,6,FALSE),"")</f>
        <v/>
      </c>
      <c r="FE140" t="str">
        <f ca="1">IF(EX140&lt;&gt;"",VLOOKUP(EX140,'Financial Planning Tool'!$EL$10:$ER$209,7,FALSE),"")</f>
        <v/>
      </c>
      <c r="FF140" t="str">
        <f ca="1">IF(EX140&lt;&gt;"",VLOOKUP(EX140,'Financial Planning Tool'!$EL$10:$ES$209,8,FALSE),"")</f>
        <v/>
      </c>
      <c r="FG140" t="str">
        <f ca="1">IF(EX140&lt;&gt;"",VLOOKUP(EX140,'Financial Planning Tool'!$EL$10:$ET$209,9,FALSE),"")</f>
        <v/>
      </c>
      <c r="FH140" t="str">
        <f t="shared" ca="1" si="217"/>
        <v/>
      </c>
      <c r="FI140" s="22" t="str">
        <f t="shared" ca="1" si="218"/>
        <v/>
      </c>
    </row>
    <row r="141" spans="7:165" x14ac:dyDescent="0.25">
      <c r="G141" s="18"/>
      <c r="H141" s="5">
        <f t="shared" ca="1" si="171"/>
        <v>77401</v>
      </c>
      <c r="I141" s="8">
        <f t="shared" ca="1" si="172"/>
        <v>141</v>
      </c>
      <c r="J141" s="12" t="str">
        <f t="shared" ca="1" si="174"/>
        <v/>
      </c>
      <c r="K141" s="12" t="str">
        <f t="shared" ca="1" si="175"/>
        <v/>
      </c>
      <c r="L141" s="12" t="str">
        <f t="shared" ca="1" si="176"/>
        <v/>
      </c>
      <c r="M141" s="12" t="str">
        <f t="shared" ca="1" si="177"/>
        <v/>
      </c>
      <c r="N141" s="12">
        <f t="shared" ca="1" si="178"/>
        <v>-311.72000000000003</v>
      </c>
      <c r="O141" s="12">
        <f t="shared" ca="1" si="179"/>
        <v>-10.5</v>
      </c>
      <c r="P141" s="12">
        <f t="shared" ca="1" si="180"/>
        <v>1615.36</v>
      </c>
      <c r="Q141" s="12">
        <f t="shared" ca="1" si="181"/>
        <v>53.26</v>
      </c>
      <c r="S141" s="18"/>
      <c r="T141" s="5">
        <f t="shared" ca="1" si="182"/>
        <v>77401</v>
      </c>
      <c r="U141" s="8">
        <f t="shared" ca="1" si="183"/>
        <v>141</v>
      </c>
      <c r="V141" s="12"/>
      <c r="W141" s="12"/>
      <c r="X141" s="12"/>
      <c r="Y141" s="12"/>
      <c r="Z141" s="12"/>
      <c r="AA141" s="12"/>
      <c r="AB141" s="12">
        <v>404423824.37</v>
      </c>
      <c r="AC141" s="12">
        <v>13333255.85</v>
      </c>
      <c r="AE141" s="21">
        <v>88</v>
      </c>
      <c r="AF141" s="22">
        <f t="shared" ca="1" si="170"/>
        <v>1</v>
      </c>
      <c r="AI141" s="21">
        <f t="shared" ca="1" si="173"/>
        <v>1</v>
      </c>
      <c r="AJ141" s="22">
        <v>0</v>
      </c>
      <c r="AN141" s="32">
        <f t="shared" ca="1" si="184"/>
        <v>66</v>
      </c>
      <c r="AO141" s="53">
        <f t="shared" ca="1" si="215"/>
        <v>49675</v>
      </c>
      <c r="AP141" s="22">
        <v>134</v>
      </c>
      <c r="AQ141" s="32">
        <f t="shared" ca="1" si="216"/>
        <v>2701474.7550530215</v>
      </c>
      <c r="AR141" s="23">
        <f t="array" aca="1" ref="AR141" ca="1">SUM(IF(lsc_start_date=AO141,lsc_amount,0))</f>
        <v>0</v>
      </c>
      <c r="AS141" s="24">
        <f t="shared" ca="1" si="190"/>
        <v>0</v>
      </c>
      <c r="AT141" s="24">
        <f t="shared" ca="1" si="191"/>
        <v>0</v>
      </c>
      <c r="AU141" s="24">
        <f t="shared" ca="1" si="192"/>
        <v>0</v>
      </c>
      <c r="AV141" s="25">
        <f t="shared" ca="1" si="193"/>
        <v>0</v>
      </c>
      <c r="AW141" s="23">
        <f t="array" aca="1" ref="AW141" ca="1">SUM(IF(rcs_start_date&lt;=AO141,1,0)*IF(rcs_end_date&gt;=AO141,1,0)*rcs_amount*(1+rcs_escalation/100)^(INT((AP141-rcs_months_since_start)/12))*IF(MOD((AP141-rcs_months_since_start),rcs_frequency)=0,1,0)*IF(rcs_frequency=13,0,1))+SUM(IF(rcs_start_date=AO141,rcs_amount,0)*IF(rcs_frequency=13,1,0))</f>
        <v>0</v>
      </c>
      <c r="AX141" s="24">
        <f t="shared" ca="1" si="194"/>
        <v>0</v>
      </c>
      <c r="AY141" s="24">
        <f t="shared" ca="1" si="195"/>
        <v>0</v>
      </c>
      <c r="AZ141" s="24">
        <f t="shared" ca="1" si="196"/>
        <v>0</v>
      </c>
      <c r="BA141" s="25">
        <f t="shared" ca="1" si="197"/>
        <v>0</v>
      </c>
      <c r="BB141" s="23">
        <f t="array" aca="1" ref="BB141" ca="1">SUM(IF(w_start_date&lt;=AO141,1,0)*IF(w_end_date&gt;=AO141,1,0)*w_amount*(1+w_escalation/100)^(INT((AP141-w_months_since_start)/12))*IF(MOD(AP141-w_months_since_start,w_frequency)=0,1,0)*IF(w_frequency=13,0,1))+SUM(IF(w_start_date=AO141,w_amount,0)*IF(w_frequency=13,1,0))</f>
        <v>0</v>
      </c>
      <c r="BC141" s="25">
        <f t="shared" ca="1" si="198"/>
        <v>0</v>
      </c>
      <c r="BD141" s="24" t="b">
        <f t="shared" ca="1" si="199"/>
        <v>1</v>
      </c>
      <c r="BE141" s="24" t="b">
        <f t="shared" ca="1" si="200"/>
        <v>1</v>
      </c>
      <c r="BF141" s="23">
        <f t="array" aca="1" ref="BF141" ca="1">SUM(IF(BD141,1,0)*IF(ap_start_date&lt;=AO141,1,0)*IF(ap_end_date&gt;=AO141,1,0)*ap_amount*(1+ap_escalation/100)^(INT((AP141-ap_months_since_start)/12))*IF(MOD(AP141-ap_months_since_start,ap_frequency)=0,1,0))</f>
        <v>35000</v>
      </c>
      <c r="BG141" s="24">
        <f t="shared" ca="1" si="201"/>
        <v>420000</v>
      </c>
      <c r="BH141" s="24">
        <f t="shared" ca="1" si="202"/>
        <v>68317.511970540538</v>
      </c>
      <c r="BI141">
        <f t="shared" ca="1" si="203"/>
        <v>0</v>
      </c>
      <c r="BJ141" s="24">
        <f t="shared" ca="1" si="204"/>
        <v>478222.58379378368</v>
      </c>
      <c r="BK141">
        <f t="shared" ca="1" si="205"/>
        <v>0</v>
      </c>
      <c r="BL141" s="25">
        <f t="shared" ca="1" si="206"/>
        <v>35000</v>
      </c>
      <c r="BM141" s="32">
        <f t="shared" ca="1" si="185"/>
        <v>2685692.9007270052</v>
      </c>
      <c r="BN141" s="23">
        <f t="shared" ca="1" si="207"/>
        <v>0</v>
      </c>
      <c r="BO141" s="24">
        <f t="shared" ca="1" si="208"/>
        <v>0</v>
      </c>
      <c r="BP141" s="25">
        <f t="shared" ca="1" si="209"/>
        <v>0</v>
      </c>
      <c r="BQ141" s="34">
        <f t="shared" ca="1" si="210"/>
        <v>49705</v>
      </c>
      <c r="BR141" s="23">
        <f t="shared" ca="1" si="211"/>
        <v>2685692.9007270052</v>
      </c>
      <c r="BS141" s="24">
        <f t="shared" ca="1" si="212"/>
        <v>0</v>
      </c>
      <c r="BT141" s="24">
        <f t="shared" ca="1" si="150"/>
        <v>66610.992821325504</v>
      </c>
      <c r="BU141" s="24">
        <f t="shared" ca="1" si="213"/>
        <v>0</v>
      </c>
      <c r="BV141" s="24">
        <f t="shared" ca="1" si="151"/>
        <v>0</v>
      </c>
      <c r="BW141" s="24">
        <f t="shared" ca="1" si="214"/>
        <v>-35000</v>
      </c>
      <c r="BX141" s="25">
        <f t="shared" ca="1" si="152"/>
        <v>-105000</v>
      </c>
      <c r="BY141" s="23">
        <f t="shared" ca="1" si="186"/>
        <v>1733208.1757981642</v>
      </c>
      <c r="BZ141" s="24">
        <f t="shared" ca="1" si="187"/>
        <v>0</v>
      </c>
      <c r="CA141" s="24">
        <f t="shared" ca="1" si="153"/>
        <v>44056.019795239517</v>
      </c>
      <c r="CB141" s="24">
        <f t="shared" ca="1" si="188"/>
        <v>0</v>
      </c>
      <c r="CC141" s="24">
        <f t="shared" ca="1" si="154"/>
        <v>0</v>
      </c>
      <c r="CD141" s="24">
        <f t="shared" ca="1" si="189"/>
        <v>-22661.145909839124</v>
      </c>
      <c r="CE141" s="25">
        <f t="shared" ca="1" si="155"/>
        <v>-68206.240682077463</v>
      </c>
      <c r="CF141" s="23">
        <f t="shared" ca="1" si="156"/>
        <v>105000</v>
      </c>
      <c r="CG141" s="25">
        <f t="array" aca="1" ref="CG141" ca="1">SUM(BF130:BF141/(1+inflation/100)^(AP130:AP141/12))</f>
        <v>67983.679804959684</v>
      </c>
      <c r="CH141" s="32">
        <f ca="1">IFERROR(IF(MOD(AP141-ap_months_since_start,12)=0,ap_drawdown/100*(AQ141+AV141+BA141-BC141),CH140),0)</f>
        <v>419999.99999999994</v>
      </c>
      <c r="EL141" s="21">
        <f t="shared" ca="1" si="219"/>
        <v>6</v>
      </c>
      <c r="EM141" t="str">
        <f t="shared" ca="1" si="163"/>
        <v/>
      </c>
      <c r="EN141" t="str">
        <f t="shared" ca="1" si="164"/>
        <v/>
      </c>
      <c r="EO141" t="str">
        <f t="shared" ca="1" si="165"/>
        <v/>
      </c>
      <c r="EP141" s="1" t="str">
        <f t="shared" ca="1" si="166"/>
        <v/>
      </c>
      <c r="EQ141" s="1" t="str">
        <f t="shared" ca="1" si="167"/>
        <v/>
      </c>
      <c r="ER141" t="str">
        <f t="shared" ca="1" si="168"/>
        <v/>
      </c>
      <c r="ES141" t="str">
        <f t="shared" si="169"/>
        <v/>
      </c>
      <c r="ET141">
        <v>0</v>
      </c>
      <c r="EU141" s="22">
        <v>132</v>
      </c>
      <c r="EX141" s="21" t="str">
        <f ca="1">IF(EX140="","",IF(EX140+1&lt;=MAX('Financial Planning Tool'!$EL$10:$EL$209),EX140+1,""))</f>
        <v/>
      </c>
      <c r="EY141" t="str">
        <f ca="1">IF(EX141&lt;&gt;"",VLOOKUP(EX141,'Financial Planning Tool'!$EL$10:$ER$209,2,FALSE),"")</f>
        <v/>
      </c>
      <c r="EZ141" t="str">
        <f ca="1">IF(EX141&lt;&gt;"",VLOOKUP(EX141,'Financial Planning Tool'!$EL$10:$ER$209,3,FALSE),"")</f>
        <v/>
      </c>
      <c r="FA141" t="str">
        <f ca="1">IF(EX141&lt;&gt;"",VLOOKUP(EX141,'Financial Planning Tool'!$EL$10:$ER$209,4,FALSE),"")</f>
        <v/>
      </c>
      <c r="FB141" t="str">
        <f t="shared" ca="1" si="220"/>
        <v/>
      </c>
      <c r="FC141" s="1" t="str">
        <f ca="1">IF(EX141&lt;&gt;"",VLOOKUP(EX141,'Financial Planning Tool'!$EL$10:$ER$209,5,FALSE),"")</f>
        <v/>
      </c>
      <c r="FD141" s="1" t="str">
        <f ca="1">IF(EX141&lt;&gt;"",VLOOKUP(EX141,'Financial Planning Tool'!$EL$10:$ER$209,6,FALSE),"")</f>
        <v/>
      </c>
      <c r="FE141" t="str">
        <f ca="1">IF(EX141&lt;&gt;"",VLOOKUP(EX141,'Financial Planning Tool'!$EL$10:$ER$209,7,FALSE),"")</f>
        <v/>
      </c>
      <c r="FF141" t="str">
        <f ca="1">IF(EX141&lt;&gt;"",VLOOKUP(EX141,'Financial Planning Tool'!$EL$10:$ES$209,8,FALSE),"")</f>
        <v/>
      </c>
      <c r="FG141" t="str">
        <f ca="1">IF(EX141&lt;&gt;"",VLOOKUP(EX141,'Financial Planning Tool'!$EL$10:$ET$209,9,FALSE),"")</f>
        <v/>
      </c>
      <c r="FH141" t="str">
        <f t="shared" ca="1" si="217"/>
        <v/>
      </c>
      <c r="FI141" s="22" t="str">
        <f t="shared" ca="1" si="218"/>
        <v/>
      </c>
    </row>
    <row r="142" spans="7:165" x14ac:dyDescent="0.25">
      <c r="G142" s="18"/>
      <c r="H142" s="5">
        <f t="shared" ca="1" si="171"/>
        <v>77767</v>
      </c>
      <c r="I142" s="8">
        <f t="shared" ca="1" si="172"/>
        <v>142</v>
      </c>
      <c r="J142" s="12" t="str">
        <f t="shared" ca="1" si="174"/>
        <v/>
      </c>
      <c r="K142" s="12" t="str">
        <f t="shared" ca="1" si="175"/>
        <v/>
      </c>
      <c r="L142" s="12" t="str">
        <f t="shared" ca="1" si="176"/>
        <v/>
      </c>
      <c r="M142" s="12" t="str">
        <f t="shared" ca="1" si="177"/>
        <v/>
      </c>
      <c r="N142" s="12">
        <f t="shared" ca="1" si="178"/>
        <v>-282.60000000000002</v>
      </c>
      <c r="O142" s="12">
        <f t="shared" ca="1" si="179"/>
        <v>-9.15</v>
      </c>
      <c r="P142" s="12">
        <f t="shared" ca="1" si="180"/>
        <v>1464.46</v>
      </c>
      <c r="Q142" s="12">
        <f t="shared" ca="1" si="181"/>
        <v>46.42</v>
      </c>
      <c r="S142" s="18"/>
      <c r="T142" s="5">
        <f t="shared" ca="1" si="182"/>
        <v>77767</v>
      </c>
      <c r="U142" s="8">
        <f t="shared" ca="1" si="183"/>
        <v>142</v>
      </c>
      <c r="V142" s="12"/>
      <c r="W142" s="12"/>
      <c r="X142" s="12"/>
      <c r="Y142" s="12"/>
      <c r="Z142" s="12"/>
      <c r="AA142" s="12"/>
      <c r="AB142" s="12">
        <v>436777730.31</v>
      </c>
      <c r="AC142" s="12">
        <v>13846073.380000001</v>
      </c>
      <c r="AE142" s="21">
        <v>89</v>
      </c>
      <c r="AF142" s="22">
        <f t="shared" ca="1" si="170"/>
        <v>1</v>
      </c>
      <c r="AI142" s="21">
        <f t="shared" ca="1" si="173"/>
        <v>1</v>
      </c>
      <c r="AJ142" s="22">
        <v>0</v>
      </c>
      <c r="AN142" s="32">
        <f t="shared" ca="1" si="184"/>
        <v>66.083333333333329</v>
      </c>
      <c r="AO142" s="53">
        <f t="shared" ca="1" si="215"/>
        <v>49706</v>
      </c>
      <c r="AP142" s="22">
        <v>135</v>
      </c>
      <c r="AQ142" s="32">
        <f t="shared" ca="1" si="216"/>
        <v>2685692.9007270052</v>
      </c>
      <c r="AR142" s="23">
        <f t="array" aca="1" ref="AR142" ca="1">SUM(IF(lsc_start_date=AO142,lsc_amount,0))</f>
        <v>0</v>
      </c>
      <c r="AS142" s="24">
        <f t="shared" ca="1" si="190"/>
        <v>0</v>
      </c>
      <c r="AT142" s="24">
        <f t="shared" ca="1" si="191"/>
        <v>0</v>
      </c>
      <c r="AU142" s="24">
        <f t="shared" ca="1" si="192"/>
        <v>0</v>
      </c>
      <c r="AV142" s="25">
        <f t="shared" ca="1" si="193"/>
        <v>0</v>
      </c>
      <c r="AW142" s="23">
        <f t="array" aca="1" ref="AW142" ca="1">SUM(IF(rcs_start_date&lt;=AO142,1,0)*IF(rcs_end_date&gt;=AO142,1,0)*rcs_amount*(1+rcs_escalation/100)^(INT((AP142-rcs_months_since_start)/12))*IF(MOD((AP142-rcs_months_since_start),rcs_frequency)=0,1,0)*IF(rcs_frequency=13,0,1))+SUM(IF(rcs_start_date=AO142,rcs_amount,0)*IF(rcs_frequency=13,1,0))</f>
        <v>0</v>
      </c>
      <c r="AX142" s="24">
        <f t="shared" ca="1" si="194"/>
        <v>0</v>
      </c>
      <c r="AY142" s="24">
        <f t="shared" ca="1" si="195"/>
        <v>0</v>
      </c>
      <c r="AZ142" s="24">
        <f t="shared" ca="1" si="196"/>
        <v>0</v>
      </c>
      <c r="BA142" s="25">
        <f t="shared" ca="1" si="197"/>
        <v>0</v>
      </c>
      <c r="BB142" s="23">
        <f t="array" aca="1" ref="BB142" ca="1">SUM(IF(w_start_date&lt;=AO142,1,0)*IF(w_end_date&gt;=AO142,1,0)*w_amount*(1+w_escalation/100)^(INT((AP142-w_months_since_start)/12))*IF(MOD(AP142-w_months_since_start,w_frequency)=0,1,0)*IF(w_frequency=13,0,1))+SUM(IF(w_start_date=AO142,w_amount,0)*IF(w_frequency=13,1,0))</f>
        <v>0</v>
      </c>
      <c r="BC142" s="25">
        <f t="shared" ca="1" si="198"/>
        <v>0</v>
      </c>
      <c r="BD142" s="24" t="b">
        <f t="shared" ca="1" si="199"/>
        <v>1</v>
      </c>
      <c r="BE142" s="24" t="b">
        <f t="shared" ca="1" si="200"/>
        <v>1</v>
      </c>
      <c r="BF142" s="23">
        <f t="array" aca="1" ref="BF142" ca="1">SUM(IF(BD142,1,0)*IF(ap_start_date&lt;=AO142,1,0)*IF(ap_end_date&gt;=AO142,1,0)*ap_amount*(1+ap_escalation/100)^(INT((AP142-ap_months_since_start)/12))*IF(MOD(AP142-ap_months_since_start,ap_frequency)=0,1,0))</f>
        <v>35000</v>
      </c>
      <c r="BG142" s="24">
        <f t="shared" ca="1" si="201"/>
        <v>420000</v>
      </c>
      <c r="BH142" s="24">
        <f t="shared" ca="1" si="202"/>
        <v>68317.511970540538</v>
      </c>
      <c r="BI142">
        <f t="shared" ca="1" si="203"/>
        <v>0</v>
      </c>
      <c r="BJ142" s="24">
        <f t="shared" ca="1" si="204"/>
        <v>478222.58379378368</v>
      </c>
      <c r="BK142">
        <f t="shared" ca="1" si="205"/>
        <v>0</v>
      </c>
      <c r="BL142" s="25">
        <f t="shared" ca="1" si="206"/>
        <v>35000</v>
      </c>
      <c r="BM142" s="32">
        <f t="shared" ca="1" si="185"/>
        <v>2669797.3014743328</v>
      </c>
      <c r="BN142" s="23">
        <f t="shared" ca="1" si="207"/>
        <v>0</v>
      </c>
      <c r="BO142" s="24">
        <f t="shared" ca="1" si="208"/>
        <v>0</v>
      </c>
      <c r="BP142" s="25">
        <f t="shared" ca="1" si="209"/>
        <v>0</v>
      </c>
      <c r="BQ142" s="34">
        <f t="shared" ca="1" si="210"/>
        <v>49734</v>
      </c>
      <c r="BR142" s="23">
        <f t="shared" ca="1" si="211"/>
        <v>2669797.3014743328</v>
      </c>
      <c r="BS142" s="24">
        <f t="shared" ca="1" si="212"/>
        <v>0</v>
      </c>
      <c r="BT142" s="24">
        <f t="shared" ca="1" si="150"/>
        <v>59949.893539192948</v>
      </c>
      <c r="BU142" s="24">
        <f t="shared" ca="1" si="213"/>
        <v>0</v>
      </c>
      <c r="BV142" s="24">
        <f t="shared" ca="1" si="151"/>
        <v>0</v>
      </c>
      <c r="BW142" s="24">
        <f t="shared" ca="1" si="214"/>
        <v>-35000</v>
      </c>
      <c r="BX142" s="25">
        <f t="shared" ca="1" si="152"/>
        <v>-140000</v>
      </c>
      <c r="BY142" s="23">
        <f t="shared" ca="1" si="186"/>
        <v>1717327.8883153426</v>
      </c>
      <c r="BZ142" s="24">
        <f t="shared" ca="1" si="187"/>
        <v>0</v>
      </c>
      <c r="CA142" s="24">
        <f t="shared" ca="1" si="153"/>
        <v>39585.339397726821</v>
      </c>
      <c r="CB142" s="24">
        <f t="shared" ca="1" si="188"/>
        <v>0</v>
      </c>
      <c r="CC142" s="24">
        <f t="shared" ca="1" si="154"/>
        <v>0</v>
      </c>
      <c r="CD142" s="24">
        <f t="shared" ca="1" si="189"/>
        <v>-22587.201290406188</v>
      </c>
      <c r="CE142" s="25">
        <f t="shared" ca="1" si="155"/>
        <v>-90793.441972483648</v>
      </c>
      <c r="CF142" s="23">
        <f t="shared" ca="1" si="156"/>
        <v>140000</v>
      </c>
      <c r="CG142" s="25">
        <f t="array" aca="1" ref="CG142" ca="1">SUM(BF131:BF142/(1+inflation/100)^(AP131:AP142/12))</f>
        <v>90497.177761469196</v>
      </c>
      <c r="CH142" s="32">
        <f ca="1">IFERROR(IF(MOD(AP142-ap_months_since_start,12)=0,ap_drawdown/100*(AQ142+AV142+BA142-BC142),CH141),0)</f>
        <v>419999.99999999994</v>
      </c>
      <c r="EL142" s="21">
        <f t="shared" ca="1" si="219"/>
        <v>6</v>
      </c>
      <c r="EM142" t="str">
        <f t="shared" ca="1" si="163"/>
        <v/>
      </c>
      <c r="EN142" t="str">
        <f t="shared" ca="1" si="164"/>
        <v/>
      </c>
      <c r="EO142" t="str">
        <f t="shared" ca="1" si="165"/>
        <v/>
      </c>
      <c r="EP142" s="1" t="str">
        <f t="shared" ca="1" si="166"/>
        <v/>
      </c>
      <c r="EQ142" s="1" t="str">
        <f t="shared" ca="1" si="167"/>
        <v/>
      </c>
      <c r="ER142" t="str">
        <f t="shared" ca="1" si="168"/>
        <v/>
      </c>
      <c r="ES142" t="str">
        <f t="shared" si="169"/>
        <v/>
      </c>
      <c r="ET142">
        <v>0</v>
      </c>
      <c r="EU142" s="22">
        <v>133</v>
      </c>
      <c r="EX142" s="21" t="str">
        <f ca="1">IF(EX141="","",IF(EX141+1&lt;=MAX('Financial Planning Tool'!$EL$10:$EL$209),EX141+1,""))</f>
        <v/>
      </c>
      <c r="EY142" t="str">
        <f ca="1">IF(EX142&lt;&gt;"",VLOOKUP(EX142,'Financial Planning Tool'!$EL$10:$ER$209,2,FALSE),"")</f>
        <v/>
      </c>
      <c r="EZ142" t="str">
        <f ca="1">IF(EX142&lt;&gt;"",VLOOKUP(EX142,'Financial Planning Tool'!$EL$10:$ER$209,3,FALSE),"")</f>
        <v/>
      </c>
      <c r="FA142" t="str">
        <f ca="1">IF(EX142&lt;&gt;"",VLOOKUP(EX142,'Financial Planning Tool'!$EL$10:$ER$209,4,FALSE),"")</f>
        <v/>
      </c>
      <c r="FB142" t="str">
        <f t="shared" ca="1" si="220"/>
        <v/>
      </c>
      <c r="FC142" s="1" t="str">
        <f ca="1">IF(EX142&lt;&gt;"",VLOOKUP(EX142,'Financial Planning Tool'!$EL$10:$ER$209,5,FALSE),"")</f>
        <v/>
      </c>
      <c r="FD142" s="1" t="str">
        <f ca="1">IF(EX142&lt;&gt;"",VLOOKUP(EX142,'Financial Planning Tool'!$EL$10:$ER$209,6,FALSE),"")</f>
        <v/>
      </c>
      <c r="FE142" t="str">
        <f ca="1">IF(EX142&lt;&gt;"",VLOOKUP(EX142,'Financial Planning Tool'!$EL$10:$ER$209,7,FALSE),"")</f>
        <v/>
      </c>
      <c r="FF142" t="str">
        <f ca="1">IF(EX142&lt;&gt;"",VLOOKUP(EX142,'Financial Planning Tool'!$EL$10:$ES$209,8,FALSE),"")</f>
        <v/>
      </c>
      <c r="FG142" t="str">
        <f ca="1">IF(EX142&lt;&gt;"",VLOOKUP(EX142,'Financial Planning Tool'!$EL$10:$ET$209,9,FALSE),"")</f>
        <v/>
      </c>
      <c r="FH142" t="str">
        <f t="shared" ca="1" si="217"/>
        <v/>
      </c>
      <c r="FI142" s="22" t="str">
        <f t="shared" ca="1" si="218"/>
        <v/>
      </c>
    </row>
    <row r="143" spans="7:165" x14ac:dyDescent="0.25">
      <c r="G143" s="18"/>
      <c r="H143" s="5">
        <f t="shared" ca="1" si="171"/>
        <v>78132</v>
      </c>
      <c r="I143" s="8">
        <f t="shared" ca="1" si="172"/>
        <v>143</v>
      </c>
      <c r="J143" s="12" t="str">
        <f t="shared" ca="1" si="174"/>
        <v/>
      </c>
      <c r="K143" s="12" t="str">
        <f t="shared" ca="1" si="175"/>
        <v/>
      </c>
      <c r="L143" s="12" t="str">
        <f t="shared" ca="1" si="176"/>
        <v/>
      </c>
      <c r="M143" s="12" t="str">
        <f t="shared" ca="1" si="177"/>
        <v/>
      </c>
      <c r="N143" s="12">
        <f t="shared" ca="1" si="178"/>
        <v>-256.2</v>
      </c>
      <c r="O143" s="12">
        <f t="shared" ca="1" si="179"/>
        <v>-7.98</v>
      </c>
      <c r="P143" s="12">
        <f t="shared" ca="1" si="180"/>
        <v>1327.65</v>
      </c>
      <c r="Q143" s="12">
        <f t="shared" ca="1" si="181"/>
        <v>40.47</v>
      </c>
      <c r="S143" s="18"/>
      <c r="T143" s="5">
        <f t="shared" ca="1" si="182"/>
        <v>78132</v>
      </c>
      <c r="U143" s="8">
        <f t="shared" ca="1" si="183"/>
        <v>143</v>
      </c>
      <c r="V143" s="12"/>
      <c r="W143" s="12"/>
      <c r="X143" s="12"/>
      <c r="Y143" s="12"/>
      <c r="Z143" s="12"/>
      <c r="AA143" s="12"/>
      <c r="AB143" s="12">
        <v>471719948.74000001</v>
      </c>
      <c r="AC143" s="12">
        <v>14378614.66</v>
      </c>
      <c r="AE143" s="21">
        <v>90</v>
      </c>
      <c r="AF143" s="22">
        <f t="shared" ca="1" si="170"/>
        <v>1</v>
      </c>
      <c r="AI143" s="21">
        <f t="shared" ca="1" si="173"/>
        <v>1</v>
      </c>
      <c r="AJ143" s="22">
        <v>0</v>
      </c>
      <c r="AN143" s="32">
        <f t="shared" ca="1" si="184"/>
        <v>66.166666666666671</v>
      </c>
      <c r="AO143" s="53">
        <f t="shared" ca="1" si="215"/>
        <v>49735</v>
      </c>
      <c r="AP143" s="22">
        <v>136</v>
      </c>
      <c r="AQ143" s="32">
        <f t="shared" ca="1" si="216"/>
        <v>2669797.3014743328</v>
      </c>
      <c r="AR143" s="23">
        <f t="array" aca="1" ref="AR143" ca="1">SUM(IF(lsc_start_date=AO143,lsc_amount,0))</f>
        <v>0</v>
      </c>
      <c r="AS143" s="24">
        <f t="shared" ca="1" si="190"/>
        <v>0</v>
      </c>
      <c r="AT143" s="24">
        <f t="shared" ca="1" si="191"/>
        <v>0</v>
      </c>
      <c r="AU143" s="24">
        <f t="shared" ca="1" si="192"/>
        <v>0</v>
      </c>
      <c r="AV143" s="25">
        <f t="shared" ca="1" si="193"/>
        <v>0</v>
      </c>
      <c r="AW143" s="23">
        <f t="array" aca="1" ref="AW143" ca="1">SUM(IF(rcs_start_date&lt;=AO143,1,0)*IF(rcs_end_date&gt;=AO143,1,0)*rcs_amount*(1+rcs_escalation/100)^(INT((AP143-rcs_months_since_start)/12))*IF(MOD((AP143-rcs_months_since_start),rcs_frequency)=0,1,0)*IF(rcs_frequency=13,0,1))+SUM(IF(rcs_start_date=AO143,rcs_amount,0)*IF(rcs_frequency=13,1,0))</f>
        <v>0</v>
      </c>
      <c r="AX143" s="24">
        <f t="shared" ca="1" si="194"/>
        <v>0</v>
      </c>
      <c r="AY143" s="24">
        <f t="shared" ca="1" si="195"/>
        <v>0</v>
      </c>
      <c r="AZ143" s="24">
        <f t="shared" ca="1" si="196"/>
        <v>0</v>
      </c>
      <c r="BA143" s="25">
        <f t="shared" ca="1" si="197"/>
        <v>0</v>
      </c>
      <c r="BB143" s="23">
        <f t="array" aca="1" ref="BB143" ca="1">SUM(IF(w_start_date&lt;=AO143,1,0)*IF(w_end_date&gt;=AO143,1,0)*w_amount*(1+w_escalation/100)^(INT((AP143-w_months_since_start)/12))*IF(MOD(AP143-w_months_since_start,w_frequency)=0,1,0)*IF(w_frequency=13,0,1))+SUM(IF(w_start_date=AO143,w_amount,0)*IF(w_frequency=13,1,0))</f>
        <v>0</v>
      </c>
      <c r="BC143" s="25">
        <f t="shared" ca="1" si="198"/>
        <v>0</v>
      </c>
      <c r="BD143" s="24" t="b">
        <f t="shared" ca="1" si="199"/>
        <v>1</v>
      </c>
      <c r="BE143" s="24" t="b">
        <f t="shared" ca="1" si="200"/>
        <v>1</v>
      </c>
      <c r="BF143" s="23">
        <f t="array" aca="1" ref="BF143" ca="1">SUM(IF(BD143,1,0)*IF(ap_start_date&lt;=AO143,1,0)*IF(ap_end_date&gt;=AO143,1,0)*ap_amount*(1+ap_escalation/100)^(INT((AP143-ap_months_since_start)/12))*IF(MOD(AP143-ap_months_since_start,ap_frequency)=0,1,0))</f>
        <v>35000</v>
      </c>
      <c r="BG143" s="24">
        <f t="shared" ca="1" si="201"/>
        <v>420000</v>
      </c>
      <c r="BH143" s="24">
        <f t="shared" ca="1" si="202"/>
        <v>68317.511970540538</v>
      </c>
      <c r="BI143">
        <f t="shared" ca="1" si="203"/>
        <v>0</v>
      </c>
      <c r="BJ143" s="24">
        <f t="shared" ca="1" si="204"/>
        <v>478222.58379378368</v>
      </c>
      <c r="BK143">
        <f t="shared" ca="1" si="205"/>
        <v>0</v>
      </c>
      <c r="BL143" s="25">
        <f t="shared" ca="1" si="206"/>
        <v>35000</v>
      </c>
      <c r="BM143" s="32">
        <f t="shared" ca="1" si="185"/>
        <v>2653787.1374985427</v>
      </c>
      <c r="BN143" s="23">
        <f t="shared" ca="1" si="207"/>
        <v>0</v>
      </c>
      <c r="BO143" s="24">
        <f t="shared" ca="1" si="208"/>
        <v>0</v>
      </c>
      <c r="BP143" s="25">
        <f t="shared" ca="1" si="209"/>
        <v>0</v>
      </c>
      <c r="BQ143" s="34">
        <f t="shared" ca="1" si="210"/>
        <v>49765</v>
      </c>
      <c r="BR143" s="23">
        <f t="shared" ca="1" si="211"/>
        <v>2653787.1374985427</v>
      </c>
      <c r="BS143" s="24">
        <f t="shared" ca="1" si="212"/>
        <v>0</v>
      </c>
      <c r="BT143" s="24">
        <f t="shared" ca="1" si="150"/>
        <v>53288.794257060399</v>
      </c>
      <c r="BU143" s="24">
        <f t="shared" ca="1" si="213"/>
        <v>0</v>
      </c>
      <c r="BV143" s="24">
        <f t="shared" ca="1" si="151"/>
        <v>0</v>
      </c>
      <c r="BW143" s="24">
        <f t="shared" ca="1" si="214"/>
        <v>-35000</v>
      </c>
      <c r="BX143" s="25">
        <f t="shared" ca="1" si="152"/>
        <v>-175000</v>
      </c>
      <c r="BY143" s="23">
        <f t="shared" ca="1" si="186"/>
        <v>1701459.3305328314</v>
      </c>
      <c r="BZ143" s="24">
        <f t="shared" ca="1" si="187"/>
        <v>0</v>
      </c>
      <c r="CA143" s="24">
        <f t="shared" ca="1" si="153"/>
        <v>35129.247086885283</v>
      </c>
      <c r="CB143" s="24">
        <f t="shared" ca="1" si="188"/>
        <v>0</v>
      </c>
      <c r="CC143" s="24">
        <f t="shared" ca="1" si="154"/>
        <v>0</v>
      </c>
      <c r="CD143" s="24">
        <f t="shared" ca="1" si="189"/>
        <v>-22513.497956509509</v>
      </c>
      <c r="CE143" s="25">
        <f t="shared" ca="1" si="155"/>
        <v>-113306.93992899316</v>
      </c>
      <c r="CF143" s="23">
        <f t="shared" ca="1" si="156"/>
        <v>175000</v>
      </c>
      <c r="CG143" s="25">
        <f t="array" aca="1" ref="CG143" ca="1">SUM(BF132:BF143/(1+inflation/100)^(AP132:AP143/12))</f>
        <v>112937.21288228974</v>
      </c>
      <c r="CH143" s="32">
        <f ca="1">IFERROR(IF(MOD(AP143-ap_months_since_start,12)=0,ap_drawdown/100*(AQ143+AV143+BA143-BC143),CH142),0)</f>
        <v>419999.99999999994</v>
      </c>
      <c r="EL143" s="21">
        <f t="shared" ca="1" si="219"/>
        <v>6</v>
      </c>
      <c r="EM143" t="str">
        <f t="shared" ca="1" si="163"/>
        <v/>
      </c>
      <c r="EN143" t="str">
        <f t="shared" ca="1" si="164"/>
        <v/>
      </c>
      <c r="EO143" t="str">
        <f t="shared" ca="1" si="165"/>
        <v/>
      </c>
      <c r="EP143" s="1" t="str">
        <f t="shared" ca="1" si="166"/>
        <v/>
      </c>
      <c r="EQ143" s="1" t="str">
        <f t="shared" ca="1" si="167"/>
        <v/>
      </c>
      <c r="ER143" t="str">
        <f t="shared" ca="1" si="168"/>
        <v/>
      </c>
      <c r="ES143" t="str">
        <f t="shared" si="169"/>
        <v/>
      </c>
      <c r="ET143">
        <v>0</v>
      </c>
      <c r="EU143" s="22">
        <v>134</v>
      </c>
      <c r="EX143" s="21" t="str">
        <f ca="1">IF(EX142="","",IF(EX142+1&lt;=MAX('Financial Planning Tool'!$EL$10:$EL$209),EX142+1,""))</f>
        <v/>
      </c>
      <c r="EY143" t="str">
        <f ca="1">IF(EX143&lt;&gt;"",VLOOKUP(EX143,'Financial Planning Tool'!$EL$10:$ER$209,2,FALSE),"")</f>
        <v/>
      </c>
      <c r="EZ143" t="str">
        <f ca="1">IF(EX143&lt;&gt;"",VLOOKUP(EX143,'Financial Planning Tool'!$EL$10:$ER$209,3,FALSE),"")</f>
        <v/>
      </c>
      <c r="FA143" t="str">
        <f ca="1">IF(EX143&lt;&gt;"",VLOOKUP(EX143,'Financial Planning Tool'!$EL$10:$ER$209,4,FALSE),"")</f>
        <v/>
      </c>
      <c r="FB143" t="str">
        <f t="shared" ca="1" si="220"/>
        <v/>
      </c>
      <c r="FC143" s="1" t="str">
        <f ca="1">IF(EX143&lt;&gt;"",VLOOKUP(EX143,'Financial Planning Tool'!$EL$10:$ER$209,5,FALSE),"")</f>
        <v/>
      </c>
      <c r="FD143" s="1" t="str">
        <f ca="1">IF(EX143&lt;&gt;"",VLOOKUP(EX143,'Financial Planning Tool'!$EL$10:$ER$209,6,FALSE),"")</f>
        <v/>
      </c>
      <c r="FE143" t="str">
        <f ca="1">IF(EX143&lt;&gt;"",VLOOKUP(EX143,'Financial Planning Tool'!$EL$10:$ER$209,7,FALSE),"")</f>
        <v/>
      </c>
      <c r="FF143" t="str">
        <f ca="1">IF(EX143&lt;&gt;"",VLOOKUP(EX143,'Financial Planning Tool'!$EL$10:$ES$209,8,FALSE),"")</f>
        <v/>
      </c>
      <c r="FG143" t="str">
        <f ca="1">IF(EX143&lt;&gt;"",VLOOKUP(EX143,'Financial Planning Tool'!$EL$10:$ET$209,9,FALSE),"")</f>
        <v/>
      </c>
      <c r="FH143" t="str">
        <f t="shared" ca="1" si="217"/>
        <v/>
      </c>
      <c r="FI143" s="22" t="str">
        <f t="shared" ca="1" si="218"/>
        <v/>
      </c>
    </row>
    <row r="144" spans="7:165" x14ac:dyDescent="0.25">
      <c r="G144" s="18"/>
      <c r="H144" s="5">
        <f t="shared" ca="1" si="171"/>
        <v>78497</v>
      </c>
      <c r="I144" s="8">
        <f t="shared" ca="1" si="172"/>
        <v>144</v>
      </c>
      <c r="J144" s="12" t="str">
        <f t="shared" ca="1" si="174"/>
        <v/>
      </c>
      <c r="K144" s="12" t="str">
        <f t="shared" ca="1" si="175"/>
        <v/>
      </c>
      <c r="L144" s="12" t="str">
        <f t="shared" ca="1" si="176"/>
        <v/>
      </c>
      <c r="M144" s="12" t="str">
        <f t="shared" ca="1" si="177"/>
        <v/>
      </c>
      <c r="N144" s="12">
        <f t="shared" ca="1" si="178"/>
        <v>-232.27</v>
      </c>
      <c r="O144" s="12">
        <f t="shared" ca="1" si="179"/>
        <v>-6.96</v>
      </c>
      <c r="P144" s="12">
        <f t="shared" ca="1" si="180"/>
        <v>1203.6199999999999</v>
      </c>
      <c r="Q144" s="12">
        <f t="shared" ca="1" si="181"/>
        <v>35.28</v>
      </c>
      <c r="S144" s="18"/>
      <c r="T144" s="5">
        <f t="shared" ca="1" si="182"/>
        <v>78497</v>
      </c>
      <c r="U144" s="8">
        <f t="shared" ca="1" si="183"/>
        <v>144</v>
      </c>
      <c r="V144" s="12"/>
      <c r="W144" s="12"/>
      <c r="X144" s="12"/>
      <c r="Y144" s="12"/>
      <c r="Z144" s="12"/>
      <c r="AA144" s="12"/>
      <c r="AB144" s="12">
        <v>509457544.63999999</v>
      </c>
      <c r="AC144" s="12">
        <v>14931638.300000001</v>
      </c>
      <c r="AE144" s="21">
        <v>91</v>
      </c>
      <c r="AF144" s="22">
        <f t="shared" ca="1" si="170"/>
        <v>1</v>
      </c>
      <c r="AI144" s="21">
        <f t="shared" ca="1" si="173"/>
        <v>1</v>
      </c>
      <c r="AJ144" s="22">
        <v>0</v>
      </c>
      <c r="AN144" s="32">
        <f t="shared" ca="1" si="184"/>
        <v>66.25</v>
      </c>
      <c r="AO144" s="53">
        <f t="shared" ca="1" si="215"/>
        <v>49766</v>
      </c>
      <c r="AP144" s="22">
        <v>137</v>
      </c>
      <c r="AQ144" s="32">
        <f t="shared" ca="1" si="216"/>
        <v>2653787.1374985427</v>
      </c>
      <c r="AR144" s="23">
        <f t="array" aca="1" ref="AR144" ca="1">SUM(IF(lsc_start_date=AO144,lsc_amount,0))</f>
        <v>0</v>
      </c>
      <c r="AS144" s="24">
        <f t="shared" ca="1" si="190"/>
        <v>0</v>
      </c>
      <c r="AT144" s="24">
        <f t="shared" ca="1" si="191"/>
        <v>0</v>
      </c>
      <c r="AU144" s="24">
        <f t="shared" ca="1" si="192"/>
        <v>0</v>
      </c>
      <c r="AV144" s="25">
        <f t="shared" ca="1" si="193"/>
        <v>0</v>
      </c>
      <c r="AW144" s="23">
        <f t="array" aca="1" ref="AW144" ca="1">SUM(IF(rcs_start_date&lt;=AO144,1,0)*IF(rcs_end_date&gt;=AO144,1,0)*rcs_amount*(1+rcs_escalation/100)^(INT((AP144-rcs_months_since_start)/12))*IF(MOD((AP144-rcs_months_since_start),rcs_frequency)=0,1,0)*IF(rcs_frequency=13,0,1))+SUM(IF(rcs_start_date=AO144,rcs_amount,0)*IF(rcs_frequency=13,1,0))</f>
        <v>0</v>
      </c>
      <c r="AX144" s="24">
        <f t="shared" ca="1" si="194"/>
        <v>0</v>
      </c>
      <c r="AY144" s="24">
        <f t="shared" ca="1" si="195"/>
        <v>0</v>
      </c>
      <c r="AZ144" s="24">
        <f t="shared" ca="1" si="196"/>
        <v>0</v>
      </c>
      <c r="BA144" s="25">
        <f t="shared" ca="1" si="197"/>
        <v>0</v>
      </c>
      <c r="BB144" s="23">
        <f t="array" aca="1" ref="BB144" ca="1">SUM(IF(w_start_date&lt;=AO144,1,0)*IF(w_end_date&gt;=AO144,1,0)*w_amount*(1+w_escalation/100)^(INT((AP144-w_months_since_start)/12))*IF(MOD(AP144-w_months_since_start,w_frequency)=0,1,0)*IF(w_frequency=13,0,1))+SUM(IF(w_start_date=AO144,w_amount,0)*IF(w_frequency=13,1,0))</f>
        <v>0</v>
      </c>
      <c r="BC144" s="25">
        <f t="shared" ca="1" si="198"/>
        <v>0</v>
      </c>
      <c r="BD144" s="24" t="b">
        <f t="shared" ca="1" si="199"/>
        <v>1</v>
      </c>
      <c r="BE144" s="24" t="b">
        <f t="shared" ca="1" si="200"/>
        <v>1</v>
      </c>
      <c r="BF144" s="23">
        <f t="array" aca="1" ref="BF144" ca="1">SUM(IF(BD144,1,0)*IF(ap_start_date&lt;=AO144,1,0)*IF(ap_end_date&gt;=AO144,1,0)*ap_amount*(1+ap_escalation/100)^(INT((AP144-ap_months_since_start)/12))*IF(MOD(AP144-ap_months_since_start,ap_frequency)=0,1,0))</f>
        <v>35000</v>
      </c>
      <c r="BG144" s="24">
        <f t="shared" ca="1" si="201"/>
        <v>420000</v>
      </c>
      <c r="BH144" s="24">
        <f t="shared" ca="1" si="202"/>
        <v>68317.511970540538</v>
      </c>
      <c r="BI144">
        <f t="shared" ca="1" si="203"/>
        <v>0</v>
      </c>
      <c r="BJ144" s="24">
        <f t="shared" ca="1" si="204"/>
        <v>478222.58379378368</v>
      </c>
      <c r="BK144">
        <f t="shared" ca="1" si="205"/>
        <v>0</v>
      </c>
      <c r="BL144" s="25">
        <f t="shared" ca="1" si="206"/>
        <v>35000</v>
      </c>
      <c r="BM144" s="32">
        <f t="shared" ca="1" si="185"/>
        <v>2637661.583094635</v>
      </c>
      <c r="BN144" s="23">
        <f t="shared" ca="1" si="207"/>
        <v>0</v>
      </c>
      <c r="BO144" s="24">
        <f t="shared" ca="1" si="208"/>
        <v>0</v>
      </c>
      <c r="BP144" s="25">
        <f t="shared" ca="1" si="209"/>
        <v>0</v>
      </c>
      <c r="BQ144" s="34">
        <f t="shared" ca="1" si="210"/>
        <v>49795</v>
      </c>
      <c r="BR144" s="23">
        <f t="shared" ca="1" si="211"/>
        <v>2637661.583094635</v>
      </c>
      <c r="BS144" s="24">
        <f t="shared" ca="1" si="212"/>
        <v>0</v>
      </c>
      <c r="BT144" s="24">
        <f t="shared" ca="1" si="150"/>
        <v>46627.69497492785</v>
      </c>
      <c r="BU144" s="24">
        <f t="shared" ca="1" si="213"/>
        <v>0</v>
      </c>
      <c r="BV144" s="24">
        <f t="shared" ca="1" si="151"/>
        <v>0</v>
      </c>
      <c r="BW144" s="24">
        <f t="shared" ca="1" si="214"/>
        <v>-35000</v>
      </c>
      <c r="BX144" s="25">
        <f t="shared" ca="1" si="152"/>
        <v>-210000</v>
      </c>
      <c r="BY144" s="23">
        <f t="shared" ca="1" si="186"/>
        <v>1685602.3069986897</v>
      </c>
      <c r="BZ144" s="24">
        <f t="shared" ca="1" si="187"/>
        <v>0</v>
      </c>
      <c r="CA144" s="24">
        <f t="shared" ca="1" si="153"/>
        <v>30687.695260950997</v>
      </c>
      <c r="CB144" s="24">
        <f t="shared" ca="1" si="188"/>
        <v>0</v>
      </c>
      <c r="CC144" s="24">
        <f t="shared" ca="1" si="154"/>
        <v>0</v>
      </c>
      <c r="CD144" s="24">
        <f t="shared" ca="1" si="189"/>
        <v>-22440.035120820536</v>
      </c>
      <c r="CE144" s="25">
        <f t="shared" ca="1" si="155"/>
        <v>-135746.97504981369</v>
      </c>
      <c r="CF144" s="23">
        <f t="shared" ca="1" si="156"/>
        <v>210000</v>
      </c>
      <c r="CG144" s="25">
        <f t="array" aca="1" ref="CG144" ca="1">SUM(BF133:BF144/(1+inflation/100)^(AP133:AP144/12))</f>
        <v>135304.02488086955</v>
      </c>
      <c r="CH144" s="32">
        <f ca="1">IFERROR(IF(MOD(AP144-ap_months_since_start,12)=0,ap_drawdown/100*(AQ144+AV144+BA144-BC144),CH143),0)</f>
        <v>419999.99999999994</v>
      </c>
      <c r="EL144" s="21">
        <f t="shared" ca="1" si="219"/>
        <v>6</v>
      </c>
      <c r="EM144" t="str">
        <f t="shared" ca="1" si="163"/>
        <v/>
      </c>
      <c r="EN144" t="str">
        <f t="shared" ca="1" si="164"/>
        <v/>
      </c>
      <c r="EO144" t="str">
        <f t="shared" ca="1" si="165"/>
        <v/>
      </c>
      <c r="EP144" s="1" t="str">
        <f t="shared" ca="1" si="166"/>
        <v/>
      </c>
      <c r="EQ144" s="1" t="str">
        <f t="shared" ca="1" si="167"/>
        <v/>
      </c>
      <c r="ER144" t="str">
        <f t="shared" ca="1" si="168"/>
        <v/>
      </c>
      <c r="ES144" t="str">
        <f t="shared" si="169"/>
        <v/>
      </c>
      <c r="ET144">
        <v>0</v>
      </c>
      <c r="EU144" s="22">
        <v>135</v>
      </c>
      <c r="EX144" s="21" t="str">
        <f ca="1">IF(EX143="","",IF(EX143+1&lt;=MAX('Financial Planning Tool'!$EL$10:$EL$209),EX143+1,""))</f>
        <v/>
      </c>
      <c r="EY144" t="str">
        <f ca="1">IF(EX144&lt;&gt;"",VLOOKUP(EX144,'Financial Planning Tool'!$EL$10:$ER$209,2,FALSE),"")</f>
        <v/>
      </c>
      <c r="EZ144" t="str">
        <f ca="1">IF(EX144&lt;&gt;"",VLOOKUP(EX144,'Financial Planning Tool'!$EL$10:$ER$209,3,FALSE),"")</f>
        <v/>
      </c>
      <c r="FA144" t="str">
        <f ca="1">IF(EX144&lt;&gt;"",VLOOKUP(EX144,'Financial Planning Tool'!$EL$10:$ER$209,4,FALSE),"")</f>
        <v/>
      </c>
      <c r="FB144" t="str">
        <f t="shared" ca="1" si="220"/>
        <v/>
      </c>
      <c r="FC144" s="1" t="str">
        <f ca="1">IF(EX144&lt;&gt;"",VLOOKUP(EX144,'Financial Planning Tool'!$EL$10:$ER$209,5,FALSE),"")</f>
        <v/>
      </c>
      <c r="FD144" s="1" t="str">
        <f ca="1">IF(EX144&lt;&gt;"",VLOOKUP(EX144,'Financial Planning Tool'!$EL$10:$ER$209,6,FALSE),"")</f>
        <v/>
      </c>
      <c r="FE144" t="str">
        <f ca="1">IF(EX144&lt;&gt;"",VLOOKUP(EX144,'Financial Planning Tool'!$EL$10:$ER$209,7,FALSE),"")</f>
        <v/>
      </c>
      <c r="FF144" t="str">
        <f ca="1">IF(EX144&lt;&gt;"",VLOOKUP(EX144,'Financial Planning Tool'!$EL$10:$ES$209,8,FALSE),"")</f>
        <v/>
      </c>
      <c r="FG144" t="str">
        <f ca="1">IF(EX144&lt;&gt;"",VLOOKUP(EX144,'Financial Planning Tool'!$EL$10:$ET$209,9,FALSE),"")</f>
        <v/>
      </c>
      <c r="FH144" t="str">
        <f t="shared" ca="1" si="217"/>
        <v/>
      </c>
      <c r="FI144" s="22" t="str">
        <f t="shared" ca="1" si="218"/>
        <v/>
      </c>
    </row>
    <row r="145" spans="7:165" x14ac:dyDescent="0.25">
      <c r="G145" s="18"/>
      <c r="H145" s="5">
        <f t="shared" ca="1" si="171"/>
        <v>78862</v>
      </c>
      <c r="I145" s="8">
        <f t="shared" ca="1" si="172"/>
        <v>145</v>
      </c>
      <c r="J145" s="12" t="str">
        <f t="shared" ca="1" si="174"/>
        <v/>
      </c>
      <c r="K145" s="12" t="str">
        <f t="shared" ca="1" si="175"/>
        <v/>
      </c>
      <c r="L145" s="12" t="str">
        <f t="shared" ca="1" si="176"/>
        <v/>
      </c>
      <c r="M145" s="12" t="str">
        <f t="shared" ca="1" si="177"/>
        <v/>
      </c>
      <c r="N145" s="12">
        <f t="shared" ca="1" si="178"/>
        <v>-210.57</v>
      </c>
      <c r="O145" s="12">
        <f t="shared" ca="1" si="179"/>
        <v>-6.06</v>
      </c>
      <c r="P145" s="12">
        <f t="shared" ca="1" si="180"/>
        <v>1091.18</v>
      </c>
      <c r="Q145" s="12">
        <f t="shared" ca="1" si="181"/>
        <v>30.75</v>
      </c>
      <c r="S145" s="18"/>
      <c r="T145" s="5">
        <f t="shared" ca="1" si="182"/>
        <v>78862</v>
      </c>
      <c r="U145" s="8">
        <f t="shared" ca="1" si="183"/>
        <v>145</v>
      </c>
      <c r="V145" s="12"/>
      <c r="W145" s="12"/>
      <c r="X145" s="12"/>
      <c r="Y145" s="12"/>
      <c r="Z145" s="12"/>
      <c r="AA145" s="12"/>
      <c r="AB145" s="12">
        <v>550214148.21000004</v>
      </c>
      <c r="AC145" s="12">
        <v>15505932.09</v>
      </c>
      <c r="AE145" s="21">
        <v>92</v>
      </c>
      <c r="AF145" s="22">
        <f t="shared" ca="1" si="170"/>
        <v>1</v>
      </c>
      <c r="AI145" s="21">
        <f t="shared" ca="1" si="173"/>
        <v>1</v>
      </c>
      <c r="AJ145" s="22">
        <v>0</v>
      </c>
      <c r="AN145" s="32">
        <f t="shared" ca="1" si="184"/>
        <v>66.333333333333329</v>
      </c>
      <c r="AO145" s="53">
        <f t="shared" ca="1" si="215"/>
        <v>49796</v>
      </c>
      <c r="AP145" s="22">
        <v>138</v>
      </c>
      <c r="AQ145" s="32">
        <f t="shared" ca="1" si="216"/>
        <v>2637661.583094635</v>
      </c>
      <c r="AR145" s="23">
        <f t="array" aca="1" ref="AR145" ca="1">SUM(IF(lsc_start_date=AO145,lsc_amount,0))</f>
        <v>0</v>
      </c>
      <c r="AS145" s="24">
        <f t="shared" ca="1" si="190"/>
        <v>0</v>
      </c>
      <c r="AT145" s="24">
        <f t="shared" ca="1" si="191"/>
        <v>0</v>
      </c>
      <c r="AU145" s="24">
        <f t="shared" ca="1" si="192"/>
        <v>0</v>
      </c>
      <c r="AV145" s="25">
        <f t="shared" ca="1" si="193"/>
        <v>0</v>
      </c>
      <c r="AW145" s="23">
        <f t="array" aca="1" ref="AW145" ca="1">SUM(IF(rcs_start_date&lt;=AO145,1,0)*IF(rcs_end_date&gt;=AO145,1,0)*rcs_amount*(1+rcs_escalation/100)^(INT((AP145-rcs_months_since_start)/12))*IF(MOD((AP145-rcs_months_since_start),rcs_frequency)=0,1,0)*IF(rcs_frequency=13,0,1))+SUM(IF(rcs_start_date=AO145,rcs_amount,0)*IF(rcs_frequency=13,1,0))</f>
        <v>0</v>
      </c>
      <c r="AX145" s="24">
        <f t="shared" ca="1" si="194"/>
        <v>0</v>
      </c>
      <c r="AY145" s="24">
        <f t="shared" ca="1" si="195"/>
        <v>0</v>
      </c>
      <c r="AZ145" s="24">
        <f t="shared" ca="1" si="196"/>
        <v>0</v>
      </c>
      <c r="BA145" s="25">
        <f t="shared" ca="1" si="197"/>
        <v>0</v>
      </c>
      <c r="BB145" s="23">
        <f t="array" aca="1" ref="BB145" ca="1">SUM(IF(w_start_date&lt;=AO145,1,0)*IF(w_end_date&gt;=AO145,1,0)*w_amount*(1+w_escalation/100)^(INT((AP145-w_months_since_start)/12))*IF(MOD(AP145-w_months_since_start,w_frequency)=0,1,0)*IF(w_frequency=13,0,1))+SUM(IF(w_start_date=AO145,w_amount,0)*IF(w_frequency=13,1,0))</f>
        <v>0</v>
      </c>
      <c r="BC145" s="25">
        <f t="shared" ca="1" si="198"/>
        <v>0</v>
      </c>
      <c r="BD145" s="24" t="b">
        <f t="shared" ca="1" si="199"/>
        <v>1</v>
      </c>
      <c r="BE145" s="24" t="b">
        <f t="shared" ca="1" si="200"/>
        <v>1</v>
      </c>
      <c r="BF145" s="23">
        <f t="array" aca="1" ref="BF145" ca="1">SUM(IF(BD145,1,0)*IF(ap_start_date&lt;=AO145,1,0)*IF(ap_end_date&gt;=AO145,1,0)*ap_amount*(1+ap_escalation/100)^(INT((AP145-ap_months_since_start)/12))*IF(MOD(AP145-ap_months_since_start,ap_frequency)=0,1,0))</f>
        <v>35000</v>
      </c>
      <c r="BG145" s="24">
        <f t="shared" ca="1" si="201"/>
        <v>420000</v>
      </c>
      <c r="BH145" s="24">
        <f t="shared" ca="1" si="202"/>
        <v>68317.511970540538</v>
      </c>
      <c r="BI145">
        <f t="shared" ca="1" si="203"/>
        <v>0</v>
      </c>
      <c r="BJ145" s="24">
        <f t="shared" ca="1" si="204"/>
        <v>478222.58379378368</v>
      </c>
      <c r="BK145">
        <f t="shared" ca="1" si="205"/>
        <v>0</v>
      </c>
      <c r="BL145" s="25">
        <f t="shared" ca="1" si="206"/>
        <v>35000</v>
      </c>
      <c r="BM145" s="32">
        <f t="shared" ca="1" si="185"/>
        <v>2621419.8066064864</v>
      </c>
      <c r="BN145" s="23">
        <f t="shared" ca="1" si="207"/>
        <v>0</v>
      </c>
      <c r="BO145" s="24">
        <f t="shared" ca="1" si="208"/>
        <v>0</v>
      </c>
      <c r="BP145" s="25">
        <f t="shared" ca="1" si="209"/>
        <v>0</v>
      </c>
      <c r="BQ145" s="34">
        <f t="shared" ca="1" si="210"/>
        <v>49826</v>
      </c>
      <c r="BR145" s="23">
        <f t="shared" ca="1" si="211"/>
        <v>2621419.8066064864</v>
      </c>
      <c r="BS145" s="24">
        <f t="shared" ca="1" si="212"/>
        <v>0</v>
      </c>
      <c r="BT145" s="24">
        <f t="shared" ca="1" si="150"/>
        <v>39966.595692795301</v>
      </c>
      <c r="BU145" s="24">
        <f t="shared" ca="1" si="213"/>
        <v>0</v>
      </c>
      <c r="BV145" s="24">
        <f t="shared" ca="1" si="151"/>
        <v>0</v>
      </c>
      <c r="BW145" s="24">
        <f t="shared" ca="1" si="214"/>
        <v>-35000</v>
      </c>
      <c r="BX145" s="25">
        <f t="shared" ca="1" si="152"/>
        <v>-245000</v>
      </c>
      <c r="BY145" s="23">
        <f t="shared" ca="1" si="186"/>
        <v>1669756.6222824941</v>
      </c>
      <c r="BZ145" s="24">
        <f t="shared" ca="1" si="187"/>
        <v>0</v>
      </c>
      <c r="CA145" s="24">
        <f t="shared" ca="1" si="153"/>
        <v>26260.636473487364</v>
      </c>
      <c r="CB145" s="24">
        <f t="shared" ca="1" si="188"/>
        <v>0</v>
      </c>
      <c r="CC145" s="24">
        <f t="shared" ca="1" si="154"/>
        <v>0</v>
      </c>
      <c r="CD145" s="24">
        <f t="shared" ca="1" si="189"/>
        <v>-22366.811998579822</v>
      </c>
      <c r="CE145" s="25">
        <f t="shared" ca="1" si="155"/>
        <v>-158113.78704839351</v>
      </c>
      <c r="CF145" s="23">
        <f t="shared" ca="1" si="156"/>
        <v>245000</v>
      </c>
      <c r="CG145" s="25">
        <f t="array" aca="1" ref="CG145" ca="1">SUM(BF134:BF145/(1+inflation/100)^(AP134:AP145/12))</f>
        <v>157597.85268845817</v>
      </c>
      <c r="CH145" s="32">
        <f ca="1">IFERROR(IF(MOD(AP145-ap_months_since_start,12)=0,ap_drawdown/100*(AQ145+AV145+BA145-BC145),CH144),0)</f>
        <v>419999.99999999994</v>
      </c>
      <c r="EL145" s="21">
        <f t="shared" ca="1" si="219"/>
        <v>6</v>
      </c>
      <c r="EM145" t="str">
        <f t="shared" ca="1" si="163"/>
        <v/>
      </c>
      <c r="EN145" t="str">
        <f t="shared" ca="1" si="164"/>
        <v/>
      </c>
      <c r="EO145" t="str">
        <f t="shared" ca="1" si="165"/>
        <v/>
      </c>
      <c r="EP145" s="1" t="str">
        <f t="shared" ca="1" si="166"/>
        <v/>
      </c>
      <c r="EQ145" s="1" t="str">
        <f t="shared" ca="1" si="167"/>
        <v/>
      </c>
      <c r="ER145" t="str">
        <f t="shared" ca="1" si="168"/>
        <v/>
      </c>
      <c r="ES145" t="str">
        <f t="shared" si="169"/>
        <v/>
      </c>
      <c r="ET145">
        <v>0</v>
      </c>
      <c r="EU145" s="22">
        <v>136</v>
      </c>
      <c r="EX145" s="21" t="str">
        <f ca="1">IF(EX144="","",IF(EX144+1&lt;=MAX('Financial Planning Tool'!$EL$10:$EL$209),EX144+1,""))</f>
        <v/>
      </c>
      <c r="EY145" t="str">
        <f ca="1">IF(EX145&lt;&gt;"",VLOOKUP(EX145,'Financial Planning Tool'!$EL$10:$ER$209,2,FALSE),"")</f>
        <v/>
      </c>
      <c r="EZ145" t="str">
        <f ca="1">IF(EX145&lt;&gt;"",VLOOKUP(EX145,'Financial Planning Tool'!$EL$10:$ER$209,3,FALSE),"")</f>
        <v/>
      </c>
      <c r="FA145" t="str">
        <f ca="1">IF(EX145&lt;&gt;"",VLOOKUP(EX145,'Financial Planning Tool'!$EL$10:$ER$209,4,FALSE),"")</f>
        <v/>
      </c>
      <c r="FB145" t="str">
        <f t="shared" ca="1" si="220"/>
        <v/>
      </c>
      <c r="FC145" s="1" t="str">
        <f ca="1">IF(EX145&lt;&gt;"",VLOOKUP(EX145,'Financial Planning Tool'!$EL$10:$ER$209,5,FALSE),"")</f>
        <v/>
      </c>
      <c r="FD145" s="1" t="str">
        <f ca="1">IF(EX145&lt;&gt;"",VLOOKUP(EX145,'Financial Planning Tool'!$EL$10:$ER$209,6,FALSE),"")</f>
        <v/>
      </c>
      <c r="FE145" t="str">
        <f ca="1">IF(EX145&lt;&gt;"",VLOOKUP(EX145,'Financial Planning Tool'!$EL$10:$ER$209,7,FALSE),"")</f>
        <v/>
      </c>
      <c r="FF145" t="str">
        <f ca="1">IF(EX145&lt;&gt;"",VLOOKUP(EX145,'Financial Planning Tool'!$EL$10:$ES$209,8,FALSE),"")</f>
        <v/>
      </c>
      <c r="FG145" t="str">
        <f ca="1">IF(EX145&lt;&gt;"",VLOOKUP(EX145,'Financial Planning Tool'!$EL$10:$ET$209,9,FALSE),"")</f>
        <v/>
      </c>
      <c r="FH145" t="str">
        <f t="shared" ca="1" si="217"/>
        <v/>
      </c>
      <c r="FI145" s="22" t="str">
        <f t="shared" ca="1" si="218"/>
        <v/>
      </c>
    </row>
    <row r="146" spans="7:165" x14ac:dyDescent="0.25">
      <c r="G146" s="18"/>
      <c r="H146" s="5">
        <f t="shared" ca="1" si="171"/>
        <v>79228</v>
      </c>
      <c r="I146" s="8">
        <f t="shared" ca="1" si="172"/>
        <v>146</v>
      </c>
      <c r="J146" s="12" t="str">
        <f t="shared" ca="1" si="174"/>
        <v/>
      </c>
      <c r="K146" s="12" t="str">
        <f t="shared" ca="1" si="175"/>
        <v/>
      </c>
      <c r="L146" s="12" t="str">
        <f t="shared" ca="1" si="176"/>
        <v/>
      </c>
      <c r="M146" s="12" t="str">
        <f t="shared" ca="1" si="177"/>
        <v/>
      </c>
      <c r="N146" s="12">
        <f t="shared" ca="1" si="178"/>
        <v>-190.9</v>
      </c>
      <c r="O146" s="12">
        <f t="shared" ca="1" si="179"/>
        <v>-5.29</v>
      </c>
      <c r="P146" s="12">
        <f t="shared" ca="1" si="180"/>
        <v>989.24</v>
      </c>
      <c r="Q146" s="12">
        <f t="shared" ca="1" si="181"/>
        <v>26.81</v>
      </c>
      <c r="S146" s="18"/>
      <c r="T146" s="5">
        <f t="shared" ca="1" si="182"/>
        <v>79228</v>
      </c>
      <c r="U146" s="8">
        <f t="shared" ca="1" si="183"/>
        <v>146</v>
      </c>
      <c r="V146" s="12"/>
      <c r="W146" s="12"/>
      <c r="X146" s="12"/>
      <c r="Y146" s="12"/>
      <c r="Z146" s="12"/>
      <c r="AA146" s="12"/>
      <c r="AB146" s="12">
        <v>594231280.07000005</v>
      </c>
      <c r="AC146" s="12">
        <v>16102314.09</v>
      </c>
      <c r="AE146" s="21">
        <v>93</v>
      </c>
      <c r="AF146" s="22">
        <f t="shared" ca="1" si="170"/>
        <v>1</v>
      </c>
      <c r="AI146" s="21">
        <f t="shared" ca="1" si="173"/>
        <v>1</v>
      </c>
      <c r="AJ146" s="22">
        <v>0</v>
      </c>
      <c r="AN146" s="32">
        <f t="shared" ca="1" si="184"/>
        <v>66.416666666666671</v>
      </c>
      <c r="AO146" s="53">
        <f t="shared" ca="1" si="215"/>
        <v>49827</v>
      </c>
      <c r="AP146" s="22">
        <v>139</v>
      </c>
      <c r="AQ146" s="32">
        <f t="shared" ca="1" si="216"/>
        <v>2621419.8066064864</v>
      </c>
      <c r="AR146" s="23">
        <f t="array" aca="1" ref="AR146" ca="1">SUM(IF(lsc_start_date=AO146,lsc_amount,0))</f>
        <v>0</v>
      </c>
      <c r="AS146" s="24">
        <f t="shared" ca="1" si="190"/>
        <v>0</v>
      </c>
      <c r="AT146" s="24">
        <f t="shared" ca="1" si="191"/>
        <v>0</v>
      </c>
      <c r="AU146" s="24">
        <f t="shared" ca="1" si="192"/>
        <v>0</v>
      </c>
      <c r="AV146" s="25">
        <f t="shared" ca="1" si="193"/>
        <v>0</v>
      </c>
      <c r="AW146" s="23">
        <f t="array" aca="1" ref="AW146" ca="1">SUM(IF(rcs_start_date&lt;=AO146,1,0)*IF(rcs_end_date&gt;=AO146,1,0)*rcs_amount*(1+rcs_escalation/100)^(INT((AP146-rcs_months_since_start)/12))*IF(MOD((AP146-rcs_months_since_start),rcs_frequency)=0,1,0)*IF(rcs_frequency=13,0,1))+SUM(IF(rcs_start_date=AO146,rcs_amount,0)*IF(rcs_frequency=13,1,0))</f>
        <v>0</v>
      </c>
      <c r="AX146" s="24">
        <f t="shared" ca="1" si="194"/>
        <v>0</v>
      </c>
      <c r="AY146" s="24">
        <f t="shared" ca="1" si="195"/>
        <v>0</v>
      </c>
      <c r="AZ146" s="24">
        <f t="shared" ca="1" si="196"/>
        <v>0</v>
      </c>
      <c r="BA146" s="25">
        <f t="shared" ca="1" si="197"/>
        <v>0</v>
      </c>
      <c r="BB146" s="23">
        <f t="array" aca="1" ref="BB146" ca="1">SUM(IF(w_start_date&lt;=AO146,1,0)*IF(w_end_date&gt;=AO146,1,0)*w_amount*(1+w_escalation/100)^(INT((AP146-w_months_since_start)/12))*IF(MOD(AP146-w_months_since_start,w_frequency)=0,1,0)*IF(w_frequency=13,0,1))+SUM(IF(w_start_date=AO146,w_amount,0)*IF(w_frequency=13,1,0))</f>
        <v>0</v>
      </c>
      <c r="BC146" s="25">
        <f t="shared" ca="1" si="198"/>
        <v>0</v>
      </c>
      <c r="BD146" s="24" t="b">
        <f t="shared" ca="1" si="199"/>
        <v>1</v>
      </c>
      <c r="BE146" s="24" t="b">
        <f t="shared" ca="1" si="200"/>
        <v>1</v>
      </c>
      <c r="BF146" s="23">
        <f t="array" aca="1" ref="BF146" ca="1">SUM(IF(BD146,1,0)*IF(ap_start_date&lt;=AO146,1,0)*IF(ap_end_date&gt;=AO146,1,0)*ap_amount*(1+ap_escalation/100)^(INT((AP146-ap_months_since_start)/12))*IF(MOD(AP146-ap_months_since_start,ap_frequency)=0,1,0))</f>
        <v>35000</v>
      </c>
      <c r="BG146" s="24">
        <f t="shared" ca="1" si="201"/>
        <v>420000</v>
      </c>
      <c r="BH146" s="24">
        <f t="shared" ca="1" si="202"/>
        <v>68317.511970540538</v>
      </c>
      <c r="BI146">
        <f t="shared" ca="1" si="203"/>
        <v>0</v>
      </c>
      <c r="BJ146" s="24">
        <f t="shared" ca="1" si="204"/>
        <v>478222.58379378368</v>
      </c>
      <c r="BK146">
        <f t="shared" ca="1" si="205"/>
        <v>0</v>
      </c>
      <c r="BL146" s="25">
        <f t="shared" ca="1" si="206"/>
        <v>35000</v>
      </c>
      <c r="BM146" s="32">
        <f t="shared" ca="1" si="185"/>
        <v>2605060.9703839594</v>
      </c>
      <c r="BN146" s="23">
        <f t="shared" ca="1" si="207"/>
        <v>0</v>
      </c>
      <c r="BO146" s="24">
        <f t="shared" ca="1" si="208"/>
        <v>0</v>
      </c>
      <c r="BP146" s="25">
        <f t="shared" ca="1" si="209"/>
        <v>0</v>
      </c>
      <c r="BQ146" s="34">
        <f t="shared" ca="1" si="210"/>
        <v>49856</v>
      </c>
      <c r="BR146" s="23">
        <f t="shared" ca="1" si="211"/>
        <v>2605060.9703839594</v>
      </c>
      <c r="BS146" s="24">
        <f t="shared" ca="1" si="212"/>
        <v>0</v>
      </c>
      <c r="BT146" s="24">
        <f t="shared" ca="1" si="150"/>
        <v>33305.496410662752</v>
      </c>
      <c r="BU146" s="24">
        <f t="shared" ca="1" si="213"/>
        <v>0</v>
      </c>
      <c r="BV146" s="24">
        <f t="shared" ca="1" si="151"/>
        <v>0</v>
      </c>
      <c r="BW146" s="24">
        <f t="shared" ca="1" si="214"/>
        <v>-35000</v>
      </c>
      <c r="BX146" s="25">
        <f t="shared" ca="1" si="152"/>
        <v>-280000</v>
      </c>
      <c r="BY146" s="23">
        <f t="shared" ca="1" si="186"/>
        <v>1653922.0809728545</v>
      </c>
      <c r="BZ146" s="24">
        <f t="shared" ca="1" si="187"/>
        <v>0</v>
      </c>
      <c r="CA146" s="24">
        <f t="shared" ca="1" si="153"/>
        <v>21848.023432878221</v>
      </c>
      <c r="CB146" s="24">
        <f t="shared" ca="1" si="188"/>
        <v>0</v>
      </c>
      <c r="CC146" s="24">
        <f t="shared" ca="1" si="154"/>
        <v>0</v>
      </c>
      <c r="CD146" s="24">
        <f t="shared" ca="1" si="189"/>
        <v>-22293.82780758863</v>
      </c>
      <c r="CE146" s="25">
        <f t="shared" ca="1" si="155"/>
        <v>-180407.61485598213</v>
      </c>
      <c r="CF146" s="23">
        <f t="shared" ca="1" si="156"/>
        <v>280000</v>
      </c>
      <c r="CG146" s="25">
        <f t="array" aca="1" ref="CG146" ca="1">SUM(BF135:BF146/(1+inflation/100)^(AP135:AP146/12))</f>
        <v>179818.93445665875</v>
      </c>
      <c r="CH146" s="32">
        <f ca="1">IFERROR(IF(MOD(AP146-ap_months_since_start,12)=0,ap_drawdown/100*(AQ146+AV146+BA146-BC146),CH145),0)</f>
        <v>419999.99999999994</v>
      </c>
      <c r="EL146" s="21">
        <f t="shared" ca="1" si="219"/>
        <v>6</v>
      </c>
      <c r="EM146" t="str">
        <f t="shared" ca="1" si="163"/>
        <v/>
      </c>
      <c r="EN146" t="str">
        <f t="shared" ca="1" si="164"/>
        <v/>
      </c>
      <c r="EO146" t="str">
        <f t="shared" ca="1" si="165"/>
        <v/>
      </c>
      <c r="EP146" s="1" t="str">
        <f t="shared" ca="1" si="166"/>
        <v/>
      </c>
      <c r="EQ146" s="1" t="str">
        <f t="shared" ca="1" si="167"/>
        <v/>
      </c>
      <c r="ER146" t="str">
        <f t="shared" ca="1" si="168"/>
        <v/>
      </c>
      <c r="ES146" t="str">
        <f t="shared" si="169"/>
        <v/>
      </c>
      <c r="ET146">
        <v>0</v>
      </c>
      <c r="EU146" s="22">
        <v>137</v>
      </c>
      <c r="EX146" s="21" t="str">
        <f ca="1">IF(EX145="","",IF(EX145+1&lt;=MAX('Financial Planning Tool'!$EL$10:$EL$209),EX145+1,""))</f>
        <v/>
      </c>
      <c r="EY146" t="str">
        <f ca="1">IF(EX146&lt;&gt;"",VLOOKUP(EX146,'Financial Planning Tool'!$EL$10:$ER$209,2,FALSE),"")</f>
        <v/>
      </c>
      <c r="EZ146" t="str">
        <f ca="1">IF(EX146&lt;&gt;"",VLOOKUP(EX146,'Financial Planning Tool'!$EL$10:$ER$209,3,FALSE),"")</f>
        <v/>
      </c>
      <c r="FA146" t="str">
        <f ca="1">IF(EX146&lt;&gt;"",VLOOKUP(EX146,'Financial Planning Tool'!$EL$10:$ER$209,4,FALSE),"")</f>
        <v/>
      </c>
      <c r="FB146" t="str">
        <f t="shared" ca="1" si="220"/>
        <v/>
      </c>
      <c r="FC146" s="1" t="str">
        <f ca="1">IF(EX146&lt;&gt;"",VLOOKUP(EX146,'Financial Planning Tool'!$EL$10:$ER$209,5,FALSE),"")</f>
        <v/>
      </c>
      <c r="FD146" s="1" t="str">
        <f ca="1">IF(EX146&lt;&gt;"",VLOOKUP(EX146,'Financial Planning Tool'!$EL$10:$ER$209,6,FALSE),"")</f>
        <v/>
      </c>
      <c r="FE146" t="str">
        <f ca="1">IF(EX146&lt;&gt;"",VLOOKUP(EX146,'Financial Planning Tool'!$EL$10:$ER$209,7,FALSE),"")</f>
        <v/>
      </c>
      <c r="FF146" t="str">
        <f ca="1">IF(EX146&lt;&gt;"",VLOOKUP(EX146,'Financial Planning Tool'!$EL$10:$ES$209,8,FALSE),"")</f>
        <v/>
      </c>
      <c r="FG146" t="str">
        <f ca="1">IF(EX146&lt;&gt;"",VLOOKUP(EX146,'Financial Planning Tool'!$EL$10:$ET$209,9,FALSE),"")</f>
        <v/>
      </c>
      <c r="FH146" t="str">
        <f t="shared" ca="1" si="217"/>
        <v/>
      </c>
      <c r="FI146" s="22" t="str">
        <f t="shared" ca="1" si="218"/>
        <v/>
      </c>
    </row>
    <row r="147" spans="7:165" x14ac:dyDescent="0.25">
      <c r="G147" s="18"/>
      <c r="H147" s="5">
        <f t="shared" ca="1" si="171"/>
        <v>79593</v>
      </c>
      <c r="I147" s="8">
        <f t="shared" ca="1" si="172"/>
        <v>147</v>
      </c>
      <c r="J147" s="12" t="str">
        <f t="shared" ca="1" si="174"/>
        <v/>
      </c>
      <c r="K147" s="12" t="str">
        <f t="shared" ca="1" si="175"/>
        <v/>
      </c>
      <c r="L147" s="12" t="str">
        <f t="shared" ca="1" si="176"/>
        <v/>
      </c>
      <c r="M147" s="12" t="str">
        <f t="shared" ca="1" si="177"/>
        <v/>
      </c>
      <c r="N147" s="12">
        <f t="shared" ca="1" si="178"/>
        <v>-173.06</v>
      </c>
      <c r="O147" s="12">
        <f t="shared" ca="1" si="179"/>
        <v>-4.6100000000000003</v>
      </c>
      <c r="P147" s="12">
        <f t="shared" ca="1" si="180"/>
        <v>896.83</v>
      </c>
      <c r="Q147" s="12">
        <f t="shared" ca="1" si="181"/>
        <v>23.37</v>
      </c>
      <c r="S147" s="18"/>
      <c r="T147" s="5">
        <f t="shared" ca="1" si="182"/>
        <v>79593</v>
      </c>
      <c r="U147" s="8">
        <f t="shared" ca="1" si="183"/>
        <v>147</v>
      </c>
      <c r="V147" s="12"/>
      <c r="W147" s="12"/>
      <c r="X147" s="12"/>
      <c r="Y147" s="12"/>
      <c r="Z147" s="12"/>
      <c r="AA147" s="12"/>
      <c r="AB147" s="12">
        <v>641769782.47000003</v>
      </c>
      <c r="AC147" s="12">
        <v>16721633.859999999</v>
      </c>
      <c r="AE147" s="21">
        <v>94</v>
      </c>
      <c r="AF147" s="22">
        <f t="shared" ca="1" si="170"/>
        <v>1</v>
      </c>
      <c r="AI147" s="21">
        <f t="shared" ca="1" si="173"/>
        <v>1</v>
      </c>
      <c r="AJ147" s="22">
        <v>0</v>
      </c>
      <c r="AN147" s="32">
        <f t="shared" ca="1" si="184"/>
        <v>66.5</v>
      </c>
      <c r="AO147" s="53">
        <f t="shared" ca="1" si="215"/>
        <v>49857</v>
      </c>
      <c r="AP147" s="22">
        <v>140</v>
      </c>
      <c r="AQ147" s="32">
        <f t="shared" ca="1" si="216"/>
        <v>2605060.9703839594</v>
      </c>
      <c r="AR147" s="23">
        <f t="array" aca="1" ref="AR147" ca="1">SUM(IF(lsc_start_date=AO147,lsc_amount,0))</f>
        <v>0</v>
      </c>
      <c r="AS147" s="24">
        <f t="shared" ca="1" si="190"/>
        <v>0</v>
      </c>
      <c r="AT147" s="24">
        <f t="shared" ca="1" si="191"/>
        <v>0</v>
      </c>
      <c r="AU147" s="24">
        <f t="shared" ca="1" si="192"/>
        <v>0</v>
      </c>
      <c r="AV147" s="25">
        <f t="shared" ca="1" si="193"/>
        <v>0</v>
      </c>
      <c r="AW147" s="23">
        <f t="array" aca="1" ref="AW147" ca="1">SUM(IF(rcs_start_date&lt;=AO147,1,0)*IF(rcs_end_date&gt;=AO147,1,0)*rcs_amount*(1+rcs_escalation/100)^(INT((AP147-rcs_months_since_start)/12))*IF(MOD((AP147-rcs_months_since_start),rcs_frequency)=0,1,0)*IF(rcs_frequency=13,0,1))+SUM(IF(rcs_start_date=AO147,rcs_amount,0)*IF(rcs_frequency=13,1,0))</f>
        <v>0</v>
      </c>
      <c r="AX147" s="24">
        <f t="shared" ca="1" si="194"/>
        <v>0</v>
      </c>
      <c r="AY147" s="24">
        <f t="shared" ca="1" si="195"/>
        <v>0</v>
      </c>
      <c r="AZ147" s="24">
        <f t="shared" ca="1" si="196"/>
        <v>0</v>
      </c>
      <c r="BA147" s="25">
        <f t="shared" ca="1" si="197"/>
        <v>0</v>
      </c>
      <c r="BB147" s="23">
        <f t="array" aca="1" ref="BB147" ca="1">SUM(IF(w_start_date&lt;=AO147,1,0)*IF(w_end_date&gt;=AO147,1,0)*w_amount*(1+w_escalation/100)^(INT((AP147-w_months_since_start)/12))*IF(MOD(AP147-w_months_since_start,w_frequency)=0,1,0)*IF(w_frequency=13,0,1))+SUM(IF(w_start_date=AO147,w_amount,0)*IF(w_frequency=13,1,0))</f>
        <v>0</v>
      </c>
      <c r="BC147" s="25">
        <f t="shared" ca="1" si="198"/>
        <v>0</v>
      </c>
      <c r="BD147" s="24" t="b">
        <f t="shared" ca="1" si="199"/>
        <v>1</v>
      </c>
      <c r="BE147" s="24" t="b">
        <f t="shared" ca="1" si="200"/>
        <v>1</v>
      </c>
      <c r="BF147" s="23">
        <f t="array" aca="1" ref="BF147" ca="1">SUM(IF(BD147,1,0)*IF(ap_start_date&lt;=AO147,1,0)*IF(ap_end_date&gt;=AO147,1,0)*ap_amount*(1+ap_escalation/100)^(INT((AP147-ap_months_since_start)/12))*IF(MOD(AP147-ap_months_since_start,ap_frequency)=0,1,0))</f>
        <v>35000</v>
      </c>
      <c r="BG147" s="24">
        <f t="shared" ca="1" si="201"/>
        <v>420000</v>
      </c>
      <c r="BH147" s="24">
        <f t="shared" ca="1" si="202"/>
        <v>68317.511970540538</v>
      </c>
      <c r="BI147">
        <f t="shared" ca="1" si="203"/>
        <v>0</v>
      </c>
      <c r="BJ147" s="24">
        <f t="shared" ca="1" si="204"/>
        <v>478222.58379378368</v>
      </c>
      <c r="BK147">
        <f t="shared" ca="1" si="205"/>
        <v>0</v>
      </c>
      <c r="BL147" s="25">
        <f t="shared" ca="1" si="206"/>
        <v>35000</v>
      </c>
      <c r="BM147" s="32">
        <f t="shared" ca="1" si="185"/>
        <v>2588584.2307397006</v>
      </c>
      <c r="BN147" s="23">
        <f t="shared" ca="1" si="207"/>
        <v>0</v>
      </c>
      <c r="BO147" s="24">
        <f t="shared" ca="1" si="208"/>
        <v>0</v>
      </c>
      <c r="BP147" s="25">
        <f t="shared" ca="1" si="209"/>
        <v>0</v>
      </c>
      <c r="BQ147" s="34">
        <f t="shared" ca="1" si="210"/>
        <v>49887</v>
      </c>
      <c r="BR147" s="23">
        <f t="shared" ca="1" si="211"/>
        <v>2588584.2307397006</v>
      </c>
      <c r="BS147" s="24">
        <f t="shared" ca="1" si="212"/>
        <v>0</v>
      </c>
      <c r="BT147" s="24">
        <f t="shared" ca="1" si="150"/>
        <v>26644.397128530203</v>
      </c>
      <c r="BU147" s="24">
        <f t="shared" ca="1" si="213"/>
        <v>0</v>
      </c>
      <c r="BV147" s="24">
        <f t="shared" ca="1" si="151"/>
        <v>0</v>
      </c>
      <c r="BW147" s="24">
        <f t="shared" ca="1" si="214"/>
        <v>-35000</v>
      </c>
      <c r="BX147" s="25">
        <f t="shared" ca="1" si="152"/>
        <v>-315000</v>
      </c>
      <c r="BY147" s="23">
        <f t="shared" ca="1" si="186"/>
        <v>1638098.4876749241</v>
      </c>
      <c r="BZ147" s="24">
        <f t="shared" ca="1" si="187"/>
        <v>0</v>
      </c>
      <c r="CA147" s="24">
        <f t="shared" ca="1" si="153"/>
        <v>17449.809001822669</v>
      </c>
      <c r="CB147" s="24">
        <f t="shared" ca="1" si="188"/>
        <v>0</v>
      </c>
      <c r="CC147" s="24">
        <f t="shared" ca="1" si="154"/>
        <v>0</v>
      </c>
      <c r="CD147" s="24">
        <f t="shared" ca="1" si="189"/>
        <v>-22221.081768200576</v>
      </c>
      <c r="CE147" s="25">
        <f t="shared" ca="1" si="155"/>
        <v>-202628.69662418272</v>
      </c>
      <c r="CF147" s="23">
        <f t="shared" ca="1" si="156"/>
        <v>315000</v>
      </c>
      <c r="CG147" s="25">
        <f t="array" aca="1" ref="CG147" ca="1">SUM(BF136:BF147/(1+inflation/100)^(AP136:AP147/12))</f>
        <v>201967.50755997206</v>
      </c>
      <c r="CH147" s="32">
        <f ca="1">IFERROR(IF(MOD(AP147-ap_months_since_start,12)=0,ap_drawdown/100*(AQ147+AV147+BA147-BC147),CH146),0)</f>
        <v>419999.99999999994</v>
      </c>
      <c r="EL147" s="21">
        <f t="shared" ca="1" si="219"/>
        <v>6</v>
      </c>
      <c r="EM147" t="str">
        <f t="shared" ca="1" si="163"/>
        <v/>
      </c>
      <c r="EN147" t="str">
        <f t="shared" ca="1" si="164"/>
        <v/>
      </c>
      <c r="EO147" t="str">
        <f t="shared" ca="1" si="165"/>
        <v/>
      </c>
      <c r="EP147" s="1" t="str">
        <f t="shared" ca="1" si="166"/>
        <v/>
      </c>
      <c r="EQ147" s="1" t="str">
        <f t="shared" ca="1" si="167"/>
        <v/>
      </c>
      <c r="ER147" t="str">
        <f t="shared" ca="1" si="168"/>
        <v/>
      </c>
      <c r="ES147" t="str">
        <f t="shared" si="169"/>
        <v/>
      </c>
      <c r="ET147">
        <v>0</v>
      </c>
      <c r="EU147" s="22">
        <v>138</v>
      </c>
      <c r="EX147" s="21" t="str">
        <f ca="1">IF(EX146="","",IF(EX146+1&lt;=MAX('Financial Planning Tool'!$EL$10:$EL$209),EX146+1,""))</f>
        <v/>
      </c>
      <c r="EY147" t="str">
        <f ca="1">IF(EX147&lt;&gt;"",VLOOKUP(EX147,'Financial Planning Tool'!$EL$10:$ER$209,2,FALSE),"")</f>
        <v/>
      </c>
      <c r="EZ147" t="str">
        <f ca="1">IF(EX147&lt;&gt;"",VLOOKUP(EX147,'Financial Planning Tool'!$EL$10:$ER$209,3,FALSE),"")</f>
        <v/>
      </c>
      <c r="FA147" t="str">
        <f ca="1">IF(EX147&lt;&gt;"",VLOOKUP(EX147,'Financial Planning Tool'!$EL$10:$ER$209,4,FALSE),"")</f>
        <v/>
      </c>
      <c r="FB147" t="str">
        <f t="shared" ca="1" si="220"/>
        <v/>
      </c>
      <c r="FC147" s="1" t="str">
        <f ca="1">IF(EX147&lt;&gt;"",VLOOKUP(EX147,'Financial Planning Tool'!$EL$10:$ER$209,5,FALSE),"")</f>
        <v/>
      </c>
      <c r="FD147" s="1" t="str">
        <f ca="1">IF(EX147&lt;&gt;"",VLOOKUP(EX147,'Financial Planning Tool'!$EL$10:$ER$209,6,FALSE),"")</f>
        <v/>
      </c>
      <c r="FE147" t="str">
        <f ca="1">IF(EX147&lt;&gt;"",VLOOKUP(EX147,'Financial Planning Tool'!$EL$10:$ER$209,7,FALSE),"")</f>
        <v/>
      </c>
      <c r="FF147" t="str">
        <f ca="1">IF(EX147&lt;&gt;"",VLOOKUP(EX147,'Financial Planning Tool'!$EL$10:$ES$209,8,FALSE),"")</f>
        <v/>
      </c>
      <c r="FG147" t="str">
        <f ca="1">IF(EX147&lt;&gt;"",VLOOKUP(EX147,'Financial Planning Tool'!$EL$10:$ET$209,9,FALSE),"")</f>
        <v/>
      </c>
      <c r="FH147" t="str">
        <f t="shared" ca="1" si="217"/>
        <v/>
      </c>
      <c r="FI147" s="22" t="str">
        <f t="shared" ca="1" si="218"/>
        <v/>
      </c>
    </row>
    <row r="148" spans="7:165" x14ac:dyDescent="0.25">
      <c r="G148" s="18"/>
      <c r="H148" s="5">
        <f t="shared" ca="1" si="171"/>
        <v>79958</v>
      </c>
      <c r="I148" s="8">
        <f t="shared" ca="1" si="172"/>
        <v>148</v>
      </c>
      <c r="J148" s="12" t="str">
        <f t="shared" ca="1" si="174"/>
        <v/>
      </c>
      <c r="K148" s="12" t="str">
        <f t="shared" ca="1" si="175"/>
        <v/>
      </c>
      <c r="L148" s="12" t="str">
        <f t="shared" ca="1" si="176"/>
        <v/>
      </c>
      <c r="M148" s="12" t="str">
        <f t="shared" ca="1" si="177"/>
        <v/>
      </c>
      <c r="N148" s="12">
        <f t="shared" ca="1" si="178"/>
        <v>-156.9</v>
      </c>
      <c r="O148" s="12">
        <f t="shared" ca="1" si="179"/>
        <v>-4.0199999999999996</v>
      </c>
      <c r="P148" s="12">
        <f t="shared" ca="1" si="180"/>
        <v>813.05</v>
      </c>
      <c r="Q148" s="12">
        <f t="shared" ca="1" si="181"/>
        <v>20.37</v>
      </c>
      <c r="S148" s="18"/>
      <c r="T148" s="5">
        <f t="shared" ca="1" si="182"/>
        <v>79958</v>
      </c>
      <c r="U148" s="8">
        <f t="shared" ca="1" si="183"/>
        <v>148</v>
      </c>
      <c r="V148" s="12"/>
      <c r="W148" s="12"/>
      <c r="X148" s="12"/>
      <c r="Y148" s="12"/>
      <c r="Z148" s="12"/>
      <c r="AA148" s="12"/>
      <c r="AB148" s="12">
        <v>693111365.07000005</v>
      </c>
      <c r="AC148" s="12">
        <v>17364773.620000001</v>
      </c>
      <c r="AE148" s="21">
        <v>95</v>
      </c>
      <c r="AF148" s="22">
        <f t="shared" ca="1" si="170"/>
        <v>1</v>
      </c>
      <c r="AI148" s="21">
        <f t="shared" ca="1" si="173"/>
        <v>1</v>
      </c>
      <c r="AJ148" s="22">
        <v>0</v>
      </c>
      <c r="AN148" s="32">
        <f t="shared" ca="1" si="184"/>
        <v>66.583333333333329</v>
      </c>
      <c r="AO148" s="53">
        <f t="shared" ca="1" si="215"/>
        <v>49888</v>
      </c>
      <c r="AP148" s="22">
        <v>141</v>
      </c>
      <c r="AQ148" s="32">
        <f t="shared" ca="1" si="216"/>
        <v>2588584.2307397006</v>
      </c>
      <c r="AR148" s="23">
        <f t="array" aca="1" ref="AR148" ca="1">SUM(IF(lsc_start_date=AO148,lsc_amount,0))</f>
        <v>0</v>
      </c>
      <c r="AS148" s="24">
        <f t="shared" ca="1" si="190"/>
        <v>0</v>
      </c>
      <c r="AT148" s="24">
        <f t="shared" ca="1" si="191"/>
        <v>0</v>
      </c>
      <c r="AU148" s="24">
        <f t="shared" ca="1" si="192"/>
        <v>0</v>
      </c>
      <c r="AV148" s="25">
        <f t="shared" ca="1" si="193"/>
        <v>0</v>
      </c>
      <c r="AW148" s="23">
        <f t="array" aca="1" ref="AW148" ca="1">SUM(IF(rcs_start_date&lt;=AO148,1,0)*IF(rcs_end_date&gt;=AO148,1,0)*rcs_amount*(1+rcs_escalation/100)^(INT((AP148-rcs_months_since_start)/12))*IF(MOD((AP148-rcs_months_since_start),rcs_frequency)=0,1,0)*IF(rcs_frequency=13,0,1))+SUM(IF(rcs_start_date=AO148,rcs_amount,0)*IF(rcs_frequency=13,1,0))</f>
        <v>0</v>
      </c>
      <c r="AX148" s="24">
        <f t="shared" ca="1" si="194"/>
        <v>0</v>
      </c>
      <c r="AY148" s="24">
        <f t="shared" ca="1" si="195"/>
        <v>0</v>
      </c>
      <c r="AZ148" s="24">
        <f t="shared" ca="1" si="196"/>
        <v>0</v>
      </c>
      <c r="BA148" s="25">
        <f t="shared" ca="1" si="197"/>
        <v>0</v>
      </c>
      <c r="BB148" s="23">
        <f t="array" aca="1" ref="BB148" ca="1">SUM(IF(w_start_date&lt;=AO148,1,0)*IF(w_end_date&gt;=AO148,1,0)*w_amount*(1+w_escalation/100)^(INT((AP148-w_months_since_start)/12))*IF(MOD(AP148-w_months_since_start,w_frequency)=0,1,0)*IF(w_frequency=13,0,1))+SUM(IF(w_start_date=AO148,w_amount,0)*IF(w_frequency=13,1,0))</f>
        <v>0</v>
      </c>
      <c r="BC148" s="25">
        <f t="shared" ca="1" si="198"/>
        <v>0</v>
      </c>
      <c r="BD148" s="24" t="b">
        <f t="shared" ca="1" si="199"/>
        <v>1</v>
      </c>
      <c r="BE148" s="24" t="b">
        <f t="shared" ca="1" si="200"/>
        <v>1</v>
      </c>
      <c r="BF148" s="23">
        <f t="array" aca="1" ref="BF148" ca="1">SUM(IF(BD148,1,0)*IF(ap_start_date&lt;=AO148,1,0)*IF(ap_end_date&gt;=AO148,1,0)*ap_amount*(1+ap_escalation/100)^(INT((AP148-ap_months_since_start)/12))*IF(MOD(AP148-ap_months_since_start,ap_frequency)=0,1,0))</f>
        <v>35000</v>
      </c>
      <c r="BG148" s="24">
        <f t="shared" ca="1" si="201"/>
        <v>420000</v>
      </c>
      <c r="BH148" s="24">
        <f t="shared" ca="1" si="202"/>
        <v>68317.511970540538</v>
      </c>
      <c r="BI148">
        <f t="shared" ca="1" si="203"/>
        <v>0</v>
      </c>
      <c r="BJ148" s="24">
        <f t="shared" ca="1" si="204"/>
        <v>478222.58379378368</v>
      </c>
      <c r="BK148">
        <f t="shared" ca="1" si="205"/>
        <v>0</v>
      </c>
      <c r="BL148" s="25">
        <f t="shared" ca="1" si="206"/>
        <v>35000</v>
      </c>
      <c r="BM148" s="32">
        <f t="shared" ca="1" si="185"/>
        <v>2571988.7379056299</v>
      </c>
      <c r="BN148" s="23">
        <f t="shared" ca="1" si="207"/>
        <v>0</v>
      </c>
      <c r="BO148" s="24">
        <f t="shared" ca="1" si="208"/>
        <v>0</v>
      </c>
      <c r="BP148" s="25">
        <f t="shared" ca="1" si="209"/>
        <v>0</v>
      </c>
      <c r="BQ148" s="34">
        <f t="shared" ca="1" si="210"/>
        <v>49918</v>
      </c>
      <c r="BR148" s="23">
        <f t="shared" ca="1" si="211"/>
        <v>2571988.7379056299</v>
      </c>
      <c r="BS148" s="24">
        <f t="shared" ca="1" si="212"/>
        <v>0</v>
      </c>
      <c r="BT148" s="24">
        <f t="shared" ref="BT148:BT211" ca="1" si="221">SUM(BS137:BS148)</f>
        <v>19983.297846397654</v>
      </c>
      <c r="BU148" s="24">
        <f t="shared" ca="1" si="213"/>
        <v>0</v>
      </c>
      <c r="BV148" s="24">
        <f t="shared" ref="BV148:BV211" ca="1" si="222">SUM(BU137:BU148)</f>
        <v>0</v>
      </c>
      <c r="BW148" s="24">
        <f t="shared" ca="1" si="214"/>
        <v>-35000</v>
      </c>
      <c r="BX148" s="25">
        <f t="shared" ref="BX148:BX211" ca="1" si="223">SUM(BW137:BW148)</f>
        <v>-350000</v>
      </c>
      <c r="BY148" s="23">
        <f t="shared" ca="1" si="186"/>
        <v>1622285.6470079115</v>
      </c>
      <c r="BZ148" s="24">
        <f t="shared" ca="1" si="187"/>
        <v>0</v>
      </c>
      <c r="CA148" s="24">
        <f t="shared" ref="CA148:CA211" ca="1" si="224">SUM(BZ137:BZ148)</f>
        <v>13065.946196831515</v>
      </c>
      <c r="CB148" s="24">
        <f t="shared" ca="1" si="188"/>
        <v>0</v>
      </c>
      <c r="CC148" s="24">
        <f t="shared" ref="CC148:CC211" ca="1" si="225">SUM(CB137:CB148)</f>
        <v>0</v>
      </c>
      <c r="CD148" s="24">
        <f t="shared" ca="1" si="189"/>
        <v>-22148.573103313323</v>
      </c>
      <c r="CE148" s="25">
        <f t="shared" ref="CE148:CE211" ca="1" si="226">SUM(CD137:CD148)</f>
        <v>-224777.26972749605</v>
      </c>
      <c r="CF148" s="23">
        <f t="shared" ref="CF148:CF211" ca="1" si="227">SUM(BF137:BF148)</f>
        <v>350000</v>
      </c>
      <c r="CG148" s="25">
        <f t="array" aca="1" ref="CG148" ca="1">SUM(BF137:BF148/(1+inflation/100)^(AP137:AP148/12))</f>
        <v>224043.80859833231</v>
      </c>
      <c r="CH148" s="32">
        <f ca="1">IFERROR(IF(MOD(AP148-ap_months_since_start,12)=0,ap_drawdown/100*(AQ148+AV148+BA148-BC148),CH147),0)</f>
        <v>419999.99999999994</v>
      </c>
      <c r="EL148" s="21">
        <f t="shared" ca="1" si="219"/>
        <v>6</v>
      </c>
      <c r="EM148" t="str">
        <f t="shared" ca="1" si="163"/>
        <v/>
      </c>
      <c r="EN148" t="str">
        <f t="shared" ca="1" si="164"/>
        <v/>
      </c>
      <c r="EO148" t="str">
        <f t="shared" ca="1" si="165"/>
        <v/>
      </c>
      <c r="EP148" s="1" t="str">
        <f t="shared" ca="1" si="166"/>
        <v/>
      </c>
      <c r="EQ148" s="1" t="str">
        <f t="shared" ca="1" si="167"/>
        <v/>
      </c>
      <c r="ER148" t="str">
        <f t="shared" ca="1" si="168"/>
        <v/>
      </c>
      <c r="ES148" t="str">
        <f t="shared" si="169"/>
        <v/>
      </c>
      <c r="ET148">
        <v>0</v>
      </c>
      <c r="EU148" s="22">
        <v>139</v>
      </c>
      <c r="EX148" s="21" t="str">
        <f ca="1">IF(EX147="","",IF(EX147+1&lt;=MAX('Financial Planning Tool'!$EL$10:$EL$209),EX147+1,""))</f>
        <v/>
      </c>
      <c r="EY148" t="str">
        <f ca="1">IF(EX148&lt;&gt;"",VLOOKUP(EX148,'Financial Planning Tool'!$EL$10:$ER$209,2,FALSE),"")</f>
        <v/>
      </c>
      <c r="EZ148" t="str">
        <f ca="1">IF(EX148&lt;&gt;"",VLOOKUP(EX148,'Financial Planning Tool'!$EL$10:$ER$209,3,FALSE),"")</f>
        <v/>
      </c>
      <c r="FA148" t="str">
        <f ca="1">IF(EX148&lt;&gt;"",VLOOKUP(EX148,'Financial Planning Tool'!$EL$10:$ER$209,4,FALSE),"")</f>
        <v/>
      </c>
      <c r="FB148" t="str">
        <f t="shared" ca="1" si="220"/>
        <v/>
      </c>
      <c r="FC148" s="1" t="str">
        <f ca="1">IF(EX148&lt;&gt;"",VLOOKUP(EX148,'Financial Planning Tool'!$EL$10:$ER$209,5,FALSE),"")</f>
        <v/>
      </c>
      <c r="FD148" s="1" t="str">
        <f ca="1">IF(EX148&lt;&gt;"",VLOOKUP(EX148,'Financial Planning Tool'!$EL$10:$ER$209,6,FALSE),"")</f>
        <v/>
      </c>
      <c r="FE148" t="str">
        <f ca="1">IF(EX148&lt;&gt;"",VLOOKUP(EX148,'Financial Planning Tool'!$EL$10:$ER$209,7,FALSE),"")</f>
        <v/>
      </c>
      <c r="FF148" t="str">
        <f ca="1">IF(EX148&lt;&gt;"",VLOOKUP(EX148,'Financial Planning Tool'!$EL$10:$ES$209,8,FALSE),"")</f>
        <v/>
      </c>
      <c r="FG148" t="str">
        <f ca="1">IF(EX148&lt;&gt;"",VLOOKUP(EX148,'Financial Planning Tool'!$EL$10:$ET$209,9,FALSE),"")</f>
        <v/>
      </c>
      <c r="FH148" t="str">
        <f t="shared" ca="1" si="217"/>
        <v/>
      </c>
      <c r="FI148" s="22" t="str">
        <f t="shared" ca="1" si="218"/>
        <v/>
      </c>
    </row>
    <row r="149" spans="7:165" x14ac:dyDescent="0.25">
      <c r="G149" s="18"/>
      <c r="H149" s="5">
        <f t="shared" ca="1" si="171"/>
        <v>80323</v>
      </c>
      <c r="I149" s="8">
        <f t="shared" ca="1" si="172"/>
        <v>149</v>
      </c>
      <c r="J149" s="12" t="str">
        <f t="shared" ca="1" si="174"/>
        <v/>
      </c>
      <c r="K149" s="12" t="str">
        <f t="shared" ca="1" si="175"/>
        <v/>
      </c>
      <c r="L149" s="12" t="str">
        <f t="shared" ca="1" si="176"/>
        <v/>
      </c>
      <c r="M149" s="12" t="str">
        <f t="shared" ca="1" si="177"/>
        <v/>
      </c>
      <c r="N149" s="12">
        <f t="shared" ca="1" si="178"/>
        <v>-142.24</v>
      </c>
      <c r="O149" s="12">
        <f t="shared" ca="1" si="179"/>
        <v>-3.5</v>
      </c>
      <c r="P149" s="12">
        <f t="shared" ca="1" si="180"/>
        <v>737.09</v>
      </c>
      <c r="Q149" s="12">
        <f t="shared" ca="1" si="181"/>
        <v>17.760000000000002</v>
      </c>
      <c r="S149" s="18"/>
      <c r="T149" s="5">
        <f t="shared" ca="1" si="182"/>
        <v>80323</v>
      </c>
      <c r="U149" s="8">
        <f t="shared" ca="1" si="183"/>
        <v>149</v>
      </c>
      <c r="V149" s="12"/>
      <c r="W149" s="12"/>
      <c r="X149" s="12"/>
      <c r="Y149" s="12"/>
      <c r="Z149" s="12"/>
      <c r="AA149" s="12"/>
      <c r="AB149" s="12">
        <v>748560274.27999997</v>
      </c>
      <c r="AC149" s="12">
        <v>18032649.530000001</v>
      </c>
      <c r="AE149" s="21">
        <v>96</v>
      </c>
      <c r="AF149" s="22">
        <f t="shared" ca="1" si="170"/>
        <v>1</v>
      </c>
      <c r="AI149" s="21">
        <f t="shared" ca="1" si="173"/>
        <v>1</v>
      </c>
      <c r="AJ149" s="22">
        <v>0</v>
      </c>
      <c r="AN149" s="32">
        <f t="shared" ca="1" si="184"/>
        <v>66.666666666666671</v>
      </c>
      <c r="AO149" s="53">
        <f t="shared" ca="1" si="215"/>
        <v>49919</v>
      </c>
      <c r="AP149" s="22">
        <v>142</v>
      </c>
      <c r="AQ149" s="32">
        <f t="shared" ca="1" si="216"/>
        <v>2571988.7379056299</v>
      </c>
      <c r="AR149" s="23">
        <f t="array" aca="1" ref="AR149" ca="1">SUM(IF(lsc_start_date=AO149,lsc_amount,0))</f>
        <v>0</v>
      </c>
      <c r="AS149" s="24">
        <f t="shared" ca="1" si="190"/>
        <v>0</v>
      </c>
      <c r="AT149" s="24">
        <f t="shared" ca="1" si="191"/>
        <v>0</v>
      </c>
      <c r="AU149" s="24">
        <f t="shared" ca="1" si="192"/>
        <v>0</v>
      </c>
      <c r="AV149" s="25">
        <f t="shared" ca="1" si="193"/>
        <v>0</v>
      </c>
      <c r="AW149" s="23">
        <f t="array" aca="1" ref="AW149" ca="1">SUM(IF(rcs_start_date&lt;=AO149,1,0)*IF(rcs_end_date&gt;=AO149,1,0)*rcs_amount*(1+rcs_escalation/100)^(INT((AP149-rcs_months_since_start)/12))*IF(MOD((AP149-rcs_months_since_start),rcs_frequency)=0,1,0)*IF(rcs_frequency=13,0,1))+SUM(IF(rcs_start_date=AO149,rcs_amount,0)*IF(rcs_frequency=13,1,0))</f>
        <v>0</v>
      </c>
      <c r="AX149" s="24">
        <f t="shared" ca="1" si="194"/>
        <v>0</v>
      </c>
      <c r="AY149" s="24">
        <f t="shared" ca="1" si="195"/>
        <v>0</v>
      </c>
      <c r="AZ149" s="24">
        <f t="shared" ca="1" si="196"/>
        <v>0</v>
      </c>
      <c r="BA149" s="25">
        <f t="shared" ca="1" si="197"/>
        <v>0</v>
      </c>
      <c r="BB149" s="23">
        <f t="array" aca="1" ref="BB149" ca="1">SUM(IF(w_start_date&lt;=AO149,1,0)*IF(w_end_date&gt;=AO149,1,0)*w_amount*(1+w_escalation/100)^(INT((AP149-w_months_since_start)/12))*IF(MOD(AP149-w_months_since_start,w_frequency)=0,1,0)*IF(w_frequency=13,0,1))+SUM(IF(w_start_date=AO149,w_amount,0)*IF(w_frequency=13,1,0))</f>
        <v>0</v>
      </c>
      <c r="BC149" s="25">
        <f t="shared" ca="1" si="198"/>
        <v>0</v>
      </c>
      <c r="BD149" s="24" t="b">
        <f t="shared" ca="1" si="199"/>
        <v>1</v>
      </c>
      <c r="BE149" s="24" t="b">
        <f t="shared" ca="1" si="200"/>
        <v>1</v>
      </c>
      <c r="BF149" s="23">
        <f t="array" aca="1" ref="BF149" ca="1">SUM(IF(BD149,1,0)*IF(ap_start_date&lt;=AO149,1,0)*IF(ap_end_date&gt;=AO149,1,0)*ap_amount*(1+ap_escalation/100)^(INT((AP149-ap_months_since_start)/12))*IF(MOD(AP149-ap_months_since_start,ap_frequency)=0,1,0))</f>
        <v>35000</v>
      </c>
      <c r="BG149" s="24">
        <f t="shared" ca="1" si="201"/>
        <v>420000</v>
      </c>
      <c r="BH149" s="24">
        <f t="shared" ca="1" si="202"/>
        <v>68317.511970540538</v>
      </c>
      <c r="BI149">
        <f t="shared" ca="1" si="203"/>
        <v>0</v>
      </c>
      <c r="BJ149" s="24">
        <f t="shared" ca="1" si="204"/>
        <v>478222.58379378368</v>
      </c>
      <c r="BK149">
        <f t="shared" ca="1" si="205"/>
        <v>0</v>
      </c>
      <c r="BL149" s="25">
        <f t="shared" ca="1" si="206"/>
        <v>35000</v>
      </c>
      <c r="BM149" s="32">
        <f t="shared" ca="1" si="185"/>
        <v>2555273.6359891132</v>
      </c>
      <c r="BN149" s="23">
        <f t="shared" ca="1" si="207"/>
        <v>0</v>
      </c>
      <c r="BO149" s="24">
        <f t="shared" ca="1" si="208"/>
        <v>0</v>
      </c>
      <c r="BP149" s="25">
        <f t="shared" ca="1" si="209"/>
        <v>0</v>
      </c>
      <c r="BQ149" s="34">
        <f t="shared" ca="1" si="210"/>
        <v>49948</v>
      </c>
      <c r="BR149" s="23">
        <f t="shared" ca="1" si="211"/>
        <v>2555273.6359891132</v>
      </c>
      <c r="BS149" s="24">
        <f t="shared" ca="1" si="212"/>
        <v>0</v>
      </c>
      <c r="BT149" s="24">
        <f t="shared" ca="1" si="221"/>
        <v>13322.198564265102</v>
      </c>
      <c r="BU149" s="24">
        <f t="shared" ca="1" si="213"/>
        <v>0</v>
      </c>
      <c r="BV149" s="24">
        <f t="shared" ca="1" si="222"/>
        <v>0</v>
      </c>
      <c r="BW149" s="24">
        <f t="shared" ca="1" si="214"/>
        <v>-35000</v>
      </c>
      <c r="BX149" s="25">
        <f t="shared" ca="1" si="223"/>
        <v>-385000</v>
      </c>
      <c r="BY149" s="23">
        <f t="shared" ca="1" si="186"/>
        <v>1606483.3636025912</v>
      </c>
      <c r="BZ149" s="24">
        <f t="shared" ca="1" si="187"/>
        <v>0</v>
      </c>
      <c r="CA149" s="24">
        <f t="shared" ca="1" si="224"/>
        <v>8696.3881877253971</v>
      </c>
      <c r="CB149" s="24">
        <f t="shared" ca="1" si="188"/>
        <v>0</v>
      </c>
      <c r="CC149" s="24">
        <f t="shared" ca="1" si="225"/>
        <v>0</v>
      </c>
      <c r="CD149" s="24">
        <f t="shared" ca="1" si="189"/>
        <v>-22076.301038360241</v>
      </c>
      <c r="CE149" s="25">
        <f t="shared" ca="1" si="226"/>
        <v>-246853.5707658563</v>
      </c>
      <c r="CF149" s="23">
        <f t="shared" ca="1" si="227"/>
        <v>385000</v>
      </c>
      <c r="CG149" s="25">
        <f t="array" aca="1" ref="CG149" ca="1">SUM(BF138:BF149/(1+inflation/100)^(AP138:AP149/12))</f>
        <v>246048.07339963451</v>
      </c>
      <c r="CH149" s="32">
        <f ca="1">IFERROR(IF(MOD(AP149-ap_months_since_start,12)=0,ap_drawdown/100*(AQ149+AV149+BA149-BC149),CH148),0)</f>
        <v>419999.99999999994</v>
      </c>
      <c r="EL149" s="21">
        <f t="shared" ca="1" si="219"/>
        <v>6</v>
      </c>
      <c r="EM149" t="str">
        <f t="shared" ca="1" si="163"/>
        <v/>
      </c>
      <c r="EN149" t="str">
        <f t="shared" ca="1" si="164"/>
        <v/>
      </c>
      <c r="EO149" t="str">
        <f t="shared" ca="1" si="165"/>
        <v/>
      </c>
      <c r="EP149" s="1" t="str">
        <f t="shared" ca="1" si="166"/>
        <v/>
      </c>
      <c r="EQ149" s="1" t="str">
        <f t="shared" ca="1" si="167"/>
        <v/>
      </c>
      <c r="ER149" t="str">
        <f t="shared" ca="1" si="168"/>
        <v/>
      </c>
      <c r="ES149" t="str">
        <f t="shared" si="169"/>
        <v/>
      </c>
      <c r="ET149">
        <v>0</v>
      </c>
      <c r="EU149" s="22">
        <v>140</v>
      </c>
      <c r="EX149" s="21" t="str">
        <f ca="1">IF(EX148="","",IF(EX148+1&lt;=MAX('Financial Planning Tool'!$EL$10:$EL$209),EX148+1,""))</f>
        <v/>
      </c>
      <c r="EY149" t="str">
        <f ca="1">IF(EX149&lt;&gt;"",VLOOKUP(EX149,'Financial Planning Tool'!$EL$10:$ER$209,2,FALSE),"")</f>
        <v/>
      </c>
      <c r="EZ149" t="str">
        <f ca="1">IF(EX149&lt;&gt;"",VLOOKUP(EX149,'Financial Planning Tool'!$EL$10:$ER$209,3,FALSE),"")</f>
        <v/>
      </c>
      <c r="FA149" t="str">
        <f ca="1">IF(EX149&lt;&gt;"",VLOOKUP(EX149,'Financial Planning Tool'!$EL$10:$ER$209,4,FALSE),"")</f>
        <v/>
      </c>
      <c r="FB149" t="str">
        <f t="shared" ca="1" si="220"/>
        <v/>
      </c>
      <c r="FC149" s="1" t="str">
        <f ca="1">IF(EX149&lt;&gt;"",VLOOKUP(EX149,'Financial Planning Tool'!$EL$10:$ER$209,5,FALSE),"")</f>
        <v/>
      </c>
      <c r="FD149" s="1" t="str">
        <f ca="1">IF(EX149&lt;&gt;"",VLOOKUP(EX149,'Financial Planning Tool'!$EL$10:$ER$209,6,FALSE),"")</f>
        <v/>
      </c>
      <c r="FE149" t="str">
        <f ca="1">IF(EX149&lt;&gt;"",VLOOKUP(EX149,'Financial Planning Tool'!$EL$10:$ER$209,7,FALSE),"")</f>
        <v/>
      </c>
      <c r="FF149" t="str">
        <f ca="1">IF(EX149&lt;&gt;"",VLOOKUP(EX149,'Financial Planning Tool'!$EL$10:$ES$209,8,FALSE),"")</f>
        <v/>
      </c>
      <c r="FG149" t="str">
        <f ca="1">IF(EX149&lt;&gt;"",VLOOKUP(EX149,'Financial Planning Tool'!$EL$10:$ET$209,9,FALSE),"")</f>
        <v/>
      </c>
      <c r="FH149" t="str">
        <f t="shared" ca="1" si="217"/>
        <v/>
      </c>
      <c r="FI149" s="22" t="str">
        <f t="shared" ca="1" si="218"/>
        <v/>
      </c>
    </row>
    <row r="150" spans="7:165" x14ac:dyDescent="0.25">
      <c r="G150" s="18"/>
      <c r="H150" s="5">
        <f t="shared" ca="1" si="171"/>
        <v>80689</v>
      </c>
      <c r="I150" s="8">
        <f t="shared" ca="1" si="172"/>
        <v>150</v>
      </c>
      <c r="J150" s="12" t="str">
        <f t="shared" ca="1" si="174"/>
        <v/>
      </c>
      <c r="K150" s="12" t="str">
        <f t="shared" ca="1" si="175"/>
        <v/>
      </c>
      <c r="L150" s="12" t="str">
        <f t="shared" ca="1" si="176"/>
        <v/>
      </c>
      <c r="M150" s="12" t="str">
        <f t="shared" ca="1" si="177"/>
        <v/>
      </c>
      <c r="N150" s="12">
        <f t="shared" ca="1" si="178"/>
        <v>-128.94999999999999</v>
      </c>
      <c r="O150" s="12">
        <f t="shared" ca="1" si="179"/>
        <v>-3.05</v>
      </c>
      <c r="P150" s="12">
        <f t="shared" ca="1" si="180"/>
        <v>668.24</v>
      </c>
      <c r="Q150" s="12">
        <f t="shared" ca="1" si="181"/>
        <v>15.48</v>
      </c>
      <c r="S150" s="18"/>
      <c r="T150" s="5">
        <f t="shared" ca="1" si="182"/>
        <v>80689</v>
      </c>
      <c r="U150" s="8">
        <f t="shared" ca="1" si="183"/>
        <v>150</v>
      </c>
      <c r="V150" s="12"/>
      <c r="W150" s="12"/>
      <c r="X150" s="12"/>
      <c r="Y150" s="12"/>
      <c r="Z150" s="12"/>
      <c r="AA150" s="12"/>
      <c r="AB150" s="12">
        <v>808445096.22000003</v>
      </c>
      <c r="AC150" s="12">
        <v>18726212.98</v>
      </c>
      <c r="AE150" s="21">
        <v>97</v>
      </c>
      <c r="AF150" s="22">
        <f t="shared" ca="1" si="170"/>
        <v>1</v>
      </c>
      <c r="AI150" s="21">
        <f t="shared" ca="1" si="173"/>
        <v>1</v>
      </c>
      <c r="AJ150" s="22">
        <v>0</v>
      </c>
      <c r="AN150" s="32">
        <f t="shared" ca="1" si="184"/>
        <v>66.75</v>
      </c>
      <c r="AO150" s="53">
        <f t="shared" ca="1" si="215"/>
        <v>49949</v>
      </c>
      <c r="AP150" s="22">
        <v>143</v>
      </c>
      <c r="AQ150" s="32">
        <f t="shared" ca="1" si="216"/>
        <v>2555273.6359891132</v>
      </c>
      <c r="AR150" s="23">
        <f t="array" aca="1" ref="AR150" ca="1">SUM(IF(lsc_start_date=AO150,lsc_amount,0))</f>
        <v>0</v>
      </c>
      <c r="AS150" s="24">
        <f t="shared" ca="1" si="190"/>
        <v>0</v>
      </c>
      <c r="AT150" s="24">
        <f t="shared" ca="1" si="191"/>
        <v>0</v>
      </c>
      <c r="AU150" s="24">
        <f t="shared" ca="1" si="192"/>
        <v>0</v>
      </c>
      <c r="AV150" s="25">
        <f t="shared" ca="1" si="193"/>
        <v>0</v>
      </c>
      <c r="AW150" s="23">
        <f t="array" aca="1" ref="AW150" ca="1">SUM(IF(rcs_start_date&lt;=AO150,1,0)*IF(rcs_end_date&gt;=AO150,1,0)*rcs_amount*(1+rcs_escalation/100)^(INT((AP150-rcs_months_since_start)/12))*IF(MOD((AP150-rcs_months_since_start),rcs_frequency)=0,1,0)*IF(rcs_frequency=13,0,1))+SUM(IF(rcs_start_date=AO150,rcs_amount,0)*IF(rcs_frequency=13,1,0))</f>
        <v>0</v>
      </c>
      <c r="AX150" s="24">
        <f t="shared" ca="1" si="194"/>
        <v>0</v>
      </c>
      <c r="AY150" s="24">
        <f t="shared" ca="1" si="195"/>
        <v>0</v>
      </c>
      <c r="AZ150" s="24">
        <f t="shared" ca="1" si="196"/>
        <v>0</v>
      </c>
      <c r="BA150" s="25">
        <f t="shared" ca="1" si="197"/>
        <v>0</v>
      </c>
      <c r="BB150" s="23">
        <f t="array" aca="1" ref="BB150" ca="1">SUM(IF(w_start_date&lt;=AO150,1,0)*IF(w_end_date&gt;=AO150,1,0)*w_amount*(1+w_escalation/100)^(INT((AP150-w_months_since_start)/12))*IF(MOD(AP150-w_months_since_start,w_frequency)=0,1,0)*IF(w_frequency=13,0,1))+SUM(IF(w_start_date=AO150,w_amount,0)*IF(w_frequency=13,1,0))</f>
        <v>0</v>
      </c>
      <c r="BC150" s="25">
        <f t="shared" ca="1" si="198"/>
        <v>0</v>
      </c>
      <c r="BD150" s="24" t="b">
        <f t="shared" ca="1" si="199"/>
        <v>1</v>
      </c>
      <c r="BE150" s="24" t="b">
        <f t="shared" ca="1" si="200"/>
        <v>1</v>
      </c>
      <c r="BF150" s="23">
        <f t="array" aca="1" ref="BF150" ca="1">SUM(IF(BD150,1,0)*IF(ap_start_date&lt;=AO150,1,0)*IF(ap_end_date&gt;=AO150,1,0)*ap_amount*(1+ap_escalation/100)^(INT((AP150-ap_months_since_start)/12))*IF(MOD(AP150-ap_months_since_start,ap_frequency)=0,1,0))</f>
        <v>35000</v>
      </c>
      <c r="BG150" s="24">
        <f t="shared" ca="1" si="201"/>
        <v>420000</v>
      </c>
      <c r="BH150" s="24">
        <f t="shared" ca="1" si="202"/>
        <v>68317.511970540538</v>
      </c>
      <c r="BI150">
        <f t="shared" ca="1" si="203"/>
        <v>0</v>
      </c>
      <c r="BJ150" s="24">
        <f t="shared" ca="1" si="204"/>
        <v>478222.58379378368</v>
      </c>
      <c r="BK150">
        <f t="shared" ca="1" si="205"/>
        <v>0</v>
      </c>
      <c r="BL150" s="25">
        <f t="shared" ca="1" si="206"/>
        <v>35000</v>
      </c>
      <c r="BM150" s="32">
        <f t="shared" ca="1" si="185"/>
        <v>2538438.0629288224</v>
      </c>
      <c r="BN150" s="23">
        <f t="shared" ca="1" si="207"/>
        <v>0</v>
      </c>
      <c r="BO150" s="24">
        <f t="shared" ca="1" si="208"/>
        <v>0</v>
      </c>
      <c r="BP150" s="25">
        <f t="shared" ca="1" si="209"/>
        <v>0</v>
      </c>
      <c r="BQ150" s="34">
        <f t="shared" ca="1" si="210"/>
        <v>49979</v>
      </c>
      <c r="BR150" s="23">
        <f t="shared" ca="1" si="211"/>
        <v>2538438.0629288224</v>
      </c>
      <c r="BS150" s="24">
        <f t="shared" ca="1" si="212"/>
        <v>0</v>
      </c>
      <c r="BT150" s="24">
        <f t="shared" ca="1" si="221"/>
        <v>6661.0992821325508</v>
      </c>
      <c r="BU150" s="24">
        <f t="shared" ca="1" si="213"/>
        <v>0</v>
      </c>
      <c r="BV150" s="24">
        <f t="shared" ca="1" si="222"/>
        <v>0</v>
      </c>
      <c r="BW150" s="24">
        <f t="shared" ca="1" si="214"/>
        <v>-35000</v>
      </c>
      <c r="BX150" s="25">
        <f t="shared" ca="1" si="223"/>
        <v>-420000</v>
      </c>
      <c r="BY150" s="23">
        <f t="shared" ca="1" si="186"/>
        <v>1590691.4420988087</v>
      </c>
      <c r="BZ150" s="24">
        <f t="shared" ca="1" si="187"/>
        <v>0</v>
      </c>
      <c r="CA150" s="24">
        <f t="shared" ca="1" si="224"/>
        <v>4341.0882971345154</v>
      </c>
      <c r="CB150" s="24">
        <f t="shared" ca="1" si="188"/>
        <v>0</v>
      </c>
      <c r="CC150" s="24">
        <f t="shared" ca="1" si="225"/>
        <v>0</v>
      </c>
      <c r="CD150" s="24">
        <f t="shared" ca="1" si="189"/>
        <v>-22004.264801302183</v>
      </c>
      <c r="CE150" s="25">
        <f t="shared" ca="1" si="226"/>
        <v>-268857.83556715847</v>
      </c>
      <c r="CF150" s="23">
        <f t="shared" ca="1" si="227"/>
        <v>420000</v>
      </c>
      <c r="CG150" s="25">
        <f t="array" aca="1" ref="CG150" ca="1">SUM(BF139:BF150/(1+inflation/100)^(AP139:AP150/12))</f>
        <v>267980.53702225367</v>
      </c>
      <c r="CH150" s="32">
        <f ca="1">IFERROR(IF(MOD(AP150-ap_months_since_start,12)=0,ap_drawdown/100*(AQ150+AV150+BA150-BC150),CH149),0)</f>
        <v>419999.99999999994</v>
      </c>
      <c r="EL150" s="21">
        <f t="shared" ca="1" si="219"/>
        <v>6</v>
      </c>
      <c r="EM150" t="str">
        <f t="shared" ca="1" si="163"/>
        <v/>
      </c>
      <c r="EN150" t="str">
        <f t="shared" ca="1" si="164"/>
        <v/>
      </c>
      <c r="EO150" t="str">
        <f t="shared" ca="1" si="165"/>
        <v/>
      </c>
      <c r="EP150" s="1" t="str">
        <f t="shared" ca="1" si="166"/>
        <v/>
      </c>
      <c r="EQ150" s="1" t="str">
        <f t="shared" ca="1" si="167"/>
        <v/>
      </c>
      <c r="ER150" t="str">
        <f t="shared" ca="1" si="168"/>
        <v/>
      </c>
      <c r="ES150" t="str">
        <f t="shared" si="169"/>
        <v/>
      </c>
      <c r="ET150">
        <v>0</v>
      </c>
      <c r="EU150" s="22">
        <v>141</v>
      </c>
      <c r="EX150" s="21" t="str">
        <f ca="1">IF(EX149="","",IF(EX149+1&lt;=MAX('Financial Planning Tool'!$EL$10:$EL$209),EX149+1,""))</f>
        <v/>
      </c>
      <c r="EY150" t="str">
        <f ca="1">IF(EX150&lt;&gt;"",VLOOKUP(EX150,'Financial Planning Tool'!$EL$10:$ER$209,2,FALSE),"")</f>
        <v/>
      </c>
      <c r="EZ150" t="str">
        <f ca="1">IF(EX150&lt;&gt;"",VLOOKUP(EX150,'Financial Planning Tool'!$EL$10:$ER$209,3,FALSE),"")</f>
        <v/>
      </c>
      <c r="FA150" t="str">
        <f ca="1">IF(EX150&lt;&gt;"",VLOOKUP(EX150,'Financial Planning Tool'!$EL$10:$ER$209,4,FALSE),"")</f>
        <v/>
      </c>
      <c r="FB150" t="str">
        <f t="shared" ca="1" si="220"/>
        <v/>
      </c>
      <c r="FC150" s="1" t="str">
        <f ca="1">IF(EX150&lt;&gt;"",VLOOKUP(EX150,'Financial Planning Tool'!$EL$10:$ER$209,5,FALSE),"")</f>
        <v/>
      </c>
      <c r="FD150" s="1" t="str">
        <f ca="1">IF(EX150&lt;&gt;"",VLOOKUP(EX150,'Financial Planning Tool'!$EL$10:$ER$209,6,FALSE),"")</f>
        <v/>
      </c>
      <c r="FE150" t="str">
        <f ca="1">IF(EX150&lt;&gt;"",VLOOKUP(EX150,'Financial Planning Tool'!$EL$10:$ER$209,7,FALSE),"")</f>
        <v/>
      </c>
      <c r="FF150" t="str">
        <f ca="1">IF(EX150&lt;&gt;"",VLOOKUP(EX150,'Financial Planning Tool'!$EL$10:$ES$209,8,FALSE),"")</f>
        <v/>
      </c>
      <c r="FG150" t="str">
        <f ca="1">IF(EX150&lt;&gt;"",VLOOKUP(EX150,'Financial Planning Tool'!$EL$10:$ET$209,9,FALSE),"")</f>
        <v/>
      </c>
      <c r="FH150" t="str">
        <f t="shared" ca="1" si="217"/>
        <v/>
      </c>
      <c r="FI150" s="22" t="str">
        <f t="shared" ca="1" si="218"/>
        <v/>
      </c>
    </row>
    <row r="151" spans="7:165" x14ac:dyDescent="0.25">
      <c r="G151" s="18"/>
      <c r="H151" s="5">
        <f t="shared" ca="1" si="171"/>
        <v>81054</v>
      </c>
      <c r="I151" s="8">
        <f t="shared" ref="I151:I154" ca="1" si="228">IFERROR(IF(Date_of_birth&lt;&gt;"",FLOOR(YEARFRAC($C$20,H151),1),AE150),AE150)</f>
        <v>151</v>
      </c>
      <c r="J151" s="12" t="str">
        <f t="shared" ca="1" si="174"/>
        <v/>
      </c>
      <c r="K151" s="12" t="str">
        <f t="shared" ca="1" si="175"/>
        <v/>
      </c>
      <c r="L151" s="12" t="str">
        <f t="shared" ca="1" si="176"/>
        <v/>
      </c>
      <c r="M151" s="12" t="str">
        <f t="shared" ca="1" si="177"/>
        <v/>
      </c>
      <c r="N151" s="12">
        <f t="shared" ca="1" si="178"/>
        <v>-116.91</v>
      </c>
      <c r="O151" s="12">
        <f t="shared" ca="1" si="179"/>
        <v>-2.66</v>
      </c>
      <c r="P151" s="12">
        <f t="shared" ca="1" si="180"/>
        <v>605.80999999999995</v>
      </c>
      <c r="Q151" s="12">
        <f t="shared" ca="1" si="181"/>
        <v>13.49</v>
      </c>
      <c r="S151" s="18"/>
      <c r="T151" s="5">
        <f t="shared" ca="1" si="182"/>
        <v>81054</v>
      </c>
      <c r="U151" s="8">
        <f t="shared" ca="1" si="183"/>
        <v>151</v>
      </c>
      <c r="V151" s="12"/>
      <c r="W151" s="12"/>
      <c r="X151" s="12"/>
      <c r="Y151" s="12"/>
      <c r="Z151" s="12"/>
      <c r="AA151" s="12"/>
      <c r="AB151" s="12">
        <v>873120703.91999996</v>
      </c>
      <c r="AC151" s="12">
        <v>19446451.940000001</v>
      </c>
      <c r="AE151" s="21">
        <v>98</v>
      </c>
      <c r="AF151" s="22">
        <f t="shared" ca="1" si="170"/>
        <v>1</v>
      </c>
      <c r="AI151" s="21">
        <f t="shared" ca="1" si="173"/>
        <v>1</v>
      </c>
      <c r="AJ151" s="22">
        <v>0</v>
      </c>
      <c r="AN151" s="32">
        <f t="shared" ca="1" si="184"/>
        <v>66.833333333333329</v>
      </c>
      <c r="AO151" s="53">
        <f t="shared" ca="1" si="215"/>
        <v>49980</v>
      </c>
      <c r="AP151" s="22">
        <v>144</v>
      </c>
      <c r="AQ151" s="32">
        <f t="shared" ca="1" si="216"/>
        <v>2538438.0629288224</v>
      </c>
      <c r="AR151" s="23">
        <f t="array" aca="1" ref="AR151" ca="1">SUM(IF(lsc_start_date=AO151,lsc_amount,0))</f>
        <v>0</v>
      </c>
      <c r="AS151" s="24">
        <f t="shared" ca="1" si="190"/>
        <v>0</v>
      </c>
      <c r="AT151" s="24">
        <f t="shared" ca="1" si="191"/>
        <v>0</v>
      </c>
      <c r="AU151" s="24">
        <f t="shared" ca="1" si="192"/>
        <v>0</v>
      </c>
      <c r="AV151" s="25">
        <f t="shared" ca="1" si="193"/>
        <v>0</v>
      </c>
      <c r="AW151" s="23">
        <f t="array" aca="1" ref="AW151" ca="1">SUM(IF(rcs_start_date&lt;=AO151,1,0)*IF(rcs_end_date&gt;=AO151,1,0)*rcs_amount*(1+rcs_escalation/100)^(INT((AP151-rcs_months_since_start)/12))*IF(MOD((AP151-rcs_months_since_start),rcs_frequency)=0,1,0)*IF(rcs_frequency=13,0,1))+SUM(IF(rcs_start_date=AO151,rcs_amount,0)*IF(rcs_frequency=13,1,0))</f>
        <v>0</v>
      </c>
      <c r="AX151" s="24">
        <f t="shared" ca="1" si="194"/>
        <v>0</v>
      </c>
      <c r="AY151" s="24">
        <f t="shared" ca="1" si="195"/>
        <v>0</v>
      </c>
      <c r="AZ151" s="24">
        <f t="shared" ca="1" si="196"/>
        <v>0</v>
      </c>
      <c r="BA151" s="25">
        <f t="shared" ca="1" si="197"/>
        <v>0</v>
      </c>
      <c r="BB151" s="23">
        <f t="array" aca="1" ref="BB151" ca="1">SUM(IF(w_start_date&lt;=AO151,1,0)*IF(w_end_date&gt;=AO151,1,0)*w_amount*(1+w_escalation/100)^(INT((AP151-w_months_since_start)/12))*IF(MOD(AP151-w_months_since_start,w_frequency)=0,1,0)*IF(w_frequency=13,0,1))+SUM(IF(w_start_date=AO151,w_amount,0)*IF(w_frequency=13,1,0))</f>
        <v>0</v>
      </c>
      <c r="BC151" s="25">
        <f t="shared" ca="1" si="198"/>
        <v>0</v>
      </c>
      <c r="BD151" s="24" t="b">
        <f t="shared" ca="1" si="199"/>
        <v>1</v>
      </c>
      <c r="BE151" s="24" t="b">
        <f t="shared" ca="1" si="200"/>
        <v>1</v>
      </c>
      <c r="BF151" s="23">
        <f t="array" aca="1" ref="BF151" ca="1">SUM(IF(BD151,1,0)*IF(ap_start_date&lt;=AO151,1,0)*IF(ap_end_date&gt;=AO151,1,0)*ap_amount*(1+ap_escalation/100)^(INT((AP151-ap_months_since_start)/12))*IF(MOD(AP151-ap_months_since_start,ap_frequency)=0,1,0))</f>
        <v>36400</v>
      </c>
      <c r="BG151" s="24">
        <f t="shared" ca="1" si="201"/>
        <v>436800</v>
      </c>
      <c r="BH151" s="24">
        <f t="shared" ca="1" si="202"/>
        <v>63460.951573220562</v>
      </c>
      <c r="BI151">
        <f t="shared" ca="1" si="203"/>
        <v>0</v>
      </c>
      <c r="BJ151" s="24">
        <f t="shared" ca="1" si="204"/>
        <v>444226.66101254389</v>
      </c>
      <c r="BK151">
        <f t="shared" ca="1" si="205"/>
        <v>0</v>
      </c>
      <c r="BL151" s="25">
        <f t="shared" ca="1" si="206"/>
        <v>36400</v>
      </c>
      <c r="BM151" s="32">
        <f t="shared" ca="1" si="185"/>
        <v>2520071.0601976309</v>
      </c>
      <c r="BN151" s="23">
        <f t="shared" ca="1" si="207"/>
        <v>0</v>
      </c>
      <c r="BO151" s="24">
        <f t="shared" ca="1" si="208"/>
        <v>0</v>
      </c>
      <c r="BP151" s="25">
        <f t="shared" ca="1" si="209"/>
        <v>0</v>
      </c>
      <c r="BQ151" s="34">
        <f t="shared" ca="1" si="210"/>
        <v>50009</v>
      </c>
      <c r="BR151" s="23">
        <f t="shared" ca="1" si="211"/>
        <v>2520071.0601976309</v>
      </c>
      <c r="BS151" s="24">
        <f t="shared" ca="1" si="212"/>
        <v>0</v>
      </c>
      <c r="BT151" s="24">
        <f t="shared" ca="1" si="221"/>
        <v>0</v>
      </c>
      <c r="BU151" s="24">
        <f t="shared" ca="1" si="213"/>
        <v>0</v>
      </c>
      <c r="BV151" s="24">
        <f t="shared" ca="1" si="222"/>
        <v>0</v>
      </c>
      <c r="BW151" s="24">
        <f t="shared" ca="1" si="214"/>
        <v>-36400</v>
      </c>
      <c r="BX151" s="25">
        <f t="shared" ca="1" si="223"/>
        <v>-421400</v>
      </c>
      <c r="BY151" s="23">
        <f t="shared" ca="1" si="186"/>
        <v>1574028.9489315469</v>
      </c>
      <c r="BZ151" s="24">
        <f t="shared" ca="1" si="187"/>
        <v>0</v>
      </c>
      <c r="CA151" s="24">
        <f t="shared" ca="1" si="224"/>
        <v>0</v>
      </c>
      <c r="CB151" s="24">
        <f t="shared" ca="1" si="188"/>
        <v>0</v>
      </c>
      <c r="CC151" s="24">
        <f t="shared" ca="1" si="225"/>
        <v>0</v>
      </c>
      <c r="CD151" s="24">
        <f t="shared" ca="1" si="189"/>
        <v>-22809.76216752395</v>
      </c>
      <c r="CE151" s="25">
        <f t="shared" ca="1" si="226"/>
        <v>-268857.83556715847</v>
      </c>
      <c r="CF151" s="23">
        <f t="shared" ca="1" si="227"/>
        <v>421400</v>
      </c>
      <c r="CG151" s="25">
        <f t="array" aca="1" ref="CG151" ca="1">SUM(BF140:BF151/(1+inflation/100)^(AP140:AP151/12))</f>
        <v>267980.53702225373</v>
      </c>
      <c r="CH151" s="32">
        <f ca="1">IFERROR(IF(MOD(AP151-ap_months_since_start,12)=0,ap_drawdown/100*(AQ151+AV151+BA151-BC151),CH150),0)</f>
        <v>390143.00860731048</v>
      </c>
      <c r="EL151" s="21">
        <f t="shared" ca="1" si="219"/>
        <v>6</v>
      </c>
      <c r="EM151" t="str">
        <f t="shared" ca="1" si="163"/>
        <v/>
      </c>
      <c r="EN151" t="str">
        <f t="shared" ca="1" si="164"/>
        <v/>
      </c>
      <c r="EO151" t="str">
        <f t="shared" ca="1" si="165"/>
        <v/>
      </c>
      <c r="EP151" s="1" t="str">
        <f t="shared" ca="1" si="166"/>
        <v/>
      </c>
      <c r="EQ151" s="1" t="str">
        <f t="shared" ca="1" si="167"/>
        <v/>
      </c>
      <c r="ER151" t="str">
        <f t="shared" ca="1" si="168"/>
        <v/>
      </c>
      <c r="ES151" t="str">
        <f t="shared" si="169"/>
        <v/>
      </c>
      <c r="ET151">
        <v>0</v>
      </c>
      <c r="EU151" s="22">
        <v>142</v>
      </c>
      <c r="EX151" s="21" t="str">
        <f ca="1">IF(EX150="","",IF(EX150+1&lt;=MAX('Financial Planning Tool'!$EL$10:$EL$209),EX150+1,""))</f>
        <v/>
      </c>
      <c r="EY151" t="str">
        <f ca="1">IF(EX151&lt;&gt;"",VLOOKUP(EX151,'Financial Planning Tool'!$EL$10:$ER$209,2,FALSE),"")</f>
        <v/>
      </c>
      <c r="EZ151" t="str">
        <f ca="1">IF(EX151&lt;&gt;"",VLOOKUP(EX151,'Financial Planning Tool'!$EL$10:$ER$209,3,FALSE),"")</f>
        <v/>
      </c>
      <c r="FA151" t="str">
        <f ca="1">IF(EX151&lt;&gt;"",VLOOKUP(EX151,'Financial Planning Tool'!$EL$10:$ER$209,4,FALSE),"")</f>
        <v/>
      </c>
      <c r="FB151" t="str">
        <f t="shared" ca="1" si="220"/>
        <v/>
      </c>
      <c r="FC151" s="1" t="str">
        <f ca="1">IF(EX151&lt;&gt;"",VLOOKUP(EX151,'Financial Planning Tool'!$EL$10:$ER$209,5,FALSE),"")</f>
        <v/>
      </c>
      <c r="FD151" s="1" t="str">
        <f ca="1">IF(EX151&lt;&gt;"",VLOOKUP(EX151,'Financial Planning Tool'!$EL$10:$ER$209,6,FALSE),"")</f>
        <v/>
      </c>
      <c r="FE151" t="str">
        <f ca="1">IF(EX151&lt;&gt;"",VLOOKUP(EX151,'Financial Planning Tool'!$EL$10:$ER$209,7,FALSE),"")</f>
        <v/>
      </c>
      <c r="FF151" t="str">
        <f ca="1">IF(EX151&lt;&gt;"",VLOOKUP(EX151,'Financial Planning Tool'!$EL$10:$ES$209,8,FALSE),"")</f>
        <v/>
      </c>
      <c r="FG151" t="str">
        <f ca="1">IF(EX151&lt;&gt;"",VLOOKUP(EX151,'Financial Planning Tool'!$EL$10:$ET$209,9,FALSE),"")</f>
        <v/>
      </c>
      <c r="FH151" t="str">
        <f t="shared" ca="1" si="217"/>
        <v/>
      </c>
      <c r="FI151" s="22" t="str">
        <f t="shared" ca="1" si="218"/>
        <v/>
      </c>
    </row>
    <row r="152" spans="7:165" x14ac:dyDescent="0.25">
      <c r="G152" s="18"/>
      <c r="H152" s="5">
        <f t="shared" ca="1" si="171"/>
        <v>81419</v>
      </c>
      <c r="I152" s="8">
        <f t="shared" ca="1" si="228"/>
        <v>152</v>
      </c>
      <c r="J152" s="12" t="str">
        <f t="shared" ca="1" si="174"/>
        <v/>
      </c>
      <c r="K152" s="12" t="str">
        <f t="shared" ca="1" si="175"/>
        <v/>
      </c>
      <c r="L152" s="12" t="str">
        <f t="shared" ca="1" si="176"/>
        <v/>
      </c>
      <c r="M152" s="12" t="str">
        <f t="shared" ca="1" si="177"/>
        <v/>
      </c>
      <c r="N152" s="12">
        <f t="shared" ca="1" si="178"/>
        <v>-105.98</v>
      </c>
      <c r="O152" s="12">
        <f t="shared" ca="1" si="179"/>
        <v>-2.3199999999999998</v>
      </c>
      <c r="P152" s="12">
        <f t="shared" ca="1" si="180"/>
        <v>549.22</v>
      </c>
      <c r="Q152" s="12">
        <f t="shared" ca="1" si="181"/>
        <v>11.76</v>
      </c>
      <c r="S152" s="18"/>
      <c r="T152" s="5">
        <f t="shared" ca="1" si="182"/>
        <v>81419</v>
      </c>
      <c r="U152" s="8">
        <f t="shared" ca="1" si="183"/>
        <v>152</v>
      </c>
      <c r="V152" s="12"/>
      <c r="W152" s="12"/>
      <c r="X152" s="12"/>
      <c r="Y152" s="12"/>
      <c r="Z152" s="12"/>
      <c r="AA152" s="12"/>
      <c r="AB152" s="12">
        <v>942970360.23000002</v>
      </c>
      <c r="AC152" s="12">
        <v>20194392.399999999</v>
      </c>
      <c r="AE152" s="21">
        <v>99</v>
      </c>
      <c r="AF152" s="22">
        <f t="shared" ca="1" si="170"/>
        <v>1</v>
      </c>
      <c r="AI152" s="21">
        <f t="shared" ca="1" si="173"/>
        <v>1</v>
      </c>
      <c r="AJ152" s="22">
        <v>0</v>
      </c>
      <c r="AN152" s="32">
        <f t="shared" ca="1" si="184"/>
        <v>66.916666666666671</v>
      </c>
      <c r="AO152" s="53">
        <f t="shared" ca="1" si="215"/>
        <v>50010</v>
      </c>
      <c r="AP152" s="22">
        <v>145</v>
      </c>
      <c r="AQ152" s="32">
        <f t="shared" ca="1" si="216"/>
        <v>2520071.0601976309</v>
      </c>
      <c r="AR152" s="23">
        <f t="array" aca="1" ref="AR152" ca="1">SUM(IF(lsc_start_date=AO152,lsc_amount,0))</f>
        <v>0</v>
      </c>
      <c r="AS152" s="24">
        <f t="shared" ca="1" si="190"/>
        <v>0</v>
      </c>
      <c r="AT152" s="24">
        <f t="shared" ca="1" si="191"/>
        <v>0</v>
      </c>
      <c r="AU152" s="24">
        <f t="shared" ca="1" si="192"/>
        <v>0</v>
      </c>
      <c r="AV152" s="25">
        <f t="shared" ca="1" si="193"/>
        <v>0</v>
      </c>
      <c r="AW152" s="23">
        <f t="array" aca="1" ref="AW152" ca="1">SUM(IF(rcs_start_date&lt;=AO152,1,0)*IF(rcs_end_date&gt;=AO152,1,0)*rcs_amount*(1+rcs_escalation/100)^(INT((AP152-rcs_months_since_start)/12))*IF(MOD((AP152-rcs_months_since_start),rcs_frequency)=0,1,0)*IF(rcs_frequency=13,0,1))+SUM(IF(rcs_start_date=AO152,rcs_amount,0)*IF(rcs_frequency=13,1,0))</f>
        <v>0</v>
      </c>
      <c r="AX152" s="24">
        <f t="shared" ca="1" si="194"/>
        <v>0</v>
      </c>
      <c r="AY152" s="24">
        <f t="shared" ca="1" si="195"/>
        <v>0</v>
      </c>
      <c r="AZ152" s="24">
        <f t="shared" ca="1" si="196"/>
        <v>0</v>
      </c>
      <c r="BA152" s="25">
        <f t="shared" ca="1" si="197"/>
        <v>0</v>
      </c>
      <c r="BB152" s="23">
        <f t="array" aca="1" ref="BB152" ca="1">SUM(IF(w_start_date&lt;=AO152,1,0)*IF(w_end_date&gt;=AO152,1,0)*w_amount*(1+w_escalation/100)^(INT((AP152-w_months_since_start)/12))*IF(MOD(AP152-w_months_since_start,w_frequency)=0,1,0)*IF(w_frequency=13,0,1))+SUM(IF(w_start_date=AO152,w_amount,0)*IF(w_frequency=13,1,0))</f>
        <v>0</v>
      </c>
      <c r="BC152" s="25">
        <f t="shared" ca="1" si="198"/>
        <v>0</v>
      </c>
      <c r="BD152" s="24" t="b">
        <f t="shared" ca="1" si="199"/>
        <v>1</v>
      </c>
      <c r="BE152" s="24" t="b">
        <f t="shared" ca="1" si="200"/>
        <v>1</v>
      </c>
      <c r="BF152" s="23">
        <f t="array" aca="1" ref="BF152" ca="1">SUM(IF(BD152,1,0)*IF(ap_start_date&lt;=AO152,1,0)*IF(ap_end_date&gt;=AO152,1,0)*ap_amount*(1+ap_escalation/100)^(INT((AP152-ap_months_since_start)/12))*IF(MOD(AP152-ap_months_since_start,ap_frequency)=0,1,0))</f>
        <v>36400</v>
      </c>
      <c r="BG152" s="24">
        <f t="shared" ca="1" si="201"/>
        <v>436800</v>
      </c>
      <c r="BH152" s="24">
        <f t="shared" ca="1" si="202"/>
        <v>63460.951573220562</v>
      </c>
      <c r="BI152">
        <f t="shared" ca="1" si="203"/>
        <v>0</v>
      </c>
      <c r="BJ152" s="24">
        <f t="shared" ca="1" si="204"/>
        <v>444226.66101254389</v>
      </c>
      <c r="BK152">
        <f t="shared" ca="1" si="205"/>
        <v>0</v>
      </c>
      <c r="BL152" s="25">
        <f t="shared" ca="1" si="206"/>
        <v>36400</v>
      </c>
      <c r="BM152" s="32">
        <f t="shared" ca="1" si="185"/>
        <v>2501571.6805394073</v>
      </c>
      <c r="BN152" s="23">
        <f t="shared" ca="1" si="207"/>
        <v>0</v>
      </c>
      <c r="BO152" s="24">
        <f t="shared" ca="1" si="208"/>
        <v>0</v>
      </c>
      <c r="BP152" s="25">
        <f t="shared" ca="1" si="209"/>
        <v>0</v>
      </c>
      <c r="BQ152" s="34">
        <f t="shared" ca="1" si="210"/>
        <v>50040</v>
      </c>
      <c r="BR152" s="23">
        <f t="shared" ca="1" si="211"/>
        <v>2501571.6805394073</v>
      </c>
      <c r="BS152" s="24">
        <f t="shared" ca="1" si="212"/>
        <v>0</v>
      </c>
      <c r="BT152" s="24">
        <f t="shared" ca="1" si="221"/>
        <v>0</v>
      </c>
      <c r="BU152" s="24">
        <f t="shared" ca="1" si="213"/>
        <v>0</v>
      </c>
      <c r="BV152" s="24">
        <f t="shared" ca="1" si="222"/>
        <v>0</v>
      </c>
      <c r="BW152" s="24">
        <f t="shared" ca="1" si="214"/>
        <v>-36400</v>
      </c>
      <c r="BX152" s="25">
        <f t="shared" ca="1" si="223"/>
        <v>-422800</v>
      </c>
      <c r="BY152" s="23">
        <f t="shared" ca="1" si="186"/>
        <v>1557375.8477094772</v>
      </c>
      <c r="BZ152" s="24">
        <f t="shared" ca="1" si="187"/>
        <v>0</v>
      </c>
      <c r="CA152" s="24">
        <f t="shared" ca="1" si="224"/>
        <v>0</v>
      </c>
      <c r="CB152" s="24">
        <f t="shared" ca="1" si="188"/>
        <v>0</v>
      </c>
      <c r="CC152" s="24">
        <f t="shared" ca="1" si="225"/>
        <v>0</v>
      </c>
      <c r="CD152" s="24">
        <f t="shared" ca="1" si="189"/>
        <v>-22735.332604714371</v>
      </c>
      <c r="CE152" s="25">
        <f t="shared" ca="1" si="226"/>
        <v>-268857.83556715853</v>
      </c>
      <c r="CF152" s="23">
        <f t="shared" ca="1" si="227"/>
        <v>422800</v>
      </c>
      <c r="CG152" s="25">
        <f t="array" aca="1" ref="CG152" ca="1">SUM(BF141:BF152/(1+inflation/100)^(AP141:AP152/12))</f>
        <v>267980.53702225373</v>
      </c>
      <c r="CH152" s="32">
        <f ca="1">IFERROR(IF(MOD(AP152-ap_months_since_start,12)=0,ap_drawdown/100*(AQ152+AV152+BA152-BC152),CH151),0)</f>
        <v>390143.00860731048</v>
      </c>
      <c r="EL152" s="21">
        <f t="shared" ca="1" si="219"/>
        <v>6</v>
      </c>
      <c r="EM152" t="str">
        <f t="shared" ca="1" si="163"/>
        <v/>
      </c>
      <c r="EN152" t="str">
        <f t="shared" ca="1" si="164"/>
        <v/>
      </c>
      <c r="EO152" t="str">
        <f t="shared" ca="1" si="165"/>
        <v/>
      </c>
      <c r="EP152" s="1" t="str">
        <f t="shared" ca="1" si="166"/>
        <v/>
      </c>
      <c r="EQ152" s="1" t="str">
        <f t="shared" ca="1" si="167"/>
        <v/>
      </c>
      <c r="ER152" t="str">
        <f t="shared" ca="1" si="168"/>
        <v/>
      </c>
      <c r="ES152" t="str">
        <f t="shared" si="169"/>
        <v/>
      </c>
      <c r="ET152">
        <v>0</v>
      </c>
      <c r="EU152" s="22">
        <v>143</v>
      </c>
      <c r="EX152" s="21" t="str">
        <f ca="1">IF(EX151="","",IF(EX151+1&lt;=MAX('Financial Planning Tool'!$EL$10:$EL$209),EX151+1,""))</f>
        <v/>
      </c>
      <c r="EY152" t="str">
        <f ca="1">IF(EX152&lt;&gt;"",VLOOKUP(EX152,'Financial Planning Tool'!$EL$10:$ER$209,2,FALSE),"")</f>
        <v/>
      </c>
      <c r="EZ152" t="str">
        <f ca="1">IF(EX152&lt;&gt;"",VLOOKUP(EX152,'Financial Planning Tool'!$EL$10:$ER$209,3,FALSE),"")</f>
        <v/>
      </c>
      <c r="FA152" t="str">
        <f ca="1">IF(EX152&lt;&gt;"",VLOOKUP(EX152,'Financial Planning Tool'!$EL$10:$ER$209,4,FALSE),"")</f>
        <v/>
      </c>
      <c r="FB152" t="str">
        <f t="shared" ca="1" si="220"/>
        <v/>
      </c>
      <c r="FC152" s="1" t="str">
        <f ca="1">IF(EX152&lt;&gt;"",VLOOKUP(EX152,'Financial Planning Tool'!$EL$10:$ER$209,5,FALSE),"")</f>
        <v/>
      </c>
      <c r="FD152" s="1" t="str">
        <f ca="1">IF(EX152&lt;&gt;"",VLOOKUP(EX152,'Financial Planning Tool'!$EL$10:$ER$209,6,FALSE),"")</f>
        <v/>
      </c>
      <c r="FE152" t="str">
        <f ca="1">IF(EX152&lt;&gt;"",VLOOKUP(EX152,'Financial Planning Tool'!$EL$10:$ER$209,7,FALSE),"")</f>
        <v/>
      </c>
      <c r="FF152" t="str">
        <f ca="1">IF(EX152&lt;&gt;"",VLOOKUP(EX152,'Financial Planning Tool'!$EL$10:$ES$209,8,FALSE),"")</f>
        <v/>
      </c>
      <c r="FG152" t="str">
        <f ca="1">IF(EX152&lt;&gt;"",VLOOKUP(EX152,'Financial Planning Tool'!$EL$10:$ET$209,9,FALSE),"")</f>
        <v/>
      </c>
      <c r="FH152" t="str">
        <f t="shared" ca="1" si="217"/>
        <v/>
      </c>
      <c r="FI152" s="22" t="str">
        <f t="shared" ca="1" si="218"/>
        <v/>
      </c>
    </row>
    <row r="153" spans="7:165" x14ac:dyDescent="0.25">
      <c r="G153" s="18"/>
      <c r="H153" s="5">
        <f t="shared" ca="1" si="171"/>
        <v>81784</v>
      </c>
      <c r="I153" s="8">
        <f t="shared" ca="1" si="228"/>
        <v>153</v>
      </c>
      <c r="J153" s="12" t="str">
        <f t="shared" ca="1" si="174"/>
        <v/>
      </c>
      <c r="K153" s="12" t="str">
        <f t="shared" ca="1" si="175"/>
        <v/>
      </c>
      <c r="L153" s="12" t="str">
        <f t="shared" ca="1" si="176"/>
        <v/>
      </c>
      <c r="M153" s="12" t="str">
        <f t="shared" ca="1" si="177"/>
        <v/>
      </c>
      <c r="N153" s="12">
        <f t="shared" ca="1" si="178"/>
        <v>-96.08</v>
      </c>
      <c r="O153" s="12">
        <f t="shared" ca="1" si="179"/>
        <v>-2.02</v>
      </c>
      <c r="P153" s="12">
        <f t="shared" ca="1" si="180"/>
        <v>497.91</v>
      </c>
      <c r="Q153" s="12">
        <f t="shared" ca="1" si="181"/>
        <v>10.25</v>
      </c>
      <c r="S153" s="18"/>
      <c r="T153" s="5">
        <f t="shared" ca="1" si="182"/>
        <v>81784</v>
      </c>
      <c r="U153" s="8">
        <f t="shared" ca="1" si="183"/>
        <v>153</v>
      </c>
      <c r="V153" s="12"/>
      <c r="W153" s="12"/>
      <c r="X153" s="12"/>
      <c r="Y153" s="12"/>
      <c r="Z153" s="12"/>
      <c r="AA153" s="12"/>
      <c r="AB153" s="12">
        <v>1018407989.05</v>
      </c>
      <c r="AC153" s="12">
        <v>20971099.800000001</v>
      </c>
      <c r="AE153" s="40">
        <v>100</v>
      </c>
      <c r="AF153" s="38">
        <f t="shared" ca="1" si="170"/>
        <v>1</v>
      </c>
      <c r="AI153" s="40">
        <f t="shared" ca="1" si="173"/>
        <v>1</v>
      </c>
      <c r="AJ153" s="38">
        <v>0</v>
      </c>
      <c r="AN153" s="32">
        <f t="shared" ca="1" si="184"/>
        <v>67</v>
      </c>
      <c r="AO153" s="53">
        <f t="shared" ca="1" si="215"/>
        <v>50041</v>
      </c>
      <c r="AP153" s="22">
        <v>146</v>
      </c>
      <c r="AQ153" s="32">
        <f t="shared" ca="1" si="216"/>
        <v>2501571.6805394073</v>
      </c>
      <c r="AR153" s="23">
        <f t="array" aca="1" ref="AR153" ca="1">SUM(IF(lsc_start_date=AO153,lsc_amount,0))</f>
        <v>0</v>
      </c>
      <c r="AS153" s="24">
        <f t="shared" ca="1" si="190"/>
        <v>0</v>
      </c>
      <c r="AT153" s="24">
        <f t="shared" ca="1" si="191"/>
        <v>0</v>
      </c>
      <c r="AU153" s="24">
        <f t="shared" ca="1" si="192"/>
        <v>0</v>
      </c>
      <c r="AV153" s="25">
        <f t="shared" ca="1" si="193"/>
        <v>0</v>
      </c>
      <c r="AW153" s="23">
        <f t="array" aca="1" ref="AW153" ca="1">SUM(IF(rcs_start_date&lt;=AO153,1,0)*IF(rcs_end_date&gt;=AO153,1,0)*rcs_amount*(1+rcs_escalation/100)^(INT((AP153-rcs_months_since_start)/12))*IF(MOD((AP153-rcs_months_since_start),rcs_frequency)=0,1,0)*IF(rcs_frequency=13,0,1))+SUM(IF(rcs_start_date=AO153,rcs_amount,0)*IF(rcs_frequency=13,1,0))</f>
        <v>0</v>
      </c>
      <c r="AX153" s="24">
        <f t="shared" ca="1" si="194"/>
        <v>0</v>
      </c>
      <c r="AY153" s="24">
        <f t="shared" ca="1" si="195"/>
        <v>0</v>
      </c>
      <c r="AZ153" s="24">
        <f t="shared" ca="1" si="196"/>
        <v>0</v>
      </c>
      <c r="BA153" s="25">
        <f t="shared" ca="1" si="197"/>
        <v>0</v>
      </c>
      <c r="BB153" s="23">
        <f t="array" aca="1" ref="BB153" ca="1">SUM(IF(w_start_date&lt;=AO153,1,0)*IF(w_end_date&gt;=AO153,1,0)*w_amount*(1+w_escalation/100)^(INT((AP153-w_months_since_start)/12))*IF(MOD(AP153-w_months_since_start,w_frequency)=0,1,0)*IF(w_frequency=13,0,1))+SUM(IF(w_start_date=AO153,w_amount,0)*IF(w_frequency=13,1,0))</f>
        <v>0</v>
      </c>
      <c r="BC153" s="25">
        <f t="shared" ca="1" si="198"/>
        <v>0</v>
      </c>
      <c r="BD153" s="24" t="b">
        <f t="shared" ca="1" si="199"/>
        <v>1</v>
      </c>
      <c r="BE153" s="24" t="b">
        <f t="shared" ca="1" si="200"/>
        <v>1</v>
      </c>
      <c r="BF153" s="23">
        <f t="array" aca="1" ref="BF153" ca="1">SUM(IF(BD153,1,0)*IF(ap_start_date&lt;=AO153,1,0)*IF(ap_end_date&gt;=AO153,1,0)*ap_amount*(1+ap_escalation/100)^(INT((AP153-ap_months_since_start)/12))*IF(MOD(AP153-ap_months_since_start,ap_frequency)=0,1,0))</f>
        <v>36400</v>
      </c>
      <c r="BG153" s="24">
        <f t="shared" ca="1" si="201"/>
        <v>436800</v>
      </c>
      <c r="BH153" s="24">
        <f t="shared" ca="1" si="202"/>
        <v>63460.951573220562</v>
      </c>
      <c r="BI153">
        <f t="shared" ca="1" si="203"/>
        <v>0</v>
      </c>
      <c r="BJ153" s="24">
        <f t="shared" ca="1" si="204"/>
        <v>444226.66101254389</v>
      </c>
      <c r="BK153">
        <f t="shared" ca="1" si="205"/>
        <v>0</v>
      </c>
      <c r="BL153" s="25">
        <f t="shared" ca="1" si="206"/>
        <v>36400</v>
      </c>
      <c r="BM153" s="32">
        <f t="shared" ca="1" si="185"/>
        <v>2482938.9698708388</v>
      </c>
      <c r="BN153" s="23">
        <f t="shared" ca="1" si="207"/>
        <v>0</v>
      </c>
      <c r="BO153" s="24">
        <f t="shared" ca="1" si="208"/>
        <v>0</v>
      </c>
      <c r="BP153" s="25">
        <f t="shared" ca="1" si="209"/>
        <v>0</v>
      </c>
      <c r="BQ153" s="34">
        <f t="shared" ca="1" si="210"/>
        <v>50071</v>
      </c>
      <c r="BR153" s="23">
        <f t="shared" ca="1" si="211"/>
        <v>2482938.9698708388</v>
      </c>
      <c r="BS153" s="24">
        <f t="shared" ca="1" si="212"/>
        <v>0</v>
      </c>
      <c r="BT153" s="24">
        <f t="shared" ca="1" si="221"/>
        <v>0</v>
      </c>
      <c r="BU153" s="24">
        <f t="shared" ca="1" si="213"/>
        <v>0</v>
      </c>
      <c r="BV153" s="24">
        <f t="shared" ca="1" si="222"/>
        <v>0</v>
      </c>
      <c r="BW153" s="24">
        <f t="shared" ca="1" si="214"/>
        <v>-36400</v>
      </c>
      <c r="BX153" s="25">
        <f t="shared" ca="1" si="223"/>
        <v>-424200</v>
      </c>
      <c r="BY153" s="23">
        <f t="shared" ca="1" si="186"/>
        <v>1540731.9314358907</v>
      </c>
      <c r="BZ153" s="24">
        <f t="shared" ca="1" si="187"/>
        <v>0</v>
      </c>
      <c r="CA153" s="24">
        <f t="shared" ca="1" si="224"/>
        <v>0</v>
      </c>
      <c r="CB153" s="24">
        <f t="shared" ca="1" si="188"/>
        <v>0</v>
      </c>
      <c r="CC153" s="24">
        <f t="shared" ca="1" si="225"/>
        <v>0</v>
      </c>
      <c r="CD153" s="24">
        <f t="shared" ca="1" si="189"/>
        <v>-22661.145909839121</v>
      </c>
      <c r="CE153" s="25">
        <f t="shared" ca="1" si="226"/>
        <v>-268857.83556715853</v>
      </c>
      <c r="CF153" s="23">
        <f t="shared" ca="1" si="227"/>
        <v>424200</v>
      </c>
      <c r="CG153" s="25">
        <f t="array" aca="1" ref="CG153" ca="1">SUM(BF142:BF153/(1+inflation/100)^(AP142:AP153/12))</f>
        <v>267980.53702225367</v>
      </c>
      <c r="CH153" s="32">
        <f ca="1">IFERROR(IF(MOD(AP153-ap_months_since_start,12)=0,ap_drawdown/100*(AQ153+AV153+BA153-BC153),CH152),0)</f>
        <v>390143.00860731048</v>
      </c>
      <c r="EL153" s="21">
        <f t="shared" ca="1" si="219"/>
        <v>6</v>
      </c>
      <c r="EM153" t="str">
        <f t="shared" ca="1" si="163"/>
        <v/>
      </c>
      <c r="EN153" t="str">
        <f t="shared" ca="1" si="164"/>
        <v/>
      </c>
      <c r="EO153" t="str">
        <f t="shared" ca="1" si="165"/>
        <v/>
      </c>
      <c r="EP153" s="1" t="str">
        <f t="shared" ca="1" si="166"/>
        <v/>
      </c>
      <c r="EQ153" s="1" t="str">
        <f t="shared" ca="1" si="167"/>
        <v/>
      </c>
      <c r="ER153" t="str">
        <f t="shared" ca="1" si="168"/>
        <v/>
      </c>
      <c r="ES153" t="str">
        <f t="shared" si="169"/>
        <v/>
      </c>
      <c r="ET153">
        <v>0</v>
      </c>
      <c r="EU153" s="22">
        <v>144</v>
      </c>
      <c r="EX153" s="21" t="str">
        <f ca="1">IF(EX152="","",IF(EX152+1&lt;=MAX('Financial Planning Tool'!$EL$10:$EL$209),EX152+1,""))</f>
        <v/>
      </c>
      <c r="EY153" t="str">
        <f ca="1">IF(EX153&lt;&gt;"",VLOOKUP(EX153,'Financial Planning Tool'!$EL$10:$ER$209,2,FALSE),"")</f>
        <v/>
      </c>
      <c r="EZ153" t="str">
        <f ca="1">IF(EX153&lt;&gt;"",VLOOKUP(EX153,'Financial Planning Tool'!$EL$10:$ER$209,3,FALSE),"")</f>
        <v/>
      </c>
      <c r="FA153" t="str">
        <f ca="1">IF(EX153&lt;&gt;"",VLOOKUP(EX153,'Financial Planning Tool'!$EL$10:$ER$209,4,FALSE),"")</f>
        <v/>
      </c>
      <c r="FB153" t="str">
        <f t="shared" ca="1" si="220"/>
        <v/>
      </c>
      <c r="FC153" s="1" t="str">
        <f ca="1">IF(EX153&lt;&gt;"",VLOOKUP(EX153,'Financial Planning Tool'!$EL$10:$ER$209,5,FALSE),"")</f>
        <v/>
      </c>
      <c r="FD153" s="1" t="str">
        <f ca="1">IF(EX153&lt;&gt;"",VLOOKUP(EX153,'Financial Planning Tool'!$EL$10:$ER$209,6,FALSE),"")</f>
        <v/>
      </c>
      <c r="FE153" t="str">
        <f ca="1">IF(EX153&lt;&gt;"",VLOOKUP(EX153,'Financial Planning Tool'!$EL$10:$ER$209,7,FALSE),"")</f>
        <v/>
      </c>
      <c r="FF153" t="str">
        <f ca="1">IF(EX153&lt;&gt;"",VLOOKUP(EX153,'Financial Planning Tool'!$EL$10:$ES$209,8,FALSE),"")</f>
        <v/>
      </c>
      <c r="FG153" t="str">
        <f ca="1">IF(EX153&lt;&gt;"",VLOOKUP(EX153,'Financial Planning Tool'!$EL$10:$ET$209,9,FALSE),"")</f>
        <v/>
      </c>
      <c r="FH153" t="str">
        <f t="shared" ca="1" si="217"/>
        <v/>
      </c>
      <c r="FI153" s="22" t="str">
        <f t="shared" ca="1" si="218"/>
        <v/>
      </c>
    </row>
    <row r="154" spans="7:165" x14ac:dyDescent="0.25">
      <c r="G154" s="18"/>
      <c r="H154" s="6">
        <f t="shared" ca="1" si="171"/>
        <v>82150</v>
      </c>
      <c r="I154" s="9">
        <f t="shared" ca="1" si="228"/>
        <v>154</v>
      </c>
      <c r="J154" s="13" t="str">
        <f t="shared" ca="1" si="174"/>
        <v/>
      </c>
      <c r="K154" s="13" t="str">
        <f t="shared" ca="1" si="175"/>
        <v/>
      </c>
      <c r="L154" s="13" t="str">
        <f t="shared" ca="1" si="176"/>
        <v/>
      </c>
      <c r="M154" s="13" t="str">
        <f t="shared" ca="1" si="177"/>
        <v/>
      </c>
      <c r="N154" s="13">
        <f t="shared" ca="1" si="178"/>
        <v>-160.06</v>
      </c>
      <c r="O154" s="13">
        <f t="shared" ca="1" si="179"/>
        <v>-3.21</v>
      </c>
      <c r="P154" s="13">
        <f t="shared" ca="1" si="180"/>
        <v>377.91</v>
      </c>
      <c r="Q154" s="13">
        <f t="shared" ca="1" si="181"/>
        <v>7.48</v>
      </c>
      <c r="S154" s="18"/>
      <c r="T154" s="6">
        <f t="shared" ca="1" si="182"/>
        <v>82150</v>
      </c>
      <c r="U154" s="9">
        <f t="shared" ca="1" si="183"/>
        <v>154</v>
      </c>
      <c r="V154" s="13"/>
      <c r="W154" s="13"/>
      <c r="X154" s="13"/>
      <c r="Y154" s="13"/>
      <c r="Z154" s="13"/>
      <c r="AA154" s="13"/>
      <c r="AB154" s="13">
        <v>1099880628.1700001</v>
      </c>
      <c r="AC154" s="13">
        <v>21777680.559999999</v>
      </c>
      <c r="AN154" s="32">
        <f t="shared" ca="1" si="184"/>
        <v>67.083333333333329</v>
      </c>
      <c r="AO154" s="53">
        <f t="shared" ca="1" si="215"/>
        <v>50072</v>
      </c>
      <c r="AP154" s="22">
        <v>147</v>
      </c>
      <c r="AQ154" s="32">
        <f t="shared" ca="1" si="216"/>
        <v>2482938.9698708388</v>
      </c>
      <c r="AR154" s="23">
        <f t="array" aca="1" ref="AR154" ca="1">SUM(IF(lsc_start_date=AO154,lsc_amount,0))</f>
        <v>0</v>
      </c>
      <c r="AS154" s="24">
        <f t="shared" ca="1" si="190"/>
        <v>0</v>
      </c>
      <c r="AT154" s="24">
        <f t="shared" ca="1" si="191"/>
        <v>0</v>
      </c>
      <c r="AU154" s="24">
        <f t="shared" ca="1" si="192"/>
        <v>0</v>
      </c>
      <c r="AV154" s="25">
        <f t="shared" ca="1" si="193"/>
        <v>0</v>
      </c>
      <c r="AW154" s="23">
        <f t="array" aca="1" ref="AW154" ca="1">SUM(IF(rcs_start_date&lt;=AO154,1,0)*IF(rcs_end_date&gt;=AO154,1,0)*rcs_amount*(1+rcs_escalation/100)^(INT((AP154-rcs_months_since_start)/12))*IF(MOD((AP154-rcs_months_since_start),rcs_frequency)=0,1,0)*IF(rcs_frequency=13,0,1))+SUM(IF(rcs_start_date=AO154,rcs_amount,0)*IF(rcs_frequency=13,1,0))</f>
        <v>0</v>
      </c>
      <c r="AX154" s="24">
        <f t="shared" ca="1" si="194"/>
        <v>0</v>
      </c>
      <c r="AY154" s="24">
        <f t="shared" ca="1" si="195"/>
        <v>0</v>
      </c>
      <c r="AZ154" s="24">
        <f t="shared" ca="1" si="196"/>
        <v>0</v>
      </c>
      <c r="BA154" s="25">
        <f t="shared" ca="1" si="197"/>
        <v>0</v>
      </c>
      <c r="BB154" s="23">
        <f t="array" aca="1" ref="BB154" ca="1">SUM(IF(w_start_date&lt;=AO154,1,0)*IF(w_end_date&gt;=AO154,1,0)*w_amount*(1+w_escalation/100)^(INT((AP154-w_months_since_start)/12))*IF(MOD(AP154-w_months_since_start,w_frequency)=0,1,0)*IF(w_frequency=13,0,1))+SUM(IF(w_start_date=AO154,w_amount,0)*IF(w_frequency=13,1,0))</f>
        <v>0</v>
      </c>
      <c r="BC154" s="25">
        <f t="shared" ca="1" si="198"/>
        <v>0</v>
      </c>
      <c r="BD154" s="24" t="b">
        <f t="shared" ca="1" si="199"/>
        <v>1</v>
      </c>
      <c r="BE154" s="24" t="b">
        <f t="shared" ca="1" si="200"/>
        <v>1</v>
      </c>
      <c r="BF154" s="23">
        <f t="array" aca="1" ref="BF154" ca="1">SUM(IF(BD154,1,0)*IF(ap_start_date&lt;=AO154,1,0)*IF(ap_end_date&gt;=AO154,1,0)*ap_amount*(1+ap_escalation/100)^(INT((AP154-ap_months_since_start)/12))*IF(MOD(AP154-ap_months_since_start,ap_frequency)=0,1,0))</f>
        <v>36400</v>
      </c>
      <c r="BG154" s="24">
        <f t="shared" ca="1" si="201"/>
        <v>436800</v>
      </c>
      <c r="BH154" s="24">
        <f t="shared" ca="1" si="202"/>
        <v>63460.951573220562</v>
      </c>
      <c r="BI154">
        <f t="shared" ca="1" si="203"/>
        <v>0</v>
      </c>
      <c r="BJ154" s="24">
        <f t="shared" ca="1" si="204"/>
        <v>444226.66101254389</v>
      </c>
      <c r="BK154">
        <f t="shared" ca="1" si="205"/>
        <v>0</v>
      </c>
      <c r="BL154" s="25">
        <f t="shared" ca="1" si="206"/>
        <v>36400</v>
      </c>
      <c r="BM154" s="32">
        <f t="shared" ca="1" si="185"/>
        <v>2464171.9672322259</v>
      </c>
      <c r="BN154" s="23">
        <f t="shared" ca="1" si="207"/>
        <v>0</v>
      </c>
      <c r="BO154" s="24">
        <f t="shared" ca="1" si="208"/>
        <v>0</v>
      </c>
      <c r="BP154" s="25">
        <f t="shared" ca="1" si="209"/>
        <v>0</v>
      </c>
      <c r="BQ154" s="34">
        <f t="shared" ca="1" si="210"/>
        <v>50099</v>
      </c>
      <c r="BR154" s="23">
        <f t="shared" ca="1" si="211"/>
        <v>2464171.9672322259</v>
      </c>
      <c r="BS154" s="24">
        <f t="shared" ca="1" si="212"/>
        <v>0</v>
      </c>
      <c r="BT154" s="24">
        <f t="shared" ca="1" si="221"/>
        <v>0</v>
      </c>
      <c r="BU154" s="24">
        <f t="shared" ca="1" si="213"/>
        <v>0</v>
      </c>
      <c r="BV154" s="24">
        <f t="shared" ca="1" si="222"/>
        <v>0</v>
      </c>
      <c r="BW154" s="24">
        <f t="shared" ca="1" si="214"/>
        <v>-36400</v>
      </c>
      <c r="BX154" s="25">
        <f t="shared" ca="1" si="223"/>
        <v>-425600</v>
      </c>
      <c r="BY154" s="23">
        <f t="shared" ca="1" si="186"/>
        <v>1524096.9930980972</v>
      </c>
      <c r="BZ154" s="24">
        <f t="shared" ca="1" si="187"/>
        <v>0</v>
      </c>
      <c r="CA154" s="24">
        <f t="shared" ca="1" si="224"/>
        <v>0</v>
      </c>
      <c r="CB154" s="24">
        <f t="shared" ca="1" si="188"/>
        <v>0</v>
      </c>
      <c r="CC154" s="24">
        <f t="shared" ca="1" si="225"/>
        <v>0</v>
      </c>
      <c r="CD154" s="24">
        <f t="shared" ca="1" si="189"/>
        <v>-22587.201290406188</v>
      </c>
      <c r="CE154" s="25">
        <f t="shared" ca="1" si="226"/>
        <v>-268857.83556715847</v>
      </c>
      <c r="CF154" s="23">
        <f t="shared" ca="1" si="227"/>
        <v>425600</v>
      </c>
      <c r="CG154" s="25">
        <f t="array" aca="1" ref="CG154" ca="1">SUM(BF143:BF154/(1+inflation/100)^(AP143:AP154/12))</f>
        <v>267980.53702225367</v>
      </c>
      <c r="CH154" s="32">
        <f ca="1">IFERROR(IF(MOD(AP154-ap_months_since_start,12)=0,ap_drawdown/100*(AQ154+AV154+BA154-BC154),CH153),0)</f>
        <v>390143.00860731048</v>
      </c>
      <c r="EL154" s="21">
        <f t="shared" ca="1" si="219"/>
        <v>6</v>
      </c>
      <c r="EM154" t="str">
        <f t="shared" ca="1" si="163"/>
        <v/>
      </c>
      <c r="EN154" t="str">
        <f t="shared" ca="1" si="164"/>
        <v/>
      </c>
      <c r="EO154" t="str">
        <f t="shared" ca="1" si="165"/>
        <v/>
      </c>
      <c r="EP154" s="1" t="str">
        <f t="shared" ca="1" si="166"/>
        <v/>
      </c>
      <c r="EQ154" s="1" t="str">
        <f t="shared" ca="1" si="167"/>
        <v/>
      </c>
      <c r="ER154" t="str">
        <f t="shared" ca="1" si="168"/>
        <v/>
      </c>
      <c r="ES154" t="str">
        <f t="shared" si="169"/>
        <v/>
      </c>
      <c r="ET154">
        <v>0</v>
      </c>
      <c r="EU154" s="22">
        <v>145</v>
      </c>
      <c r="EX154" s="21" t="str">
        <f ca="1">IF(EX153="","",IF(EX153+1&lt;=MAX('Financial Planning Tool'!$EL$10:$EL$209),EX153+1,""))</f>
        <v/>
      </c>
      <c r="EY154" t="str">
        <f ca="1">IF(EX154&lt;&gt;"",VLOOKUP(EX154,'Financial Planning Tool'!$EL$10:$ER$209,2,FALSE),"")</f>
        <v/>
      </c>
      <c r="EZ154" t="str">
        <f ca="1">IF(EX154&lt;&gt;"",VLOOKUP(EX154,'Financial Planning Tool'!$EL$10:$ER$209,3,FALSE),"")</f>
        <v/>
      </c>
      <c r="FA154" t="str">
        <f ca="1">IF(EX154&lt;&gt;"",VLOOKUP(EX154,'Financial Planning Tool'!$EL$10:$ER$209,4,FALSE),"")</f>
        <v/>
      </c>
      <c r="FB154" t="str">
        <f t="shared" ca="1" si="220"/>
        <v/>
      </c>
      <c r="FC154" s="1" t="str">
        <f ca="1">IF(EX154&lt;&gt;"",VLOOKUP(EX154,'Financial Planning Tool'!$EL$10:$ER$209,5,FALSE),"")</f>
        <v/>
      </c>
      <c r="FD154" s="1" t="str">
        <f ca="1">IF(EX154&lt;&gt;"",VLOOKUP(EX154,'Financial Planning Tool'!$EL$10:$ER$209,6,FALSE),"")</f>
        <v/>
      </c>
      <c r="FE154" t="str">
        <f ca="1">IF(EX154&lt;&gt;"",VLOOKUP(EX154,'Financial Planning Tool'!$EL$10:$ER$209,7,FALSE),"")</f>
        <v/>
      </c>
      <c r="FF154" t="str">
        <f ca="1">IF(EX154&lt;&gt;"",VLOOKUP(EX154,'Financial Planning Tool'!$EL$10:$ES$209,8,FALSE),"")</f>
        <v/>
      </c>
      <c r="FG154" t="str">
        <f ca="1">IF(EX154&lt;&gt;"",VLOOKUP(EX154,'Financial Planning Tool'!$EL$10:$ET$209,9,FALSE),"")</f>
        <v/>
      </c>
      <c r="FH154" t="str">
        <f t="shared" ca="1" si="217"/>
        <v/>
      </c>
      <c r="FI154" s="22" t="str">
        <f t="shared" ca="1" si="218"/>
        <v/>
      </c>
    </row>
    <row r="155" spans="7:165" x14ac:dyDescent="0.25">
      <c r="G155" s="18"/>
      <c r="H155" s="1"/>
      <c r="AN155" s="32">
        <f t="shared" ca="1" si="184"/>
        <v>67.166666666666671</v>
      </c>
      <c r="AO155" s="53">
        <f t="shared" ca="1" si="215"/>
        <v>50100</v>
      </c>
      <c r="AP155" s="22">
        <v>148</v>
      </c>
      <c r="AQ155" s="32">
        <f t="shared" ca="1" si="216"/>
        <v>2464171.9672322259</v>
      </c>
      <c r="AR155" s="23">
        <f t="array" aca="1" ref="AR155" ca="1">SUM(IF(lsc_start_date=AO155,lsc_amount,0))</f>
        <v>0</v>
      </c>
      <c r="AS155" s="24">
        <f t="shared" ca="1" si="190"/>
        <v>0</v>
      </c>
      <c r="AT155" s="24">
        <f t="shared" ca="1" si="191"/>
        <v>0</v>
      </c>
      <c r="AU155" s="24">
        <f t="shared" ca="1" si="192"/>
        <v>0</v>
      </c>
      <c r="AV155" s="25">
        <f t="shared" ca="1" si="193"/>
        <v>0</v>
      </c>
      <c r="AW155" s="23">
        <f t="array" aca="1" ref="AW155" ca="1">SUM(IF(rcs_start_date&lt;=AO155,1,0)*IF(rcs_end_date&gt;=AO155,1,0)*rcs_amount*(1+rcs_escalation/100)^(INT((AP155-rcs_months_since_start)/12))*IF(MOD((AP155-rcs_months_since_start),rcs_frequency)=0,1,0)*IF(rcs_frequency=13,0,1))+SUM(IF(rcs_start_date=AO155,rcs_amount,0)*IF(rcs_frequency=13,1,0))</f>
        <v>0</v>
      </c>
      <c r="AX155" s="24">
        <f t="shared" ca="1" si="194"/>
        <v>0</v>
      </c>
      <c r="AY155" s="24">
        <f t="shared" ca="1" si="195"/>
        <v>0</v>
      </c>
      <c r="AZ155" s="24">
        <f t="shared" ca="1" si="196"/>
        <v>0</v>
      </c>
      <c r="BA155" s="25">
        <f t="shared" ca="1" si="197"/>
        <v>0</v>
      </c>
      <c r="BB155" s="23">
        <f t="array" aca="1" ref="BB155" ca="1">SUM(IF(w_start_date&lt;=AO155,1,0)*IF(w_end_date&gt;=AO155,1,0)*w_amount*(1+w_escalation/100)^(INT((AP155-w_months_since_start)/12))*IF(MOD(AP155-w_months_since_start,w_frequency)=0,1,0)*IF(w_frequency=13,0,1))+SUM(IF(w_start_date=AO155,w_amount,0)*IF(w_frequency=13,1,0))</f>
        <v>0</v>
      </c>
      <c r="BC155" s="25">
        <f t="shared" ca="1" si="198"/>
        <v>0</v>
      </c>
      <c r="BD155" s="24" t="b">
        <f t="shared" ca="1" si="199"/>
        <v>1</v>
      </c>
      <c r="BE155" s="24" t="b">
        <f t="shared" ca="1" si="200"/>
        <v>1</v>
      </c>
      <c r="BF155" s="23">
        <f t="array" aca="1" ref="BF155" ca="1">SUM(IF(BD155,1,0)*IF(ap_start_date&lt;=AO155,1,0)*IF(ap_end_date&gt;=AO155,1,0)*ap_amount*(1+ap_escalation/100)^(INT((AP155-ap_months_since_start)/12))*IF(MOD(AP155-ap_months_since_start,ap_frequency)=0,1,0))</f>
        <v>36400</v>
      </c>
      <c r="BG155" s="24">
        <f t="shared" ca="1" si="201"/>
        <v>436800</v>
      </c>
      <c r="BH155" s="24">
        <f t="shared" ca="1" si="202"/>
        <v>63460.951573220562</v>
      </c>
      <c r="BI155">
        <f t="shared" ca="1" si="203"/>
        <v>0</v>
      </c>
      <c r="BJ155" s="24">
        <f t="shared" ca="1" si="204"/>
        <v>444226.66101254389</v>
      </c>
      <c r="BK155">
        <f t="shared" ca="1" si="205"/>
        <v>0</v>
      </c>
      <c r="BL155" s="25">
        <f t="shared" ca="1" si="206"/>
        <v>36400</v>
      </c>
      <c r="BM155" s="32">
        <f t="shared" ca="1" si="185"/>
        <v>2445269.7047379217</v>
      </c>
      <c r="BN155" s="23">
        <f t="shared" ca="1" si="207"/>
        <v>0</v>
      </c>
      <c r="BO155" s="24">
        <f t="shared" ca="1" si="208"/>
        <v>0</v>
      </c>
      <c r="BP155" s="25">
        <f t="shared" ca="1" si="209"/>
        <v>0</v>
      </c>
      <c r="BQ155" s="34">
        <f t="shared" ca="1" si="210"/>
        <v>50130</v>
      </c>
      <c r="BR155" s="23">
        <f t="shared" ca="1" si="211"/>
        <v>2445269.7047379217</v>
      </c>
      <c r="BS155" s="24">
        <f t="shared" ca="1" si="212"/>
        <v>0</v>
      </c>
      <c r="BT155" s="24">
        <f t="shared" ca="1" si="221"/>
        <v>0</v>
      </c>
      <c r="BU155" s="24">
        <f t="shared" ca="1" si="213"/>
        <v>0</v>
      </c>
      <c r="BV155" s="24">
        <f t="shared" ca="1" si="222"/>
        <v>0</v>
      </c>
      <c r="BW155" s="24">
        <f t="shared" ca="1" si="214"/>
        <v>-36400</v>
      </c>
      <c r="BX155" s="25">
        <f t="shared" ca="1" si="223"/>
        <v>-427000</v>
      </c>
      <c r="BY155" s="23">
        <f t="shared" ca="1" si="186"/>
        <v>1507470.8256647645</v>
      </c>
      <c r="BZ155" s="24">
        <f t="shared" ca="1" si="187"/>
        <v>0</v>
      </c>
      <c r="CA155" s="24">
        <f t="shared" ca="1" si="224"/>
        <v>0</v>
      </c>
      <c r="CB155" s="24">
        <f t="shared" ca="1" si="188"/>
        <v>0</v>
      </c>
      <c r="CC155" s="24">
        <f t="shared" ca="1" si="225"/>
        <v>0</v>
      </c>
      <c r="CD155" s="24">
        <f t="shared" ca="1" si="189"/>
        <v>-22513.497956509509</v>
      </c>
      <c r="CE155" s="25">
        <f t="shared" ca="1" si="226"/>
        <v>-268857.83556715847</v>
      </c>
      <c r="CF155" s="23">
        <f t="shared" ca="1" si="227"/>
        <v>427000</v>
      </c>
      <c r="CG155" s="25">
        <f t="array" aca="1" ref="CG155" ca="1">SUM(BF144:BF155/(1+inflation/100)^(AP144:AP155/12))</f>
        <v>267980.53702225373</v>
      </c>
      <c r="CH155" s="32">
        <f ca="1">IFERROR(IF(MOD(AP155-ap_months_since_start,12)=0,ap_drawdown/100*(AQ155+AV155+BA155-BC155),CH154),0)</f>
        <v>390143.00860731048</v>
      </c>
      <c r="EL155" s="21">
        <f t="shared" ca="1" si="219"/>
        <v>6</v>
      </c>
      <c r="EM155" t="str">
        <f t="shared" ca="1" si="163"/>
        <v/>
      </c>
      <c r="EN155" t="str">
        <f t="shared" ca="1" si="164"/>
        <v/>
      </c>
      <c r="EO155" t="str">
        <f t="shared" ca="1" si="165"/>
        <v/>
      </c>
      <c r="EP155" s="1" t="str">
        <f t="shared" ca="1" si="166"/>
        <v/>
      </c>
      <c r="EQ155" s="1" t="str">
        <f t="shared" ca="1" si="167"/>
        <v/>
      </c>
      <c r="ER155" t="str">
        <f t="shared" ca="1" si="168"/>
        <v/>
      </c>
      <c r="ES155" t="str">
        <f t="shared" si="169"/>
        <v/>
      </c>
      <c r="ET155">
        <v>0</v>
      </c>
      <c r="EU155" s="22">
        <v>146</v>
      </c>
      <c r="EX155" s="21" t="str">
        <f ca="1">IF(EX154="","",IF(EX154+1&lt;=MAX('Financial Planning Tool'!$EL$10:$EL$209),EX154+1,""))</f>
        <v/>
      </c>
      <c r="EY155" t="str">
        <f ca="1">IF(EX155&lt;&gt;"",VLOOKUP(EX155,'Financial Planning Tool'!$EL$10:$ER$209,2,FALSE),"")</f>
        <v/>
      </c>
      <c r="EZ155" t="str">
        <f ca="1">IF(EX155&lt;&gt;"",VLOOKUP(EX155,'Financial Planning Tool'!$EL$10:$ER$209,3,FALSE),"")</f>
        <v/>
      </c>
      <c r="FA155" t="str">
        <f ca="1">IF(EX155&lt;&gt;"",VLOOKUP(EX155,'Financial Planning Tool'!$EL$10:$ER$209,4,FALSE),"")</f>
        <v/>
      </c>
      <c r="FB155" t="str">
        <f t="shared" ca="1" si="220"/>
        <v/>
      </c>
      <c r="FC155" s="1" t="str">
        <f ca="1">IF(EX155&lt;&gt;"",VLOOKUP(EX155,'Financial Planning Tool'!$EL$10:$ER$209,5,FALSE),"")</f>
        <v/>
      </c>
      <c r="FD155" s="1" t="str">
        <f ca="1">IF(EX155&lt;&gt;"",VLOOKUP(EX155,'Financial Planning Tool'!$EL$10:$ER$209,6,FALSE),"")</f>
        <v/>
      </c>
      <c r="FE155" t="str">
        <f ca="1">IF(EX155&lt;&gt;"",VLOOKUP(EX155,'Financial Planning Tool'!$EL$10:$ER$209,7,FALSE),"")</f>
        <v/>
      </c>
      <c r="FF155" t="str">
        <f ca="1">IF(EX155&lt;&gt;"",VLOOKUP(EX155,'Financial Planning Tool'!$EL$10:$ES$209,8,FALSE),"")</f>
        <v/>
      </c>
      <c r="FG155" t="str">
        <f ca="1">IF(EX155&lt;&gt;"",VLOOKUP(EX155,'Financial Planning Tool'!$EL$10:$ET$209,9,FALSE),"")</f>
        <v/>
      </c>
      <c r="FH155" t="str">
        <f t="shared" ca="1" si="217"/>
        <v/>
      </c>
      <c r="FI155" s="22" t="str">
        <f t="shared" ca="1" si="218"/>
        <v/>
      </c>
    </row>
    <row r="156" spans="7:165" x14ac:dyDescent="0.25">
      <c r="H156" s="1"/>
      <c r="AN156" s="32">
        <f t="shared" ca="1" si="184"/>
        <v>67.25</v>
      </c>
      <c r="AO156" s="53">
        <f t="shared" ca="1" si="215"/>
        <v>50131</v>
      </c>
      <c r="AP156" s="22">
        <v>149</v>
      </c>
      <c r="AQ156" s="32">
        <f t="shared" ca="1" si="216"/>
        <v>2445269.7047379217</v>
      </c>
      <c r="AR156" s="23">
        <f t="array" aca="1" ref="AR156" ca="1">SUM(IF(lsc_start_date=AO156,lsc_amount,0))</f>
        <v>0</v>
      </c>
      <c r="AS156" s="24">
        <f t="shared" ca="1" si="190"/>
        <v>0</v>
      </c>
      <c r="AT156" s="24">
        <f t="shared" ca="1" si="191"/>
        <v>0</v>
      </c>
      <c r="AU156" s="24">
        <f t="shared" ca="1" si="192"/>
        <v>0</v>
      </c>
      <c r="AV156" s="25">
        <f t="shared" ca="1" si="193"/>
        <v>0</v>
      </c>
      <c r="AW156" s="23">
        <f t="array" aca="1" ref="AW156" ca="1">SUM(IF(rcs_start_date&lt;=AO156,1,0)*IF(rcs_end_date&gt;=AO156,1,0)*rcs_amount*(1+rcs_escalation/100)^(INT((AP156-rcs_months_since_start)/12))*IF(MOD((AP156-rcs_months_since_start),rcs_frequency)=0,1,0)*IF(rcs_frequency=13,0,1))+SUM(IF(rcs_start_date=AO156,rcs_amount,0)*IF(rcs_frequency=13,1,0))</f>
        <v>0</v>
      </c>
      <c r="AX156" s="24">
        <f t="shared" ca="1" si="194"/>
        <v>0</v>
      </c>
      <c r="AY156" s="24">
        <f t="shared" ca="1" si="195"/>
        <v>0</v>
      </c>
      <c r="AZ156" s="24">
        <f t="shared" ca="1" si="196"/>
        <v>0</v>
      </c>
      <c r="BA156" s="25">
        <f t="shared" ca="1" si="197"/>
        <v>0</v>
      </c>
      <c r="BB156" s="23">
        <f t="array" aca="1" ref="BB156" ca="1">SUM(IF(w_start_date&lt;=AO156,1,0)*IF(w_end_date&gt;=AO156,1,0)*w_amount*(1+w_escalation/100)^(INT((AP156-w_months_since_start)/12))*IF(MOD(AP156-w_months_since_start,w_frequency)=0,1,0)*IF(w_frequency=13,0,1))+SUM(IF(w_start_date=AO156,w_amount,0)*IF(w_frequency=13,1,0))</f>
        <v>0</v>
      </c>
      <c r="BC156" s="25">
        <f t="shared" ca="1" si="198"/>
        <v>0</v>
      </c>
      <c r="BD156" s="24" t="b">
        <f t="shared" ca="1" si="199"/>
        <v>1</v>
      </c>
      <c r="BE156" s="24" t="b">
        <f t="shared" ca="1" si="200"/>
        <v>1</v>
      </c>
      <c r="BF156" s="23">
        <f t="array" aca="1" ref="BF156" ca="1">SUM(IF(BD156,1,0)*IF(ap_start_date&lt;=AO156,1,0)*IF(ap_end_date&gt;=AO156,1,0)*ap_amount*(1+ap_escalation/100)^(INT((AP156-ap_months_since_start)/12))*IF(MOD(AP156-ap_months_since_start,ap_frequency)=0,1,0))</f>
        <v>36400</v>
      </c>
      <c r="BG156" s="24">
        <f t="shared" ca="1" si="201"/>
        <v>436800</v>
      </c>
      <c r="BH156" s="24">
        <f t="shared" ca="1" si="202"/>
        <v>63460.951573220562</v>
      </c>
      <c r="BI156">
        <f t="shared" ca="1" si="203"/>
        <v>0</v>
      </c>
      <c r="BJ156" s="24">
        <f t="shared" ca="1" si="204"/>
        <v>444226.66101254389</v>
      </c>
      <c r="BK156">
        <f t="shared" ca="1" si="205"/>
        <v>0</v>
      </c>
      <c r="BL156" s="25">
        <f t="shared" ca="1" si="206"/>
        <v>36400</v>
      </c>
      <c r="BM156" s="32">
        <f t="shared" ca="1" si="185"/>
        <v>2426231.2075264147</v>
      </c>
      <c r="BN156" s="23">
        <f t="shared" ca="1" si="207"/>
        <v>0</v>
      </c>
      <c r="BO156" s="24">
        <f t="shared" ca="1" si="208"/>
        <v>0</v>
      </c>
      <c r="BP156" s="25">
        <f t="shared" ca="1" si="209"/>
        <v>0</v>
      </c>
      <c r="BQ156" s="34">
        <f t="shared" ca="1" si="210"/>
        <v>50160</v>
      </c>
      <c r="BR156" s="23">
        <f t="shared" ca="1" si="211"/>
        <v>2426231.2075264147</v>
      </c>
      <c r="BS156" s="24">
        <f t="shared" ca="1" si="212"/>
        <v>0</v>
      </c>
      <c r="BT156" s="24">
        <f t="shared" ca="1" si="221"/>
        <v>0</v>
      </c>
      <c r="BU156" s="24">
        <f t="shared" ca="1" si="213"/>
        <v>0</v>
      </c>
      <c r="BV156" s="24">
        <f t="shared" ca="1" si="222"/>
        <v>0</v>
      </c>
      <c r="BW156" s="24">
        <f t="shared" ca="1" si="214"/>
        <v>-36400</v>
      </c>
      <c r="BX156" s="25">
        <f t="shared" ca="1" si="223"/>
        <v>-428400</v>
      </c>
      <c r="BY156" s="23">
        <f t="shared" ca="1" si="186"/>
        <v>1490853.2220832591</v>
      </c>
      <c r="BZ156" s="24">
        <f t="shared" ca="1" si="187"/>
        <v>0</v>
      </c>
      <c r="CA156" s="24">
        <f t="shared" ca="1" si="224"/>
        <v>0</v>
      </c>
      <c r="CB156" s="24">
        <f t="shared" ca="1" si="188"/>
        <v>0</v>
      </c>
      <c r="CC156" s="24">
        <f t="shared" ca="1" si="225"/>
        <v>0</v>
      </c>
      <c r="CD156" s="24">
        <f t="shared" ca="1" si="189"/>
        <v>-22440.035120820539</v>
      </c>
      <c r="CE156" s="25">
        <f t="shared" ca="1" si="226"/>
        <v>-268857.83556715853</v>
      </c>
      <c r="CF156" s="23">
        <f t="shared" ca="1" si="227"/>
        <v>428400</v>
      </c>
      <c r="CG156" s="25">
        <f t="array" aca="1" ref="CG156" ca="1">SUM(BF145:BF156/(1+inflation/100)^(AP145:AP156/12))</f>
        <v>267980.53702225373</v>
      </c>
      <c r="CH156" s="32">
        <f ca="1">IFERROR(IF(MOD(AP156-ap_months_since_start,12)=0,ap_drawdown/100*(AQ156+AV156+BA156-BC156),CH155),0)</f>
        <v>390143.00860731048</v>
      </c>
      <c r="EL156" s="21">
        <f t="shared" ca="1" si="219"/>
        <v>6</v>
      </c>
      <c r="EM156" t="str">
        <f t="shared" ca="1" si="163"/>
        <v/>
      </c>
      <c r="EN156" t="str">
        <f t="shared" ca="1" si="164"/>
        <v/>
      </c>
      <c r="EO156" t="str">
        <f t="shared" ca="1" si="165"/>
        <v/>
      </c>
      <c r="EP156" s="1" t="str">
        <f t="shared" ca="1" si="166"/>
        <v/>
      </c>
      <c r="EQ156" s="1" t="str">
        <f t="shared" ca="1" si="167"/>
        <v/>
      </c>
      <c r="ER156" t="str">
        <f t="shared" ca="1" si="168"/>
        <v/>
      </c>
      <c r="ES156" t="str">
        <f t="shared" si="169"/>
        <v/>
      </c>
      <c r="ET156">
        <v>0</v>
      </c>
      <c r="EU156" s="22">
        <v>147</v>
      </c>
      <c r="EX156" s="21" t="str">
        <f ca="1">IF(EX155="","",IF(EX155+1&lt;=MAX('Financial Planning Tool'!$EL$10:$EL$209),EX155+1,""))</f>
        <v/>
      </c>
      <c r="EY156" t="str">
        <f ca="1">IF(EX156&lt;&gt;"",VLOOKUP(EX156,'Financial Planning Tool'!$EL$10:$ER$209,2,FALSE),"")</f>
        <v/>
      </c>
      <c r="EZ156" t="str">
        <f ca="1">IF(EX156&lt;&gt;"",VLOOKUP(EX156,'Financial Planning Tool'!$EL$10:$ER$209,3,FALSE),"")</f>
        <v/>
      </c>
      <c r="FA156" t="str">
        <f ca="1">IF(EX156&lt;&gt;"",VLOOKUP(EX156,'Financial Planning Tool'!$EL$10:$ER$209,4,FALSE),"")</f>
        <v/>
      </c>
      <c r="FB156" t="str">
        <f t="shared" ca="1" si="220"/>
        <v/>
      </c>
      <c r="FC156" s="1" t="str">
        <f ca="1">IF(EX156&lt;&gt;"",VLOOKUP(EX156,'Financial Planning Tool'!$EL$10:$ER$209,5,FALSE),"")</f>
        <v/>
      </c>
      <c r="FD156" s="1" t="str">
        <f ca="1">IF(EX156&lt;&gt;"",VLOOKUP(EX156,'Financial Planning Tool'!$EL$10:$ER$209,6,FALSE),"")</f>
        <v/>
      </c>
      <c r="FE156" t="str">
        <f ca="1">IF(EX156&lt;&gt;"",VLOOKUP(EX156,'Financial Planning Tool'!$EL$10:$ER$209,7,FALSE),"")</f>
        <v/>
      </c>
      <c r="FF156" t="str">
        <f ca="1">IF(EX156&lt;&gt;"",VLOOKUP(EX156,'Financial Planning Tool'!$EL$10:$ES$209,8,FALSE),"")</f>
        <v/>
      </c>
      <c r="FG156" t="str">
        <f ca="1">IF(EX156&lt;&gt;"",VLOOKUP(EX156,'Financial Planning Tool'!$EL$10:$ET$209,9,FALSE),"")</f>
        <v/>
      </c>
      <c r="FH156" t="str">
        <f t="shared" ca="1" si="217"/>
        <v/>
      </c>
      <c r="FI156" s="22" t="str">
        <f t="shared" ca="1" si="218"/>
        <v/>
      </c>
    </row>
    <row r="157" spans="7:165" x14ac:dyDescent="0.25">
      <c r="H157" s="1"/>
      <c r="AN157" s="32">
        <f t="shared" ca="1" si="184"/>
        <v>67.333333333333329</v>
      </c>
      <c r="AO157" s="53">
        <f t="shared" ca="1" si="215"/>
        <v>50161</v>
      </c>
      <c r="AP157" s="22">
        <v>150</v>
      </c>
      <c r="AQ157" s="32">
        <f t="shared" ca="1" si="216"/>
        <v>2426231.2075264147</v>
      </c>
      <c r="AR157" s="23">
        <f t="array" aca="1" ref="AR157" ca="1">SUM(IF(lsc_start_date=AO157,lsc_amount,0))</f>
        <v>0</v>
      </c>
      <c r="AS157" s="24">
        <f t="shared" ca="1" si="190"/>
        <v>0</v>
      </c>
      <c r="AT157" s="24">
        <f t="shared" ca="1" si="191"/>
        <v>0</v>
      </c>
      <c r="AU157" s="24">
        <f t="shared" ca="1" si="192"/>
        <v>0</v>
      </c>
      <c r="AV157" s="25">
        <f t="shared" ca="1" si="193"/>
        <v>0</v>
      </c>
      <c r="AW157" s="23">
        <f t="array" aca="1" ref="AW157" ca="1">SUM(IF(rcs_start_date&lt;=AO157,1,0)*IF(rcs_end_date&gt;=AO157,1,0)*rcs_amount*(1+rcs_escalation/100)^(INT((AP157-rcs_months_since_start)/12))*IF(MOD((AP157-rcs_months_since_start),rcs_frequency)=0,1,0)*IF(rcs_frequency=13,0,1))+SUM(IF(rcs_start_date=AO157,rcs_amount,0)*IF(rcs_frequency=13,1,0))</f>
        <v>0</v>
      </c>
      <c r="AX157" s="24">
        <f t="shared" ca="1" si="194"/>
        <v>0</v>
      </c>
      <c r="AY157" s="24">
        <f t="shared" ca="1" si="195"/>
        <v>0</v>
      </c>
      <c r="AZ157" s="24">
        <f t="shared" ca="1" si="196"/>
        <v>0</v>
      </c>
      <c r="BA157" s="25">
        <f t="shared" ca="1" si="197"/>
        <v>0</v>
      </c>
      <c r="BB157" s="23">
        <f t="array" aca="1" ref="BB157" ca="1">SUM(IF(w_start_date&lt;=AO157,1,0)*IF(w_end_date&gt;=AO157,1,0)*w_amount*(1+w_escalation/100)^(INT((AP157-w_months_since_start)/12))*IF(MOD(AP157-w_months_since_start,w_frequency)=0,1,0)*IF(w_frequency=13,0,1))+SUM(IF(w_start_date=AO157,w_amount,0)*IF(w_frequency=13,1,0))</f>
        <v>0</v>
      </c>
      <c r="BC157" s="25">
        <f t="shared" ca="1" si="198"/>
        <v>0</v>
      </c>
      <c r="BD157" s="24" t="b">
        <f t="shared" ca="1" si="199"/>
        <v>1</v>
      </c>
      <c r="BE157" s="24" t="b">
        <f t="shared" ca="1" si="200"/>
        <v>1</v>
      </c>
      <c r="BF157" s="23">
        <f t="array" aca="1" ref="BF157" ca="1">SUM(IF(BD157,1,0)*IF(ap_start_date&lt;=AO157,1,0)*IF(ap_end_date&gt;=AO157,1,0)*ap_amount*(1+ap_escalation/100)^(INT((AP157-ap_months_since_start)/12))*IF(MOD(AP157-ap_months_since_start,ap_frequency)=0,1,0))</f>
        <v>36400</v>
      </c>
      <c r="BG157" s="24">
        <f t="shared" ca="1" si="201"/>
        <v>436800</v>
      </c>
      <c r="BH157" s="24">
        <f t="shared" ca="1" si="202"/>
        <v>63460.951573220562</v>
      </c>
      <c r="BI157">
        <f t="shared" ca="1" si="203"/>
        <v>0</v>
      </c>
      <c r="BJ157" s="24">
        <f t="shared" ca="1" si="204"/>
        <v>444226.66101254389</v>
      </c>
      <c r="BK157">
        <f t="shared" ca="1" si="205"/>
        <v>0</v>
      </c>
      <c r="BL157" s="25">
        <f t="shared" ca="1" si="206"/>
        <v>36400</v>
      </c>
      <c r="BM157" s="32">
        <f t="shared" ca="1" si="185"/>
        <v>2407055.4937100508</v>
      </c>
      <c r="BN157" s="23">
        <f t="shared" ca="1" si="207"/>
        <v>0</v>
      </c>
      <c r="BO157" s="24">
        <f t="shared" ca="1" si="208"/>
        <v>0</v>
      </c>
      <c r="BP157" s="25">
        <f t="shared" ca="1" si="209"/>
        <v>0</v>
      </c>
      <c r="BQ157" s="34">
        <f t="shared" ca="1" si="210"/>
        <v>50191</v>
      </c>
      <c r="BR157" s="23">
        <f t="shared" ca="1" si="211"/>
        <v>2407055.4937100508</v>
      </c>
      <c r="BS157" s="24">
        <f t="shared" ca="1" si="212"/>
        <v>0</v>
      </c>
      <c r="BT157" s="24">
        <f t="shared" ca="1" si="221"/>
        <v>0</v>
      </c>
      <c r="BU157" s="24">
        <f t="shared" ca="1" si="213"/>
        <v>0</v>
      </c>
      <c r="BV157" s="24">
        <f t="shared" ca="1" si="222"/>
        <v>0</v>
      </c>
      <c r="BW157" s="24">
        <f t="shared" ca="1" si="214"/>
        <v>-36400</v>
      </c>
      <c r="BX157" s="25">
        <f t="shared" ca="1" si="223"/>
        <v>-429800</v>
      </c>
      <c r="BY157" s="23">
        <f t="shared" ca="1" si="186"/>
        <v>1474243.975276981</v>
      </c>
      <c r="BZ157" s="24">
        <f t="shared" ca="1" si="187"/>
        <v>0</v>
      </c>
      <c r="CA157" s="24">
        <f t="shared" ca="1" si="224"/>
        <v>0</v>
      </c>
      <c r="CB157" s="24">
        <f t="shared" ca="1" si="188"/>
        <v>0</v>
      </c>
      <c r="CC157" s="24">
        <f t="shared" ca="1" si="225"/>
        <v>0</v>
      </c>
      <c r="CD157" s="24">
        <f t="shared" ca="1" si="189"/>
        <v>-22366.811998579826</v>
      </c>
      <c r="CE157" s="25">
        <f t="shared" ca="1" si="226"/>
        <v>-268857.83556715841</v>
      </c>
      <c r="CF157" s="23">
        <f t="shared" ca="1" si="227"/>
        <v>429800</v>
      </c>
      <c r="CG157" s="25">
        <f t="array" aca="1" ref="CG157" ca="1">SUM(BF146:BF157/(1+inflation/100)^(AP146:AP157/12))</f>
        <v>267980.53702225373</v>
      </c>
      <c r="CH157" s="32">
        <f ca="1">IFERROR(IF(MOD(AP157-ap_months_since_start,12)=0,ap_drawdown/100*(AQ157+AV157+BA157-BC157),CH156),0)</f>
        <v>390143.00860731048</v>
      </c>
      <c r="EL157" s="21">
        <f t="shared" ca="1" si="219"/>
        <v>6</v>
      </c>
      <c r="EM157" t="str">
        <f t="shared" ca="1" si="163"/>
        <v/>
      </c>
      <c r="EN157" t="str">
        <f t="shared" ca="1" si="164"/>
        <v/>
      </c>
      <c r="EO157" t="str">
        <f t="shared" ca="1" si="165"/>
        <v/>
      </c>
      <c r="EP157" s="1" t="str">
        <f t="shared" ca="1" si="166"/>
        <v/>
      </c>
      <c r="EQ157" s="1" t="str">
        <f t="shared" ca="1" si="167"/>
        <v/>
      </c>
      <c r="ER157" t="str">
        <f t="shared" ca="1" si="168"/>
        <v/>
      </c>
      <c r="ES157" t="str">
        <f t="shared" si="169"/>
        <v/>
      </c>
      <c r="ET157">
        <v>0</v>
      </c>
      <c r="EU157" s="22">
        <v>148</v>
      </c>
      <c r="EX157" s="21" t="str">
        <f ca="1">IF(EX156="","",IF(EX156+1&lt;=MAX('Financial Planning Tool'!$EL$10:$EL$209),EX156+1,""))</f>
        <v/>
      </c>
      <c r="EY157" t="str">
        <f ca="1">IF(EX157&lt;&gt;"",VLOOKUP(EX157,'Financial Planning Tool'!$EL$10:$ER$209,2,FALSE),"")</f>
        <v/>
      </c>
      <c r="EZ157" t="str">
        <f ca="1">IF(EX157&lt;&gt;"",VLOOKUP(EX157,'Financial Planning Tool'!$EL$10:$ER$209,3,FALSE),"")</f>
        <v/>
      </c>
      <c r="FA157" t="str">
        <f ca="1">IF(EX157&lt;&gt;"",VLOOKUP(EX157,'Financial Planning Tool'!$EL$10:$ER$209,4,FALSE),"")</f>
        <v/>
      </c>
      <c r="FB157" t="str">
        <f t="shared" ca="1" si="220"/>
        <v/>
      </c>
      <c r="FC157" s="1" t="str">
        <f ca="1">IF(EX157&lt;&gt;"",VLOOKUP(EX157,'Financial Planning Tool'!$EL$10:$ER$209,5,FALSE),"")</f>
        <v/>
      </c>
      <c r="FD157" s="1" t="str">
        <f ca="1">IF(EX157&lt;&gt;"",VLOOKUP(EX157,'Financial Planning Tool'!$EL$10:$ER$209,6,FALSE),"")</f>
        <v/>
      </c>
      <c r="FE157" t="str">
        <f ca="1">IF(EX157&lt;&gt;"",VLOOKUP(EX157,'Financial Planning Tool'!$EL$10:$ER$209,7,FALSE),"")</f>
        <v/>
      </c>
      <c r="FF157" t="str">
        <f ca="1">IF(EX157&lt;&gt;"",VLOOKUP(EX157,'Financial Planning Tool'!$EL$10:$ES$209,8,FALSE),"")</f>
        <v/>
      </c>
      <c r="FG157" t="str">
        <f ca="1">IF(EX157&lt;&gt;"",VLOOKUP(EX157,'Financial Planning Tool'!$EL$10:$ET$209,9,FALSE),"")</f>
        <v/>
      </c>
      <c r="FH157" t="str">
        <f t="shared" ca="1" si="217"/>
        <v/>
      </c>
      <c r="FI157" s="22" t="str">
        <f t="shared" ca="1" si="218"/>
        <v/>
      </c>
    </row>
    <row r="158" spans="7:165" x14ac:dyDescent="0.25">
      <c r="H158" s="1"/>
      <c r="AN158" s="32">
        <f t="shared" ca="1" si="184"/>
        <v>67.416666666666671</v>
      </c>
      <c r="AO158" s="53">
        <f t="shared" ca="1" si="215"/>
        <v>50192</v>
      </c>
      <c r="AP158" s="22">
        <v>151</v>
      </c>
      <c r="AQ158" s="32">
        <f t="shared" ca="1" si="216"/>
        <v>2407055.4937100508</v>
      </c>
      <c r="AR158" s="23">
        <f t="array" aca="1" ref="AR158" ca="1">SUM(IF(lsc_start_date=AO158,lsc_amount,0))</f>
        <v>0</v>
      </c>
      <c r="AS158" s="24">
        <f t="shared" ca="1" si="190"/>
        <v>0</v>
      </c>
      <c r="AT158" s="24">
        <f t="shared" ca="1" si="191"/>
        <v>0</v>
      </c>
      <c r="AU158" s="24">
        <f t="shared" ca="1" si="192"/>
        <v>0</v>
      </c>
      <c r="AV158" s="25">
        <f t="shared" ca="1" si="193"/>
        <v>0</v>
      </c>
      <c r="AW158" s="23">
        <f t="array" aca="1" ref="AW158" ca="1">SUM(IF(rcs_start_date&lt;=AO158,1,0)*IF(rcs_end_date&gt;=AO158,1,0)*rcs_amount*(1+rcs_escalation/100)^(INT((AP158-rcs_months_since_start)/12))*IF(MOD((AP158-rcs_months_since_start),rcs_frequency)=0,1,0)*IF(rcs_frequency=13,0,1))+SUM(IF(rcs_start_date=AO158,rcs_amount,0)*IF(rcs_frequency=13,1,0))</f>
        <v>0</v>
      </c>
      <c r="AX158" s="24">
        <f t="shared" ca="1" si="194"/>
        <v>0</v>
      </c>
      <c r="AY158" s="24">
        <f t="shared" ca="1" si="195"/>
        <v>0</v>
      </c>
      <c r="AZ158" s="24">
        <f t="shared" ca="1" si="196"/>
        <v>0</v>
      </c>
      <c r="BA158" s="25">
        <f t="shared" ca="1" si="197"/>
        <v>0</v>
      </c>
      <c r="BB158" s="23">
        <f t="array" aca="1" ref="BB158" ca="1">SUM(IF(w_start_date&lt;=AO158,1,0)*IF(w_end_date&gt;=AO158,1,0)*w_amount*(1+w_escalation/100)^(INT((AP158-w_months_since_start)/12))*IF(MOD(AP158-w_months_since_start,w_frequency)=0,1,0)*IF(w_frequency=13,0,1))+SUM(IF(w_start_date=AO158,w_amount,0)*IF(w_frequency=13,1,0))</f>
        <v>0</v>
      </c>
      <c r="BC158" s="25">
        <f t="shared" ca="1" si="198"/>
        <v>0</v>
      </c>
      <c r="BD158" s="24" t="b">
        <f t="shared" ca="1" si="199"/>
        <v>1</v>
      </c>
      <c r="BE158" s="24" t="b">
        <f t="shared" ca="1" si="200"/>
        <v>1</v>
      </c>
      <c r="BF158" s="23">
        <f t="array" aca="1" ref="BF158" ca="1">SUM(IF(BD158,1,0)*IF(ap_start_date&lt;=AO158,1,0)*IF(ap_end_date&gt;=AO158,1,0)*ap_amount*(1+ap_escalation/100)^(INT((AP158-ap_months_since_start)/12))*IF(MOD(AP158-ap_months_since_start,ap_frequency)=0,1,0))</f>
        <v>36400</v>
      </c>
      <c r="BG158" s="24">
        <f t="shared" ca="1" si="201"/>
        <v>436800</v>
      </c>
      <c r="BH158" s="24">
        <f t="shared" ca="1" si="202"/>
        <v>63460.951573220562</v>
      </c>
      <c r="BI158">
        <f t="shared" ca="1" si="203"/>
        <v>0</v>
      </c>
      <c r="BJ158" s="24">
        <f t="shared" ca="1" si="204"/>
        <v>444226.66101254389</v>
      </c>
      <c r="BK158">
        <f t="shared" ca="1" si="205"/>
        <v>0</v>
      </c>
      <c r="BL158" s="25">
        <f t="shared" ca="1" si="206"/>
        <v>36400</v>
      </c>
      <c r="BM158" s="32">
        <f t="shared" ca="1" si="185"/>
        <v>2387741.574324395</v>
      </c>
      <c r="BN158" s="23">
        <f t="shared" ca="1" si="207"/>
        <v>0</v>
      </c>
      <c r="BO158" s="24">
        <f t="shared" ca="1" si="208"/>
        <v>0</v>
      </c>
      <c r="BP158" s="25">
        <f t="shared" ca="1" si="209"/>
        <v>0</v>
      </c>
      <c r="BQ158" s="34">
        <f t="shared" ca="1" si="210"/>
        <v>50221</v>
      </c>
      <c r="BR158" s="23">
        <f t="shared" ca="1" si="211"/>
        <v>2387741.574324395</v>
      </c>
      <c r="BS158" s="24">
        <f t="shared" ca="1" si="212"/>
        <v>0</v>
      </c>
      <c r="BT158" s="24">
        <f t="shared" ca="1" si="221"/>
        <v>0</v>
      </c>
      <c r="BU158" s="24">
        <f t="shared" ca="1" si="213"/>
        <v>0</v>
      </c>
      <c r="BV158" s="24">
        <f t="shared" ca="1" si="222"/>
        <v>0</v>
      </c>
      <c r="BW158" s="24">
        <f t="shared" ca="1" si="214"/>
        <v>-36400</v>
      </c>
      <c r="BX158" s="25">
        <f t="shared" ca="1" si="223"/>
        <v>-431200</v>
      </c>
      <c r="BY158" s="23">
        <f t="shared" ca="1" si="186"/>
        <v>1457642.8781427022</v>
      </c>
      <c r="BZ158" s="24">
        <f t="shared" ca="1" si="187"/>
        <v>0</v>
      </c>
      <c r="CA158" s="24">
        <f t="shared" ca="1" si="224"/>
        <v>0</v>
      </c>
      <c r="CB158" s="24">
        <f t="shared" ca="1" si="188"/>
        <v>0</v>
      </c>
      <c r="CC158" s="24">
        <f t="shared" ca="1" si="225"/>
        <v>0</v>
      </c>
      <c r="CD158" s="24">
        <f t="shared" ca="1" si="189"/>
        <v>-22293.82780758863</v>
      </c>
      <c r="CE158" s="25">
        <f t="shared" ca="1" si="226"/>
        <v>-268857.83556715847</v>
      </c>
      <c r="CF158" s="23">
        <f t="shared" ca="1" si="227"/>
        <v>431200</v>
      </c>
      <c r="CG158" s="25">
        <f t="array" aca="1" ref="CG158" ca="1">SUM(BF147:BF158/(1+inflation/100)^(AP147:AP158/12))</f>
        <v>267980.53702225367</v>
      </c>
      <c r="CH158" s="32">
        <f ca="1">IFERROR(IF(MOD(AP158-ap_months_since_start,12)=0,ap_drawdown/100*(AQ158+AV158+BA158-BC158),CH157),0)</f>
        <v>390143.00860731048</v>
      </c>
      <c r="EL158" s="21">
        <f t="shared" ca="1" si="219"/>
        <v>6</v>
      </c>
      <c r="EM158" t="str">
        <f t="shared" ca="1" si="163"/>
        <v/>
      </c>
      <c r="EN158" t="str">
        <f t="shared" ca="1" si="164"/>
        <v/>
      </c>
      <c r="EO158" t="str">
        <f t="shared" ca="1" si="165"/>
        <v/>
      </c>
      <c r="EP158" s="1" t="str">
        <f t="shared" ca="1" si="166"/>
        <v/>
      </c>
      <c r="EQ158" s="1" t="str">
        <f t="shared" ca="1" si="167"/>
        <v/>
      </c>
      <c r="ER158" t="str">
        <f t="shared" ca="1" si="168"/>
        <v/>
      </c>
      <c r="ES158" t="str">
        <f t="shared" si="169"/>
        <v/>
      </c>
      <c r="ET158">
        <v>0</v>
      </c>
      <c r="EU158" s="22">
        <v>149</v>
      </c>
      <c r="EX158" s="21" t="str">
        <f ca="1">IF(EX157="","",IF(EX157+1&lt;=MAX('Financial Planning Tool'!$EL$10:$EL$209),EX157+1,""))</f>
        <v/>
      </c>
      <c r="EY158" t="str">
        <f ca="1">IF(EX158&lt;&gt;"",VLOOKUP(EX158,'Financial Planning Tool'!$EL$10:$ER$209,2,FALSE),"")</f>
        <v/>
      </c>
      <c r="EZ158" t="str">
        <f ca="1">IF(EX158&lt;&gt;"",VLOOKUP(EX158,'Financial Planning Tool'!$EL$10:$ER$209,3,FALSE),"")</f>
        <v/>
      </c>
      <c r="FA158" t="str">
        <f ca="1">IF(EX158&lt;&gt;"",VLOOKUP(EX158,'Financial Planning Tool'!$EL$10:$ER$209,4,FALSE),"")</f>
        <v/>
      </c>
      <c r="FB158" t="str">
        <f t="shared" ca="1" si="220"/>
        <v/>
      </c>
      <c r="FC158" s="1" t="str">
        <f ca="1">IF(EX158&lt;&gt;"",VLOOKUP(EX158,'Financial Planning Tool'!$EL$10:$ER$209,5,FALSE),"")</f>
        <v/>
      </c>
      <c r="FD158" s="1" t="str">
        <f ca="1">IF(EX158&lt;&gt;"",VLOOKUP(EX158,'Financial Planning Tool'!$EL$10:$ER$209,6,FALSE),"")</f>
        <v/>
      </c>
      <c r="FE158" t="str">
        <f ca="1">IF(EX158&lt;&gt;"",VLOOKUP(EX158,'Financial Planning Tool'!$EL$10:$ER$209,7,FALSE),"")</f>
        <v/>
      </c>
      <c r="FF158" t="str">
        <f ca="1">IF(EX158&lt;&gt;"",VLOOKUP(EX158,'Financial Planning Tool'!$EL$10:$ES$209,8,FALSE),"")</f>
        <v/>
      </c>
      <c r="FG158" t="str">
        <f ca="1">IF(EX158&lt;&gt;"",VLOOKUP(EX158,'Financial Planning Tool'!$EL$10:$ET$209,9,FALSE),"")</f>
        <v/>
      </c>
      <c r="FH158" t="str">
        <f t="shared" ca="1" si="217"/>
        <v/>
      </c>
      <c r="FI158" s="22" t="str">
        <f t="shared" ca="1" si="218"/>
        <v/>
      </c>
    </row>
    <row r="159" spans="7:165" x14ac:dyDescent="0.25">
      <c r="H159" s="1"/>
      <c r="AN159" s="32">
        <f t="shared" ca="1" si="184"/>
        <v>67.5</v>
      </c>
      <c r="AO159" s="53">
        <f t="shared" ca="1" si="215"/>
        <v>50222</v>
      </c>
      <c r="AP159" s="22">
        <v>152</v>
      </c>
      <c r="AQ159" s="32">
        <f t="shared" ca="1" si="216"/>
        <v>2387741.574324395</v>
      </c>
      <c r="AR159" s="23">
        <f t="array" aca="1" ref="AR159" ca="1">SUM(IF(lsc_start_date=AO159,lsc_amount,0))</f>
        <v>0</v>
      </c>
      <c r="AS159" s="24">
        <f t="shared" ca="1" si="190"/>
        <v>0</v>
      </c>
      <c r="AT159" s="24">
        <f t="shared" ca="1" si="191"/>
        <v>0</v>
      </c>
      <c r="AU159" s="24">
        <f t="shared" ca="1" si="192"/>
        <v>0</v>
      </c>
      <c r="AV159" s="25">
        <f t="shared" ca="1" si="193"/>
        <v>0</v>
      </c>
      <c r="AW159" s="23">
        <f t="array" aca="1" ref="AW159" ca="1">SUM(IF(rcs_start_date&lt;=AO159,1,0)*IF(rcs_end_date&gt;=AO159,1,0)*rcs_amount*(1+rcs_escalation/100)^(INT((AP159-rcs_months_since_start)/12))*IF(MOD((AP159-rcs_months_since_start),rcs_frequency)=0,1,0)*IF(rcs_frequency=13,0,1))+SUM(IF(rcs_start_date=AO159,rcs_amount,0)*IF(rcs_frequency=13,1,0))</f>
        <v>0</v>
      </c>
      <c r="AX159" s="24">
        <f t="shared" ca="1" si="194"/>
        <v>0</v>
      </c>
      <c r="AY159" s="24">
        <f t="shared" ca="1" si="195"/>
        <v>0</v>
      </c>
      <c r="AZ159" s="24">
        <f t="shared" ca="1" si="196"/>
        <v>0</v>
      </c>
      <c r="BA159" s="25">
        <f t="shared" ca="1" si="197"/>
        <v>0</v>
      </c>
      <c r="BB159" s="23">
        <f t="array" aca="1" ref="BB159" ca="1">SUM(IF(w_start_date&lt;=AO159,1,0)*IF(w_end_date&gt;=AO159,1,0)*w_amount*(1+w_escalation/100)^(INT((AP159-w_months_since_start)/12))*IF(MOD(AP159-w_months_since_start,w_frequency)=0,1,0)*IF(w_frequency=13,0,1))+SUM(IF(w_start_date=AO159,w_amount,0)*IF(w_frequency=13,1,0))</f>
        <v>0</v>
      </c>
      <c r="BC159" s="25">
        <f t="shared" ca="1" si="198"/>
        <v>0</v>
      </c>
      <c r="BD159" s="24" t="b">
        <f t="shared" ca="1" si="199"/>
        <v>1</v>
      </c>
      <c r="BE159" s="24" t="b">
        <f t="shared" ca="1" si="200"/>
        <v>1</v>
      </c>
      <c r="BF159" s="23">
        <f t="array" aca="1" ref="BF159" ca="1">SUM(IF(BD159,1,0)*IF(ap_start_date&lt;=AO159,1,0)*IF(ap_end_date&gt;=AO159,1,0)*ap_amount*(1+ap_escalation/100)^(INT((AP159-ap_months_since_start)/12))*IF(MOD(AP159-ap_months_since_start,ap_frequency)=0,1,0))</f>
        <v>36400</v>
      </c>
      <c r="BG159" s="24">
        <f t="shared" ca="1" si="201"/>
        <v>436800</v>
      </c>
      <c r="BH159" s="24">
        <f t="shared" ca="1" si="202"/>
        <v>63460.951573220562</v>
      </c>
      <c r="BI159">
        <f t="shared" ca="1" si="203"/>
        <v>0</v>
      </c>
      <c r="BJ159" s="24">
        <f t="shared" ca="1" si="204"/>
        <v>444226.66101254389</v>
      </c>
      <c r="BK159">
        <f t="shared" ca="1" si="205"/>
        <v>0</v>
      </c>
      <c r="BL159" s="25">
        <f t="shared" ca="1" si="206"/>
        <v>36400</v>
      </c>
      <c r="BM159" s="32">
        <f t="shared" ca="1" si="185"/>
        <v>2368288.4532772247</v>
      </c>
      <c r="BN159" s="23">
        <f t="shared" ca="1" si="207"/>
        <v>0</v>
      </c>
      <c r="BO159" s="24">
        <f t="shared" ca="1" si="208"/>
        <v>0</v>
      </c>
      <c r="BP159" s="25">
        <f t="shared" ca="1" si="209"/>
        <v>0</v>
      </c>
      <c r="BQ159" s="34">
        <f t="shared" ca="1" si="210"/>
        <v>50252</v>
      </c>
      <c r="BR159" s="23">
        <f t="shared" ca="1" si="211"/>
        <v>2368288.4532772247</v>
      </c>
      <c r="BS159" s="24">
        <f t="shared" ca="1" si="212"/>
        <v>0</v>
      </c>
      <c r="BT159" s="24">
        <f t="shared" ca="1" si="221"/>
        <v>0</v>
      </c>
      <c r="BU159" s="24">
        <f t="shared" ca="1" si="213"/>
        <v>0</v>
      </c>
      <c r="BV159" s="24">
        <f t="shared" ca="1" si="222"/>
        <v>0</v>
      </c>
      <c r="BW159" s="24">
        <f t="shared" ca="1" si="214"/>
        <v>-36400</v>
      </c>
      <c r="BX159" s="25">
        <f t="shared" ca="1" si="223"/>
        <v>-432600</v>
      </c>
      <c r="BY159" s="23">
        <f t="shared" ca="1" si="186"/>
        <v>1441049.7235478968</v>
      </c>
      <c r="BZ159" s="24">
        <f t="shared" ca="1" si="187"/>
        <v>0</v>
      </c>
      <c r="CA159" s="24">
        <f t="shared" ca="1" si="224"/>
        <v>0</v>
      </c>
      <c r="CB159" s="24">
        <f t="shared" ca="1" si="188"/>
        <v>0</v>
      </c>
      <c r="CC159" s="24">
        <f t="shared" ca="1" si="225"/>
        <v>0</v>
      </c>
      <c r="CD159" s="24">
        <f t="shared" ca="1" si="189"/>
        <v>-22221.081768200576</v>
      </c>
      <c r="CE159" s="25">
        <f t="shared" ca="1" si="226"/>
        <v>-268857.83556715847</v>
      </c>
      <c r="CF159" s="23">
        <f t="shared" ca="1" si="227"/>
        <v>432600</v>
      </c>
      <c r="CG159" s="25">
        <f t="array" aca="1" ref="CG159" ca="1">SUM(BF148:BF159/(1+inflation/100)^(AP148:AP159/12))</f>
        <v>267980.53702225367</v>
      </c>
      <c r="CH159" s="32">
        <f ca="1">IFERROR(IF(MOD(AP159-ap_months_since_start,12)=0,ap_drawdown/100*(AQ159+AV159+BA159-BC159),CH158),0)</f>
        <v>390143.00860731048</v>
      </c>
      <c r="EL159" s="21">
        <f t="shared" ca="1" si="219"/>
        <v>6</v>
      </c>
      <c r="EM159" t="str">
        <f t="shared" ca="1" si="163"/>
        <v/>
      </c>
      <c r="EN159" t="str">
        <f t="shared" ca="1" si="164"/>
        <v/>
      </c>
      <c r="EO159" t="str">
        <f t="shared" ca="1" si="165"/>
        <v/>
      </c>
      <c r="EP159" s="1" t="str">
        <f t="shared" ca="1" si="166"/>
        <v/>
      </c>
      <c r="EQ159" s="1" t="str">
        <f t="shared" ca="1" si="167"/>
        <v/>
      </c>
      <c r="ER159" t="str">
        <f t="shared" ca="1" si="168"/>
        <v/>
      </c>
      <c r="ES159" t="str">
        <f t="shared" si="169"/>
        <v/>
      </c>
      <c r="ET159">
        <v>0</v>
      </c>
      <c r="EU159" s="22">
        <v>150</v>
      </c>
      <c r="EX159" s="21" t="str">
        <f ca="1">IF(EX158="","",IF(EX158+1&lt;=MAX('Financial Planning Tool'!$EL$10:$EL$209),EX158+1,""))</f>
        <v/>
      </c>
      <c r="EY159" t="str">
        <f ca="1">IF(EX159&lt;&gt;"",VLOOKUP(EX159,'Financial Planning Tool'!$EL$10:$ER$209,2,FALSE),"")</f>
        <v/>
      </c>
      <c r="EZ159" t="str">
        <f ca="1">IF(EX159&lt;&gt;"",VLOOKUP(EX159,'Financial Planning Tool'!$EL$10:$ER$209,3,FALSE),"")</f>
        <v/>
      </c>
      <c r="FA159" t="str">
        <f ca="1">IF(EX159&lt;&gt;"",VLOOKUP(EX159,'Financial Planning Tool'!$EL$10:$ER$209,4,FALSE),"")</f>
        <v/>
      </c>
      <c r="FB159" t="str">
        <f t="shared" ca="1" si="220"/>
        <v/>
      </c>
      <c r="FC159" s="1" t="str">
        <f ca="1">IF(EX159&lt;&gt;"",VLOOKUP(EX159,'Financial Planning Tool'!$EL$10:$ER$209,5,FALSE),"")</f>
        <v/>
      </c>
      <c r="FD159" s="1" t="str">
        <f ca="1">IF(EX159&lt;&gt;"",VLOOKUP(EX159,'Financial Planning Tool'!$EL$10:$ER$209,6,FALSE),"")</f>
        <v/>
      </c>
      <c r="FE159" t="str">
        <f ca="1">IF(EX159&lt;&gt;"",VLOOKUP(EX159,'Financial Planning Tool'!$EL$10:$ER$209,7,FALSE),"")</f>
        <v/>
      </c>
      <c r="FF159" t="str">
        <f ca="1">IF(EX159&lt;&gt;"",VLOOKUP(EX159,'Financial Planning Tool'!$EL$10:$ES$209,8,FALSE),"")</f>
        <v/>
      </c>
      <c r="FG159" t="str">
        <f ca="1">IF(EX159&lt;&gt;"",VLOOKUP(EX159,'Financial Planning Tool'!$EL$10:$ET$209,9,FALSE),"")</f>
        <v/>
      </c>
      <c r="FH159" t="str">
        <f t="shared" ca="1" si="217"/>
        <v/>
      </c>
      <c r="FI159" s="22" t="str">
        <f t="shared" ca="1" si="218"/>
        <v/>
      </c>
    </row>
    <row r="160" spans="7:165" x14ac:dyDescent="0.25">
      <c r="H160" s="1"/>
      <c r="AN160" s="32">
        <f t="shared" ca="1" si="184"/>
        <v>67.583333333333329</v>
      </c>
      <c r="AO160" s="53">
        <f t="shared" ca="1" si="215"/>
        <v>50253</v>
      </c>
      <c r="AP160" s="22">
        <v>153</v>
      </c>
      <c r="AQ160" s="32">
        <f t="shared" ca="1" si="216"/>
        <v>2368288.4532772247</v>
      </c>
      <c r="AR160" s="23">
        <f t="array" aca="1" ref="AR160" ca="1">SUM(IF(lsc_start_date=AO160,lsc_amount,0))</f>
        <v>0</v>
      </c>
      <c r="AS160" s="24">
        <f t="shared" ca="1" si="190"/>
        <v>0</v>
      </c>
      <c r="AT160" s="24">
        <f t="shared" ca="1" si="191"/>
        <v>0</v>
      </c>
      <c r="AU160" s="24">
        <f t="shared" ca="1" si="192"/>
        <v>0</v>
      </c>
      <c r="AV160" s="25">
        <f t="shared" ca="1" si="193"/>
        <v>0</v>
      </c>
      <c r="AW160" s="23">
        <f t="array" aca="1" ref="AW160" ca="1">SUM(IF(rcs_start_date&lt;=AO160,1,0)*IF(rcs_end_date&gt;=AO160,1,0)*rcs_amount*(1+rcs_escalation/100)^(INT((AP160-rcs_months_since_start)/12))*IF(MOD((AP160-rcs_months_since_start),rcs_frequency)=0,1,0)*IF(rcs_frequency=13,0,1))+SUM(IF(rcs_start_date=AO160,rcs_amount,0)*IF(rcs_frequency=13,1,0))</f>
        <v>0</v>
      </c>
      <c r="AX160" s="24">
        <f t="shared" ca="1" si="194"/>
        <v>0</v>
      </c>
      <c r="AY160" s="24">
        <f t="shared" ca="1" si="195"/>
        <v>0</v>
      </c>
      <c r="AZ160" s="24">
        <f t="shared" ca="1" si="196"/>
        <v>0</v>
      </c>
      <c r="BA160" s="25">
        <f t="shared" ca="1" si="197"/>
        <v>0</v>
      </c>
      <c r="BB160" s="23">
        <f t="array" aca="1" ref="BB160" ca="1">SUM(IF(w_start_date&lt;=AO160,1,0)*IF(w_end_date&gt;=AO160,1,0)*w_amount*(1+w_escalation/100)^(INT((AP160-w_months_since_start)/12))*IF(MOD(AP160-w_months_since_start,w_frequency)=0,1,0)*IF(w_frequency=13,0,1))+SUM(IF(w_start_date=AO160,w_amount,0)*IF(w_frequency=13,1,0))</f>
        <v>0</v>
      </c>
      <c r="BC160" s="25">
        <f t="shared" ca="1" si="198"/>
        <v>0</v>
      </c>
      <c r="BD160" s="24" t="b">
        <f t="shared" ca="1" si="199"/>
        <v>1</v>
      </c>
      <c r="BE160" s="24" t="b">
        <f t="shared" ca="1" si="200"/>
        <v>1</v>
      </c>
      <c r="BF160" s="23">
        <f t="array" aca="1" ref="BF160" ca="1">SUM(IF(BD160,1,0)*IF(ap_start_date&lt;=AO160,1,0)*IF(ap_end_date&gt;=AO160,1,0)*ap_amount*(1+ap_escalation/100)^(INT((AP160-ap_months_since_start)/12))*IF(MOD(AP160-ap_months_since_start,ap_frequency)=0,1,0))</f>
        <v>36400</v>
      </c>
      <c r="BG160" s="24">
        <f t="shared" ca="1" si="201"/>
        <v>436800</v>
      </c>
      <c r="BH160" s="24">
        <f t="shared" ca="1" si="202"/>
        <v>63460.951573220562</v>
      </c>
      <c r="BI160">
        <f t="shared" ca="1" si="203"/>
        <v>0</v>
      </c>
      <c r="BJ160" s="24">
        <f t="shared" ca="1" si="204"/>
        <v>444226.66101254389</v>
      </c>
      <c r="BK160">
        <f t="shared" ca="1" si="205"/>
        <v>0</v>
      </c>
      <c r="BL160" s="25">
        <f t="shared" ca="1" si="206"/>
        <v>36400</v>
      </c>
      <c r="BM160" s="32">
        <f t="shared" ca="1" si="185"/>
        <v>2348695.1272971598</v>
      </c>
      <c r="BN160" s="23">
        <f t="shared" ca="1" si="207"/>
        <v>0</v>
      </c>
      <c r="BO160" s="24">
        <f t="shared" ca="1" si="208"/>
        <v>0</v>
      </c>
      <c r="BP160" s="25">
        <f t="shared" ca="1" si="209"/>
        <v>0</v>
      </c>
      <c r="BQ160" s="34">
        <f t="shared" ca="1" si="210"/>
        <v>50283</v>
      </c>
      <c r="BR160" s="23">
        <f t="shared" ca="1" si="211"/>
        <v>2348695.1272971598</v>
      </c>
      <c r="BS160" s="24">
        <f t="shared" ca="1" si="212"/>
        <v>0</v>
      </c>
      <c r="BT160" s="24">
        <f t="shared" ca="1" si="221"/>
        <v>0</v>
      </c>
      <c r="BU160" s="24">
        <f t="shared" ca="1" si="213"/>
        <v>0</v>
      </c>
      <c r="BV160" s="24">
        <f t="shared" ca="1" si="222"/>
        <v>0</v>
      </c>
      <c r="BW160" s="24">
        <f t="shared" ca="1" si="214"/>
        <v>-36400</v>
      </c>
      <c r="BX160" s="25">
        <f t="shared" ca="1" si="223"/>
        <v>-434000</v>
      </c>
      <c r="BY160" s="23">
        <f t="shared" ca="1" si="186"/>
        <v>1424464.3043280749</v>
      </c>
      <c r="BZ160" s="24">
        <f t="shared" ca="1" si="187"/>
        <v>0</v>
      </c>
      <c r="CA160" s="24">
        <f t="shared" ca="1" si="224"/>
        <v>0</v>
      </c>
      <c r="CB160" s="24">
        <f t="shared" ca="1" si="188"/>
        <v>0</v>
      </c>
      <c r="CC160" s="24">
        <f t="shared" ca="1" si="225"/>
        <v>0</v>
      </c>
      <c r="CD160" s="24">
        <f t="shared" ca="1" si="189"/>
        <v>-22148.57310331332</v>
      </c>
      <c r="CE160" s="25">
        <f t="shared" ca="1" si="226"/>
        <v>-268857.83556715841</v>
      </c>
      <c r="CF160" s="23">
        <f t="shared" ca="1" si="227"/>
        <v>434000</v>
      </c>
      <c r="CG160" s="25">
        <f t="array" aca="1" ref="CG160" ca="1">SUM(BF149:BF160/(1+inflation/100)^(AP149:AP160/12))</f>
        <v>267980.53702225367</v>
      </c>
      <c r="CH160" s="32">
        <f ca="1">IFERROR(IF(MOD(AP160-ap_months_since_start,12)=0,ap_drawdown/100*(AQ160+AV160+BA160-BC160),CH159),0)</f>
        <v>390143.00860731048</v>
      </c>
      <c r="EL160" s="21">
        <f t="shared" ca="1" si="219"/>
        <v>7</v>
      </c>
      <c r="EM160" t="str">
        <f ca="1">DR11</f>
        <v>Annuity payment 1</v>
      </c>
      <c r="EN160" t="str">
        <f ca="1">DS11</f>
        <v>Monthly</v>
      </c>
      <c r="EO160">
        <f ca="1">DT11</f>
        <v>35000</v>
      </c>
      <c r="EP160" s="1">
        <f ca="1">DV11</f>
        <v>49614</v>
      </c>
      <c r="EQ160" s="1">
        <f ca="1">IF(EO160&lt;&gt;"",EA11,"")</f>
        <v>82121</v>
      </c>
      <c r="ER160">
        <f ca="1">DW11</f>
        <v>4</v>
      </c>
      <c r="ES160" t="str">
        <f>DY11</f>
        <v>ap_a_n_1</v>
      </c>
      <c r="ET160">
        <f ca="1">DU11</f>
        <v>15.369412171403061</v>
      </c>
      <c r="EU160" s="22">
        <v>151</v>
      </c>
      <c r="EX160" s="21" t="str">
        <f ca="1">IF(EX159="","",IF(EX159+1&lt;=MAX('Financial Planning Tool'!$EL$10:$EL$209),EX159+1,""))</f>
        <v/>
      </c>
      <c r="EY160" t="str">
        <f ca="1">IF(EX160&lt;&gt;"",VLOOKUP(EX160,'Financial Planning Tool'!$EL$10:$ER$209,2,FALSE),"")</f>
        <v/>
      </c>
      <c r="EZ160" t="str">
        <f ca="1">IF(EX160&lt;&gt;"",VLOOKUP(EX160,'Financial Planning Tool'!$EL$10:$ER$209,3,FALSE),"")</f>
        <v/>
      </c>
      <c r="FA160" t="str">
        <f ca="1">IF(EX160&lt;&gt;"",VLOOKUP(EX160,'Financial Planning Tool'!$EL$10:$ER$209,4,FALSE),"")</f>
        <v/>
      </c>
      <c r="FB160" t="str">
        <f t="shared" ca="1" si="220"/>
        <v/>
      </c>
      <c r="FC160" s="1" t="str">
        <f ca="1">IF(EX160&lt;&gt;"",VLOOKUP(EX160,'Financial Planning Tool'!$EL$10:$ER$209,5,FALSE),"")</f>
        <v/>
      </c>
      <c r="FD160" s="1" t="str">
        <f ca="1">IF(EX160&lt;&gt;"",VLOOKUP(EX160,'Financial Planning Tool'!$EL$10:$ER$209,6,FALSE),"")</f>
        <v/>
      </c>
      <c r="FE160" t="str">
        <f ca="1">IF(EX160&lt;&gt;"",VLOOKUP(EX160,'Financial Planning Tool'!$EL$10:$ER$209,7,FALSE),"")</f>
        <v/>
      </c>
      <c r="FF160" t="str">
        <f ca="1">IF(EX160&lt;&gt;"",VLOOKUP(EX160,'Financial Planning Tool'!$EL$10:$ES$209,8,FALSE),"")</f>
        <v/>
      </c>
      <c r="FG160" t="str">
        <f ca="1">IF(EX160&lt;&gt;"",VLOOKUP(EX160,'Financial Planning Tool'!$EL$10:$ET$209,9,FALSE),"")</f>
        <v/>
      </c>
      <c r="FH160" t="str">
        <f t="shared" ca="1" si="217"/>
        <v/>
      </c>
      <c r="FI160" s="22" t="str">
        <f t="shared" ca="1" si="218"/>
        <v/>
      </c>
    </row>
    <row r="161" spans="8:165" x14ac:dyDescent="0.25">
      <c r="H161" s="1"/>
      <c r="AN161" s="32">
        <f t="shared" ca="1" si="184"/>
        <v>67.666666666666671</v>
      </c>
      <c r="AO161" s="53">
        <f t="shared" ca="1" si="215"/>
        <v>50284</v>
      </c>
      <c r="AP161" s="22">
        <v>154</v>
      </c>
      <c r="AQ161" s="32">
        <f t="shared" ca="1" si="216"/>
        <v>2348695.1272971598</v>
      </c>
      <c r="AR161" s="23">
        <f t="array" aca="1" ref="AR161" ca="1">SUM(IF(lsc_start_date=AO161,lsc_amount,0))</f>
        <v>0</v>
      </c>
      <c r="AS161" s="24">
        <f t="shared" ca="1" si="190"/>
        <v>0</v>
      </c>
      <c r="AT161" s="24">
        <f t="shared" ca="1" si="191"/>
        <v>0</v>
      </c>
      <c r="AU161" s="24">
        <f t="shared" ca="1" si="192"/>
        <v>0</v>
      </c>
      <c r="AV161" s="25">
        <f t="shared" ca="1" si="193"/>
        <v>0</v>
      </c>
      <c r="AW161" s="23">
        <f t="array" aca="1" ref="AW161" ca="1">SUM(IF(rcs_start_date&lt;=AO161,1,0)*IF(rcs_end_date&gt;=AO161,1,0)*rcs_amount*(1+rcs_escalation/100)^(INT((AP161-rcs_months_since_start)/12))*IF(MOD((AP161-rcs_months_since_start),rcs_frequency)=0,1,0)*IF(rcs_frequency=13,0,1))+SUM(IF(rcs_start_date=AO161,rcs_amount,0)*IF(rcs_frequency=13,1,0))</f>
        <v>0</v>
      </c>
      <c r="AX161" s="24">
        <f t="shared" ca="1" si="194"/>
        <v>0</v>
      </c>
      <c r="AY161" s="24">
        <f t="shared" ca="1" si="195"/>
        <v>0</v>
      </c>
      <c r="AZ161" s="24">
        <f t="shared" ca="1" si="196"/>
        <v>0</v>
      </c>
      <c r="BA161" s="25">
        <f t="shared" ca="1" si="197"/>
        <v>0</v>
      </c>
      <c r="BB161" s="23">
        <f t="array" aca="1" ref="BB161" ca="1">SUM(IF(w_start_date&lt;=AO161,1,0)*IF(w_end_date&gt;=AO161,1,0)*w_amount*(1+w_escalation/100)^(INT((AP161-w_months_since_start)/12))*IF(MOD(AP161-w_months_since_start,w_frequency)=0,1,0)*IF(w_frequency=13,0,1))+SUM(IF(w_start_date=AO161,w_amount,0)*IF(w_frequency=13,1,0))</f>
        <v>0</v>
      </c>
      <c r="BC161" s="25">
        <f t="shared" ca="1" si="198"/>
        <v>0</v>
      </c>
      <c r="BD161" s="24" t="b">
        <f t="shared" ca="1" si="199"/>
        <v>1</v>
      </c>
      <c r="BE161" s="24" t="b">
        <f t="shared" ca="1" si="200"/>
        <v>1</v>
      </c>
      <c r="BF161" s="23">
        <f t="array" aca="1" ref="BF161" ca="1">SUM(IF(BD161,1,0)*IF(ap_start_date&lt;=AO161,1,0)*IF(ap_end_date&gt;=AO161,1,0)*ap_amount*(1+ap_escalation/100)^(INT((AP161-ap_months_since_start)/12))*IF(MOD(AP161-ap_months_since_start,ap_frequency)=0,1,0))</f>
        <v>36400</v>
      </c>
      <c r="BG161" s="24">
        <f t="shared" ca="1" si="201"/>
        <v>436800</v>
      </c>
      <c r="BH161" s="24">
        <f t="shared" ca="1" si="202"/>
        <v>63460.951573220562</v>
      </c>
      <c r="BI161">
        <f t="shared" ca="1" si="203"/>
        <v>0</v>
      </c>
      <c r="BJ161" s="24">
        <f t="shared" ca="1" si="204"/>
        <v>444226.66101254389</v>
      </c>
      <c r="BK161">
        <f t="shared" ca="1" si="205"/>
        <v>0</v>
      </c>
      <c r="BL161" s="25">
        <f t="shared" ca="1" si="206"/>
        <v>36400</v>
      </c>
      <c r="BM161" s="32">
        <f t="shared" ca="1" si="185"/>
        <v>2328960.5858819177</v>
      </c>
      <c r="BN161" s="23">
        <f t="shared" ca="1" si="207"/>
        <v>0</v>
      </c>
      <c r="BO161" s="24">
        <f t="shared" ca="1" si="208"/>
        <v>0</v>
      </c>
      <c r="BP161" s="25">
        <f t="shared" ca="1" si="209"/>
        <v>0</v>
      </c>
      <c r="BQ161" s="34">
        <f t="shared" ca="1" si="210"/>
        <v>50313</v>
      </c>
      <c r="BR161" s="23">
        <f t="shared" ca="1" si="211"/>
        <v>2328960.5858819177</v>
      </c>
      <c r="BS161" s="24">
        <f t="shared" ca="1" si="212"/>
        <v>0</v>
      </c>
      <c r="BT161" s="24">
        <f t="shared" ca="1" si="221"/>
        <v>0</v>
      </c>
      <c r="BU161" s="24">
        <f t="shared" ca="1" si="213"/>
        <v>0</v>
      </c>
      <c r="BV161" s="24">
        <f t="shared" ca="1" si="222"/>
        <v>0</v>
      </c>
      <c r="BW161" s="24">
        <f t="shared" ca="1" si="214"/>
        <v>-36400</v>
      </c>
      <c r="BX161" s="25">
        <f t="shared" ca="1" si="223"/>
        <v>-435400</v>
      </c>
      <c r="BY161" s="23">
        <f t="shared" ca="1" si="186"/>
        <v>1407886.4132841097</v>
      </c>
      <c r="BZ161" s="24">
        <f t="shared" ca="1" si="187"/>
        <v>0</v>
      </c>
      <c r="CA161" s="24">
        <f t="shared" ca="1" si="224"/>
        <v>0</v>
      </c>
      <c r="CB161" s="24">
        <f t="shared" ca="1" si="188"/>
        <v>0</v>
      </c>
      <c r="CC161" s="24">
        <f t="shared" ca="1" si="225"/>
        <v>0</v>
      </c>
      <c r="CD161" s="24">
        <f t="shared" ca="1" si="189"/>
        <v>-22076.301038360241</v>
      </c>
      <c r="CE161" s="25">
        <f t="shared" ca="1" si="226"/>
        <v>-268857.83556715841</v>
      </c>
      <c r="CF161" s="23">
        <f t="shared" ca="1" si="227"/>
        <v>435400</v>
      </c>
      <c r="CG161" s="25">
        <f t="array" aca="1" ref="CG161" ca="1">SUM(BF150:BF161/(1+inflation/100)^(AP150:AP161/12))</f>
        <v>267980.53702225373</v>
      </c>
      <c r="CH161" s="32">
        <f ca="1">IFERROR(IF(MOD(AP161-ap_months_since_start,12)=0,ap_drawdown/100*(AQ161+AV161+BA161-BC161),CH160),0)</f>
        <v>390143.00860731048</v>
      </c>
      <c r="EL161" s="21">
        <f t="shared" ref="EL161:EL209" ca="1" si="229">IF(EM161&lt;&gt;"",IF(EL160="",1,EL160+1),EL160)</f>
        <v>7</v>
      </c>
      <c r="EM161" t="str">
        <f t="shared" ref="EM161:EO161" ca="1" si="230">DR12</f>
        <v/>
      </c>
      <c r="EN161" t="str">
        <f t="shared" ca="1" si="230"/>
        <v/>
      </c>
      <c r="EO161" t="str">
        <f t="shared" ca="1" si="230"/>
        <v/>
      </c>
      <c r="EP161" t="str">
        <f t="shared" ref="EP161:EP209" ca="1" si="231">DV12</f>
        <v/>
      </c>
      <c r="EQ161" t="str">
        <f t="shared" ref="EQ161:EQ209" ca="1" si="232">IF(EO161&lt;&gt;"",EA12,"")</f>
        <v/>
      </c>
      <c r="ER161" t="str">
        <f t="shared" ref="ER161:ER209" ca="1" si="233">DW12</f>
        <v/>
      </c>
      <c r="ES161" t="str">
        <f t="shared" ref="ES161:ES209" si="234">DY12</f>
        <v/>
      </c>
      <c r="ET161" t="str">
        <f t="shared" ref="ET161:ET209" ca="1" si="235">DU12</f>
        <v/>
      </c>
      <c r="EU161" s="22">
        <v>152</v>
      </c>
      <c r="EX161" s="21" t="str">
        <f ca="1">IF(EX160="","",IF(EX160+1&lt;=MAX('Financial Planning Tool'!$EL$10:$EL$209),EX160+1,""))</f>
        <v/>
      </c>
      <c r="EY161" t="str">
        <f ca="1">IF(EX161&lt;&gt;"",VLOOKUP(EX161,'Financial Planning Tool'!$EL$10:$ER$209,2,FALSE),"")</f>
        <v/>
      </c>
      <c r="EZ161" t="str">
        <f ca="1">IF(EX161&lt;&gt;"",VLOOKUP(EX161,'Financial Planning Tool'!$EL$10:$ER$209,3,FALSE),"")</f>
        <v/>
      </c>
      <c r="FA161" t="str">
        <f ca="1">IF(EX161&lt;&gt;"",VLOOKUP(EX161,'Financial Planning Tool'!$EL$10:$ER$209,4,FALSE),"")</f>
        <v/>
      </c>
      <c r="FB161" t="str">
        <f t="shared" ca="1" si="220"/>
        <v/>
      </c>
      <c r="FC161" s="1" t="str">
        <f ca="1">IF(EX161&lt;&gt;"",VLOOKUP(EX161,'Financial Planning Tool'!$EL$10:$ER$209,5,FALSE),"")</f>
        <v/>
      </c>
      <c r="FD161" s="1" t="str">
        <f ca="1">IF(EX161&lt;&gt;"",VLOOKUP(EX161,'Financial Planning Tool'!$EL$10:$ER$209,6,FALSE),"")</f>
        <v/>
      </c>
      <c r="FE161" t="str">
        <f ca="1">IF(EX161&lt;&gt;"",VLOOKUP(EX161,'Financial Planning Tool'!$EL$10:$ER$209,7,FALSE),"")</f>
        <v/>
      </c>
      <c r="FF161" t="str">
        <f ca="1">IF(EX161&lt;&gt;"",VLOOKUP(EX161,'Financial Planning Tool'!$EL$10:$ES$209,8,FALSE),"")</f>
        <v/>
      </c>
      <c r="FG161" t="str">
        <f ca="1">IF(EX161&lt;&gt;"",VLOOKUP(EX161,'Financial Planning Tool'!$EL$10:$ET$209,9,FALSE),"")</f>
        <v/>
      </c>
      <c r="FH161" t="str">
        <f t="shared" ca="1" si="217"/>
        <v/>
      </c>
      <c r="FI161" s="22" t="str">
        <f t="shared" ca="1" si="218"/>
        <v/>
      </c>
    </row>
    <row r="162" spans="8:165" x14ac:dyDescent="0.25">
      <c r="H162" s="1"/>
      <c r="AN162" s="32">
        <f t="shared" ca="1" si="184"/>
        <v>67.75</v>
      </c>
      <c r="AO162" s="53">
        <f t="shared" ca="1" si="215"/>
        <v>50314</v>
      </c>
      <c r="AP162" s="22">
        <v>155</v>
      </c>
      <c r="AQ162" s="32">
        <f t="shared" ca="1" si="216"/>
        <v>2328960.5858819177</v>
      </c>
      <c r="AR162" s="23">
        <f t="array" aca="1" ref="AR162" ca="1">SUM(IF(lsc_start_date=AO162,lsc_amount,0))</f>
        <v>0</v>
      </c>
      <c r="AS162" s="24">
        <f t="shared" ca="1" si="190"/>
        <v>0</v>
      </c>
      <c r="AT162" s="24">
        <f t="shared" ca="1" si="191"/>
        <v>0</v>
      </c>
      <c r="AU162" s="24">
        <f t="shared" ca="1" si="192"/>
        <v>0</v>
      </c>
      <c r="AV162" s="25">
        <f t="shared" ca="1" si="193"/>
        <v>0</v>
      </c>
      <c r="AW162" s="23">
        <f t="array" aca="1" ref="AW162" ca="1">SUM(IF(rcs_start_date&lt;=AO162,1,0)*IF(rcs_end_date&gt;=AO162,1,0)*rcs_amount*(1+rcs_escalation/100)^(INT((AP162-rcs_months_since_start)/12))*IF(MOD((AP162-rcs_months_since_start),rcs_frequency)=0,1,0)*IF(rcs_frequency=13,0,1))+SUM(IF(rcs_start_date=AO162,rcs_amount,0)*IF(rcs_frequency=13,1,0))</f>
        <v>0</v>
      </c>
      <c r="AX162" s="24">
        <f t="shared" ca="1" si="194"/>
        <v>0</v>
      </c>
      <c r="AY162" s="24">
        <f t="shared" ca="1" si="195"/>
        <v>0</v>
      </c>
      <c r="AZ162" s="24">
        <f t="shared" ca="1" si="196"/>
        <v>0</v>
      </c>
      <c r="BA162" s="25">
        <f t="shared" ca="1" si="197"/>
        <v>0</v>
      </c>
      <c r="BB162" s="23">
        <f t="array" aca="1" ref="BB162" ca="1">SUM(IF(w_start_date&lt;=AO162,1,0)*IF(w_end_date&gt;=AO162,1,0)*w_amount*(1+w_escalation/100)^(INT((AP162-w_months_since_start)/12))*IF(MOD(AP162-w_months_since_start,w_frequency)=0,1,0)*IF(w_frequency=13,0,1))+SUM(IF(w_start_date=AO162,w_amount,0)*IF(w_frequency=13,1,0))</f>
        <v>0</v>
      </c>
      <c r="BC162" s="25">
        <f t="shared" ca="1" si="198"/>
        <v>0</v>
      </c>
      <c r="BD162" s="24" t="b">
        <f t="shared" ca="1" si="199"/>
        <v>1</v>
      </c>
      <c r="BE162" s="24" t="b">
        <f t="shared" ca="1" si="200"/>
        <v>1</v>
      </c>
      <c r="BF162" s="23">
        <f t="array" aca="1" ref="BF162" ca="1">SUM(IF(BD162,1,0)*IF(ap_start_date&lt;=AO162,1,0)*IF(ap_end_date&gt;=AO162,1,0)*ap_amount*(1+ap_escalation/100)^(INT((AP162-ap_months_since_start)/12))*IF(MOD(AP162-ap_months_since_start,ap_frequency)=0,1,0))</f>
        <v>36400</v>
      </c>
      <c r="BG162" s="24">
        <f t="shared" ca="1" si="201"/>
        <v>436800</v>
      </c>
      <c r="BH162" s="24">
        <f t="shared" ca="1" si="202"/>
        <v>63460.951573220562</v>
      </c>
      <c r="BI162">
        <f t="shared" ca="1" si="203"/>
        <v>0</v>
      </c>
      <c r="BJ162" s="24">
        <f t="shared" ca="1" si="204"/>
        <v>444226.66101254389</v>
      </c>
      <c r="BK162">
        <f t="shared" ca="1" si="205"/>
        <v>0</v>
      </c>
      <c r="BL162" s="25">
        <f t="shared" ca="1" si="206"/>
        <v>36400</v>
      </c>
      <c r="BM162" s="32">
        <f t="shared" ca="1" si="185"/>
        <v>2309083.8112462005</v>
      </c>
      <c r="BN162" s="23">
        <f t="shared" ca="1" si="207"/>
        <v>0</v>
      </c>
      <c r="BO162" s="24">
        <f t="shared" ca="1" si="208"/>
        <v>0</v>
      </c>
      <c r="BP162" s="25">
        <f t="shared" ca="1" si="209"/>
        <v>0</v>
      </c>
      <c r="BQ162" s="34">
        <f t="shared" ca="1" si="210"/>
        <v>50344</v>
      </c>
      <c r="BR162" s="23">
        <f t="shared" ca="1" si="211"/>
        <v>2309083.8112462005</v>
      </c>
      <c r="BS162" s="24">
        <f t="shared" ca="1" si="212"/>
        <v>0</v>
      </c>
      <c r="BT162" s="24">
        <f t="shared" ca="1" si="221"/>
        <v>0</v>
      </c>
      <c r="BU162" s="24">
        <f t="shared" ca="1" si="213"/>
        <v>0</v>
      </c>
      <c r="BV162" s="24">
        <f t="shared" ca="1" si="222"/>
        <v>0</v>
      </c>
      <c r="BW162" s="24">
        <f t="shared" ca="1" si="214"/>
        <v>-36400</v>
      </c>
      <c r="BX162" s="25">
        <f t="shared" ca="1" si="223"/>
        <v>-436800</v>
      </c>
      <c r="BY162" s="23">
        <f t="shared" ca="1" si="186"/>
        <v>1391315.8431795645</v>
      </c>
      <c r="BZ162" s="24">
        <f t="shared" ca="1" si="187"/>
        <v>0</v>
      </c>
      <c r="CA162" s="24">
        <f t="shared" ca="1" si="224"/>
        <v>0</v>
      </c>
      <c r="CB162" s="24">
        <f t="shared" ca="1" si="188"/>
        <v>0</v>
      </c>
      <c r="CC162" s="24">
        <f t="shared" ca="1" si="225"/>
        <v>0</v>
      </c>
      <c r="CD162" s="24">
        <f t="shared" ca="1" si="189"/>
        <v>-22004.264801302183</v>
      </c>
      <c r="CE162" s="25">
        <f t="shared" ca="1" si="226"/>
        <v>-268857.83556715847</v>
      </c>
      <c r="CF162" s="23">
        <f t="shared" ca="1" si="227"/>
        <v>436800</v>
      </c>
      <c r="CG162" s="25">
        <f t="array" aca="1" ref="CG162" ca="1">SUM(BF151:BF162/(1+inflation/100)^(AP151:AP162/12))</f>
        <v>267980.53702225367</v>
      </c>
      <c r="CH162" s="32">
        <f ca="1">IFERROR(IF(MOD(AP162-ap_months_since_start,12)=0,ap_drawdown/100*(AQ162+AV162+BA162-BC162),CH161),0)</f>
        <v>390143.00860731048</v>
      </c>
      <c r="EL162" s="21">
        <f t="shared" ca="1" si="229"/>
        <v>7</v>
      </c>
      <c r="EM162" t="str">
        <f t="shared" ref="EM162:EO162" ca="1" si="236">DR13</f>
        <v/>
      </c>
      <c r="EN162" t="str">
        <f t="shared" ca="1" si="236"/>
        <v/>
      </c>
      <c r="EO162" t="str">
        <f t="shared" ca="1" si="236"/>
        <v/>
      </c>
      <c r="EP162" t="str">
        <f t="shared" ca="1" si="231"/>
        <v/>
      </c>
      <c r="EQ162" t="str">
        <f t="shared" ca="1" si="232"/>
        <v/>
      </c>
      <c r="ER162" t="str">
        <f t="shared" ca="1" si="233"/>
        <v/>
      </c>
      <c r="ES162" t="str">
        <f t="shared" si="234"/>
        <v/>
      </c>
      <c r="ET162" t="str">
        <f t="shared" ca="1" si="235"/>
        <v/>
      </c>
      <c r="EU162" s="22">
        <v>153</v>
      </c>
      <c r="EX162" s="21" t="str">
        <f ca="1">IF(EX161="","",IF(EX161+1&lt;=MAX('Financial Planning Tool'!$EL$10:$EL$209),EX161+1,""))</f>
        <v/>
      </c>
      <c r="EY162" t="str">
        <f ca="1">IF(EX162&lt;&gt;"",VLOOKUP(EX162,'Financial Planning Tool'!$EL$10:$ER$209,2,FALSE),"")</f>
        <v/>
      </c>
      <c r="EZ162" t="str">
        <f ca="1">IF(EX162&lt;&gt;"",VLOOKUP(EX162,'Financial Planning Tool'!$EL$10:$ER$209,3,FALSE),"")</f>
        <v/>
      </c>
      <c r="FA162" t="str">
        <f ca="1">IF(EX162&lt;&gt;"",VLOOKUP(EX162,'Financial Planning Tool'!$EL$10:$ER$209,4,FALSE),"")</f>
        <v/>
      </c>
      <c r="FB162" t="str">
        <f t="shared" ca="1" si="220"/>
        <v/>
      </c>
      <c r="FC162" t="str">
        <f ca="1">IF(EX162&lt;&gt;"",VLOOKUP(EX162,'Financial Planning Tool'!$EL$10:$ER$209,5,FALSE),"")</f>
        <v/>
      </c>
      <c r="FD162" t="str">
        <f ca="1">IF(EX162&lt;&gt;"",VLOOKUP(EX162,'Financial Planning Tool'!$EL$10:$ER$209,6,FALSE),"")</f>
        <v/>
      </c>
      <c r="FE162" t="str">
        <f ca="1">IF(EX162&lt;&gt;"",VLOOKUP(EX162,'Financial Planning Tool'!$EL$10:$ER$209,7,FALSE),"")</f>
        <v/>
      </c>
      <c r="FF162" t="str">
        <f ca="1">IF(EX162&lt;&gt;"",VLOOKUP(EX162,'Financial Planning Tool'!$EL$10:$ES$209,8,FALSE),"")</f>
        <v/>
      </c>
      <c r="FG162" t="str">
        <f ca="1">IF(EX162&lt;&gt;"",VLOOKUP(EX162,'Financial Planning Tool'!$EL$10:$ET$209,9,FALSE),"")</f>
        <v/>
      </c>
      <c r="FH162" t="str">
        <f t="shared" ca="1" si="217"/>
        <v/>
      </c>
      <c r="FI162" s="22" t="str">
        <f t="shared" ca="1" si="218"/>
        <v/>
      </c>
    </row>
    <row r="163" spans="8:165" x14ac:dyDescent="0.25">
      <c r="H163" s="1"/>
      <c r="AN163" s="32">
        <f t="shared" ca="1" si="184"/>
        <v>67.833333333333329</v>
      </c>
      <c r="AO163" s="53">
        <f t="shared" ca="1" si="215"/>
        <v>50345</v>
      </c>
      <c r="AP163" s="22">
        <v>156</v>
      </c>
      <c r="AQ163" s="32">
        <f t="shared" ca="1" si="216"/>
        <v>2309083.8112462005</v>
      </c>
      <c r="AR163" s="23">
        <f t="array" aca="1" ref="AR163" ca="1">SUM(IF(lsc_start_date=AO163,lsc_amount,0))</f>
        <v>0</v>
      </c>
      <c r="AS163" s="24">
        <f t="shared" ca="1" si="190"/>
        <v>0</v>
      </c>
      <c r="AT163" s="24">
        <f t="shared" ca="1" si="191"/>
        <v>0</v>
      </c>
      <c r="AU163" s="24">
        <f t="shared" ca="1" si="192"/>
        <v>0</v>
      </c>
      <c r="AV163" s="25">
        <f t="shared" ca="1" si="193"/>
        <v>0</v>
      </c>
      <c r="AW163" s="23">
        <f t="array" aca="1" ref="AW163" ca="1">SUM(IF(rcs_start_date&lt;=AO163,1,0)*IF(rcs_end_date&gt;=AO163,1,0)*rcs_amount*(1+rcs_escalation/100)^(INT((AP163-rcs_months_since_start)/12))*IF(MOD((AP163-rcs_months_since_start),rcs_frequency)=0,1,0)*IF(rcs_frequency=13,0,1))+SUM(IF(rcs_start_date=AO163,rcs_amount,0)*IF(rcs_frequency=13,1,0))</f>
        <v>0</v>
      </c>
      <c r="AX163" s="24">
        <f t="shared" ca="1" si="194"/>
        <v>0</v>
      </c>
      <c r="AY163" s="24">
        <f t="shared" ca="1" si="195"/>
        <v>0</v>
      </c>
      <c r="AZ163" s="24">
        <f t="shared" ca="1" si="196"/>
        <v>0</v>
      </c>
      <c r="BA163" s="25">
        <f t="shared" ca="1" si="197"/>
        <v>0</v>
      </c>
      <c r="BB163" s="23">
        <f t="array" aca="1" ref="BB163" ca="1">SUM(IF(w_start_date&lt;=AO163,1,0)*IF(w_end_date&gt;=AO163,1,0)*w_amount*(1+w_escalation/100)^(INT((AP163-w_months_since_start)/12))*IF(MOD(AP163-w_months_since_start,w_frequency)=0,1,0)*IF(w_frequency=13,0,1))+SUM(IF(w_start_date=AO163,w_amount,0)*IF(w_frequency=13,1,0))</f>
        <v>0</v>
      </c>
      <c r="BC163" s="25">
        <f t="shared" ca="1" si="198"/>
        <v>0</v>
      </c>
      <c r="BD163" s="24" t="b">
        <f t="shared" ca="1" si="199"/>
        <v>1</v>
      </c>
      <c r="BE163" s="24" t="b">
        <f t="shared" ca="1" si="200"/>
        <v>1</v>
      </c>
      <c r="BF163" s="23">
        <f t="array" aca="1" ref="BF163" ca="1">SUM(IF(BD163,1,0)*IF(ap_start_date&lt;=AO163,1,0)*IF(ap_end_date&gt;=AO163,1,0)*ap_amount*(1+ap_escalation/100)^(INT((AP163-ap_months_since_start)/12))*IF(MOD(AP163-ap_months_since_start,ap_frequency)=0,1,0))</f>
        <v>37856.000000000007</v>
      </c>
      <c r="BG163" s="24">
        <f t="shared" ca="1" si="201"/>
        <v>454272.00000000006</v>
      </c>
      <c r="BH163" s="24">
        <f t="shared" ca="1" si="202"/>
        <v>57727.095281155016</v>
      </c>
      <c r="BI163">
        <f t="shared" ca="1" si="203"/>
        <v>0</v>
      </c>
      <c r="BJ163" s="24">
        <f t="shared" ca="1" si="204"/>
        <v>404089.66696808505</v>
      </c>
      <c r="BK163">
        <f t="shared" ca="1" si="205"/>
        <v>1</v>
      </c>
      <c r="BL163" s="25">
        <f t="shared" ca="1" si="206"/>
        <v>33674.13891400709</v>
      </c>
      <c r="BM163" s="32">
        <f t="shared" ca="1" si="185"/>
        <v>2291809.2855173559</v>
      </c>
      <c r="BN163" s="23">
        <f t="shared" ca="1" si="207"/>
        <v>0</v>
      </c>
      <c r="BO163" s="24">
        <f t="shared" ca="1" si="208"/>
        <v>0</v>
      </c>
      <c r="BP163" s="25">
        <f t="shared" ca="1" si="209"/>
        <v>0</v>
      </c>
      <c r="BQ163" s="34">
        <f t="shared" ca="1" si="210"/>
        <v>50374</v>
      </c>
      <c r="BR163" s="23">
        <f t="shared" ca="1" si="211"/>
        <v>2291809.2855173559</v>
      </c>
      <c r="BS163" s="24">
        <f t="shared" ca="1" si="212"/>
        <v>0</v>
      </c>
      <c r="BT163" s="24">
        <f t="shared" ca="1" si="221"/>
        <v>0</v>
      </c>
      <c r="BU163" s="24">
        <f t="shared" ca="1" si="213"/>
        <v>0</v>
      </c>
      <c r="BV163" s="24">
        <f t="shared" ca="1" si="222"/>
        <v>0</v>
      </c>
      <c r="BW163" s="24">
        <f t="shared" ca="1" si="214"/>
        <v>-33674.13891400709</v>
      </c>
      <c r="BX163" s="25">
        <f t="shared" ca="1" si="223"/>
        <v>-434074.13891400711</v>
      </c>
      <c r="BY163" s="23">
        <f t="shared" ca="1" si="186"/>
        <v>1376401.2672445553</v>
      </c>
      <c r="BZ163" s="24">
        <f t="shared" ca="1" si="187"/>
        <v>0</v>
      </c>
      <c r="CA163" s="24">
        <f t="shared" ca="1" si="224"/>
        <v>0</v>
      </c>
      <c r="CB163" s="24">
        <f t="shared" ca="1" si="188"/>
        <v>0</v>
      </c>
      <c r="CC163" s="24">
        <f t="shared" ca="1" si="225"/>
        <v>0</v>
      </c>
      <c r="CD163" s="24">
        <f t="shared" ca="1" si="189"/>
        <v>-20290.022713035316</v>
      </c>
      <c r="CE163" s="25">
        <f t="shared" ca="1" si="226"/>
        <v>-266338.09611266979</v>
      </c>
      <c r="CF163" s="23">
        <f t="shared" ca="1" si="227"/>
        <v>438256</v>
      </c>
      <c r="CG163" s="25">
        <f t="array" aca="1" ref="CG163" ca="1">SUM(BF152:BF163/(1+inflation/100)^(AP152:AP163/12))</f>
        <v>267980.53702225373</v>
      </c>
      <c r="CH163" s="32">
        <f ca="1">IFERROR(IF(MOD(AP163-ap_months_since_start,12)=0,ap_drawdown/100*(AQ163+AV163+BA163-BC163),CH162),0)</f>
        <v>354892.60833357117</v>
      </c>
      <c r="EL163" s="21">
        <f t="shared" ca="1" si="229"/>
        <v>7</v>
      </c>
      <c r="EM163" t="str">
        <f t="shared" ref="EM163:EO163" ca="1" si="237">DR14</f>
        <v/>
      </c>
      <c r="EN163" t="str">
        <f t="shared" ca="1" si="237"/>
        <v/>
      </c>
      <c r="EO163" t="str">
        <f t="shared" ca="1" si="237"/>
        <v/>
      </c>
      <c r="EP163" t="str">
        <f t="shared" ca="1" si="231"/>
        <v/>
      </c>
      <c r="EQ163" t="str">
        <f t="shared" ca="1" si="232"/>
        <v/>
      </c>
      <c r="ER163" t="str">
        <f t="shared" ca="1" si="233"/>
        <v/>
      </c>
      <c r="ES163" t="str">
        <f t="shared" si="234"/>
        <v/>
      </c>
      <c r="ET163" t="str">
        <f t="shared" ca="1" si="235"/>
        <v/>
      </c>
      <c r="EU163" s="22">
        <v>154</v>
      </c>
      <c r="EX163" s="21" t="str">
        <f ca="1">IF(EX162="","",IF(EX162+1&lt;=MAX('Financial Planning Tool'!$EL$10:$EL$209),EX162+1,""))</f>
        <v/>
      </c>
      <c r="EY163" t="str">
        <f ca="1">IF(EX163&lt;&gt;"",VLOOKUP(EX163,'Financial Planning Tool'!$EL$10:$ER$209,2,FALSE),"")</f>
        <v/>
      </c>
      <c r="EZ163" t="str">
        <f ca="1">IF(EX163&lt;&gt;"",VLOOKUP(EX163,'Financial Planning Tool'!$EL$10:$ER$209,3,FALSE),"")</f>
        <v/>
      </c>
      <c r="FA163" t="str">
        <f ca="1">IF(EX163&lt;&gt;"",VLOOKUP(EX163,'Financial Planning Tool'!$EL$10:$ER$209,4,FALSE),"")</f>
        <v/>
      </c>
      <c r="FB163" t="str">
        <f t="shared" ca="1" si="220"/>
        <v/>
      </c>
      <c r="FC163" t="str">
        <f ca="1">IF(EX163&lt;&gt;"",VLOOKUP(EX163,'Financial Planning Tool'!$EL$10:$ER$209,5,FALSE),"")</f>
        <v/>
      </c>
      <c r="FD163" t="str">
        <f ca="1">IF(EX163&lt;&gt;"",VLOOKUP(EX163,'Financial Planning Tool'!$EL$10:$ER$209,6,FALSE),"")</f>
        <v/>
      </c>
      <c r="FE163" t="str">
        <f ca="1">IF(EX163&lt;&gt;"",VLOOKUP(EX163,'Financial Planning Tool'!$EL$10:$ER$209,7,FALSE),"")</f>
        <v/>
      </c>
      <c r="FF163" t="str">
        <f ca="1">IF(EX163&lt;&gt;"",VLOOKUP(EX163,'Financial Planning Tool'!$EL$10:$ES$209,8,FALSE),"")</f>
        <v/>
      </c>
      <c r="FG163" t="str">
        <f ca="1">IF(EX163&lt;&gt;"",VLOOKUP(EX163,'Financial Planning Tool'!$EL$10:$ET$209,9,FALSE),"")</f>
        <v/>
      </c>
      <c r="FH163" t="str">
        <f t="shared" ca="1" si="217"/>
        <v/>
      </c>
      <c r="FI163" s="22" t="str">
        <f t="shared" ca="1" si="218"/>
        <v/>
      </c>
    </row>
    <row r="164" spans="8:165" x14ac:dyDescent="0.25">
      <c r="H164" s="1"/>
      <c r="AN164" s="32">
        <f t="shared" ca="1" si="184"/>
        <v>67.916666666666671</v>
      </c>
      <c r="AO164" s="53">
        <f t="shared" ca="1" si="215"/>
        <v>50375</v>
      </c>
      <c r="AP164" s="22">
        <v>157</v>
      </c>
      <c r="AQ164" s="32">
        <f t="shared" ca="1" si="216"/>
        <v>2291809.2855173559</v>
      </c>
      <c r="AR164" s="23">
        <f t="array" aca="1" ref="AR164" ca="1">SUM(IF(lsc_start_date=AO164,lsc_amount,0))</f>
        <v>0</v>
      </c>
      <c r="AS164" s="24">
        <f t="shared" ca="1" si="190"/>
        <v>0</v>
      </c>
      <c r="AT164" s="24">
        <f t="shared" ca="1" si="191"/>
        <v>0</v>
      </c>
      <c r="AU164" s="24">
        <f t="shared" ca="1" si="192"/>
        <v>0</v>
      </c>
      <c r="AV164" s="25">
        <f t="shared" ca="1" si="193"/>
        <v>0</v>
      </c>
      <c r="AW164" s="23">
        <f t="array" aca="1" ref="AW164" ca="1">SUM(IF(rcs_start_date&lt;=AO164,1,0)*IF(rcs_end_date&gt;=AO164,1,0)*rcs_amount*(1+rcs_escalation/100)^(INT((AP164-rcs_months_since_start)/12))*IF(MOD((AP164-rcs_months_since_start),rcs_frequency)=0,1,0)*IF(rcs_frequency=13,0,1))+SUM(IF(rcs_start_date=AO164,rcs_amount,0)*IF(rcs_frequency=13,1,0))</f>
        <v>0</v>
      </c>
      <c r="AX164" s="24">
        <f t="shared" ca="1" si="194"/>
        <v>0</v>
      </c>
      <c r="AY164" s="24">
        <f t="shared" ca="1" si="195"/>
        <v>0</v>
      </c>
      <c r="AZ164" s="24">
        <f t="shared" ca="1" si="196"/>
        <v>0</v>
      </c>
      <c r="BA164" s="25">
        <f t="shared" ca="1" si="197"/>
        <v>0</v>
      </c>
      <c r="BB164" s="23">
        <f t="array" aca="1" ref="BB164" ca="1">SUM(IF(w_start_date&lt;=AO164,1,0)*IF(w_end_date&gt;=AO164,1,0)*w_amount*(1+w_escalation/100)^(INT((AP164-w_months_since_start)/12))*IF(MOD(AP164-w_months_since_start,w_frequency)=0,1,0)*IF(w_frequency=13,0,1))+SUM(IF(w_start_date=AO164,w_amount,0)*IF(w_frequency=13,1,0))</f>
        <v>0</v>
      </c>
      <c r="BC164" s="25">
        <f t="shared" ca="1" si="198"/>
        <v>0</v>
      </c>
      <c r="BD164" s="24" t="b">
        <f t="shared" ca="1" si="199"/>
        <v>1</v>
      </c>
      <c r="BE164" s="24" t="b">
        <f t="shared" ca="1" si="200"/>
        <v>1</v>
      </c>
      <c r="BF164" s="23">
        <f t="array" aca="1" ref="BF164" ca="1">SUM(IF(BD164,1,0)*IF(ap_start_date&lt;=AO164,1,0)*IF(ap_end_date&gt;=AO164,1,0)*ap_amount*(1+ap_escalation/100)^(INT((AP164-ap_months_since_start)/12))*IF(MOD(AP164-ap_months_since_start,ap_frequency)=0,1,0))</f>
        <v>37856.000000000007</v>
      </c>
      <c r="BG164" s="24">
        <f t="shared" ca="1" si="201"/>
        <v>454272.00000000006</v>
      </c>
      <c r="BH164" s="24">
        <f t="shared" ca="1" si="202"/>
        <v>57727.095281155016</v>
      </c>
      <c r="BI164">
        <f t="shared" ca="1" si="203"/>
        <v>0</v>
      </c>
      <c r="BJ164" s="24">
        <f t="shared" ca="1" si="204"/>
        <v>404089.66696808505</v>
      </c>
      <c r="BK164">
        <f t="shared" ca="1" si="205"/>
        <v>1</v>
      </c>
      <c r="BL164" s="25">
        <f t="shared" ca="1" si="206"/>
        <v>33674.13891400709</v>
      </c>
      <c r="BM164" s="32">
        <f t="shared" ca="1" si="185"/>
        <v>2274410.256696451</v>
      </c>
      <c r="BN164" s="23">
        <f t="shared" ca="1" si="207"/>
        <v>0</v>
      </c>
      <c r="BO164" s="24">
        <f t="shared" ca="1" si="208"/>
        <v>0</v>
      </c>
      <c r="BP164" s="25">
        <f t="shared" ca="1" si="209"/>
        <v>0</v>
      </c>
      <c r="BQ164" s="34">
        <f t="shared" ca="1" si="210"/>
        <v>50405</v>
      </c>
      <c r="BR164" s="23">
        <f t="shared" ca="1" si="211"/>
        <v>2274410.256696451</v>
      </c>
      <c r="BS164" s="24">
        <f t="shared" ca="1" si="212"/>
        <v>0</v>
      </c>
      <c r="BT164" s="24">
        <f t="shared" ca="1" si="221"/>
        <v>0</v>
      </c>
      <c r="BU164" s="24">
        <f t="shared" ca="1" si="213"/>
        <v>0</v>
      </c>
      <c r="BV164" s="24">
        <f t="shared" ca="1" si="222"/>
        <v>0</v>
      </c>
      <c r="BW164" s="24">
        <f t="shared" ca="1" si="214"/>
        <v>-33674.13891400709</v>
      </c>
      <c r="BX164" s="25">
        <f t="shared" ca="1" si="223"/>
        <v>-431348.27782801422</v>
      </c>
      <c r="BY164" s="23">
        <f t="shared" ca="1" si="186"/>
        <v>1361494.6821067445</v>
      </c>
      <c r="BZ164" s="24">
        <f t="shared" ca="1" si="187"/>
        <v>0</v>
      </c>
      <c r="CA164" s="24">
        <f t="shared" ca="1" si="224"/>
        <v>0</v>
      </c>
      <c r="CB164" s="24">
        <f t="shared" ca="1" si="188"/>
        <v>0</v>
      </c>
      <c r="CC164" s="24">
        <f t="shared" ca="1" si="225"/>
        <v>0</v>
      </c>
      <c r="CD164" s="24">
        <f t="shared" ca="1" si="189"/>
        <v>-20223.815204652004</v>
      </c>
      <c r="CE164" s="25">
        <f t="shared" ca="1" si="226"/>
        <v>-263826.5787126075</v>
      </c>
      <c r="CF164" s="23">
        <f t="shared" ca="1" si="227"/>
        <v>439712</v>
      </c>
      <c r="CG164" s="25">
        <f t="array" aca="1" ref="CG164" ca="1">SUM(BF153:BF164/(1+inflation/100)^(AP153:AP164/12))</f>
        <v>267980.53702225373</v>
      </c>
      <c r="CH164" s="32">
        <f ca="1">IFERROR(IF(MOD(AP164-ap_months_since_start,12)=0,ap_drawdown/100*(AQ164+AV164+BA164-BC164),CH163),0)</f>
        <v>354892.60833357117</v>
      </c>
      <c r="EL164" s="21">
        <f t="shared" ca="1" si="229"/>
        <v>7</v>
      </c>
      <c r="EM164" t="str">
        <f t="shared" ref="EM164:EO164" ca="1" si="238">DR15</f>
        <v/>
      </c>
      <c r="EN164" t="str">
        <f t="shared" ca="1" si="238"/>
        <v/>
      </c>
      <c r="EO164" t="str">
        <f t="shared" ca="1" si="238"/>
        <v/>
      </c>
      <c r="EP164" t="str">
        <f t="shared" ca="1" si="231"/>
        <v/>
      </c>
      <c r="EQ164" t="str">
        <f t="shared" ca="1" si="232"/>
        <v/>
      </c>
      <c r="ER164" t="str">
        <f t="shared" ca="1" si="233"/>
        <v/>
      </c>
      <c r="ES164" t="str">
        <f t="shared" si="234"/>
        <v/>
      </c>
      <c r="ET164" t="str">
        <f t="shared" ca="1" si="235"/>
        <v/>
      </c>
      <c r="EU164" s="22">
        <v>155</v>
      </c>
      <c r="EX164" s="21" t="str">
        <f ca="1">IF(EX163="","",IF(EX163+1&lt;=MAX('Financial Planning Tool'!$EL$10:$EL$209),EX163+1,""))</f>
        <v/>
      </c>
      <c r="EY164" t="str">
        <f ca="1">IF(EX164&lt;&gt;"",VLOOKUP(EX164,'Financial Planning Tool'!$EL$10:$ER$209,2,FALSE),"")</f>
        <v/>
      </c>
      <c r="EZ164" t="str">
        <f ca="1">IF(EX164&lt;&gt;"",VLOOKUP(EX164,'Financial Planning Tool'!$EL$10:$ER$209,3,FALSE),"")</f>
        <v/>
      </c>
      <c r="FA164" t="str">
        <f ca="1">IF(EX164&lt;&gt;"",VLOOKUP(EX164,'Financial Planning Tool'!$EL$10:$ER$209,4,FALSE),"")</f>
        <v/>
      </c>
      <c r="FB164" t="str">
        <f t="shared" ca="1" si="220"/>
        <v/>
      </c>
      <c r="FC164" t="str">
        <f ca="1">IF(EX164&lt;&gt;"",VLOOKUP(EX164,'Financial Planning Tool'!$EL$10:$ER$209,5,FALSE),"")</f>
        <v/>
      </c>
      <c r="FD164" t="str">
        <f ca="1">IF(EX164&lt;&gt;"",VLOOKUP(EX164,'Financial Planning Tool'!$EL$10:$ER$209,6,FALSE),"")</f>
        <v/>
      </c>
      <c r="FE164" t="str">
        <f ca="1">IF(EX164&lt;&gt;"",VLOOKUP(EX164,'Financial Planning Tool'!$EL$10:$ER$209,7,FALSE),"")</f>
        <v/>
      </c>
      <c r="FF164" t="str">
        <f ca="1">IF(EX164&lt;&gt;"",VLOOKUP(EX164,'Financial Planning Tool'!$EL$10:$ES$209,8,FALSE),"")</f>
        <v/>
      </c>
      <c r="FG164" t="str">
        <f ca="1">IF(EX164&lt;&gt;"",VLOOKUP(EX164,'Financial Planning Tool'!$EL$10:$ET$209,9,FALSE),"")</f>
        <v/>
      </c>
      <c r="FH164" t="str">
        <f t="shared" ca="1" si="217"/>
        <v/>
      </c>
      <c r="FI164" s="22" t="str">
        <f t="shared" ca="1" si="218"/>
        <v/>
      </c>
    </row>
    <row r="165" spans="8:165" x14ac:dyDescent="0.25">
      <c r="H165" s="1"/>
      <c r="AN165" s="32">
        <f t="shared" ca="1" si="184"/>
        <v>68</v>
      </c>
      <c r="AO165" s="53">
        <f t="shared" ca="1" si="215"/>
        <v>50406</v>
      </c>
      <c r="AP165" s="22">
        <v>158</v>
      </c>
      <c r="AQ165" s="32">
        <f t="shared" ca="1" si="216"/>
        <v>2274410.256696451</v>
      </c>
      <c r="AR165" s="23">
        <f t="array" aca="1" ref="AR165" ca="1">SUM(IF(lsc_start_date=AO165,lsc_amount,0))</f>
        <v>0</v>
      </c>
      <c r="AS165" s="24">
        <f t="shared" ca="1" si="190"/>
        <v>0</v>
      </c>
      <c r="AT165" s="24">
        <f t="shared" ca="1" si="191"/>
        <v>0</v>
      </c>
      <c r="AU165" s="24">
        <f t="shared" ca="1" si="192"/>
        <v>0</v>
      </c>
      <c r="AV165" s="25">
        <f t="shared" ca="1" si="193"/>
        <v>0</v>
      </c>
      <c r="AW165" s="23">
        <f t="array" aca="1" ref="AW165" ca="1">SUM(IF(rcs_start_date&lt;=AO165,1,0)*IF(rcs_end_date&gt;=AO165,1,0)*rcs_amount*(1+rcs_escalation/100)^(INT((AP165-rcs_months_since_start)/12))*IF(MOD((AP165-rcs_months_since_start),rcs_frequency)=0,1,0)*IF(rcs_frequency=13,0,1))+SUM(IF(rcs_start_date=AO165,rcs_amount,0)*IF(rcs_frequency=13,1,0))</f>
        <v>0</v>
      </c>
      <c r="AX165" s="24">
        <f t="shared" ca="1" si="194"/>
        <v>0</v>
      </c>
      <c r="AY165" s="24">
        <f t="shared" ca="1" si="195"/>
        <v>0</v>
      </c>
      <c r="AZ165" s="24">
        <f t="shared" ca="1" si="196"/>
        <v>0</v>
      </c>
      <c r="BA165" s="25">
        <f t="shared" ca="1" si="197"/>
        <v>0</v>
      </c>
      <c r="BB165" s="23">
        <f t="array" aca="1" ref="BB165" ca="1">SUM(IF(w_start_date&lt;=AO165,1,0)*IF(w_end_date&gt;=AO165,1,0)*w_amount*(1+w_escalation/100)^(INT((AP165-w_months_since_start)/12))*IF(MOD(AP165-w_months_since_start,w_frequency)=0,1,0)*IF(w_frequency=13,0,1))+SUM(IF(w_start_date=AO165,w_amount,0)*IF(w_frequency=13,1,0))</f>
        <v>0</v>
      </c>
      <c r="BC165" s="25">
        <f t="shared" ca="1" si="198"/>
        <v>0</v>
      </c>
      <c r="BD165" s="24" t="b">
        <f t="shared" ca="1" si="199"/>
        <v>1</v>
      </c>
      <c r="BE165" s="24" t="b">
        <f t="shared" ca="1" si="200"/>
        <v>1</v>
      </c>
      <c r="BF165" s="23">
        <f t="array" aca="1" ref="BF165" ca="1">SUM(IF(BD165,1,0)*IF(ap_start_date&lt;=AO165,1,0)*IF(ap_end_date&gt;=AO165,1,0)*ap_amount*(1+ap_escalation/100)^(INT((AP165-ap_months_since_start)/12))*IF(MOD(AP165-ap_months_since_start,ap_frequency)=0,1,0))</f>
        <v>37856.000000000007</v>
      </c>
      <c r="BG165" s="24">
        <f t="shared" ca="1" si="201"/>
        <v>454272.00000000006</v>
      </c>
      <c r="BH165" s="24">
        <f t="shared" ca="1" si="202"/>
        <v>57727.095281155016</v>
      </c>
      <c r="BI165">
        <f t="shared" ca="1" si="203"/>
        <v>0</v>
      </c>
      <c r="BJ165" s="24">
        <f t="shared" ca="1" si="204"/>
        <v>404089.66696808505</v>
      </c>
      <c r="BK165">
        <f t="shared" ca="1" si="205"/>
        <v>1</v>
      </c>
      <c r="BL165" s="25">
        <f t="shared" ca="1" si="206"/>
        <v>33674.13891400709</v>
      </c>
      <c r="BM165" s="32">
        <f t="shared" ca="1" si="185"/>
        <v>2256885.827449447</v>
      </c>
      <c r="BN165" s="23">
        <f t="shared" ca="1" si="207"/>
        <v>0</v>
      </c>
      <c r="BO165" s="24">
        <f t="shared" ca="1" si="208"/>
        <v>0</v>
      </c>
      <c r="BP165" s="25">
        <f t="shared" ca="1" si="209"/>
        <v>0</v>
      </c>
      <c r="BQ165" s="34">
        <f t="shared" ca="1" si="210"/>
        <v>50436</v>
      </c>
      <c r="BR165" s="23">
        <f t="shared" ca="1" si="211"/>
        <v>2256885.827449447</v>
      </c>
      <c r="BS165" s="24">
        <f t="shared" ca="1" si="212"/>
        <v>0</v>
      </c>
      <c r="BT165" s="24">
        <f t="shared" ca="1" si="221"/>
        <v>0</v>
      </c>
      <c r="BU165" s="24">
        <f t="shared" ca="1" si="213"/>
        <v>0</v>
      </c>
      <c r="BV165" s="24">
        <f t="shared" ca="1" si="222"/>
        <v>0</v>
      </c>
      <c r="BW165" s="24">
        <f t="shared" ca="1" si="214"/>
        <v>-33674.13891400709</v>
      </c>
      <c r="BX165" s="25">
        <f t="shared" ca="1" si="223"/>
        <v>-428622.41674202133</v>
      </c>
      <c r="BY165" s="23">
        <f t="shared" ca="1" si="186"/>
        <v>1346595.9022101008</v>
      </c>
      <c r="BZ165" s="24">
        <f t="shared" ca="1" si="187"/>
        <v>0</v>
      </c>
      <c r="CA165" s="24">
        <f t="shared" ca="1" si="224"/>
        <v>0</v>
      </c>
      <c r="CB165" s="24">
        <f t="shared" ca="1" si="188"/>
        <v>0</v>
      </c>
      <c r="CC165" s="24">
        <f t="shared" ca="1" si="225"/>
        <v>0</v>
      </c>
      <c r="CD165" s="24">
        <f t="shared" ca="1" si="189"/>
        <v>-20157.823735167636</v>
      </c>
      <c r="CE165" s="25">
        <f t="shared" ca="1" si="226"/>
        <v>-261323.25653793599</v>
      </c>
      <c r="CF165" s="23">
        <f t="shared" ca="1" si="227"/>
        <v>441168</v>
      </c>
      <c r="CG165" s="25">
        <f t="array" aca="1" ref="CG165" ca="1">SUM(BF154:BF165/(1+inflation/100)^(AP154:AP165/12))</f>
        <v>267980.53702225373</v>
      </c>
      <c r="CH165" s="32">
        <f ca="1">IFERROR(IF(MOD(AP165-ap_months_since_start,12)=0,ap_drawdown/100*(AQ165+AV165+BA165-BC165),CH164),0)</f>
        <v>354892.60833357117</v>
      </c>
      <c r="EL165" s="21">
        <f t="shared" ca="1" si="229"/>
        <v>7</v>
      </c>
      <c r="EM165" t="str">
        <f t="shared" ref="EM165:EO165" ca="1" si="239">DR16</f>
        <v/>
      </c>
      <c r="EN165" t="str">
        <f t="shared" ca="1" si="239"/>
        <v/>
      </c>
      <c r="EO165" t="str">
        <f t="shared" ca="1" si="239"/>
        <v/>
      </c>
      <c r="EP165" t="str">
        <f t="shared" ca="1" si="231"/>
        <v/>
      </c>
      <c r="EQ165" t="str">
        <f t="shared" ca="1" si="232"/>
        <v/>
      </c>
      <c r="ER165" t="str">
        <f t="shared" ca="1" si="233"/>
        <v/>
      </c>
      <c r="ES165" t="str">
        <f t="shared" si="234"/>
        <v/>
      </c>
      <c r="ET165" t="str">
        <f t="shared" ca="1" si="235"/>
        <v/>
      </c>
      <c r="EU165" s="22">
        <v>156</v>
      </c>
      <c r="EX165" s="21" t="str">
        <f ca="1">IF(EX164="","",IF(EX164+1&lt;=MAX('Financial Planning Tool'!$EL$10:$EL$209),EX164+1,""))</f>
        <v/>
      </c>
      <c r="EY165" t="str">
        <f ca="1">IF(EX165&lt;&gt;"",VLOOKUP(EX165,'Financial Planning Tool'!$EL$10:$ER$209,2,FALSE),"")</f>
        <v/>
      </c>
      <c r="EZ165" t="str">
        <f ca="1">IF(EX165&lt;&gt;"",VLOOKUP(EX165,'Financial Planning Tool'!$EL$10:$ER$209,3,FALSE),"")</f>
        <v/>
      </c>
      <c r="FA165" t="str">
        <f ca="1">IF(EX165&lt;&gt;"",VLOOKUP(EX165,'Financial Planning Tool'!$EL$10:$ER$209,4,FALSE),"")</f>
        <v/>
      </c>
      <c r="FB165" t="str">
        <f t="shared" ca="1" si="220"/>
        <v/>
      </c>
      <c r="FC165" t="str">
        <f ca="1">IF(EX165&lt;&gt;"",VLOOKUP(EX165,'Financial Planning Tool'!$EL$10:$ER$209,5,FALSE),"")</f>
        <v/>
      </c>
      <c r="FD165" t="str">
        <f ca="1">IF(EX165&lt;&gt;"",VLOOKUP(EX165,'Financial Planning Tool'!$EL$10:$ER$209,6,FALSE),"")</f>
        <v/>
      </c>
      <c r="FE165" t="str">
        <f ca="1">IF(EX165&lt;&gt;"",VLOOKUP(EX165,'Financial Planning Tool'!$EL$10:$ER$209,7,FALSE),"")</f>
        <v/>
      </c>
      <c r="FF165" t="str">
        <f ca="1">IF(EX165&lt;&gt;"",VLOOKUP(EX165,'Financial Planning Tool'!$EL$10:$ES$209,8,FALSE),"")</f>
        <v/>
      </c>
      <c r="FG165" t="str">
        <f ca="1">IF(EX165&lt;&gt;"",VLOOKUP(EX165,'Financial Planning Tool'!$EL$10:$ET$209,9,FALSE),"")</f>
        <v/>
      </c>
      <c r="FH165" t="str">
        <f t="shared" ca="1" si="217"/>
        <v/>
      </c>
      <c r="FI165" s="22" t="str">
        <f t="shared" ca="1" si="218"/>
        <v/>
      </c>
    </row>
    <row r="166" spans="8:165" x14ac:dyDescent="0.25">
      <c r="H166" s="1"/>
      <c r="AN166" s="32">
        <f t="shared" ca="1" si="184"/>
        <v>68.083333333333329</v>
      </c>
      <c r="AO166" s="53">
        <f t="shared" ca="1" si="215"/>
        <v>50437</v>
      </c>
      <c r="AP166" s="22">
        <v>159</v>
      </c>
      <c r="AQ166" s="32">
        <f t="shared" ca="1" si="216"/>
        <v>2256885.827449447</v>
      </c>
      <c r="AR166" s="23">
        <f t="array" aca="1" ref="AR166" ca="1">SUM(IF(lsc_start_date=AO166,lsc_amount,0))</f>
        <v>0</v>
      </c>
      <c r="AS166" s="24">
        <f t="shared" ca="1" si="190"/>
        <v>0</v>
      </c>
      <c r="AT166" s="24">
        <f t="shared" ca="1" si="191"/>
        <v>0</v>
      </c>
      <c r="AU166" s="24">
        <f t="shared" ca="1" si="192"/>
        <v>0</v>
      </c>
      <c r="AV166" s="25">
        <f t="shared" ca="1" si="193"/>
        <v>0</v>
      </c>
      <c r="AW166" s="23">
        <f t="array" aca="1" ref="AW166" ca="1">SUM(IF(rcs_start_date&lt;=AO166,1,0)*IF(rcs_end_date&gt;=AO166,1,0)*rcs_amount*(1+rcs_escalation/100)^(INT((AP166-rcs_months_since_start)/12))*IF(MOD((AP166-rcs_months_since_start),rcs_frequency)=0,1,0)*IF(rcs_frequency=13,0,1))+SUM(IF(rcs_start_date=AO166,rcs_amount,0)*IF(rcs_frequency=13,1,0))</f>
        <v>0</v>
      </c>
      <c r="AX166" s="24">
        <f t="shared" ca="1" si="194"/>
        <v>0</v>
      </c>
      <c r="AY166" s="24">
        <f t="shared" ca="1" si="195"/>
        <v>0</v>
      </c>
      <c r="AZ166" s="24">
        <f t="shared" ca="1" si="196"/>
        <v>0</v>
      </c>
      <c r="BA166" s="25">
        <f t="shared" ca="1" si="197"/>
        <v>0</v>
      </c>
      <c r="BB166" s="23">
        <f t="array" aca="1" ref="BB166" ca="1">SUM(IF(w_start_date&lt;=AO166,1,0)*IF(w_end_date&gt;=AO166,1,0)*w_amount*(1+w_escalation/100)^(INT((AP166-w_months_since_start)/12))*IF(MOD(AP166-w_months_since_start,w_frequency)=0,1,0)*IF(w_frequency=13,0,1))+SUM(IF(w_start_date=AO166,w_amount,0)*IF(w_frequency=13,1,0))</f>
        <v>0</v>
      </c>
      <c r="BC166" s="25">
        <f t="shared" ca="1" si="198"/>
        <v>0</v>
      </c>
      <c r="BD166" s="24" t="b">
        <f t="shared" ca="1" si="199"/>
        <v>1</v>
      </c>
      <c r="BE166" s="24" t="b">
        <f t="shared" ca="1" si="200"/>
        <v>1</v>
      </c>
      <c r="BF166" s="23">
        <f t="array" aca="1" ref="BF166" ca="1">SUM(IF(BD166,1,0)*IF(ap_start_date&lt;=AO166,1,0)*IF(ap_end_date&gt;=AO166,1,0)*ap_amount*(1+ap_escalation/100)^(INT((AP166-ap_months_since_start)/12))*IF(MOD(AP166-ap_months_since_start,ap_frequency)=0,1,0))</f>
        <v>37856.000000000007</v>
      </c>
      <c r="BG166" s="24">
        <f t="shared" ca="1" si="201"/>
        <v>454272.00000000006</v>
      </c>
      <c r="BH166" s="24">
        <f t="shared" ca="1" si="202"/>
        <v>57727.095281155016</v>
      </c>
      <c r="BI166">
        <f t="shared" ca="1" si="203"/>
        <v>0</v>
      </c>
      <c r="BJ166" s="24">
        <f t="shared" ca="1" si="204"/>
        <v>404089.66696808505</v>
      </c>
      <c r="BK166">
        <f t="shared" ca="1" si="205"/>
        <v>1</v>
      </c>
      <c r="BL166" s="25">
        <f t="shared" ca="1" si="206"/>
        <v>33674.13891400709</v>
      </c>
      <c r="BM166" s="32">
        <f t="shared" ca="1" si="185"/>
        <v>2239235.0939749288</v>
      </c>
      <c r="BN166" s="23">
        <f t="shared" ca="1" si="207"/>
        <v>0</v>
      </c>
      <c r="BO166" s="24">
        <f t="shared" ca="1" si="208"/>
        <v>0</v>
      </c>
      <c r="BP166" s="25">
        <f t="shared" ca="1" si="209"/>
        <v>0</v>
      </c>
      <c r="BQ166" s="34">
        <f t="shared" ca="1" si="210"/>
        <v>50464</v>
      </c>
      <c r="BR166" s="23">
        <f t="shared" ca="1" si="211"/>
        <v>2239235.0939749288</v>
      </c>
      <c r="BS166" s="24">
        <f t="shared" ca="1" si="212"/>
        <v>0</v>
      </c>
      <c r="BT166" s="24">
        <f t="shared" ca="1" si="221"/>
        <v>0</v>
      </c>
      <c r="BU166" s="24">
        <f t="shared" ca="1" si="213"/>
        <v>0</v>
      </c>
      <c r="BV166" s="24">
        <f t="shared" ca="1" si="222"/>
        <v>0</v>
      </c>
      <c r="BW166" s="24">
        <f t="shared" ca="1" si="214"/>
        <v>-33674.13891400709</v>
      </c>
      <c r="BX166" s="25">
        <f t="shared" ca="1" si="223"/>
        <v>-425896.55565602845</v>
      </c>
      <c r="BY166" s="23">
        <f t="shared" ca="1" si="186"/>
        <v>1331704.7419787864</v>
      </c>
      <c r="BZ166" s="24">
        <f t="shared" ca="1" si="187"/>
        <v>0</v>
      </c>
      <c r="CA166" s="24">
        <f t="shared" ca="1" si="224"/>
        <v>0</v>
      </c>
      <c r="CB166" s="24">
        <f t="shared" ca="1" si="188"/>
        <v>0</v>
      </c>
      <c r="CC166" s="24">
        <f t="shared" ca="1" si="225"/>
        <v>0</v>
      </c>
      <c r="CD166" s="24">
        <f t="shared" ca="1" si="189"/>
        <v>-20092.04759963488</v>
      </c>
      <c r="CE166" s="25">
        <f t="shared" ca="1" si="226"/>
        <v>-258828.10284716464</v>
      </c>
      <c r="CF166" s="23">
        <f t="shared" ca="1" si="227"/>
        <v>442624</v>
      </c>
      <c r="CG166" s="25">
        <f t="array" aca="1" ref="CG166" ca="1">SUM(BF155:BF166/(1+inflation/100)^(AP155:AP166/12))</f>
        <v>267980.53702225373</v>
      </c>
      <c r="CH166" s="32">
        <f ca="1">IFERROR(IF(MOD(AP166-ap_months_since_start,12)=0,ap_drawdown/100*(AQ166+AV166+BA166-BC166),CH165),0)</f>
        <v>354892.60833357117</v>
      </c>
      <c r="EL166" s="21">
        <f t="shared" ca="1" si="229"/>
        <v>7</v>
      </c>
      <c r="EM166" t="str">
        <f t="shared" ref="EM166:EO166" ca="1" si="240">DR17</f>
        <v/>
      </c>
      <c r="EN166" t="str">
        <f t="shared" ca="1" si="240"/>
        <v/>
      </c>
      <c r="EO166" t="str">
        <f t="shared" ca="1" si="240"/>
        <v/>
      </c>
      <c r="EP166" t="str">
        <f t="shared" ca="1" si="231"/>
        <v/>
      </c>
      <c r="EQ166" t="str">
        <f t="shared" ca="1" si="232"/>
        <v/>
      </c>
      <c r="ER166" t="str">
        <f t="shared" ca="1" si="233"/>
        <v/>
      </c>
      <c r="ES166" t="str">
        <f t="shared" si="234"/>
        <v/>
      </c>
      <c r="ET166" t="str">
        <f t="shared" ca="1" si="235"/>
        <v/>
      </c>
      <c r="EU166" s="22">
        <v>157</v>
      </c>
      <c r="EX166" s="21" t="str">
        <f ca="1">IF(EX165="","",IF(EX165+1&lt;=MAX('Financial Planning Tool'!$EL$10:$EL$209),EX165+1,""))</f>
        <v/>
      </c>
      <c r="EY166" t="str">
        <f ca="1">IF(EX166&lt;&gt;"",VLOOKUP(EX166,'Financial Planning Tool'!$EL$10:$ER$209,2,FALSE),"")</f>
        <v/>
      </c>
      <c r="EZ166" t="str">
        <f ca="1">IF(EX166&lt;&gt;"",VLOOKUP(EX166,'Financial Planning Tool'!$EL$10:$ER$209,3,FALSE),"")</f>
        <v/>
      </c>
      <c r="FA166" t="str">
        <f ca="1">IF(EX166&lt;&gt;"",VLOOKUP(EX166,'Financial Planning Tool'!$EL$10:$ER$209,4,FALSE),"")</f>
        <v/>
      </c>
      <c r="FB166" t="str">
        <f t="shared" ca="1" si="220"/>
        <v/>
      </c>
      <c r="FC166" t="str">
        <f ca="1">IF(EX166&lt;&gt;"",VLOOKUP(EX166,'Financial Planning Tool'!$EL$10:$ER$209,5,FALSE),"")</f>
        <v/>
      </c>
      <c r="FD166" t="str">
        <f ca="1">IF(EX166&lt;&gt;"",VLOOKUP(EX166,'Financial Planning Tool'!$EL$10:$ER$209,6,FALSE),"")</f>
        <v/>
      </c>
      <c r="FE166" t="str">
        <f ca="1">IF(EX166&lt;&gt;"",VLOOKUP(EX166,'Financial Planning Tool'!$EL$10:$ER$209,7,FALSE),"")</f>
        <v/>
      </c>
      <c r="FF166" t="str">
        <f ca="1">IF(EX166&lt;&gt;"",VLOOKUP(EX166,'Financial Planning Tool'!$EL$10:$ES$209,8,FALSE),"")</f>
        <v/>
      </c>
      <c r="FG166" t="str">
        <f ca="1">IF(EX166&lt;&gt;"",VLOOKUP(EX166,'Financial Planning Tool'!$EL$10:$ET$209,9,FALSE),"")</f>
        <v/>
      </c>
      <c r="FH166" t="str">
        <f t="shared" ca="1" si="217"/>
        <v/>
      </c>
      <c r="FI166" s="22" t="str">
        <f t="shared" ca="1" si="218"/>
        <v/>
      </c>
    </row>
    <row r="167" spans="8:165" x14ac:dyDescent="0.25">
      <c r="H167" s="1"/>
      <c r="AN167" s="32">
        <f t="shared" ca="1" si="184"/>
        <v>68.166666666666671</v>
      </c>
      <c r="AO167" s="53">
        <f t="shared" ca="1" si="215"/>
        <v>50465</v>
      </c>
      <c r="AP167" s="22">
        <v>160</v>
      </c>
      <c r="AQ167" s="32">
        <f t="shared" ca="1" si="216"/>
        <v>2239235.0939749288</v>
      </c>
      <c r="AR167" s="23">
        <f t="array" aca="1" ref="AR167" ca="1">SUM(IF(lsc_start_date=AO167,lsc_amount,0))</f>
        <v>0</v>
      </c>
      <c r="AS167" s="24">
        <f t="shared" ca="1" si="190"/>
        <v>0</v>
      </c>
      <c r="AT167" s="24">
        <f t="shared" ca="1" si="191"/>
        <v>0</v>
      </c>
      <c r="AU167" s="24">
        <f t="shared" ca="1" si="192"/>
        <v>0</v>
      </c>
      <c r="AV167" s="25">
        <f t="shared" ca="1" si="193"/>
        <v>0</v>
      </c>
      <c r="AW167" s="23">
        <f t="array" aca="1" ref="AW167" ca="1">SUM(IF(rcs_start_date&lt;=AO167,1,0)*IF(rcs_end_date&gt;=AO167,1,0)*rcs_amount*(1+rcs_escalation/100)^(INT((AP167-rcs_months_since_start)/12))*IF(MOD((AP167-rcs_months_since_start),rcs_frequency)=0,1,0)*IF(rcs_frequency=13,0,1))+SUM(IF(rcs_start_date=AO167,rcs_amount,0)*IF(rcs_frequency=13,1,0))</f>
        <v>0</v>
      </c>
      <c r="AX167" s="24">
        <f t="shared" ca="1" si="194"/>
        <v>0</v>
      </c>
      <c r="AY167" s="24">
        <f t="shared" ca="1" si="195"/>
        <v>0</v>
      </c>
      <c r="AZ167" s="24">
        <f t="shared" ca="1" si="196"/>
        <v>0</v>
      </c>
      <c r="BA167" s="25">
        <f t="shared" ca="1" si="197"/>
        <v>0</v>
      </c>
      <c r="BB167" s="23">
        <f t="array" aca="1" ref="BB167" ca="1">SUM(IF(w_start_date&lt;=AO167,1,0)*IF(w_end_date&gt;=AO167,1,0)*w_amount*(1+w_escalation/100)^(INT((AP167-w_months_since_start)/12))*IF(MOD(AP167-w_months_since_start,w_frequency)=0,1,0)*IF(w_frequency=13,0,1))+SUM(IF(w_start_date=AO167,w_amount,0)*IF(w_frequency=13,1,0))</f>
        <v>0</v>
      </c>
      <c r="BC167" s="25">
        <f t="shared" ca="1" si="198"/>
        <v>0</v>
      </c>
      <c r="BD167" s="24" t="b">
        <f t="shared" ca="1" si="199"/>
        <v>1</v>
      </c>
      <c r="BE167" s="24" t="b">
        <f t="shared" ca="1" si="200"/>
        <v>1</v>
      </c>
      <c r="BF167" s="23">
        <f t="array" aca="1" ref="BF167" ca="1">SUM(IF(BD167,1,0)*IF(ap_start_date&lt;=AO167,1,0)*IF(ap_end_date&gt;=AO167,1,0)*ap_amount*(1+ap_escalation/100)^(INT((AP167-ap_months_since_start)/12))*IF(MOD(AP167-ap_months_since_start,ap_frequency)=0,1,0))</f>
        <v>37856.000000000007</v>
      </c>
      <c r="BG167" s="24">
        <f t="shared" ca="1" si="201"/>
        <v>454272.00000000006</v>
      </c>
      <c r="BH167" s="24">
        <f t="shared" ca="1" si="202"/>
        <v>57727.095281155016</v>
      </c>
      <c r="BI167">
        <f t="shared" ca="1" si="203"/>
        <v>0</v>
      </c>
      <c r="BJ167" s="24">
        <f t="shared" ca="1" si="204"/>
        <v>404089.66696808505</v>
      </c>
      <c r="BK167">
        <f t="shared" ca="1" si="205"/>
        <v>1</v>
      </c>
      <c r="BL167" s="25">
        <f t="shared" ca="1" si="206"/>
        <v>33674.13891400709</v>
      </c>
      <c r="BM167" s="32">
        <f t="shared" ca="1" si="185"/>
        <v>2221457.1459574928</v>
      </c>
      <c r="BN167" s="23">
        <f t="shared" ca="1" si="207"/>
        <v>0</v>
      </c>
      <c r="BO167" s="24">
        <f t="shared" ca="1" si="208"/>
        <v>0</v>
      </c>
      <c r="BP167" s="25">
        <f t="shared" ca="1" si="209"/>
        <v>0</v>
      </c>
      <c r="BQ167" s="34">
        <f t="shared" ca="1" si="210"/>
        <v>50495</v>
      </c>
      <c r="BR167" s="23">
        <f t="shared" ca="1" si="211"/>
        <v>2221457.1459574928</v>
      </c>
      <c r="BS167" s="24">
        <f t="shared" ca="1" si="212"/>
        <v>0</v>
      </c>
      <c r="BT167" s="24">
        <f t="shared" ca="1" si="221"/>
        <v>0</v>
      </c>
      <c r="BU167" s="24">
        <f t="shared" ca="1" si="213"/>
        <v>0</v>
      </c>
      <c r="BV167" s="24">
        <f t="shared" ca="1" si="222"/>
        <v>0</v>
      </c>
      <c r="BW167" s="24">
        <f t="shared" ca="1" si="214"/>
        <v>-33674.13891400709</v>
      </c>
      <c r="BX167" s="25">
        <f t="shared" ca="1" si="223"/>
        <v>-423170.69457003556</v>
      </c>
      <c r="BY167" s="23">
        <f t="shared" ca="1" si="186"/>
        <v>1316821.0158147691</v>
      </c>
      <c r="BZ167" s="24">
        <f t="shared" ca="1" si="187"/>
        <v>0</v>
      </c>
      <c r="CA167" s="24">
        <f t="shared" ca="1" si="224"/>
        <v>0</v>
      </c>
      <c r="CB167" s="24">
        <f t="shared" ca="1" si="188"/>
        <v>0</v>
      </c>
      <c r="CC167" s="24">
        <f t="shared" ca="1" si="225"/>
        <v>0</v>
      </c>
      <c r="CD167" s="24">
        <f t="shared" ca="1" si="189"/>
        <v>-20026.486095406697</v>
      </c>
      <c r="CE167" s="25">
        <f t="shared" ca="1" si="226"/>
        <v>-256341.09098606181</v>
      </c>
      <c r="CF167" s="23">
        <f t="shared" ca="1" si="227"/>
        <v>444080</v>
      </c>
      <c r="CG167" s="25">
        <f t="array" aca="1" ref="CG167" ca="1">SUM(BF156:BF167/(1+inflation/100)^(AP156:AP167/12))</f>
        <v>267980.53702225373</v>
      </c>
      <c r="CH167" s="32">
        <f ca="1">IFERROR(IF(MOD(AP167-ap_months_since_start,12)=0,ap_drawdown/100*(AQ167+AV167+BA167-BC167),CH166),0)</f>
        <v>354892.60833357117</v>
      </c>
      <c r="EL167" s="21">
        <f t="shared" ca="1" si="229"/>
        <v>7</v>
      </c>
      <c r="EM167" t="str">
        <f t="shared" ref="EM167:EO167" ca="1" si="241">DR18</f>
        <v/>
      </c>
      <c r="EN167" t="str">
        <f t="shared" ca="1" si="241"/>
        <v/>
      </c>
      <c r="EO167" t="str">
        <f t="shared" ca="1" si="241"/>
        <v/>
      </c>
      <c r="EP167" t="str">
        <f t="shared" ca="1" si="231"/>
        <v/>
      </c>
      <c r="EQ167" t="str">
        <f t="shared" ca="1" si="232"/>
        <v/>
      </c>
      <c r="ER167" t="str">
        <f t="shared" ca="1" si="233"/>
        <v/>
      </c>
      <c r="ES167" t="str">
        <f t="shared" si="234"/>
        <v/>
      </c>
      <c r="ET167" t="str">
        <f t="shared" ca="1" si="235"/>
        <v/>
      </c>
      <c r="EU167" s="22">
        <v>158</v>
      </c>
      <c r="EX167" s="21" t="str">
        <f ca="1">IF(EX166="","",IF(EX166+1&lt;=MAX('Financial Planning Tool'!$EL$10:$EL$209),EX166+1,""))</f>
        <v/>
      </c>
      <c r="EY167" t="str">
        <f ca="1">IF(EX167&lt;&gt;"",VLOOKUP(EX167,'Financial Planning Tool'!$EL$10:$ER$209,2,FALSE),"")</f>
        <v/>
      </c>
      <c r="EZ167" t="str">
        <f ca="1">IF(EX167&lt;&gt;"",VLOOKUP(EX167,'Financial Planning Tool'!$EL$10:$ER$209,3,FALSE),"")</f>
        <v/>
      </c>
      <c r="FA167" t="str">
        <f ca="1">IF(EX167&lt;&gt;"",VLOOKUP(EX167,'Financial Planning Tool'!$EL$10:$ER$209,4,FALSE),"")</f>
        <v/>
      </c>
      <c r="FB167" t="str">
        <f t="shared" ca="1" si="220"/>
        <v/>
      </c>
      <c r="FC167" t="str">
        <f ca="1">IF(EX167&lt;&gt;"",VLOOKUP(EX167,'Financial Planning Tool'!$EL$10:$ER$209,5,FALSE),"")</f>
        <v/>
      </c>
      <c r="FD167" t="str">
        <f ca="1">IF(EX167&lt;&gt;"",VLOOKUP(EX167,'Financial Planning Tool'!$EL$10:$ER$209,6,FALSE),"")</f>
        <v/>
      </c>
      <c r="FE167" t="str">
        <f ca="1">IF(EX167&lt;&gt;"",VLOOKUP(EX167,'Financial Planning Tool'!$EL$10:$ER$209,7,FALSE),"")</f>
        <v/>
      </c>
      <c r="FF167" t="str">
        <f ca="1">IF(EX167&lt;&gt;"",VLOOKUP(EX167,'Financial Planning Tool'!$EL$10:$ES$209,8,FALSE),"")</f>
        <v/>
      </c>
      <c r="FG167" t="str">
        <f ca="1">IF(EX167&lt;&gt;"",VLOOKUP(EX167,'Financial Planning Tool'!$EL$10:$ET$209,9,FALSE),"")</f>
        <v/>
      </c>
      <c r="FH167" t="str">
        <f t="shared" ca="1" si="217"/>
        <v/>
      </c>
      <c r="FI167" s="22" t="str">
        <f t="shared" ca="1" si="218"/>
        <v/>
      </c>
    </row>
    <row r="168" spans="8:165" x14ac:dyDescent="0.25">
      <c r="H168" s="1"/>
      <c r="AN168" s="32">
        <f t="shared" ca="1" si="184"/>
        <v>68.25</v>
      </c>
      <c r="AO168" s="53">
        <f t="shared" ca="1" si="215"/>
        <v>50496</v>
      </c>
      <c r="AP168" s="22">
        <v>161</v>
      </c>
      <c r="AQ168" s="32">
        <f t="shared" ca="1" si="216"/>
        <v>2221457.1459574928</v>
      </c>
      <c r="AR168" s="23">
        <f t="array" aca="1" ref="AR168" ca="1">SUM(IF(lsc_start_date=AO168,lsc_amount,0))</f>
        <v>0</v>
      </c>
      <c r="AS168" s="24">
        <f t="shared" ca="1" si="190"/>
        <v>0</v>
      </c>
      <c r="AT168" s="24">
        <f t="shared" ca="1" si="191"/>
        <v>0</v>
      </c>
      <c r="AU168" s="24">
        <f t="shared" ca="1" si="192"/>
        <v>0</v>
      </c>
      <c r="AV168" s="25">
        <f t="shared" ca="1" si="193"/>
        <v>0</v>
      </c>
      <c r="AW168" s="23">
        <f t="array" aca="1" ref="AW168" ca="1">SUM(IF(rcs_start_date&lt;=AO168,1,0)*IF(rcs_end_date&gt;=AO168,1,0)*rcs_amount*(1+rcs_escalation/100)^(INT((AP168-rcs_months_since_start)/12))*IF(MOD((AP168-rcs_months_since_start),rcs_frequency)=0,1,0)*IF(rcs_frequency=13,0,1))+SUM(IF(rcs_start_date=AO168,rcs_amount,0)*IF(rcs_frequency=13,1,0))</f>
        <v>0</v>
      </c>
      <c r="AX168" s="24">
        <f t="shared" ca="1" si="194"/>
        <v>0</v>
      </c>
      <c r="AY168" s="24">
        <f t="shared" ca="1" si="195"/>
        <v>0</v>
      </c>
      <c r="AZ168" s="24">
        <f t="shared" ca="1" si="196"/>
        <v>0</v>
      </c>
      <c r="BA168" s="25">
        <f t="shared" ca="1" si="197"/>
        <v>0</v>
      </c>
      <c r="BB168" s="23">
        <f t="array" aca="1" ref="BB168" ca="1">SUM(IF(w_start_date&lt;=AO168,1,0)*IF(w_end_date&gt;=AO168,1,0)*w_amount*(1+w_escalation/100)^(INT((AP168-w_months_since_start)/12))*IF(MOD(AP168-w_months_since_start,w_frequency)=0,1,0)*IF(w_frequency=13,0,1))+SUM(IF(w_start_date=AO168,w_amount,0)*IF(w_frequency=13,1,0))</f>
        <v>0</v>
      </c>
      <c r="BC168" s="25">
        <f t="shared" ca="1" si="198"/>
        <v>0</v>
      </c>
      <c r="BD168" s="24" t="b">
        <f t="shared" ca="1" si="199"/>
        <v>1</v>
      </c>
      <c r="BE168" s="24" t="b">
        <f t="shared" ca="1" si="200"/>
        <v>1</v>
      </c>
      <c r="BF168" s="23">
        <f t="array" aca="1" ref="BF168" ca="1">SUM(IF(BD168,1,0)*IF(ap_start_date&lt;=AO168,1,0)*IF(ap_end_date&gt;=AO168,1,0)*ap_amount*(1+ap_escalation/100)^(INT((AP168-ap_months_since_start)/12))*IF(MOD(AP168-ap_months_since_start,ap_frequency)=0,1,0))</f>
        <v>37856.000000000007</v>
      </c>
      <c r="BG168" s="24">
        <f t="shared" ca="1" si="201"/>
        <v>454272.00000000006</v>
      </c>
      <c r="BH168" s="24">
        <f t="shared" ca="1" si="202"/>
        <v>57727.095281155016</v>
      </c>
      <c r="BI168">
        <f t="shared" ca="1" si="203"/>
        <v>0</v>
      </c>
      <c r="BJ168" s="24">
        <f t="shared" ca="1" si="204"/>
        <v>404089.66696808505</v>
      </c>
      <c r="BK168">
        <f t="shared" ca="1" si="205"/>
        <v>1</v>
      </c>
      <c r="BL168" s="25">
        <f t="shared" ca="1" si="206"/>
        <v>33674.13891400709</v>
      </c>
      <c r="BM168" s="32">
        <f t="shared" ca="1" si="185"/>
        <v>2203551.0665207976</v>
      </c>
      <c r="BN168" s="23">
        <f t="shared" ca="1" si="207"/>
        <v>0</v>
      </c>
      <c r="BO168" s="24">
        <f t="shared" ca="1" si="208"/>
        <v>0</v>
      </c>
      <c r="BP168" s="25">
        <f t="shared" ca="1" si="209"/>
        <v>0</v>
      </c>
      <c r="BQ168" s="34">
        <f t="shared" ca="1" si="210"/>
        <v>50525</v>
      </c>
      <c r="BR168" s="23">
        <f t="shared" ca="1" si="211"/>
        <v>2203551.0665207976</v>
      </c>
      <c r="BS168" s="24">
        <f t="shared" ca="1" si="212"/>
        <v>0</v>
      </c>
      <c r="BT168" s="24">
        <f t="shared" ca="1" si="221"/>
        <v>0</v>
      </c>
      <c r="BU168" s="24">
        <f t="shared" ca="1" si="213"/>
        <v>0</v>
      </c>
      <c r="BV168" s="24">
        <f t="shared" ca="1" si="222"/>
        <v>0</v>
      </c>
      <c r="BW168" s="24">
        <f t="shared" ca="1" si="214"/>
        <v>-33674.13891400709</v>
      </c>
      <c r="BX168" s="25">
        <f t="shared" ca="1" si="223"/>
        <v>-420444.83348404261</v>
      </c>
      <c r="BY168" s="23">
        <f t="shared" ca="1" si="186"/>
        <v>1301944.5380954337</v>
      </c>
      <c r="BZ168" s="24">
        <f t="shared" ca="1" si="187"/>
        <v>0</v>
      </c>
      <c r="CA168" s="24">
        <f t="shared" ca="1" si="224"/>
        <v>0</v>
      </c>
      <c r="CB168" s="24">
        <f t="shared" ca="1" si="188"/>
        <v>0</v>
      </c>
      <c r="CC168" s="24">
        <f t="shared" ca="1" si="225"/>
        <v>0</v>
      </c>
      <c r="CD168" s="24">
        <f t="shared" ca="1" si="189"/>
        <v>-19961.138522128822</v>
      </c>
      <c r="CE168" s="25">
        <f t="shared" ca="1" si="226"/>
        <v>-253862.19438737014</v>
      </c>
      <c r="CF168" s="23">
        <f t="shared" ca="1" si="227"/>
        <v>445536</v>
      </c>
      <c r="CG168" s="25">
        <f t="array" aca="1" ref="CG168" ca="1">SUM(BF157:BF168/(1+inflation/100)^(AP157:AP168/12))</f>
        <v>267980.53702225373</v>
      </c>
      <c r="CH168" s="32">
        <f ca="1">IFERROR(IF(MOD(AP168-ap_months_since_start,12)=0,ap_drawdown/100*(AQ168+AV168+BA168-BC168),CH167),0)</f>
        <v>354892.60833357117</v>
      </c>
      <c r="EL168" s="21">
        <f t="shared" ca="1" si="229"/>
        <v>7</v>
      </c>
      <c r="EM168" t="str">
        <f t="shared" ref="EM168:EO168" ca="1" si="242">DR19</f>
        <v/>
      </c>
      <c r="EN168" t="str">
        <f t="shared" ca="1" si="242"/>
        <v/>
      </c>
      <c r="EO168" t="str">
        <f t="shared" ca="1" si="242"/>
        <v/>
      </c>
      <c r="EP168" t="str">
        <f t="shared" ca="1" si="231"/>
        <v/>
      </c>
      <c r="EQ168" t="str">
        <f t="shared" ca="1" si="232"/>
        <v/>
      </c>
      <c r="ER168" t="str">
        <f t="shared" ca="1" si="233"/>
        <v/>
      </c>
      <c r="ES168" t="str">
        <f t="shared" si="234"/>
        <v/>
      </c>
      <c r="ET168" t="str">
        <f t="shared" ca="1" si="235"/>
        <v/>
      </c>
      <c r="EU168" s="22">
        <v>159</v>
      </c>
      <c r="EX168" s="21" t="str">
        <f ca="1">IF(EX167="","",IF(EX167+1&lt;=MAX('Financial Planning Tool'!$EL$10:$EL$209),EX167+1,""))</f>
        <v/>
      </c>
      <c r="EY168" t="str">
        <f ca="1">IF(EX168&lt;&gt;"",VLOOKUP(EX168,'Financial Planning Tool'!$EL$10:$ER$209,2,FALSE),"")</f>
        <v/>
      </c>
      <c r="EZ168" t="str">
        <f ca="1">IF(EX168&lt;&gt;"",VLOOKUP(EX168,'Financial Planning Tool'!$EL$10:$ER$209,3,FALSE),"")</f>
        <v/>
      </c>
      <c r="FA168" t="str">
        <f ca="1">IF(EX168&lt;&gt;"",VLOOKUP(EX168,'Financial Planning Tool'!$EL$10:$ER$209,4,FALSE),"")</f>
        <v/>
      </c>
      <c r="FB168" t="str">
        <f t="shared" ca="1" si="220"/>
        <v/>
      </c>
      <c r="FC168" t="str">
        <f ca="1">IF(EX168&lt;&gt;"",VLOOKUP(EX168,'Financial Planning Tool'!$EL$10:$ER$209,5,FALSE),"")</f>
        <v/>
      </c>
      <c r="FD168" t="str">
        <f ca="1">IF(EX168&lt;&gt;"",VLOOKUP(EX168,'Financial Planning Tool'!$EL$10:$ER$209,6,FALSE),"")</f>
        <v/>
      </c>
      <c r="FE168" t="str">
        <f ca="1">IF(EX168&lt;&gt;"",VLOOKUP(EX168,'Financial Planning Tool'!$EL$10:$ER$209,7,FALSE),"")</f>
        <v/>
      </c>
      <c r="FF168" t="str">
        <f ca="1">IF(EX168&lt;&gt;"",VLOOKUP(EX168,'Financial Planning Tool'!$EL$10:$ES$209,8,FALSE),"")</f>
        <v/>
      </c>
      <c r="FG168" t="str">
        <f ca="1">IF(EX168&lt;&gt;"",VLOOKUP(EX168,'Financial Planning Tool'!$EL$10:$ET$209,9,FALSE),"")</f>
        <v/>
      </c>
      <c r="FH168" t="str">
        <f t="shared" ca="1" si="217"/>
        <v/>
      </c>
      <c r="FI168" s="22" t="str">
        <f t="shared" ca="1" si="218"/>
        <v/>
      </c>
    </row>
    <row r="169" spans="8:165" x14ac:dyDescent="0.25">
      <c r="H169" s="1"/>
      <c r="AN169" s="32">
        <f t="shared" ca="1" si="184"/>
        <v>68.333333333333329</v>
      </c>
      <c r="AO169" s="53">
        <f t="shared" ca="1" si="215"/>
        <v>50526</v>
      </c>
      <c r="AP169" s="22">
        <v>162</v>
      </c>
      <c r="AQ169" s="32">
        <f t="shared" ca="1" si="216"/>
        <v>2203551.0665207976</v>
      </c>
      <c r="AR169" s="23">
        <f t="array" aca="1" ref="AR169" ca="1">SUM(IF(lsc_start_date=AO169,lsc_amount,0))</f>
        <v>0</v>
      </c>
      <c r="AS169" s="24">
        <f t="shared" ca="1" si="190"/>
        <v>0</v>
      </c>
      <c r="AT169" s="24">
        <f t="shared" ca="1" si="191"/>
        <v>0</v>
      </c>
      <c r="AU169" s="24">
        <f t="shared" ca="1" si="192"/>
        <v>0</v>
      </c>
      <c r="AV169" s="25">
        <f t="shared" ca="1" si="193"/>
        <v>0</v>
      </c>
      <c r="AW169" s="23">
        <f t="array" aca="1" ref="AW169" ca="1">SUM(IF(rcs_start_date&lt;=AO169,1,0)*IF(rcs_end_date&gt;=AO169,1,0)*rcs_amount*(1+rcs_escalation/100)^(INT((AP169-rcs_months_since_start)/12))*IF(MOD((AP169-rcs_months_since_start),rcs_frequency)=0,1,0)*IF(rcs_frequency=13,0,1))+SUM(IF(rcs_start_date=AO169,rcs_amount,0)*IF(rcs_frequency=13,1,0))</f>
        <v>0</v>
      </c>
      <c r="AX169" s="24">
        <f t="shared" ca="1" si="194"/>
        <v>0</v>
      </c>
      <c r="AY169" s="24">
        <f t="shared" ca="1" si="195"/>
        <v>0</v>
      </c>
      <c r="AZ169" s="24">
        <f t="shared" ca="1" si="196"/>
        <v>0</v>
      </c>
      <c r="BA169" s="25">
        <f t="shared" ca="1" si="197"/>
        <v>0</v>
      </c>
      <c r="BB169" s="23">
        <f t="array" aca="1" ref="BB169" ca="1">SUM(IF(w_start_date&lt;=AO169,1,0)*IF(w_end_date&gt;=AO169,1,0)*w_amount*(1+w_escalation/100)^(INT((AP169-w_months_since_start)/12))*IF(MOD(AP169-w_months_since_start,w_frequency)=0,1,0)*IF(w_frequency=13,0,1))+SUM(IF(w_start_date=AO169,w_amount,0)*IF(w_frequency=13,1,0))</f>
        <v>0</v>
      </c>
      <c r="BC169" s="25">
        <f t="shared" ca="1" si="198"/>
        <v>0</v>
      </c>
      <c r="BD169" s="24" t="b">
        <f t="shared" ca="1" si="199"/>
        <v>1</v>
      </c>
      <c r="BE169" s="24" t="b">
        <f t="shared" ca="1" si="200"/>
        <v>1</v>
      </c>
      <c r="BF169" s="23">
        <f t="array" aca="1" ref="BF169" ca="1">SUM(IF(BD169,1,0)*IF(ap_start_date&lt;=AO169,1,0)*IF(ap_end_date&gt;=AO169,1,0)*ap_amount*(1+ap_escalation/100)^(INT((AP169-ap_months_since_start)/12))*IF(MOD(AP169-ap_months_since_start,ap_frequency)=0,1,0))</f>
        <v>37856.000000000007</v>
      </c>
      <c r="BG169" s="24">
        <f t="shared" ca="1" si="201"/>
        <v>454272.00000000006</v>
      </c>
      <c r="BH169" s="24">
        <f t="shared" ca="1" si="202"/>
        <v>57727.095281155016</v>
      </c>
      <c r="BI169">
        <f t="shared" ca="1" si="203"/>
        <v>0</v>
      </c>
      <c r="BJ169" s="24">
        <f t="shared" ca="1" si="204"/>
        <v>404089.66696808505</v>
      </c>
      <c r="BK169">
        <f t="shared" ca="1" si="205"/>
        <v>1</v>
      </c>
      <c r="BL169" s="25">
        <f t="shared" ca="1" si="206"/>
        <v>33674.13891400709</v>
      </c>
      <c r="BM169" s="32">
        <f t="shared" ca="1" si="185"/>
        <v>2185515.932180278</v>
      </c>
      <c r="BN169" s="23">
        <f t="shared" ca="1" si="207"/>
        <v>0</v>
      </c>
      <c r="BO169" s="24">
        <f t="shared" ca="1" si="208"/>
        <v>0</v>
      </c>
      <c r="BP169" s="25">
        <f t="shared" ca="1" si="209"/>
        <v>0</v>
      </c>
      <c r="BQ169" s="34">
        <f t="shared" ca="1" si="210"/>
        <v>50556</v>
      </c>
      <c r="BR169" s="23">
        <f t="shared" ca="1" si="211"/>
        <v>2185515.932180278</v>
      </c>
      <c r="BS169" s="24">
        <f t="shared" ca="1" si="212"/>
        <v>0</v>
      </c>
      <c r="BT169" s="24">
        <f t="shared" ca="1" si="221"/>
        <v>0</v>
      </c>
      <c r="BU169" s="24">
        <f t="shared" ca="1" si="213"/>
        <v>0</v>
      </c>
      <c r="BV169" s="24">
        <f t="shared" ca="1" si="222"/>
        <v>0</v>
      </c>
      <c r="BW169" s="24">
        <f t="shared" ca="1" si="214"/>
        <v>-33674.13891400709</v>
      </c>
      <c r="BX169" s="25">
        <f t="shared" ca="1" si="223"/>
        <v>-417718.97239804972</v>
      </c>
      <c r="BY169" s="23">
        <f t="shared" ca="1" si="186"/>
        <v>1287075.1231711926</v>
      </c>
      <c r="BZ169" s="24">
        <f t="shared" ca="1" si="187"/>
        <v>0</v>
      </c>
      <c r="CA169" s="24">
        <f t="shared" ca="1" si="224"/>
        <v>0</v>
      </c>
      <c r="CB169" s="24">
        <f t="shared" ca="1" si="188"/>
        <v>0</v>
      </c>
      <c r="CC169" s="24">
        <f t="shared" ca="1" si="225"/>
        <v>0</v>
      </c>
      <c r="CD169" s="24">
        <f t="shared" ca="1" si="189"/>
        <v>-19896.004181732289</v>
      </c>
      <c r="CE169" s="25">
        <f t="shared" ca="1" si="226"/>
        <v>-251391.38657052259</v>
      </c>
      <c r="CF169" s="23">
        <f t="shared" ca="1" si="227"/>
        <v>446992</v>
      </c>
      <c r="CG169" s="25">
        <f t="array" aca="1" ref="CG169" ca="1">SUM(BF158:BF169/(1+inflation/100)^(AP158:AP169/12))</f>
        <v>267980.53702225373</v>
      </c>
      <c r="CH169" s="32">
        <f ca="1">IFERROR(IF(MOD(AP169-ap_months_since_start,12)=0,ap_drawdown/100*(AQ169+AV169+BA169-BC169),CH168),0)</f>
        <v>354892.60833357117</v>
      </c>
      <c r="EL169" s="21">
        <f t="shared" ca="1" si="229"/>
        <v>7</v>
      </c>
      <c r="EM169" t="str">
        <f t="shared" ref="EM169:EO169" ca="1" si="243">DR20</f>
        <v/>
      </c>
      <c r="EN169" t="str">
        <f t="shared" ca="1" si="243"/>
        <v/>
      </c>
      <c r="EO169" t="str">
        <f t="shared" ca="1" si="243"/>
        <v/>
      </c>
      <c r="EP169" t="str">
        <f t="shared" ca="1" si="231"/>
        <v/>
      </c>
      <c r="EQ169" t="str">
        <f t="shared" ca="1" si="232"/>
        <v/>
      </c>
      <c r="ER169" t="str">
        <f t="shared" ca="1" si="233"/>
        <v/>
      </c>
      <c r="ES169" t="str">
        <f t="shared" si="234"/>
        <v/>
      </c>
      <c r="ET169" t="str">
        <f t="shared" ca="1" si="235"/>
        <v/>
      </c>
      <c r="EU169" s="22">
        <v>160</v>
      </c>
      <c r="EX169" s="21" t="str">
        <f ca="1">IF(EX168="","",IF(EX168+1&lt;=MAX('Financial Planning Tool'!$EL$10:$EL$209),EX168+1,""))</f>
        <v/>
      </c>
      <c r="EY169" t="str">
        <f ca="1">IF(EX169&lt;&gt;"",VLOOKUP(EX169,'Financial Planning Tool'!$EL$10:$ER$209,2,FALSE),"")</f>
        <v/>
      </c>
      <c r="EZ169" t="str">
        <f ca="1">IF(EX169&lt;&gt;"",VLOOKUP(EX169,'Financial Planning Tool'!$EL$10:$ER$209,3,FALSE),"")</f>
        <v/>
      </c>
      <c r="FA169" t="str">
        <f ca="1">IF(EX169&lt;&gt;"",VLOOKUP(EX169,'Financial Planning Tool'!$EL$10:$ER$209,4,FALSE),"")</f>
        <v/>
      </c>
      <c r="FB169" t="str">
        <f t="shared" ca="1" si="220"/>
        <v/>
      </c>
      <c r="FC169" t="str">
        <f ca="1">IF(EX169&lt;&gt;"",VLOOKUP(EX169,'Financial Planning Tool'!$EL$10:$ER$209,5,FALSE),"")</f>
        <v/>
      </c>
      <c r="FD169" t="str">
        <f ca="1">IF(EX169&lt;&gt;"",VLOOKUP(EX169,'Financial Planning Tool'!$EL$10:$ER$209,6,FALSE),"")</f>
        <v/>
      </c>
      <c r="FE169" t="str">
        <f ca="1">IF(EX169&lt;&gt;"",VLOOKUP(EX169,'Financial Planning Tool'!$EL$10:$ER$209,7,FALSE),"")</f>
        <v/>
      </c>
      <c r="FF169" t="str">
        <f ca="1">IF(EX169&lt;&gt;"",VLOOKUP(EX169,'Financial Planning Tool'!$EL$10:$ES$209,8,FALSE),"")</f>
        <v/>
      </c>
      <c r="FG169" t="str">
        <f ca="1">IF(EX169&lt;&gt;"",VLOOKUP(EX169,'Financial Planning Tool'!$EL$10:$ET$209,9,FALSE),"")</f>
        <v/>
      </c>
      <c r="FH169" t="str">
        <f t="shared" ca="1" si="217"/>
        <v/>
      </c>
      <c r="FI169" s="22" t="str">
        <f t="shared" ca="1" si="218"/>
        <v/>
      </c>
    </row>
    <row r="170" spans="8:165" x14ac:dyDescent="0.25">
      <c r="H170" s="1"/>
      <c r="AN170" s="32">
        <f t="shared" ca="1" si="184"/>
        <v>68.416666666666671</v>
      </c>
      <c r="AO170" s="53">
        <f t="shared" ca="1" si="215"/>
        <v>50557</v>
      </c>
      <c r="AP170" s="22">
        <v>163</v>
      </c>
      <c r="AQ170" s="32">
        <f t="shared" ca="1" si="216"/>
        <v>2185515.932180278</v>
      </c>
      <c r="AR170" s="23">
        <f t="array" aca="1" ref="AR170" ca="1">SUM(IF(lsc_start_date=AO170,lsc_amount,0))</f>
        <v>0</v>
      </c>
      <c r="AS170" s="24">
        <f t="shared" ca="1" si="190"/>
        <v>0</v>
      </c>
      <c r="AT170" s="24">
        <f t="shared" ca="1" si="191"/>
        <v>0</v>
      </c>
      <c r="AU170" s="24">
        <f t="shared" ca="1" si="192"/>
        <v>0</v>
      </c>
      <c r="AV170" s="25">
        <f t="shared" ca="1" si="193"/>
        <v>0</v>
      </c>
      <c r="AW170" s="23">
        <f t="array" aca="1" ref="AW170" ca="1">SUM(IF(rcs_start_date&lt;=AO170,1,0)*IF(rcs_end_date&gt;=AO170,1,0)*rcs_amount*(1+rcs_escalation/100)^(INT((AP170-rcs_months_since_start)/12))*IF(MOD((AP170-rcs_months_since_start),rcs_frequency)=0,1,0)*IF(rcs_frequency=13,0,1))+SUM(IF(rcs_start_date=AO170,rcs_amount,0)*IF(rcs_frequency=13,1,0))</f>
        <v>0</v>
      </c>
      <c r="AX170" s="24">
        <f t="shared" ca="1" si="194"/>
        <v>0</v>
      </c>
      <c r="AY170" s="24">
        <f t="shared" ca="1" si="195"/>
        <v>0</v>
      </c>
      <c r="AZ170" s="24">
        <f t="shared" ca="1" si="196"/>
        <v>0</v>
      </c>
      <c r="BA170" s="25">
        <f t="shared" ca="1" si="197"/>
        <v>0</v>
      </c>
      <c r="BB170" s="23">
        <f t="array" aca="1" ref="BB170" ca="1">SUM(IF(w_start_date&lt;=AO170,1,0)*IF(w_end_date&gt;=AO170,1,0)*w_amount*(1+w_escalation/100)^(INT((AP170-w_months_since_start)/12))*IF(MOD(AP170-w_months_since_start,w_frequency)=0,1,0)*IF(w_frequency=13,0,1))+SUM(IF(w_start_date=AO170,w_amount,0)*IF(w_frequency=13,1,0))</f>
        <v>0</v>
      </c>
      <c r="BC170" s="25">
        <f t="shared" ca="1" si="198"/>
        <v>0</v>
      </c>
      <c r="BD170" s="24" t="b">
        <f t="shared" ca="1" si="199"/>
        <v>1</v>
      </c>
      <c r="BE170" s="24" t="b">
        <f t="shared" ca="1" si="200"/>
        <v>1</v>
      </c>
      <c r="BF170" s="23">
        <f t="array" aca="1" ref="BF170" ca="1">SUM(IF(BD170,1,0)*IF(ap_start_date&lt;=AO170,1,0)*IF(ap_end_date&gt;=AO170,1,0)*ap_amount*(1+ap_escalation/100)^(INT((AP170-ap_months_since_start)/12))*IF(MOD(AP170-ap_months_since_start,ap_frequency)=0,1,0))</f>
        <v>37856.000000000007</v>
      </c>
      <c r="BG170" s="24">
        <f t="shared" ca="1" si="201"/>
        <v>454272.00000000006</v>
      </c>
      <c r="BH170" s="24">
        <f t="shared" ca="1" si="202"/>
        <v>57727.095281155016</v>
      </c>
      <c r="BI170">
        <f t="shared" ca="1" si="203"/>
        <v>0</v>
      </c>
      <c r="BJ170" s="24">
        <f t="shared" ca="1" si="204"/>
        <v>404089.66696808505</v>
      </c>
      <c r="BK170">
        <f t="shared" ca="1" si="205"/>
        <v>1</v>
      </c>
      <c r="BL170" s="25">
        <f t="shared" ca="1" si="206"/>
        <v>33674.13891400709</v>
      </c>
      <c r="BM170" s="32">
        <f t="shared" ca="1" si="185"/>
        <v>2167350.8127955161</v>
      </c>
      <c r="BN170" s="23">
        <f t="shared" ca="1" si="207"/>
        <v>0</v>
      </c>
      <c r="BO170" s="24">
        <f t="shared" ca="1" si="208"/>
        <v>0</v>
      </c>
      <c r="BP170" s="25">
        <f t="shared" ca="1" si="209"/>
        <v>0</v>
      </c>
      <c r="BQ170" s="34">
        <f t="shared" ca="1" si="210"/>
        <v>50586</v>
      </c>
      <c r="BR170" s="23">
        <f t="shared" ca="1" si="211"/>
        <v>2167350.8127955161</v>
      </c>
      <c r="BS170" s="24">
        <f t="shared" ca="1" si="212"/>
        <v>0</v>
      </c>
      <c r="BT170" s="24">
        <f t="shared" ca="1" si="221"/>
        <v>0</v>
      </c>
      <c r="BU170" s="24">
        <f t="shared" ca="1" si="213"/>
        <v>0</v>
      </c>
      <c r="BV170" s="24">
        <f t="shared" ca="1" si="222"/>
        <v>0</v>
      </c>
      <c r="BW170" s="24">
        <f t="shared" ca="1" si="214"/>
        <v>-33674.13891400709</v>
      </c>
      <c r="BX170" s="25">
        <f t="shared" ca="1" si="223"/>
        <v>-414993.11131205678</v>
      </c>
      <c r="BY170" s="23">
        <f t="shared" ca="1" si="186"/>
        <v>1272212.5853630903</v>
      </c>
      <c r="BZ170" s="24">
        <f t="shared" ca="1" si="187"/>
        <v>0</v>
      </c>
      <c r="CA170" s="24">
        <f t="shared" ca="1" si="224"/>
        <v>0</v>
      </c>
      <c r="CB170" s="24">
        <f t="shared" ca="1" si="188"/>
        <v>0</v>
      </c>
      <c r="CC170" s="24">
        <f t="shared" ca="1" si="225"/>
        <v>0</v>
      </c>
      <c r="CD170" s="24">
        <f t="shared" ca="1" si="189"/>
        <v>-19831.082378425974</v>
      </c>
      <c r="CE170" s="25">
        <f t="shared" ca="1" si="226"/>
        <v>-248928.64114135996</v>
      </c>
      <c r="CF170" s="23">
        <f t="shared" ca="1" si="227"/>
        <v>448448</v>
      </c>
      <c r="CG170" s="25">
        <f t="array" aca="1" ref="CG170" ca="1">SUM(BF159:BF170/(1+inflation/100)^(AP159:AP170/12))</f>
        <v>267980.53702225367</v>
      </c>
      <c r="CH170" s="32">
        <f ca="1">IFERROR(IF(MOD(AP170-ap_months_since_start,12)=0,ap_drawdown/100*(AQ170+AV170+BA170-BC170),CH169),0)</f>
        <v>354892.60833357117</v>
      </c>
      <c r="EL170" s="21">
        <f t="shared" ca="1" si="229"/>
        <v>7</v>
      </c>
      <c r="EM170" t="str">
        <f t="shared" ref="EM170:EO170" ca="1" si="244">DR21</f>
        <v/>
      </c>
      <c r="EN170" t="str">
        <f t="shared" ca="1" si="244"/>
        <v/>
      </c>
      <c r="EO170" t="str">
        <f t="shared" ca="1" si="244"/>
        <v/>
      </c>
      <c r="EP170" t="str">
        <f t="shared" ca="1" si="231"/>
        <v/>
      </c>
      <c r="EQ170" t="str">
        <f t="shared" ca="1" si="232"/>
        <v/>
      </c>
      <c r="ER170" t="str">
        <f t="shared" ca="1" si="233"/>
        <v/>
      </c>
      <c r="ES170" t="str">
        <f t="shared" si="234"/>
        <v/>
      </c>
      <c r="ET170" t="str">
        <f t="shared" ca="1" si="235"/>
        <v/>
      </c>
      <c r="EU170" s="22">
        <v>161</v>
      </c>
      <c r="EX170" s="21" t="str">
        <f ca="1">IF(EX169="","",IF(EX169+1&lt;=MAX('Financial Planning Tool'!$EL$10:$EL$209),EX169+1,""))</f>
        <v/>
      </c>
      <c r="EY170" t="str">
        <f ca="1">IF(EX170&lt;&gt;"",VLOOKUP(EX170,'Financial Planning Tool'!$EL$10:$ER$209,2,FALSE),"")</f>
        <v/>
      </c>
      <c r="EZ170" t="str">
        <f ca="1">IF(EX170&lt;&gt;"",VLOOKUP(EX170,'Financial Planning Tool'!$EL$10:$ER$209,3,FALSE),"")</f>
        <v/>
      </c>
      <c r="FA170" t="str">
        <f ca="1">IF(EX170&lt;&gt;"",VLOOKUP(EX170,'Financial Planning Tool'!$EL$10:$ER$209,4,FALSE),"")</f>
        <v/>
      </c>
      <c r="FB170" t="str">
        <f t="shared" ca="1" si="220"/>
        <v/>
      </c>
      <c r="FC170" t="str">
        <f ca="1">IF(EX170&lt;&gt;"",VLOOKUP(EX170,'Financial Planning Tool'!$EL$10:$ER$209,5,FALSE),"")</f>
        <v/>
      </c>
      <c r="FD170" t="str">
        <f ca="1">IF(EX170&lt;&gt;"",VLOOKUP(EX170,'Financial Planning Tool'!$EL$10:$ER$209,6,FALSE),"")</f>
        <v/>
      </c>
      <c r="FE170" t="str">
        <f ca="1">IF(EX170&lt;&gt;"",VLOOKUP(EX170,'Financial Planning Tool'!$EL$10:$ER$209,7,FALSE),"")</f>
        <v/>
      </c>
      <c r="FF170" t="str">
        <f ca="1">IF(EX170&lt;&gt;"",VLOOKUP(EX170,'Financial Planning Tool'!$EL$10:$ES$209,8,FALSE),"")</f>
        <v/>
      </c>
      <c r="FG170" t="str">
        <f ca="1">IF(EX170&lt;&gt;"",VLOOKUP(EX170,'Financial Planning Tool'!$EL$10:$ET$209,9,FALSE),"")</f>
        <v/>
      </c>
      <c r="FH170" t="str">
        <f t="shared" ca="1" si="217"/>
        <v/>
      </c>
      <c r="FI170" s="22" t="str">
        <f t="shared" ca="1" si="218"/>
        <v/>
      </c>
    </row>
    <row r="171" spans="8:165" x14ac:dyDescent="0.25">
      <c r="H171" s="1"/>
      <c r="AN171" s="32">
        <f t="shared" ca="1" si="184"/>
        <v>68.5</v>
      </c>
      <c r="AO171" s="53">
        <f t="shared" ca="1" si="215"/>
        <v>50587</v>
      </c>
      <c r="AP171" s="22">
        <v>164</v>
      </c>
      <c r="AQ171" s="32">
        <f t="shared" ca="1" si="216"/>
        <v>2167350.8127955161</v>
      </c>
      <c r="AR171" s="23">
        <f t="array" aca="1" ref="AR171" ca="1">SUM(IF(lsc_start_date=AO171,lsc_amount,0))</f>
        <v>0</v>
      </c>
      <c r="AS171" s="24">
        <f t="shared" ca="1" si="190"/>
        <v>0</v>
      </c>
      <c r="AT171" s="24">
        <f t="shared" ca="1" si="191"/>
        <v>0</v>
      </c>
      <c r="AU171" s="24">
        <f t="shared" ca="1" si="192"/>
        <v>0</v>
      </c>
      <c r="AV171" s="25">
        <f t="shared" ca="1" si="193"/>
        <v>0</v>
      </c>
      <c r="AW171" s="23">
        <f t="array" aca="1" ref="AW171" ca="1">SUM(IF(rcs_start_date&lt;=AO171,1,0)*IF(rcs_end_date&gt;=AO171,1,0)*rcs_amount*(1+rcs_escalation/100)^(INT((AP171-rcs_months_since_start)/12))*IF(MOD((AP171-rcs_months_since_start),rcs_frequency)=0,1,0)*IF(rcs_frequency=13,0,1))+SUM(IF(rcs_start_date=AO171,rcs_amount,0)*IF(rcs_frequency=13,1,0))</f>
        <v>0</v>
      </c>
      <c r="AX171" s="24">
        <f t="shared" ca="1" si="194"/>
        <v>0</v>
      </c>
      <c r="AY171" s="24">
        <f t="shared" ca="1" si="195"/>
        <v>0</v>
      </c>
      <c r="AZ171" s="24">
        <f t="shared" ca="1" si="196"/>
        <v>0</v>
      </c>
      <c r="BA171" s="25">
        <f t="shared" ca="1" si="197"/>
        <v>0</v>
      </c>
      <c r="BB171" s="23">
        <f t="array" aca="1" ref="BB171" ca="1">SUM(IF(w_start_date&lt;=AO171,1,0)*IF(w_end_date&gt;=AO171,1,0)*w_amount*(1+w_escalation/100)^(INT((AP171-w_months_since_start)/12))*IF(MOD(AP171-w_months_since_start,w_frequency)=0,1,0)*IF(w_frequency=13,0,1))+SUM(IF(w_start_date=AO171,w_amount,0)*IF(w_frequency=13,1,0))</f>
        <v>0</v>
      </c>
      <c r="BC171" s="25">
        <f t="shared" ca="1" si="198"/>
        <v>0</v>
      </c>
      <c r="BD171" s="24" t="b">
        <f t="shared" ca="1" si="199"/>
        <v>1</v>
      </c>
      <c r="BE171" s="24" t="b">
        <f t="shared" ca="1" si="200"/>
        <v>1</v>
      </c>
      <c r="BF171" s="23">
        <f t="array" aca="1" ref="BF171" ca="1">SUM(IF(BD171,1,0)*IF(ap_start_date&lt;=AO171,1,0)*IF(ap_end_date&gt;=AO171,1,0)*ap_amount*(1+ap_escalation/100)^(INT((AP171-ap_months_since_start)/12))*IF(MOD(AP171-ap_months_since_start,ap_frequency)=0,1,0))</f>
        <v>37856.000000000007</v>
      </c>
      <c r="BG171" s="24">
        <f t="shared" ca="1" si="201"/>
        <v>454272.00000000006</v>
      </c>
      <c r="BH171" s="24">
        <f t="shared" ca="1" si="202"/>
        <v>57727.095281155016</v>
      </c>
      <c r="BI171">
        <f t="shared" ca="1" si="203"/>
        <v>0</v>
      </c>
      <c r="BJ171" s="24">
        <f t="shared" ca="1" si="204"/>
        <v>404089.66696808505</v>
      </c>
      <c r="BK171">
        <f t="shared" ca="1" si="205"/>
        <v>1</v>
      </c>
      <c r="BL171" s="25">
        <f t="shared" ca="1" si="206"/>
        <v>33674.13891400709</v>
      </c>
      <c r="BM171" s="32">
        <f t="shared" ca="1" si="185"/>
        <v>2149054.7715222719</v>
      </c>
      <c r="BN171" s="23">
        <f t="shared" ca="1" si="207"/>
        <v>0</v>
      </c>
      <c r="BO171" s="24">
        <f t="shared" ca="1" si="208"/>
        <v>0</v>
      </c>
      <c r="BP171" s="25">
        <f t="shared" ca="1" si="209"/>
        <v>0</v>
      </c>
      <c r="BQ171" s="34">
        <f t="shared" ca="1" si="210"/>
        <v>50617</v>
      </c>
      <c r="BR171" s="23">
        <f t="shared" ca="1" si="211"/>
        <v>2149054.7715222719</v>
      </c>
      <c r="BS171" s="24">
        <f t="shared" ca="1" si="212"/>
        <v>0</v>
      </c>
      <c r="BT171" s="24">
        <f t="shared" ca="1" si="221"/>
        <v>0</v>
      </c>
      <c r="BU171" s="24">
        <f t="shared" ca="1" si="213"/>
        <v>0</v>
      </c>
      <c r="BV171" s="24">
        <f t="shared" ca="1" si="222"/>
        <v>0</v>
      </c>
      <c r="BW171" s="24">
        <f t="shared" ca="1" si="214"/>
        <v>-33674.13891400709</v>
      </c>
      <c r="BX171" s="25">
        <f t="shared" ca="1" si="223"/>
        <v>-412267.25022606389</v>
      </c>
      <c r="BY171" s="23">
        <f t="shared" ca="1" si="186"/>
        <v>1257356.7389604119</v>
      </c>
      <c r="BZ171" s="24">
        <f t="shared" ca="1" si="187"/>
        <v>0</v>
      </c>
      <c r="CA171" s="24">
        <f t="shared" ca="1" si="224"/>
        <v>0</v>
      </c>
      <c r="CB171" s="24">
        <f t="shared" ca="1" si="188"/>
        <v>0</v>
      </c>
      <c r="CC171" s="24">
        <f t="shared" ca="1" si="225"/>
        <v>0</v>
      </c>
      <c r="CD171" s="24">
        <f t="shared" ca="1" si="189"/>
        <v>-19766.372418689152</v>
      </c>
      <c r="CE171" s="25">
        <f t="shared" ca="1" si="226"/>
        <v>-246473.9317918485</v>
      </c>
      <c r="CF171" s="23">
        <f t="shared" ca="1" si="227"/>
        <v>449904</v>
      </c>
      <c r="CG171" s="25">
        <f t="array" aca="1" ref="CG171" ca="1">SUM(BF160:BF171/(1+inflation/100)^(AP160:AP171/12))</f>
        <v>267980.53702225367</v>
      </c>
      <c r="CH171" s="32">
        <f ca="1">IFERROR(IF(MOD(AP171-ap_months_since_start,12)=0,ap_drawdown/100*(AQ171+AV171+BA171-BC171),CH170),0)</f>
        <v>354892.60833357117</v>
      </c>
      <c r="EL171" s="21">
        <f t="shared" ca="1" si="229"/>
        <v>7</v>
      </c>
      <c r="EM171" t="str">
        <f t="shared" ref="EM171:EO171" ca="1" si="245">DR22</f>
        <v/>
      </c>
      <c r="EN171" t="str">
        <f t="shared" ca="1" si="245"/>
        <v/>
      </c>
      <c r="EO171" t="str">
        <f t="shared" ca="1" si="245"/>
        <v/>
      </c>
      <c r="EP171" t="str">
        <f t="shared" ca="1" si="231"/>
        <v/>
      </c>
      <c r="EQ171" t="str">
        <f t="shared" ca="1" si="232"/>
        <v/>
      </c>
      <c r="ER171" t="str">
        <f t="shared" ca="1" si="233"/>
        <v/>
      </c>
      <c r="ES171" t="str">
        <f t="shared" si="234"/>
        <v/>
      </c>
      <c r="ET171" t="str">
        <f t="shared" ca="1" si="235"/>
        <v/>
      </c>
      <c r="EU171" s="22">
        <v>162</v>
      </c>
      <c r="EX171" s="21" t="str">
        <f ca="1">IF(EX170="","",IF(EX170+1&lt;=MAX('Financial Planning Tool'!$EL$10:$EL$209),EX170+1,""))</f>
        <v/>
      </c>
      <c r="EY171" t="str">
        <f ca="1">IF(EX171&lt;&gt;"",VLOOKUP(EX171,'Financial Planning Tool'!$EL$10:$ER$209,2,FALSE),"")</f>
        <v/>
      </c>
      <c r="EZ171" t="str">
        <f ca="1">IF(EX171&lt;&gt;"",VLOOKUP(EX171,'Financial Planning Tool'!$EL$10:$ER$209,3,FALSE),"")</f>
        <v/>
      </c>
      <c r="FA171" t="str">
        <f ca="1">IF(EX171&lt;&gt;"",VLOOKUP(EX171,'Financial Planning Tool'!$EL$10:$ER$209,4,FALSE),"")</f>
        <v/>
      </c>
      <c r="FB171" t="str">
        <f t="shared" ca="1" si="220"/>
        <v/>
      </c>
      <c r="FC171" t="str">
        <f ca="1">IF(EX171&lt;&gt;"",VLOOKUP(EX171,'Financial Planning Tool'!$EL$10:$ER$209,5,FALSE),"")</f>
        <v/>
      </c>
      <c r="FD171" t="str">
        <f ca="1">IF(EX171&lt;&gt;"",VLOOKUP(EX171,'Financial Planning Tool'!$EL$10:$ER$209,6,FALSE),"")</f>
        <v/>
      </c>
      <c r="FE171" t="str">
        <f ca="1">IF(EX171&lt;&gt;"",VLOOKUP(EX171,'Financial Planning Tool'!$EL$10:$ER$209,7,FALSE),"")</f>
        <v/>
      </c>
      <c r="FF171" t="str">
        <f ca="1">IF(EX171&lt;&gt;"",VLOOKUP(EX171,'Financial Planning Tool'!$EL$10:$ES$209,8,FALSE),"")</f>
        <v/>
      </c>
      <c r="FG171" t="str">
        <f ca="1">IF(EX171&lt;&gt;"",VLOOKUP(EX171,'Financial Planning Tool'!$EL$10:$ET$209,9,FALSE),"")</f>
        <v/>
      </c>
      <c r="FH171" t="str">
        <f t="shared" ref="FH171:FH202" ca="1" si="246">IF(AdjVarType="Escalation",FE171,IF(AdjVarType="Drawdown",FG171,FA171))</f>
        <v/>
      </c>
      <c r="FI171" s="22" t="str">
        <f t="shared" ref="FI171:FI202" ca="1" si="247">IF(AdjVarType="Escalation",IFERROR(FE171-inflation,FE171),IF(AdjVarType="Drawdown",FG171,FB171))</f>
        <v/>
      </c>
    </row>
    <row r="172" spans="8:165" x14ac:dyDescent="0.25">
      <c r="H172" s="1"/>
      <c r="AN172" s="32">
        <f t="shared" ca="1" si="184"/>
        <v>68.583333333333329</v>
      </c>
      <c r="AO172" s="53">
        <f t="shared" ca="1" si="215"/>
        <v>50618</v>
      </c>
      <c r="AP172" s="22">
        <v>165</v>
      </c>
      <c r="AQ172" s="32">
        <f t="shared" ca="1" si="216"/>
        <v>2149054.7715222719</v>
      </c>
      <c r="AR172" s="23">
        <f t="array" aca="1" ref="AR172" ca="1">SUM(IF(lsc_start_date=AO172,lsc_amount,0))</f>
        <v>0</v>
      </c>
      <c r="AS172" s="24">
        <f t="shared" ca="1" si="190"/>
        <v>0</v>
      </c>
      <c r="AT172" s="24">
        <f t="shared" ca="1" si="191"/>
        <v>0</v>
      </c>
      <c r="AU172" s="24">
        <f t="shared" ca="1" si="192"/>
        <v>0</v>
      </c>
      <c r="AV172" s="25">
        <f t="shared" ca="1" si="193"/>
        <v>0</v>
      </c>
      <c r="AW172" s="23">
        <f t="array" aca="1" ref="AW172" ca="1">SUM(IF(rcs_start_date&lt;=AO172,1,0)*IF(rcs_end_date&gt;=AO172,1,0)*rcs_amount*(1+rcs_escalation/100)^(INT((AP172-rcs_months_since_start)/12))*IF(MOD((AP172-rcs_months_since_start),rcs_frequency)=0,1,0)*IF(rcs_frequency=13,0,1))+SUM(IF(rcs_start_date=AO172,rcs_amount,0)*IF(rcs_frequency=13,1,0))</f>
        <v>0</v>
      </c>
      <c r="AX172" s="24">
        <f t="shared" ca="1" si="194"/>
        <v>0</v>
      </c>
      <c r="AY172" s="24">
        <f t="shared" ca="1" si="195"/>
        <v>0</v>
      </c>
      <c r="AZ172" s="24">
        <f t="shared" ca="1" si="196"/>
        <v>0</v>
      </c>
      <c r="BA172" s="25">
        <f t="shared" ca="1" si="197"/>
        <v>0</v>
      </c>
      <c r="BB172" s="23">
        <f t="array" aca="1" ref="BB172" ca="1">SUM(IF(w_start_date&lt;=AO172,1,0)*IF(w_end_date&gt;=AO172,1,0)*w_amount*(1+w_escalation/100)^(INT((AP172-w_months_since_start)/12))*IF(MOD(AP172-w_months_since_start,w_frequency)=0,1,0)*IF(w_frequency=13,0,1))+SUM(IF(w_start_date=AO172,w_amount,0)*IF(w_frequency=13,1,0))</f>
        <v>0</v>
      </c>
      <c r="BC172" s="25">
        <f t="shared" ca="1" si="198"/>
        <v>0</v>
      </c>
      <c r="BD172" s="24" t="b">
        <f t="shared" ca="1" si="199"/>
        <v>1</v>
      </c>
      <c r="BE172" s="24" t="b">
        <f t="shared" ca="1" si="200"/>
        <v>1</v>
      </c>
      <c r="BF172" s="23">
        <f t="array" aca="1" ref="BF172" ca="1">SUM(IF(BD172,1,0)*IF(ap_start_date&lt;=AO172,1,0)*IF(ap_end_date&gt;=AO172,1,0)*ap_amount*(1+ap_escalation/100)^(INT((AP172-ap_months_since_start)/12))*IF(MOD(AP172-ap_months_since_start,ap_frequency)=0,1,0))</f>
        <v>37856.000000000007</v>
      </c>
      <c r="BG172" s="24">
        <f t="shared" ca="1" si="201"/>
        <v>454272.00000000006</v>
      </c>
      <c r="BH172" s="24">
        <f t="shared" ca="1" si="202"/>
        <v>57727.095281155016</v>
      </c>
      <c r="BI172">
        <f t="shared" ca="1" si="203"/>
        <v>0</v>
      </c>
      <c r="BJ172" s="24">
        <f t="shared" ca="1" si="204"/>
        <v>404089.66696808505</v>
      </c>
      <c r="BK172">
        <f t="shared" ca="1" si="205"/>
        <v>1</v>
      </c>
      <c r="BL172" s="25">
        <f t="shared" ca="1" si="206"/>
        <v>33674.13891400709</v>
      </c>
      <c r="BM172" s="32">
        <f t="shared" ca="1" si="185"/>
        <v>2130626.8647641661</v>
      </c>
      <c r="BN172" s="23">
        <f t="shared" ca="1" si="207"/>
        <v>0</v>
      </c>
      <c r="BO172" s="24">
        <f t="shared" ca="1" si="208"/>
        <v>0</v>
      </c>
      <c r="BP172" s="25">
        <f t="shared" ca="1" si="209"/>
        <v>0</v>
      </c>
      <c r="BQ172" s="34">
        <f t="shared" ca="1" si="210"/>
        <v>50648</v>
      </c>
      <c r="BR172" s="23">
        <f t="shared" ca="1" si="211"/>
        <v>2130626.8647641661</v>
      </c>
      <c r="BS172" s="24">
        <f t="shared" ca="1" si="212"/>
        <v>0</v>
      </c>
      <c r="BT172" s="24">
        <f t="shared" ca="1" si="221"/>
        <v>0</v>
      </c>
      <c r="BU172" s="24">
        <f t="shared" ca="1" si="213"/>
        <v>0</v>
      </c>
      <c r="BV172" s="24">
        <f t="shared" ca="1" si="222"/>
        <v>0</v>
      </c>
      <c r="BW172" s="24">
        <f t="shared" ca="1" si="214"/>
        <v>-33674.13891400709</v>
      </c>
      <c r="BX172" s="25">
        <f t="shared" ca="1" si="223"/>
        <v>-409541.38914007094</v>
      </c>
      <c r="BY172" s="23">
        <f t="shared" ca="1" si="186"/>
        <v>1242507.3982182846</v>
      </c>
      <c r="BZ172" s="24">
        <f t="shared" ca="1" si="187"/>
        <v>0</v>
      </c>
      <c r="CA172" s="24">
        <f t="shared" ca="1" si="224"/>
        <v>0</v>
      </c>
      <c r="CB172" s="24">
        <f t="shared" ca="1" si="188"/>
        <v>0</v>
      </c>
      <c r="CC172" s="24">
        <f t="shared" ca="1" si="225"/>
        <v>0</v>
      </c>
      <c r="CD172" s="24">
        <f t="shared" ca="1" si="189"/>
        <v>-19701.873611264105</v>
      </c>
      <c r="CE172" s="25">
        <f t="shared" ca="1" si="226"/>
        <v>-244027.23229979927</v>
      </c>
      <c r="CF172" s="23">
        <f t="shared" ca="1" si="227"/>
        <v>451360</v>
      </c>
      <c r="CG172" s="25">
        <f t="array" aca="1" ref="CG172" ca="1">SUM(BF161:BF172/(1+inflation/100)^(AP161:AP172/12))</f>
        <v>267980.53702225373</v>
      </c>
      <c r="CH172" s="32">
        <f ca="1">IFERROR(IF(MOD(AP172-ap_months_since_start,12)=0,ap_drawdown/100*(AQ172+AV172+BA172-BC172),CH171),0)</f>
        <v>354892.60833357117</v>
      </c>
      <c r="EL172" s="21">
        <f t="shared" ca="1" si="229"/>
        <v>7</v>
      </c>
      <c r="EM172" t="str">
        <f t="shared" ref="EM172:EO172" ca="1" si="248">DR23</f>
        <v/>
      </c>
      <c r="EN172" t="str">
        <f t="shared" ca="1" si="248"/>
        <v/>
      </c>
      <c r="EO172" t="str">
        <f t="shared" ca="1" si="248"/>
        <v/>
      </c>
      <c r="EP172" t="str">
        <f t="shared" ca="1" si="231"/>
        <v/>
      </c>
      <c r="EQ172" t="str">
        <f t="shared" ca="1" si="232"/>
        <v/>
      </c>
      <c r="ER172" t="str">
        <f t="shared" ca="1" si="233"/>
        <v/>
      </c>
      <c r="ES172" t="str">
        <f t="shared" si="234"/>
        <v/>
      </c>
      <c r="ET172" t="str">
        <f t="shared" ca="1" si="235"/>
        <v/>
      </c>
      <c r="EU172" s="22">
        <v>163</v>
      </c>
      <c r="EX172" s="21" t="str">
        <f ca="1">IF(EX171="","",IF(EX171+1&lt;=MAX('Financial Planning Tool'!$EL$10:$EL$209),EX171+1,""))</f>
        <v/>
      </c>
      <c r="EY172" t="str">
        <f ca="1">IF(EX172&lt;&gt;"",VLOOKUP(EX172,'Financial Planning Tool'!$EL$10:$ER$209,2,FALSE),"")</f>
        <v/>
      </c>
      <c r="EZ172" t="str">
        <f ca="1">IF(EX172&lt;&gt;"",VLOOKUP(EX172,'Financial Planning Tool'!$EL$10:$ER$209,3,FALSE),"")</f>
        <v/>
      </c>
      <c r="FA172" t="str">
        <f ca="1">IF(EX172&lt;&gt;"",VLOOKUP(EX172,'Financial Planning Tool'!$EL$10:$ER$209,4,FALSE),"")</f>
        <v/>
      </c>
      <c r="FB172" t="str">
        <f t="shared" ca="1" si="220"/>
        <v/>
      </c>
      <c r="FC172" t="str">
        <f ca="1">IF(EX172&lt;&gt;"",VLOOKUP(EX172,'Financial Planning Tool'!$EL$10:$ER$209,5,FALSE),"")</f>
        <v/>
      </c>
      <c r="FD172" t="str">
        <f ca="1">IF(EX172&lt;&gt;"",VLOOKUP(EX172,'Financial Planning Tool'!$EL$10:$ER$209,6,FALSE),"")</f>
        <v/>
      </c>
      <c r="FE172" t="str">
        <f ca="1">IF(EX172&lt;&gt;"",VLOOKUP(EX172,'Financial Planning Tool'!$EL$10:$ER$209,7,FALSE),"")</f>
        <v/>
      </c>
      <c r="FF172" t="str">
        <f ca="1">IF(EX172&lt;&gt;"",VLOOKUP(EX172,'Financial Planning Tool'!$EL$10:$ES$209,8,FALSE),"")</f>
        <v/>
      </c>
      <c r="FG172" t="str">
        <f ca="1">IF(EX172&lt;&gt;"",VLOOKUP(EX172,'Financial Planning Tool'!$EL$10:$ET$209,9,FALSE),"")</f>
        <v/>
      </c>
      <c r="FH172" t="str">
        <f t="shared" ca="1" si="246"/>
        <v/>
      </c>
      <c r="FI172" s="22" t="str">
        <f t="shared" ca="1" si="247"/>
        <v/>
      </c>
    </row>
    <row r="173" spans="8:165" x14ac:dyDescent="0.25">
      <c r="H173" s="1"/>
      <c r="AN173" s="32">
        <f t="shared" ca="1" si="184"/>
        <v>68.666666666666671</v>
      </c>
      <c r="AO173" s="53">
        <f t="shared" ca="1" si="215"/>
        <v>50649</v>
      </c>
      <c r="AP173" s="22">
        <v>166</v>
      </c>
      <c r="AQ173" s="32">
        <f t="shared" ca="1" si="216"/>
        <v>2130626.8647641661</v>
      </c>
      <c r="AR173" s="23">
        <f t="array" aca="1" ref="AR173" ca="1">SUM(IF(lsc_start_date=AO173,lsc_amount,0))</f>
        <v>0</v>
      </c>
      <c r="AS173" s="24">
        <f t="shared" ca="1" si="190"/>
        <v>0</v>
      </c>
      <c r="AT173" s="24">
        <f t="shared" ca="1" si="191"/>
        <v>0</v>
      </c>
      <c r="AU173" s="24">
        <f t="shared" ca="1" si="192"/>
        <v>0</v>
      </c>
      <c r="AV173" s="25">
        <f t="shared" ca="1" si="193"/>
        <v>0</v>
      </c>
      <c r="AW173" s="23">
        <f t="array" aca="1" ref="AW173" ca="1">SUM(IF(rcs_start_date&lt;=AO173,1,0)*IF(rcs_end_date&gt;=AO173,1,0)*rcs_amount*(1+rcs_escalation/100)^(INT((AP173-rcs_months_since_start)/12))*IF(MOD((AP173-rcs_months_since_start),rcs_frequency)=0,1,0)*IF(rcs_frequency=13,0,1))+SUM(IF(rcs_start_date=AO173,rcs_amount,0)*IF(rcs_frequency=13,1,0))</f>
        <v>0</v>
      </c>
      <c r="AX173" s="24">
        <f t="shared" ca="1" si="194"/>
        <v>0</v>
      </c>
      <c r="AY173" s="24">
        <f t="shared" ca="1" si="195"/>
        <v>0</v>
      </c>
      <c r="AZ173" s="24">
        <f t="shared" ca="1" si="196"/>
        <v>0</v>
      </c>
      <c r="BA173" s="25">
        <f t="shared" ca="1" si="197"/>
        <v>0</v>
      </c>
      <c r="BB173" s="23">
        <f t="array" aca="1" ref="BB173" ca="1">SUM(IF(w_start_date&lt;=AO173,1,0)*IF(w_end_date&gt;=AO173,1,0)*w_amount*(1+w_escalation/100)^(INT((AP173-w_months_since_start)/12))*IF(MOD(AP173-w_months_since_start,w_frequency)=0,1,0)*IF(w_frequency=13,0,1))+SUM(IF(w_start_date=AO173,w_amount,0)*IF(w_frequency=13,1,0))</f>
        <v>0</v>
      </c>
      <c r="BC173" s="25">
        <f t="shared" ca="1" si="198"/>
        <v>0</v>
      </c>
      <c r="BD173" s="24" t="b">
        <f t="shared" ca="1" si="199"/>
        <v>1</v>
      </c>
      <c r="BE173" s="24" t="b">
        <f t="shared" ca="1" si="200"/>
        <v>1</v>
      </c>
      <c r="BF173" s="23">
        <f t="array" aca="1" ref="BF173" ca="1">SUM(IF(BD173,1,0)*IF(ap_start_date&lt;=AO173,1,0)*IF(ap_end_date&gt;=AO173,1,0)*ap_amount*(1+ap_escalation/100)^(INT((AP173-ap_months_since_start)/12))*IF(MOD(AP173-ap_months_since_start,ap_frequency)=0,1,0))</f>
        <v>37856.000000000007</v>
      </c>
      <c r="BG173" s="24">
        <f t="shared" ca="1" si="201"/>
        <v>454272.00000000006</v>
      </c>
      <c r="BH173" s="24">
        <f t="shared" ca="1" si="202"/>
        <v>57727.095281155016</v>
      </c>
      <c r="BI173">
        <f t="shared" ca="1" si="203"/>
        <v>0</v>
      </c>
      <c r="BJ173" s="24">
        <f t="shared" ca="1" si="204"/>
        <v>404089.66696808505</v>
      </c>
      <c r="BK173">
        <f t="shared" ca="1" si="205"/>
        <v>1</v>
      </c>
      <c r="BL173" s="25">
        <f t="shared" ca="1" si="206"/>
        <v>33674.13891400709</v>
      </c>
      <c r="BM173" s="32">
        <f t="shared" ca="1" si="185"/>
        <v>2112066.1421240154</v>
      </c>
      <c r="BN173" s="23">
        <f t="shared" ca="1" si="207"/>
        <v>0</v>
      </c>
      <c r="BO173" s="24">
        <f t="shared" ca="1" si="208"/>
        <v>0</v>
      </c>
      <c r="BP173" s="25">
        <f t="shared" ca="1" si="209"/>
        <v>0</v>
      </c>
      <c r="BQ173" s="34">
        <f t="shared" ca="1" si="210"/>
        <v>50678</v>
      </c>
      <c r="BR173" s="23">
        <f t="shared" ca="1" si="211"/>
        <v>2112066.1421240154</v>
      </c>
      <c r="BS173" s="24">
        <f t="shared" ca="1" si="212"/>
        <v>0</v>
      </c>
      <c r="BT173" s="24">
        <f t="shared" ca="1" si="221"/>
        <v>0</v>
      </c>
      <c r="BU173" s="24">
        <f t="shared" ca="1" si="213"/>
        <v>0</v>
      </c>
      <c r="BV173" s="24">
        <f t="shared" ca="1" si="222"/>
        <v>0</v>
      </c>
      <c r="BW173" s="24">
        <f t="shared" ca="1" si="214"/>
        <v>-33674.13891400709</v>
      </c>
      <c r="BX173" s="25">
        <f t="shared" ca="1" si="223"/>
        <v>-406815.52805407805</v>
      </c>
      <c r="BY173" s="23">
        <f t="shared" ca="1" si="186"/>
        <v>1227664.3773552822</v>
      </c>
      <c r="BZ173" s="24">
        <f t="shared" ca="1" si="187"/>
        <v>0</v>
      </c>
      <c r="CA173" s="24">
        <f t="shared" ca="1" si="224"/>
        <v>0</v>
      </c>
      <c r="CB173" s="24">
        <f t="shared" ca="1" si="188"/>
        <v>0</v>
      </c>
      <c r="CC173" s="24">
        <f t="shared" ca="1" si="225"/>
        <v>0</v>
      </c>
      <c r="CD173" s="24">
        <f t="shared" ca="1" si="189"/>
        <v>-19637.585267148716</v>
      </c>
      <c r="CE173" s="25">
        <f t="shared" ca="1" si="226"/>
        <v>-241588.51652858776</v>
      </c>
      <c r="CF173" s="23">
        <f t="shared" ca="1" si="227"/>
        <v>452816</v>
      </c>
      <c r="CG173" s="25">
        <f t="array" aca="1" ref="CG173" ca="1">SUM(BF162:BF173/(1+inflation/100)^(AP162:AP173/12))</f>
        <v>267980.53702225373</v>
      </c>
      <c r="CH173" s="32">
        <f ca="1">IFERROR(IF(MOD(AP173-ap_months_since_start,12)=0,ap_drawdown/100*(AQ173+AV173+BA173-BC173),CH172),0)</f>
        <v>354892.60833357117</v>
      </c>
      <c r="EL173" s="21">
        <f t="shared" ca="1" si="229"/>
        <v>7</v>
      </c>
      <c r="EM173" t="str">
        <f t="shared" ref="EM173:EO173" ca="1" si="249">DR24</f>
        <v/>
      </c>
      <c r="EN173" t="str">
        <f t="shared" ca="1" si="249"/>
        <v/>
      </c>
      <c r="EO173" t="str">
        <f t="shared" ca="1" si="249"/>
        <v/>
      </c>
      <c r="EP173" t="str">
        <f t="shared" ca="1" si="231"/>
        <v/>
      </c>
      <c r="EQ173" t="str">
        <f t="shared" ca="1" si="232"/>
        <v/>
      </c>
      <c r="ER173" t="str">
        <f t="shared" ca="1" si="233"/>
        <v/>
      </c>
      <c r="ES173" t="str">
        <f t="shared" si="234"/>
        <v/>
      </c>
      <c r="ET173" t="str">
        <f t="shared" ca="1" si="235"/>
        <v/>
      </c>
      <c r="EU173" s="22">
        <v>164</v>
      </c>
      <c r="EX173" s="21" t="str">
        <f ca="1">IF(EX172="","",IF(EX172+1&lt;=MAX('Financial Planning Tool'!$EL$10:$EL$209),EX172+1,""))</f>
        <v/>
      </c>
      <c r="EY173" t="str">
        <f ca="1">IF(EX173&lt;&gt;"",VLOOKUP(EX173,'Financial Planning Tool'!$EL$10:$ER$209,2,FALSE),"")</f>
        <v/>
      </c>
      <c r="EZ173" t="str">
        <f ca="1">IF(EX173&lt;&gt;"",VLOOKUP(EX173,'Financial Planning Tool'!$EL$10:$ER$209,3,FALSE),"")</f>
        <v/>
      </c>
      <c r="FA173" t="str">
        <f ca="1">IF(EX173&lt;&gt;"",VLOOKUP(EX173,'Financial Planning Tool'!$EL$10:$ER$209,4,FALSE),"")</f>
        <v/>
      </c>
      <c r="FB173" t="str">
        <f t="shared" ca="1" si="220"/>
        <v/>
      </c>
      <c r="FC173" t="str">
        <f ca="1">IF(EX173&lt;&gt;"",VLOOKUP(EX173,'Financial Planning Tool'!$EL$10:$ER$209,5,FALSE),"")</f>
        <v/>
      </c>
      <c r="FD173" t="str">
        <f ca="1">IF(EX173&lt;&gt;"",VLOOKUP(EX173,'Financial Planning Tool'!$EL$10:$ER$209,6,FALSE),"")</f>
        <v/>
      </c>
      <c r="FE173" t="str">
        <f ca="1">IF(EX173&lt;&gt;"",VLOOKUP(EX173,'Financial Planning Tool'!$EL$10:$ER$209,7,FALSE),"")</f>
        <v/>
      </c>
      <c r="FF173" t="str">
        <f ca="1">IF(EX173&lt;&gt;"",VLOOKUP(EX173,'Financial Planning Tool'!$EL$10:$ES$209,8,FALSE),"")</f>
        <v/>
      </c>
      <c r="FG173" t="str">
        <f ca="1">IF(EX173&lt;&gt;"",VLOOKUP(EX173,'Financial Planning Tool'!$EL$10:$ET$209,9,FALSE),"")</f>
        <v/>
      </c>
      <c r="FH173" t="str">
        <f t="shared" ca="1" si="246"/>
        <v/>
      </c>
      <c r="FI173" s="22" t="str">
        <f t="shared" ca="1" si="247"/>
        <v/>
      </c>
    </row>
    <row r="174" spans="8:165" x14ac:dyDescent="0.25">
      <c r="H174" s="1"/>
      <c r="AN174" s="32">
        <f t="shared" ca="1" si="184"/>
        <v>68.75</v>
      </c>
      <c r="AO174" s="53">
        <f t="shared" ca="1" si="215"/>
        <v>50679</v>
      </c>
      <c r="AP174" s="22">
        <v>167</v>
      </c>
      <c r="AQ174" s="32">
        <f t="shared" ca="1" si="216"/>
        <v>2112066.1421240154</v>
      </c>
      <c r="AR174" s="23">
        <f t="array" aca="1" ref="AR174" ca="1">SUM(IF(lsc_start_date=AO174,lsc_amount,0))</f>
        <v>0</v>
      </c>
      <c r="AS174" s="24">
        <f t="shared" ca="1" si="190"/>
        <v>0</v>
      </c>
      <c r="AT174" s="24">
        <f t="shared" ca="1" si="191"/>
        <v>0</v>
      </c>
      <c r="AU174" s="24">
        <f t="shared" ca="1" si="192"/>
        <v>0</v>
      </c>
      <c r="AV174" s="25">
        <f t="shared" ca="1" si="193"/>
        <v>0</v>
      </c>
      <c r="AW174" s="23">
        <f t="array" aca="1" ref="AW174" ca="1">SUM(IF(rcs_start_date&lt;=AO174,1,0)*IF(rcs_end_date&gt;=AO174,1,0)*rcs_amount*(1+rcs_escalation/100)^(INT((AP174-rcs_months_since_start)/12))*IF(MOD((AP174-rcs_months_since_start),rcs_frequency)=0,1,0)*IF(rcs_frequency=13,0,1))+SUM(IF(rcs_start_date=AO174,rcs_amount,0)*IF(rcs_frequency=13,1,0))</f>
        <v>0</v>
      </c>
      <c r="AX174" s="24">
        <f t="shared" ca="1" si="194"/>
        <v>0</v>
      </c>
      <c r="AY174" s="24">
        <f t="shared" ca="1" si="195"/>
        <v>0</v>
      </c>
      <c r="AZ174" s="24">
        <f t="shared" ca="1" si="196"/>
        <v>0</v>
      </c>
      <c r="BA174" s="25">
        <f t="shared" ca="1" si="197"/>
        <v>0</v>
      </c>
      <c r="BB174" s="23">
        <f t="array" aca="1" ref="BB174" ca="1">SUM(IF(w_start_date&lt;=AO174,1,0)*IF(w_end_date&gt;=AO174,1,0)*w_amount*(1+w_escalation/100)^(INT((AP174-w_months_since_start)/12))*IF(MOD(AP174-w_months_since_start,w_frequency)=0,1,0)*IF(w_frequency=13,0,1))+SUM(IF(w_start_date=AO174,w_amount,0)*IF(w_frequency=13,1,0))</f>
        <v>0</v>
      </c>
      <c r="BC174" s="25">
        <f t="shared" ca="1" si="198"/>
        <v>0</v>
      </c>
      <c r="BD174" s="24" t="b">
        <f t="shared" ca="1" si="199"/>
        <v>1</v>
      </c>
      <c r="BE174" s="24" t="b">
        <f t="shared" ca="1" si="200"/>
        <v>1</v>
      </c>
      <c r="BF174" s="23">
        <f t="array" aca="1" ref="BF174" ca="1">SUM(IF(BD174,1,0)*IF(ap_start_date&lt;=AO174,1,0)*IF(ap_end_date&gt;=AO174,1,0)*ap_amount*(1+ap_escalation/100)^(INT((AP174-ap_months_since_start)/12))*IF(MOD(AP174-ap_months_since_start,ap_frequency)=0,1,0))</f>
        <v>37856.000000000007</v>
      </c>
      <c r="BG174" s="24">
        <f t="shared" ca="1" si="201"/>
        <v>454272.00000000006</v>
      </c>
      <c r="BH174" s="24">
        <f t="shared" ca="1" si="202"/>
        <v>57727.095281155016</v>
      </c>
      <c r="BI174">
        <f t="shared" ca="1" si="203"/>
        <v>0</v>
      </c>
      <c r="BJ174" s="24">
        <f t="shared" ca="1" si="204"/>
        <v>404089.66696808505</v>
      </c>
      <c r="BK174">
        <f t="shared" ca="1" si="205"/>
        <v>1</v>
      </c>
      <c r="BL174" s="25">
        <f t="shared" ca="1" si="206"/>
        <v>33674.13891400709</v>
      </c>
      <c r="BM174" s="32">
        <f t="shared" ca="1" si="185"/>
        <v>2093371.6463548159</v>
      </c>
      <c r="BN174" s="23">
        <f t="shared" ca="1" si="207"/>
        <v>0</v>
      </c>
      <c r="BO174" s="24">
        <f t="shared" ca="1" si="208"/>
        <v>0</v>
      </c>
      <c r="BP174" s="25">
        <f t="shared" ca="1" si="209"/>
        <v>0</v>
      </c>
      <c r="BQ174" s="34">
        <f t="shared" ca="1" si="210"/>
        <v>50709</v>
      </c>
      <c r="BR174" s="23">
        <f t="shared" ca="1" si="211"/>
        <v>2093371.6463548159</v>
      </c>
      <c r="BS174" s="24">
        <f t="shared" ca="1" si="212"/>
        <v>0</v>
      </c>
      <c r="BT174" s="24">
        <f t="shared" ca="1" si="221"/>
        <v>0</v>
      </c>
      <c r="BU174" s="24">
        <f t="shared" ca="1" si="213"/>
        <v>0</v>
      </c>
      <c r="BV174" s="24">
        <f t="shared" ca="1" si="222"/>
        <v>0</v>
      </c>
      <c r="BW174" s="24">
        <f t="shared" ca="1" si="214"/>
        <v>-33674.13891400709</v>
      </c>
      <c r="BX174" s="25">
        <f t="shared" ca="1" si="223"/>
        <v>-404089.66696808516</v>
      </c>
      <c r="BY174" s="23">
        <f t="shared" ca="1" si="186"/>
        <v>1212827.4905510205</v>
      </c>
      <c r="BZ174" s="24">
        <f t="shared" ca="1" si="187"/>
        <v>0</v>
      </c>
      <c r="CA174" s="24">
        <f t="shared" ca="1" si="224"/>
        <v>0</v>
      </c>
      <c r="CB174" s="24">
        <f t="shared" ca="1" si="188"/>
        <v>0</v>
      </c>
      <c r="CC174" s="24">
        <f t="shared" ca="1" si="225"/>
        <v>0</v>
      </c>
      <c r="CD174" s="24">
        <f t="shared" ca="1" si="189"/>
        <v>-19573.506699589132</v>
      </c>
      <c r="CE174" s="25">
        <f t="shared" ca="1" si="226"/>
        <v>-239157.75842687473</v>
      </c>
      <c r="CF174" s="23">
        <f t="shared" ca="1" si="227"/>
        <v>454272.00000000006</v>
      </c>
      <c r="CG174" s="25">
        <f t="array" aca="1" ref="CG174" ca="1">SUM(BF163:BF174/(1+inflation/100)^(AP163:AP174/12))</f>
        <v>267980.53702225373</v>
      </c>
      <c r="CH174" s="32">
        <f ca="1">IFERROR(IF(MOD(AP174-ap_months_since_start,12)=0,ap_drawdown/100*(AQ174+AV174+BA174-BC174),CH173),0)</f>
        <v>354892.60833357117</v>
      </c>
      <c r="EL174" s="21">
        <f t="shared" ca="1" si="229"/>
        <v>7</v>
      </c>
      <c r="EM174" t="str">
        <f t="shared" ref="EM174:EO174" ca="1" si="250">DR25</f>
        <v/>
      </c>
      <c r="EN174" t="str">
        <f t="shared" ca="1" si="250"/>
        <v/>
      </c>
      <c r="EO174" t="str">
        <f t="shared" ca="1" si="250"/>
        <v/>
      </c>
      <c r="EP174" t="str">
        <f t="shared" ca="1" si="231"/>
        <v/>
      </c>
      <c r="EQ174" t="str">
        <f t="shared" ca="1" si="232"/>
        <v/>
      </c>
      <c r="ER174" t="str">
        <f t="shared" ca="1" si="233"/>
        <v/>
      </c>
      <c r="ES174" t="str">
        <f t="shared" si="234"/>
        <v/>
      </c>
      <c r="ET174" t="str">
        <f t="shared" ca="1" si="235"/>
        <v/>
      </c>
      <c r="EU174" s="22">
        <v>165</v>
      </c>
      <c r="EX174" s="21" t="str">
        <f ca="1">IF(EX173="","",IF(EX173+1&lt;=MAX('Financial Planning Tool'!$EL$10:$EL$209),EX173+1,""))</f>
        <v/>
      </c>
      <c r="EY174" t="str">
        <f ca="1">IF(EX174&lt;&gt;"",VLOOKUP(EX174,'Financial Planning Tool'!$EL$10:$ER$209,2,FALSE),"")</f>
        <v/>
      </c>
      <c r="EZ174" t="str">
        <f ca="1">IF(EX174&lt;&gt;"",VLOOKUP(EX174,'Financial Planning Tool'!$EL$10:$ER$209,3,FALSE),"")</f>
        <v/>
      </c>
      <c r="FA174" t="str">
        <f ca="1">IF(EX174&lt;&gt;"",VLOOKUP(EX174,'Financial Planning Tool'!$EL$10:$ER$209,4,FALSE),"")</f>
        <v/>
      </c>
      <c r="FB174" t="str">
        <f t="shared" ca="1" si="220"/>
        <v/>
      </c>
      <c r="FC174" t="str">
        <f ca="1">IF(EX174&lt;&gt;"",VLOOKUP(EX174,'Financial Planning Tool'!$EL$10:$ER$209,5,FALSE),"")</f>
        <v/>
      </c>
      <c r="FD174" t="str">
        <f ca="1">IF(EX174&lt;&gt;"",VLOOKUP(EX174,'Financial Planning Tool'!$EL$10:$ER$209,6,FALSE),"")</f>
        <v/>
      </c>
      <c r="FE174" t="str">
        <f ca="1">IF(EX174&lt;&gt;"",VLOOKUP(EX174,'Financial Planning Tool'!$EL$10:$ER$209,7,FALSE),"")</f>
        <v/>
      </c>
      <c r="FF174" t="str">
        <f ca="1">IF(EX174&lt;&gt;"",VLOOKUP(EX174,'Financial Planning Tool'!$EL$10:$ES$209,8,FALSE),"")</f>
        <v/>
      </c>
      <c r="FG174" t="str">
        <f ca="1">IF(EX174&lt;&gt;"",VLOOKUP(EX174,'Financial Planning Tool'!$EL$10:$ET$209,9,FALSE),"")</f>
        <v/>
      </c>
      <c r="FH174" t="str">
        <f t="shared" ca="1" si="246"/>
        <v/>
      </c>
      <c r="FI174" s="22" t="str">
        <f t="shared" ca="1" si="247"/>
        <v/>
      </c>
    </row>
    <row r="175" spans="8:165" x14ac:dyDescent="0.25">
      <c r="H175" s="1"/>
      <c r="AN175" s="32">
        <f t="shared" ca="1" si="184"/>
        <v>68.833333333333329</v>
      </c>
      <c r="AO175" s="53">
        <f t="shared" ca="1" si="215"/>
        <v>50710</v>
      </c>
      <c r="AP175" s="22">
        <v>168</v>
      </c>
      <c r="AQ175" s="32">
        <f t="shared" ca="1" si="216"/>
        <v>2093371.6463548159</v>
      </c>
      <c r="AR175" s="23">
        <f t="array" aca="1" ref="AR175" ca="1">SUM(IF(lsc_start_date=AO175,lsc_amount,0))</f>
        <v>0</v>
      </c>
      <c r="AS175" s="24">
        <f t="shared" ca="1" si="190"/>
        <v>0</v>
      </c>
      <c r="AT175" s="24">
        <f t="shared" ca="1" si="191"/>
        <v>0</v>
      </c>
      <c r="AU175" s="24">
        <f t="shared" ca="1" si="192"/>
        <v>0</v>
      </c>
      <c r="AV175" s="25">
        <f t="shared" ca="1" si="193"/>
        <v>0</v>
      </c>
      <c r="AW175" s="23">
        <f t="array" aca="1" ref="AW175" ca="1">SUM(IF(rcs_start_date&lt;=AO175,1,0)*IF(rcs_end_date&gt;=AO175,1,0)*rcs_amount*(1+rcs_escalation/100)^(INT((AP175-rcs_months_since_start)/12))*IF(MOD((AP175-rcs_months_since_start),rcs_frequency)=0,1,0)*IF(rcs_frequency=13,0,1))+SUM(IF(rcs_start_date=AO175,rcs_amount,0)*IF(rcs_frequency=13,1,0))</f>
        <v>0</v>
      </c>
      <c r="AX175" s="24">
        <f t="shared" ca="1" si="194"/>
        <v>0</v>
      </c>
      <c r="AY175" s="24">
        <f t="shared" ca="1" si="195"/>
        <v>0</v>
      </c>
      <c r="AZ175" s="24">
        <f t="shared" ca="1" si="196"/>
        <v>0</v>
      </c>
      <c r="BA175" s="25">
        <f t="shared" ca="1" si="197"/>
        <v>0</v>
      </c>
      <c r="BB175" s="23">
        <f t="array" aca="1" ref="BB175" ca="1">SUM(IF(w_start_date&lt;=AO175,1,0)*IF(w_end_date&gt;=AO175,1,0)*w_amount*(1+w_escalation/100)^(INT((AP175-w_months_since_start)/12))*IF(MOD(AP175-w_months_since_start,w_frequency)=0,1,0)*IF(w_frequency=13,0,1))+SUM(IF(w_start_date=AO175,w_amount,0)*IF(w_frequency=13,1,0))</f>
        <v>0</v>
      </c>
      <c r="BC175" s="25">
        <f t="shared" ca="1" si="198"/>
        <v>0</v>
      </c>
      <c r="BD175" s="24" t="b">
        <f t="shared" ca="1" si="199"/>
        <v>1</v>
      </c>
      <c r="BE175" s="24" t="b">
        <f t="shared" ca="1" si="200"/>
        <v>1</v>
      </c>
      <c r="BF175" s="23">
        <f t="array" aca="1" ref="BF175" ca="1">SUM(IF(BD175,1,0)*IF(ap_start_date&lt;=AO175,1,0)*IF(ap_end_date&gt;=AO175,1,0)*ap_amount*(1+ap_escalation/100)^(INT((AP175-ap_months_since_start)/12))*IF(MOD(AP175-ap_months_since_start,ap_frequency)=0,1,0))</f>
        <v>39370.240000000005</v>
      </c>
      <c r="BG175" s="24">
        <f t="shared" ca="1" si="201"/>
        <v>472442.87999999995</v>
      </c>
      <c r="BH175" s="24">
        <f t="shared" ca="1" si="202"/>
        <v>52334.291158870401</v>
      </c>
      <c r="BI175">
        <f t="shared" ca="1" si="203"/>
        <v>0</v>
      </c>
      <c r="BJ175" s="24">
        <f t="shared" ca="1" si="204"/>
        <v>366340.03811209276</v>
      </c>
      <c r="BK175">
        <f t="shared" ca="1" si="205"/>
        <v>1</v>
      </c>
      <c r="BL175" s="25">
        <f t="shared" ca="1" si="206"/>
        <v>30528.336509341072</v>
      </c>
      <c r="BM175" s="32">
        <f t="shared" ca="1" si="185"/>
        <v>2077710.8885300606</v>
      </c>
      <c r="BN175" s="23">
        <f t="shared" ca="1" si="207"/>
        <v>0</v>
      </c>
      <c r="BO175" s="24">
        <f t="shared" ca="1" si="208"/>
        <v>0</v>
      </c>
      <c r="BP175" s="25">
        <f t="shared" ca="1" si="209"/>
        <v>0</v>
      </c>
      <c r="BQ175" s="34">
        <f t="shared" ca="1" si="210"/>
        <v>50739</v>
      </c>
      <c r="BR175" s="23">
        <f t="shared" ca="1" si="211"/>
        <v>2077710.8885300606</v>
      </c>
      <c r="BS175" s="24">
        <f t="shared" ca="1" si="212"/>
        <v>0</v>
      </c>
      <c r="BT175" s="24">
        <f t="shared" ca="1" si="221"/>
        <v>0</v>
      </c>
      <c r="BU175" s="24">
        <f t="shared" ca="1" si="213"/>
        <v>0</v>
      </c>
      <c r="BV175" s="24">
        <f t="shared" ca="1" si="222"/>
        <v>0</v>
      </c>
      <c r="BW175" s="24">
        <f t="shared" ca="1" si="214"/>
        <v>-30528.336509341072</v>
      </c>
      <c r="BX175" s="25">
        <f t="shared" ca="1" si="223"/>
        <v>-400943.86456341913</v>
      </c>
      <c r="BY175" s="23">
        <f t="shared" ca="1" si="186"/>
        <v>1199826.2674336645</v>
      </c>
      <c r="BZ175" s="24">
        <f t="shared" ca="1" si="187"/>
        <v>0</v>
      </c>
      <c r="CA175" s="24">
        <f t="shared" ca="1" si="224"/>
        <v>0</v>
      </c>
      <c r="CB175" s="24">
        <f t="shared" ca="1" si="188"/>
        <v>0</v>
      </c>
      <c r="CC175" s="24">
        <f t="shared" ca="1" si="225"/>
        <v>0</v>
      </c>
      <c r="CD175" s="24">
        <f t="shared" ca="1" si="189"/>
        <v>-17687.067570535717</v>
      </c>
      <c r="CE175" s="25">
        <f t="shared" ca="1" si="226"/>
        <v>-236554.80328437514</v>
      </c>
      <c r="CF175" s="23">
        <f t="shared" ca="1" si="227"/>
        <v>455786.24000000005</v>
      </c>
      <c r="CG175" s="25">
        <f t="array" aca="1" ref="CG175" ca="1">SUM(BF164:BF175/(1+inflation/100)^(AP164:AP175/12))</f>
        <v>267980.53702225373</v>
      </c>
      <c r="CH175" s="32">
        <f ca="1">IFERROR(IF(MOD(AP175-ap_months_since_start,12)=0,ap_drawdown/100*(AQ175+AV175+BA175-BC175),CH174),0)</f>
        <v>321738.91660755768</v>
      </c>
      <c r="EL175" s="21">
        <f t="shared" ca="1" si="229"/>
        <v>7</v>
      </c>
      <c r="EM175" t="str">
        <f t="shared" ref="EM175:EO175" ca="1" si="251">DR26</f>
        <v/>
      </c>
      <c r="EN175" t="str">
        <f t="shared" ca="1" si="251"/>
        <v/>
      </c>
      <c r="EO175" t="str">
        <f t="shared" ca="1" si="251"/>
        <v/>
      </c>
      <c r="EP175" t="str">
        <f t="shared" ca="1" si="231"/>
        <v/>
      </c>
      <c r="EQ175" t="str">
        <f t="shared" ca="1" si="232"/>
        <v/>
      </c>
      <c r="ER175" t="str">
        <f t="shared" ca="1" si="233"/>
        <v/>
      </c>
      <c r="ES175" t="str">
        <f t="shared" si="234"/>
        <v/>
      </c>
      <c r="ET175" t="str">
        <f t="shared" ca="1" si="235"/>
        <v/>
      </c>
      <c r="EU175" s="22">
        <v>166</v>
      </c>
      <c r="EX175" s="21" t="str">
        <f ca="1">IF(EX174="","",IF(EX174+1&lt;=MAX('Financial Planning Tool'!$EL$10:$EL$209),EX174+1,""))</f>
        <v/>
      </c>
      <c r="EY175" t="str">
        <f ca="1">IF(EX175&lt;&gt;"",VLOOKUP(EX175,'Financial Planning Tool'!$EL$10:$ER$209,2,FALSE),"")</f>
        <v/>
      </c>
      <c r="EZ175" t="str">
        <f ca="1">IF(EX175&lt;&gt;"",VLOOKUP(EX175,'Financial Planning Tool'!$EL$10:$ER$209,3,FALSE),"")</f>
        <v/>
      </c>
      <c r="FA175" t="str">
        <f ca="1">IF(EX175&lt;&gt;"",VLOOKUP(EX175,'Financial Planning Tool'!$EL$10:$ER$209,4,FALSE),"")</f>
        <v/>
      </c>
      <c r="FB175" t="str">
        <f t="shared" ca="1" si="220"/>
        <v/>
      </c>
      <c r="FC175" t="str">
        <f ca="1">IF(EX175&lt;&gt;"",VLOOKUP(EX175,'Financial Planning Tool'!$EL$10:$ER$209,5,FALSE),"")</f>
        <v/>
      </c>
      <c r="FD175" t="str">
        <f ca="1">IF(EX175&lt;&gt;"",VLOOKUP(EX175,'Financial Planning Tool'!$EL$10:$ER$209,6,FALSE),"")</f>
        <v/>
      </c>
      <c r="FE175" t="str">
        <f ca="1">IF(EX175&lt;&gt;"",VLOOKUP(EX175,'Financial Planning Tool'!$EL$10:$ER$209,7,FALSE),"")</f>
        <v/>
      </c>
      <c r="FF175" t="str">
        <f ca="1">IF(EX175&lt;&gt;"",VLOOKUP(EX175,'Financial Planning Tool'!$EL$10:$ES$209,8,FALSE),"")</f>
        <v/>
      </c>
      <c r="FG175" t="str">
        <f ca="1">IF(EX175&lt;&gt;"",VLOOKUP(EX175,'Financial Planning Tool'!$EL$10:$ET$209,9,FALSE),"")</f>
        <v/>
      </c>
      <c r="FH175" t="str">
        <f t="shared" ca="1" si="246"/>
        <v/>
      </c>
      <c r="FI175" s="22" t="str">
        <f t="shared" ca="1" si="247"/>
        <v/>
      </c>
    </row>
    <row r="176" spans="8:165" x14ac:dyDescent="0.25">
      <c r="H176" s="1"/>
      <c r="AN176" s="32">
        <f t="shared" ca="1" si="184"/>
        <v>68.916666666666671</v>
      </c>
      <c r="AO176" s="53">
        <f t="shared" ca="1" si="215"/>
        <v>50740</v>
      </c>
      <c r="AP176" s="22">
        <v>169</v>
      </c>
      <c r="AQ176" s="32">
        <f t="shared" ca="1" si="216"/>
        <v>2077710.8885300606</v>
      </c>
      <c r="AR176" s="23">
        <f t="array" aca="1" ref="AR176" ca="1">SUM(IF(lsc_start_date=AO176,lsc_amount,0))</f>
        <v>0</v>
      </c>
      <c r="AS176" s="24">
        <f t="shared" ca="1" si="190"/>
        <v>0</v>
      </c>
      <c r="AT176" s="24">
        <f t="shared" ca="1" si="191"/>
        <v>0</v>
      </c>
      <c r="AU176" s="24">
        <f t="shared" ca="1" si="192"/>
        <v>0</v>
      </c>
      <c r="AV176" s="25">
        <f t="shared" ca="1" si="193"/>
        <v>0</v>
      </c>
      <c r="AW176" s="23">
        <f t="array" aca="1" ref="AW176" ca="1">SUM(IF(rcs_start_date&lt;=AO176,1,0)*IF(rcs_end_date&gt;=AO176,1,0)*rcs_amount*(1+rcs_escalation/100)^(INT((AP176-rcs_months_since_start)/12))*IF(MOD((AP176-rcs_months_since_start),rcs_frequency)=0,1,0)*IF(rcs_frequency=13,0,1))+SUM(IF(rcs_start_date=AO176,rcs_amount,0)*IF(rcs_frequency=13,1,0))</f>
        <v>0</v>
      </c>
      <c r="AX176" s="24">
        <f t="shared" ca="1" si="194"/>
        <v>0</v>
      </c>
      <c r="AY176" s="24">
        <f t="shared" ca="1" si="195"/>
        <v>0</v>
      </c>
      <c r="AZ176" s="24">
        <f t="shared" ca="1" si="196"/>
        <v>0</v>
      </c>
      <c r="BA176" s="25">
        <f t="shared" ca="1" si="197"/>
        <v>0</v>
      </c>
      <c r="BB176" s="23">
        <f t="array" aca="1" ref="BB176" ca="1">SUM(IF(w_start_date&lt;=AO176,1,0)*IF(w_end_date&gt;=AO176,1,0)*w_amount*(1+w_escalation/100)^(INT((AP176-w_months_since_start)/12))*IF(MOD(AP176-w_months_since_start,w_frequency)=0,1,0)*IF(w_frequency=13,0,1))+SUM(IF(w_start_date=AO176,w_amount,0)*IF(w_frequency=13,1,0))</f>
        <v>0</v>
      </c>
      <c r="BC176" s="25">
        <f t="shared" ca="1" si="198"/>
        <v>0</v>
      </c>
      <c r="BD176" s="24" t="b">
        <f t="shared" ca="1" si="199"/>
        <v>1</v>
      </c>
      <c r="BE176" s="24" t="b">
        <f t="shared" ca="1" si="200"/>
        <v>1</v>
      </c>
      <c r="BF176" s="23">
        <f t="array" aca="1" ref="BF176" ca="1">SUM(IF(BD176,1,0)*IF(ap_start_date&lt;=AO176,1,0)*IF(ap_end_date&gt;=AO176,1,0)*ap_amount*(1+ap_escalation/100)^(INT((AP176-ap_months_since_start)/12))*IF(MOD(AP176-ap_months_since_start,ap_frequency)=0,1,0))</f>
        <v>39370.240000000005</v>
      </c>
      <c r="BG176" s="24">
        <f t="shared" ca="1" si="201"/>
        <v>472442.87999999995</v>
      </c>
      <c r="BH176" s="24">
        <f t="shared" ca="1" si="202"/>
        <v>52334.291158870401</v>
      </c>
      <c r="BI176">
        <f t="shared" ca="1" si="203"/>
        <v>0</v>
      </c>
      <c r="BJ176" s="24">
        <f t="shared" ca="1" si="204"/>
        <v>366340.03811209276</v>
      </c>
      <c r="BK176">
        <f t="shared" ca="1" si="205"/>
        <v>1</v>
      </c>
      <c r="BL176" s="25">
        <f t="shared" ca="1" si="206"/>
        <v>30528.336509341072</v>
      </c>
      <c r="BM176" s="32">
        <f t="shared" ca="1" si="185"/>
        <v>2061937.2585602866</v>
      </c>
      <c r="BN176" s="23">
        <f t="shared" ca="1" si="207"/>
        <v>0</v>
      </c>
      <c r="BO176" s="24">
        <f t="shared" ca="1" si="208"/>
        <v>0</v>
      </c>
      <c r="BP176" s="25">
        <f t="shared" ca="1" si="209"/>
        <v>0</v>
      </c>
      <c r="BQ176" s="34">
        <f t="shared" ca="1" si="210"/>
        <v>50770</v>
      </c>
      <c r="BR176" s="23">
        <f t="shared" ca="1" si="211"/>
        <v>2061937.2585602866</v>
      </c>
      <c r="BS176" s="24">
        <f t="shared" ca="1" si="212"/>
        <v>0</v>
      </c>
      <c r="BT176" s="24">
        <f t="shared" ca="1" si="221"/>
        <v>0</v>
      </c>
      <c r="BU176" s="24">
        <f t="shared" ca="1" si="213"/>
        <v>0</v>
      </c>
      <c r="BV176" s="24">
        <f t="shared" ca="1" si="222"/>
        <v>0</v>
      </c>
      <c r="BW176" s="24">
        <f t="shared" ca="1" si="214"/>
        <v>-30528.336509341072</v>
      </c>
      <c r="BX176" s="25">
        <f t="shared" ca="1" si="223"/>
        <v>-397798.06215875311</v>
      </c>
      <c r="BY176" s="23">
        <f t="shared" ca="1" si="186"/>
        <v>1186832.0099945627</v>
      </c>
      <c r="BZ176" s="24">
        <f t="shared" ca="1" si="187"/>
        <v>0</v>
      </c>
      <c r="CA176" s="24">
        <f t="shared" ca="1" si="224"/>
        <v>0</v>
      </c>
      <c r="CB176" s="24">
        <f t="shared" ca="1" si="188"/>
        <v>0</v>
      </c>
      <c r="CC176" s="24">
        <f t="shared" ca="1" si="225"/>
        <v>0</v>
      </c>
      <c r="CD176" s="24">
        <f t="shared" ca="1" si="189"/>
        <v>-17629.353654143695</v>
      </c>
      <c r="CE176" s="25">
        <f t="shared" ca="1" si="226"/>
        <v>-233960.34173386684</v>
      </c>
      <c r="CF176" s="23">
        <f t="shared" ca="1" si="227"/>
        <v>457300.48000000004</v>
      </c>
      <c r="CG176" s="25">
        <f t="array" aca="1" ref="CG176" ca="1">SUM(BF165:BF176/(1+inflation/100)^(AP165:AP176/12))</f>
        <v>267980.53702225373</v>
      </c>
      <c r="CH176" s="32">
        <f ca="1">IFERROR(IF(MOD(AP176-ap_months_since_start,12)=0,ap_drawdown/100*(AQ176+AV176+BA176-BC176),CH175),0)</f>
        <v>321738.91660755768</v>
      </c>
      <c r="EL176" s="21">
        <f t="shared" ca="1" si="229"/>
        <v>7</v>
      </c>
      <c r="EM176" t="str">
        <f t="shared" ref="EM176:EO176" ca="1" si="252">DR27</f>
        <v/>
      </c>
      <c r="EN176" t="str">
        <f t="shared" ca="1" si="252"/>
        <v/>
      </c>
      <c r="EO176" t="str">
        <f t="shared" ca="1" si="252"/>
        <v/>
      </c>
      <c r="EP176" t="str">
        <f t="shared" ca="1" si="231"/>
        <v/>
      </c>
      <c r="EQ176" t="str">
        <f t="shared" ca="1" si="232"/>
        <v/>
      </c>
      <c r="ER176" t="str">
        <f t="shared" ca="1" si="233"/>
        <v/>
      </c>
      <c r="ES176" t="str">
        <f t="shared" si="234"/>
        <v/>
      </c>
      <c r="ET176" t="str">
        <f t="shared" ca="1" si="235"/>
        <v/>
      </c>
      <c r="EU176" s="22">
        <v>167</v>
      </c>
      <c r="EX176" s="21" t="str">
        <f ca="1">IF(EX175="","",IF(EX175+1&lt;=MAX('Financial Planning Tool'!$EL$10:$EL$209),EX175+1,""))</f>
        <v/>
      </c>
      <c r="EY176" t="str">
        <f ca="1">IF(EX176&lt;&gt;"",VLOOKUP(EX176,'Financial Planning Tool'!$EL$10:$ER$209,2,FALSE),"")</f>
        <v/>
      </c>
      <c r="EZ176" t="str">
        <f ca="1">IF(EX176&lt;&gt;"",VLOOKUP(EX176,'Financial Planning Tool'!$EL$10:$ER$209,3,FALSE),"")</f>
        <v/>
      </c>
      <c r="FA176" t="str">
        <f ca="1">IF(EX176&lt;&gt;"",VLOOKUP(EX176,'Financial Planning Tool'!$EL$10:$ER$209,4,FALSE),"")</f>
        <v/>
      </c>
      <c r="FB176" t="str">
        <f t="shared" ca="1" si="220"/>
        <v/>
      </c>
      <c r="FC176" t="str">
        <f ca="1">IF(EX176&lt;&gt;"",VLOOKUP(EX176,'Financial Planning Tool'!$EL$10:$ER$209,5,FALSE),"")</f>
        <v/>
      </c>
      <c r="FD176" t="str">
        <f ca="1">IF(EX176&lt;&gt;"",VLOOKUP(EX176,'Financial Planning Tool'!$EL$10:$ER$209,6,FALSE),"")</f>
        <v/>
      </c>
      <c r="FE176" t="str">
        <f ca="1">IF(EX176&lt;&gt;"",VLOOKUP(EX176,'Financial Planning Tool'!$EL$10:$ER$209,7,FALSE),"")</f>
        <v/>
      </c>
      <c r="FF176" t="str">
        <f ca="1">IF(EX176&lt;&gt;"",VLOOKUP(EX176,'Financial Planning Tool'!$EL$10:$ES$209,8,FALSE),"")</f>
        <v/>
      </c>
      <c r="FG176" t="str">
        <f ca="1">IF(EX176&lt;&gt;"",VLOOKUP(EX176,'Financial Planning Tool'!$EL$10:$ET$209,9,FALSE),"")</f>
        <v/>
      </c>
      <c r="FH176" t="str">
        <f t="shared" ca="1" si="246"/>
        <v/>
      </c>
      <c r="FI176" s="22" t="str">
        <f t="shared" ca="1" si="247"/>
        <v/>
      </c>
    </row>
    <row r="177" spans="8:165" x14ac:dyDescent="0.25">
      <c r="H177" s="1"/>
      <c r="AN177" s="32">
        <f t="shared" ca="1" si="184"/>
        <v>69</v>
      </c>
      <c r="AO177" s="53">
        <f t="shared" ca="1" si="215"/>
        <v>50771</v>
      </c>
      <c r="AP177" s="22">
        <v>170</v>
      </c>
      <c r="AQ177" s="32">
        <f t="shared" ca="1" si="216"/>
        <v>2061937.2585602866</v>
      </c>
      <c r="AR177" s="23">
        <f t="array" aca="1" ref="AR177" ca="1">SUM(IF(lsc_start_date=AO177,lsc_amount,0))</f>
        <v>0</v>
      </c>
      <c r="AS177" s="24">
        <f t="shared" ca="1" si="190"/>
        <v>0</v>
      </c>
      <c r="AT177" s="24">
        <f t="shared" ca="1" si="191"/>
        <v>0</v>
      </c>
      <c r="AU177" s="24">
        <f t="shared" ca="1" si="192"/>
        <v>0</v>
      </c>
      <c r="AV177" s="25">
        <f t="shared" ca="1" si="193"/>
        <v>0</v>
      </c>
      <c r="AW177" s="23">
        <f t="array" aca="1" ref="AW177" ca="1">SUM(IF(rcs_start_date&lt;=AO177,1,0)*IF(rcs_end_date&gt;=AO177,1,0)*rcs_amount*(1+rcs_escalation/100)^(INT((AP177-rcs_months_since_start)/12))*IF(MOD((AP177-rcs_months_since_start),rcs_frequency)=0,1,0)*IF(rcs_frequency=13,0,1))+SUM(IF(rcs_start_date=AO177,rcs_amount,0)*IF(rcs_frequency=13,1,0))</f>
        <v>0</v>
      </c>
      <c r="AX177" s="24">
        <f t="shared" ca="1" si="194"/>
        <v>0</v>
      </c>
      <c r="AY177" s="24">
        <f t="shared" ca="1" si="195"/>
        <v>0</v>
      </c>
      <c r="AZ177" s="24">
        <f t="shared" ca="1" si="196"/>
        <v>0</v>
      </c>
      <c r="BA177" s="25">
        <f t="shared" ca="1" si="197"/>
        <v>0</v>
      </c>
      <c r="BB177" s="23">
        <f t="array" aca="1" ref="BB177" ca="1">SUM(IF(w_start_date&lt;=AO177,1,0)*IF(w_end_date&gt;=AO177,1,0)*w_amount*(1+w_escalation/100)^(INT((AP177-w_months_since_start)/12))*IF(MOD(AP177-w_months_since_start,w_frequency)=0,1,0)*IF(w_frequency=13,0,1))+SUM(IF(w_start_date=AO177,w_amount,0)*IF(w_frequency=13,1,0))</f>
        <v>0</v>
      </c>
      <c r="BC177" s="25">
        <f t="shared" ca="1" si="198"/>
        <v>0</v>
      </c>
      <c r="BD177" s="24" t="b">
        <f t="shared" ca="1" si="199"/>
        <v>1</v>
      </c>
      <c r="BE177" s="24" t="b">
        <f t="shared" ca="1" si="200"/>
        <v>1</v>
      </c>
      <c r="BF177" s="23">
        <f t="array" aca="1" ref="BF177" ca="1">SUM(IF(BD177,1,0)*IF(ap_start_date&lt;=AO177,1,0)*IF(ap_end_date&gt;=AO177,1,0)*ap_amount*(1+ap_escalation/100)^(INT((AP177-ap_months_since_start)/12))*IF(MOD(AP177-ap_months_since_start,ap_frequency)=0,1,0))</f>
        <v>39370.240000000005</v>
      </c>
      <c r="BG177" s="24">
        <f t="shared" ca="1" si="201"/>
        <v>472442.87999999995</v>
      </c>
      <c r="BH177" s="24">
        <f t="shared" ca="1" si="202"/>
        <v>52334.291158870401</v>
      </c>
      <c r="BI177">
        <f t="shared" ca="1" si="203"/>
        <v>0</v>
      </c>
      <c r="BJ177" s="24">
        <f t="shared" ca="1" si="204"/>
        <v>366340.03811209276</v>
      </c>
      <c r="BK177">
        <f t="shared" ca="1" si="205"/>
        <v>1</v>
      </c>
      <c r="BL177" s="25">
        <f t="shared" ca="1" si="206"/>
        <v>30528.336509341072</v>
      </c>
      <c r="BM177" s="32">
        <f t="shared" ca="1" si="185"/>
        <v>2046049.9429394514</v>
      </c>
      <c r="BN177" s="23">
        <f t="shared" ca="1" si="207"/>
        <v>0</v>
      </c>
      <c r="BO177" s="24">
        <f t="shared" ca="1" si="208"/>
        <v>0</v>
      </c>
      <c r="BP177" s="25">
        <f t="shared" ca="1" si="209"/>
        <v>0</v>
      </c>
      <c r="BQ177" s="34">
        <f t="shared" ca="1" si="210"/>
        <v>50801</v>
      </c>
      <c r="BR177" s="23">
        <f t="shared" ca="1" si="211"/>
        <v>2046049.9429394514</v>
      </c>
      <c r="BS177" s="24">
        <f t="shared" ca="1" si="212"/>
        <v>0</v>
      </c>
      <c r="BT177" s="24">
        <f t="shared" ca="1" si="221"/>
        <v>0</v>
      </c>
      <c r="BU177" s="24">
        <f t="shared" ca="1" si="213"/>
        <v>0</v>
      </c>
      <c r="BV177" s="24">
        <f t="shared" ca="1" si="222"/>
        <v>0</v>
      </c>
      <c r="BW177" s="24">
        <f t="shared" ca="1" si="214"/>
        <v>-30528.336509341072</v>
      </c>
      <c r="BX177" s="25">
        <f t="shared" ca="1" si="223"/>
        <v>-394652.25975408708</v>
      </c>
      <c r="BY177" s="23">
        <f t="shared" ca="1" si="186"/>
        <v>1173844.5564821926</v>
      </c>
      <c r="BZ177" s="24">
        <f t="shared" ca="1" si="187"/>
        <v>0</v>
      </c>
      <c r="CA177" s="24">
        <f t="shared" ca="1" si="224"/>
        <v>0</v>
      </c>
      <c r="CB177" s="24">
        <f t="shared" ca="1" si="188"/>
        <v>0</v>
      </c>
      <c r="CC177" s="24">
        <f t="shared" ca="1" si="225"/>
        <v>0</v>
      </c>
      <c r="CD177" s="24">
        <f t="shared" ca="1" si="189"/>
        <v>-17571.828061572567</v>
      </c>
      <c r="CE177" s="25">
        <f t="shared" ca="1" si="226"/>
        <v>-231374.34606027175</v>
      </c>
      <c r="CF177" s="23">
        <f t="shared" ca="1" si="227"/>
        <v>458814.72000000003</v>
      </c>
      <c r="CG177" s="25">
        <f t="array" aca="1" ref="CG177" ca="1">SUM(BF166:BF177/(1+inflation/100)^(AP166:AP177/12))</f>
        <v>267980.53702225379</v>
      </c>
      <c r="CH177" s="32">
        <f ca="1">IFERROR(IF(MOD(AP177-ap_months_since_start,12)=0,ap_drawdown/100*(AQ177+AV177+BA177-BC177),CH176),0)</f>
        <v>321738.91660755768</v>
      </c>
      <c r="EL177" s="21">
        <f t="shared" ca="1" si="229"/>
        <v>7</v>
      </c>
      <c r="EM177" t="str">
        <f t="shared" ref="EM177:EO177" ca="1" si="253">DR28</f>
        <v/>
      </c>
      <c r="EN177" t="str">
        <f t="shared" ca="1" si="253"/>
        <v/>
      </c>
      <c r="EO177" t="str">
        <f t="shared" ca="1" si="253"/>
        <v/>
      </c>
      <c r="EP177" t="str">
        <f t="shared" ca="1" si="231"/>
        <v/>
      </c>
      <c r="EQ177" t="str">
        <f t="shared" ca="1" si="232"/>
        <v/>
      </c>
      <c r="ER177" t="str">
        <f t="shared" ca="1" si="233"/>
        <v/>
      </c>
      <c r="ES177" t="str">
        <f t="shared" si="234"/>
        <v/>
      </c>
      <c r="ET177" t="str">
        <f t="shared" ca="1" si="235"/>
        <v/>
      </c>
      <c r="EU177" s="22">
        <v>168</v>
      </c>
      <c r="EX177" s="21" t="str">
        <f ca="1">IF(EX176="","",IF(EX176+1&lt;=MAX('Financial Planning Tool'!$EL$10:$EL$209),EX176+1,""))</f>
        <v/>
      </c>
      <c r="EY177" t="str">
        <f ca="1">IF(EX177&lt;&gt;"",VLOOKUP(EX177,'Financial Planning Tool'!$EL$10:$ER$209,2,FALSE),"")</f>
        <v/>
      </c>
      <c r="EZ177" t="str">
        <f ca="1">IF(EX177&lt;&gt;"",VLOOKUP(EX177,'Financial Planning Tool'!$EL$10:$ER$209,3,FALSE),"")</f>
        <v/>
      </c>
      <c r="FA177" t="str">
        <f ca="1">IF(EX177&lt;&gt;"",VLOOKUP(EX177,'Financial Planning Tool'!$EL$10:$ER$209,4,FALSE),"")</f>
        <v/>
      </c>
      <c r="FB177" t="str">
        <f t="shared" ca="1" si="220"/>
        <v/>
      </c>
      <c r="FC177" t="str">
        <f ca="1">IF(EX177&lt;&gt;"",VLOOKUP(EX177,'Financial Planning Tool'!$EL$10:$ER$209,5,FALSE),"")</f>
        <v/>
      </c>
      <c r="FD177" t="str">
        <f ca="1">IF(EX177&lt;&gt;"",VLOOKUP(EX177,'Financial Planning Tool'!$EL$10:$ER$209,6,FALSE),"")</f>
        <v/>
      </c>
      <c r="FE177" t="str">
        <f ca="1">IF(EX177&lt;&gt;"",VLOOKUP(EX177,'Financial Planning Tool'!$EL$10:$ER$209,7,FALSE),"")</f>
        <v/>
      </c>
      <c r="FF177" t="str">
        <f ca="1">IF(EX177&lt;&gt;"",VLOOKUP(EX177,'Financial Planning Tool'!$EL$10:$ES$209,8,FALSE),"")</f>
        <v/>
      </c>
      <c r="FG177" t="str">
        <f ca="1">IF(EX177&lt;&gt;"",VLOOKUP(EX177,'Financial Planning Tool'!$EL$10:$ET$209,9,FALSE),"")</f>
        <v/>
      </c>
      <c r="FH177" t="str">
        <f t="shared" ca="1" si="246"/>
        <v/>
      </c>
      <c r="FI177" s="22" t="str">
        <f t="shared" ca="1" si="247"/>
        <v/>
      </c>
    </row>
    <row r="178" spans="8:165" x14ac:dyDescent="0.25">
      <c r="AN178" s="32">
        <f t="shared" ca="1" si="184"/>
        <v>69.083333333333329</v>
      </c>
      <c r="AO178" s="53">
        <f t="shared" ca="1" si="215"/>
        <v>50802</v>
      </c>
      <c r="AP178" s="22">
        <v>171</v>
      </c>
      <c r="AQ178" s="32">
        <f t="shared" ca="1" si="216"/>
        <v>2046049.9429394514</v>
      </c>
      <c r="AR178" s="23">
        <f t="array" aca="1" ref="AR178" ca="1">SUM(IF(lsc_start_date=AO178,lsc_amount,0))</f>
        <v>0</v>
      </c>
      <c r="AS178" s="24">
        <f t="shared" ca="1" si="190"/>
        <v>0</v>
      </c>
      <c r="AT178" s="24">
        <f t="shared" ca="1" si="191"/>
        <v>0</v>
      </c>
      <c r="AU178" s="24">
        <f t="shared" ca="1" si="192"/>
        <v>0</v>
      </c>
      <c r="AV178" s="25">
        <f t="shared" ca="1" si="193"/>
        <v>0</v>
      </c>
      <c r="AW178" s="23">
        <f t="array" aca="1" ref="AW178" ca="1">SUM(IF(rcs_start_date&lt;=AO178,1,0)*IF(rcs_end_date&gt;=AO178,1,0)*rcs_amount*(1+rcs_escalation/100)^(INT((AP178-rcs_months_since_start)/12))*IF(MOD((AP178-rcs_months_since_start),rcs_frequency)=0,1,0)*IF(rcs_frequency=13,0,1))+SUM(IF(rcs_start_date=AO178,rcs_amount,0)*IF(rcs_frequency=13,1,0))</f>
        <v>0</v>
      </c>
      <c r="AX178" s="24">
        <f t="shared" ca="1" si="194"/>
        <v>0</v>
      </c>
      <c r="AY178" s="24">
        <f t="shared" ca="1" si="195"/>
        <v>0</v>
      </c>
      <c r="AZ178" s="24">
        <f t="shared" ca="1" si="196"/>
        <v>0</v>
      </c>
      <c r="BA178" s="25">
        <f t="shared" ca="1" si="197"/>
        <v>0</v>
      </c>
      <c r="BB178" s="23">
        <f t="array" aca="1" ref="BB178" ca="1">SUM(IF(w_start_date&lt;=AO178,1,0)*IF(w_end_date&gt;=AO178,1,0)*w_amount*(1+w_escalation/100)^(INT((AP178-w_months_since_start)/12))*IF(MOD(AP178-w_months_since_start,w_frequency)=0,1,0)*IF(w_frequency=13,0,1))+SUM(IF(w_start_date=AO178,w_amount,0)*IF(w_frequency=13,1,0))</f>
        <v>0</v>
      </c>
      <c r="BC178" s="25">
        <f t="shared" ca="1" si="198"/>
        <v>0</v>
      </c>
      <c r="BD178" s="24" t="b">
        <f t="shared" ca="1" si="199"/>
        <v>1</v>
      </c>
      <c r="BE178" s="24" t="b">
        <f t="shared" ca="1" si="200"/>
        <v>1</v>
      </c>
      <c r="BF178" s="23">
        <f t="array" aca="1" ref="BF178" ca="1">SUM(IF(BD178,1,0)*IF(ap_start_date&lt;=AO178,1,0)*IF(ap_end_date&gt;=AO178,1,0)*ap_amount*(1+ap_escalation/100)^(INT((AP178-ap_months_since_start)/12))*IF(MOD(AP178-ap_months_since_start,ap_frequency)=0,1,0))</f>
        <v>39370.240000000005</v>
      </c>
      <c r="BG178" s="24">
        <f t="shared" ca="1" si="201"/>
        <v>472442.87999999995</v>
      </c>
      <c r="BH178" s="24">
        <f t="shared" ca="1" si="202"/>
        <v>52334.291158870401</v>
      </c>
      <c r="BI178">
        <f t="shared" ca="1" si="203"/>
        <v>0</v>
      </c>
      <c r="BJ178" s="24">
        <f t="shared" ca="1" si="204"/>
        <v>366340.03811209276</v>
      </c>
      <c r="BK178">
        <f t="shared" ca="1" si="205"/>
        <v>1</v>
      </c>
      <c r="BL178" s="25">
        <f t="shared" ca="1" si="206"/>
        <v>30528.336509341072</v>
      </c>
      <c r="BM178" s="32">
        <f t="shared" ca="1" si="185"/>
        <v>2030048.1222983114</v>
      </c>
      <c r="BN178" s="23">
        <f t="shared" ca="1" si="207"/>
        <v>0</v>
      </c>
      <c r="BO178" s="24">
        <f t="shared" ca="1" si="208"/>
        <v>0</v>
      </c>
      <c r="BP178" s="25">
        <f t="shared" ca="1" si="209"/>
        <v>0</v>
      </c>
      <c r="BQ178" s="34">
        <f t="shared" ca="1" si="210"/>
        <v>50829</v>
      </c>
      <c r="BR178" s="23">
        <f t="shared" ca="1" si="211"/>
        <v>2030048.1222983114</v>
      </c>
      <c r="BS178" s="24">
        <f t="shared" ca="1" si="212"/>
        <v>0</v>
      </c>
      <c r="BT178" s="24">
        <f t="shared" ca="1" si="221"/>
        <v>0</v>
      </c>
      <c r="BU178" s="24">
        <f t="shared" ca="1" si="213"/>
        <v>0</v>
      </c>
      <c r="BV178" s="24">
        <f t="shared" ca="1" si="222"/>
        <v>0</v>
      </c>
      <c r="BW178" s="24">
        <f t="shared" ca="1" si="214"/>
        <v>-30528.336509341072</v>
      </c>
      <c r="BX178" s="25">
        <f t="shared" ca="1" si="223"/>
        <v>-391506.45734942105</v>
      </c>
      <c r="BY178" s="23">
        <f t="shared" ca="1" si="186"/>
        <v>1160863.7451277664</v>
      </c>
      <c r="BZ178" s="24">
        <f t="shared" ca="1" si="187"/>
        <v>0</v>
      </c>
      <c r="CA178" s="24">
        <f t="shared" ca="1" si="224"/>
        <v>0</v>
      </c>
      <c r="CB178" s="24">
        <f t="shared" ca="1" si="188"/>
        <v>0</v>
      </c>
      <c r="CC178" s="24">
        <f t="shared" ca="1" si="225"/>
        <v>0</v>
      </c>
      <c r="CD178" s="24">
        <f t="shared" ca="1" si="189"/>
        <v>-17514.490178310898</v>
      </c>
      <c r="CE178" s="25">
        <f t="shared" ca="1" si="226"/>
        <v>-228796.78863894776</v>
      </c>
      <c r="CF178" s="23">
        <f t="shared" ca="1" si="227"/>
        <v>460328.96000000002</v>
      </c>
      <c r="CG178" s="25">
        <f t="array" aca="1" ref="CG178" ca="1">SUM(BF167:BF178/(1+inflation/100)^(AP167:AP178/12))</f>
        <v>267980.53702225379</v>
      </c>
      <c r="CH178" s="32">
        <f ca="1">IFERROR(IF(MOD(AP178-ap_months_since_start,12)=0,ap_drawdown/100*(AQ178+AV178+BA178-BC178),CH177),0)</f>
        <v>321738.91660755768</v>
      </c>
      <c r="EL178" s="21">
        <f t="shared" ca="1" si="229"/>
        <v>7</v>
      </c>
      <c r="EM178" t="str">
        <f t="shared" ref="EM178:EO178" ca="1" si="254">DR29</f>
        <v/>
      </c>
      <c r="EN178" t="str">
        <f t="shared" ca="1" si="254"/>
        <v/>
      </c>
      <c r="EO178" t="str">
        <f t="shared" ca="1" si="254"/>
        <v/>
      </c>
      <c r="EP178" t="str">
        <f t="shared" ca="1" si="231"/>
        <v/>
      </c>
      <c r="EQ178" t="str">
        <f t="shared" ca="1" si="232"/>
        <v/>
      </c>
      <c r="ER178" t="str">
        <f t="shared" ca="1" si="233"/>
        <v/>
      </c>
      <c r="ES178" t="str">
        <f t="shared" si="234"/>
        <v/>
      </c>
      <c r="ET178" t="str">
        <f t="shared" ca="1" si="235"/>
        <v/>
      </c>
      <c r="EU178" s="22">
        <v>169</v>
      </c>
      <c r="EX178" s="21" t="str">
        <f ca="1">IF(EX177="","",IF(EX177+1&lt;=MAX('Financial Planning Tool'!$EL$10:$EL$209),EX177+1,""))</f>
        <v/>
      </c>
      <c r="EY178" t="str">
        <f ca="1">IF(EX178&lt;&gt;"",VLOOKUP(EX178,'Financial Planning Tool'!$EL$10:$ER$209,2,FALSE),"")</f>
        <v/>
      </c>
      <c r="EZ178" t="str">
        <f ca="1">IF(EX178&lt;&gt;"",VLOOKUP(EX178,'Financial Planning Tool'!$EL$10:$ER$209,3,FALSE),"")</f>
        <v/>
      </c>
      <c r="FA178" t="str">
        <f ca="1">IF(EX178&lt;&gt;"",VLOOKUP(EX178,'Financial Planning Tool'!$EL$10:$ER$209,4,FALSE),"")</f>
        <v/>
      </c>
      <c r="FB178" t="str">
        <f t="shared" ca="1" si="220"/>
        <v/>
      </c>
      <c r="FC178" t="str">
        <f ca="1">IF(EX178&lt;&gt;"",VLOOKUP(EX178,'Financial Planning Tool'!$EL$10:$ER$209,5,FALSE),"")</f>
        <v/>
      </c>
      <c r="FD178" t="str">
        <f ca="1">IF(EX178&lt;&gt;"",VLOOKUP(EX178,'Financial Planning Tool'!$EL$10:$ER$209,6,FALSE),"")</f>
        <v/>
      </c>
      <c r="FE178" t="str">
        <f ca="1">IF(EX178&lt;&gt;"",VLOOKUP(EX178,'Financial Planning Tool'!$EL$10:$ER$209,7,FALSE),"")</f>
        <v/>
      </c>
      <c r="FF178" t="str">
        <f ca="1">IF(EX178&lt;&gt;"",VLOOKUP(EX178,'Financial Planning Tool'!$EL$10:$ES$209,8,FALSE),"")</f>
        <v/>
      </c>
      <c r="FG178" t="str">
        <f ca="1">IF(EX178&lt;&gt;"",VLOOKUP(EX178,'Financial Planning Tool'!$EL$10:$ET$209,9,FALSE),"")</f>
        <v/>
      </c>
      <c r="FH178" t="str">
        <f t="shared" ca="1" si="246"/>
        <v/>
      </c>
      <c r="FI178" s="22" t="str">
        <f t="shared" ca="1" si="247"/>
        <v/>
      </c>
    </row>
    <row r="179" spans="8:165" x14ac:dyDescent="0.25">
      <c r="AN179" s="32">
        <f t="shared" ca="1" si="184"/>
        <v>69.166666666666671</v>
      </c>
      <c r="AO179" s="53">
        <f t="shared" ca="1" si="215"/>
        <v>50830</v>
      </c>
      <c r="AP179" s="22">
        <v>172</v>
      </c>
      <c r="AQ179" s="32">
        <f t="shared" ca="1" si="216"/>
        <v>2030048.1222983114</v>
      </c>
      <c r="AR179" s="23">
        <f t="array" aca="1" ref="AR179" ca="1">SUM(IF(lsc_start_date=AO179,lsc_amount,0))</f>
        <v>0</v>
      </c>
      <c r="AS179" s="24">
        <f t="shared" ca="1" si="190"/>
        <v>0</v>
      </c>
      <c r="AT179" s="24">
        <f t="shared" ca="1" si="191"/>
        <v>0</v>
      </c>
      <c r="AU179" s="24">
        <f t="shared" ca="1" si="192"/>
        <v>0</v>
      </c>
      <c r="AV179" s="25">
        <f t="shared" ca="1" si="193"/>
        <v>0</v>
      </c>
      <c r="AW179" s="23">
        <f t="array" aca="1" ref="AW179" ca="1">SUM(IF(rcs_start_date&lt;=AO179,1,0)*IF(rcs_end_date&gt;=AO179,1,0)*rcs_amount*(1+rcs_escalation/100)^(INT((AP179-rcs_months_since_start)/12))*IF(MOD((AP179-rcs_months_since_start),rcs_frequency)=0,1,0)*IF(rcs_frequency=13,0,1))+SUM(IF(rcs_start_date=AO179,rcs_amount,0)*IF(rcs_frequency=13,1,0))</f>
        <v>0</v>
      </c>
      <c r="AX179" s="24">
        <f t="shared" ca="1" si="194"/>
        <v>0</v>
      </c>
      <c r="AY179" s="24">
        <f t="shared" ca="1" si="195"/>
        <v>0</v>
      </c>
      <c r="AZ179" s="24">
        <f t="shared" ca="1" si="196"/>
        <v>0</v>
      </c>
      <c r="BA179" s="25">
        <f t="shared" ca="1" si="197"/>
        <v>0</v>
      </c>
      <c r="BB179" s="23">
        <f t="array" aca="1" ref="BB179" ca="1">SUM(IF(w_start_date&lt;=AO179,1,0)*IF(w_end_date&gt;=AO179,1,0)*w_amount*(1+w_escalation/100)^(INT((AP179-w_months_since_start)/12))*IF(MOD(AP179-w_months_since_start,w_frequency)=0,1,0)*IF(w_frequency=13,0,1))+SUM(IF(w_start_date=AO179,w_amount,0)*IF(w_frequency=13,1,0))</f>
        <v>0</v>
      </c>
      <c r="BC179" s="25">
        <f t="shared" ca="1" si="198"/>
        <v>0</v>
      </c>
      <c r="BD179" s="24" t="b">
        <f t="shared" ca="1" si="199"/>
        <v>1</v>
      </c>
      <c r="BE179" s="24" t="b">
        <f t="shared" ca="1" si="200"/>
        <v>1</v>
      </c>
      <c r="BF179" s="23">
        <f t="array" aca="1" ref="BF179" ca="1">SUM(IF(BD179,1,0)*IF(ap_start_date&lt;=AO179,1,0)*IF(ap_end_date&gt;=AO179,1,0)*ap_amount*(1+ap_escalation/100)^(INT((AP179-ap_months_since_start)/12))*IF(MOD(AP179-ap_months_since_start,ap_frequency)=0,1,0))</f>
        <v>39370.240000000005</v>
      </c>
      <c r="BG179" s="24">
        <f t="shared" ca="1" si="201"/>
        <v>472442.87999999995</v>
      </c>
      <c r="BH179" s="24">
        <f t="shared" ca="1" si="202"/>
        <v>52334.291158870401</v>
      </c>
      <c r="BI179">
        <f t="shared" ca="1" si="203"/>
        <v>0</v>
      </c>
      <c r="BJ179" s="24">
        <f t="shared" ca="1" si="204"/>
        <v>366340.03811209276</v>
      </c>
      <c r="BK179">
        <f t="shared" ca="1" si="205"/>
        <v>1</v>
      </c>
      <c r="BL179" s="25">
        <f t="shared" ca="1" si="206"/>
        <v>30528.336509341072</v>
      </c>
      <c r="BM179" s="32">
        <f t="shared" ca="1" si="185"/>
        <v>2013930.9713621638</v>
      </c>
      <c r="BN179" s="23">
        <f t="shared" ca="1" si="207"/>
        <v>0</v>
      </c>
      <c r="BO179" s="24">
        <f t="shared" ca="1" si="208"/>
        <v>0</v>
      </c>
      <c r="BP179" s="25">
        <f t="shared" ca="1" si="209"/>
        <v>0</v>
      </c>
      <c r="BQ179" s="34">
        <f t="shared" ca="1" si="210"/>
        <v>50860</v>
      </c>
      <c r="BR179" s="23">
        <f t="shared" ca="1" si="211"/>
        <v>2013930.9713621638</v>
      </c>
      <c r="BS179" s="24">
        <f t="shared" ca="1" si="212"/>
        <v>0</v>
      </c>
      <c r="BT179" s="24">
        <f t="shared" ca="1" si="221"/>
        <v>0</v>
      </c>
      <c r="BU179" s="24">
        <f t="shared" ca="1" si="213"/>
        <v>0</v>
      </c>
      <c r="BV179" s="24">
        <f t="shared" ca="1" si="222"/>
        <v>0</v>
      </c>
      <c r="BW179" s="24">
        <f t="shared" ca="1" si="214"/>
        <v>-30528.336509341072</v>
      </c>
      <c r="BX179" s="25">
        <f t="shared" ca="1" si="223"/>
        <v>-388360.65494475502</v>
      </c>
      <c r="BY179" s="23">
        <f t="shared" ca="1" si="186"/>
        <v>1147889.414143149</v>
      </c>
      <c r="BZ179" s="24">
        <f t="shared" ca="1" si="187"/>
        <v>0</v>
      </c>
      <c r="CA179" s="24">
        <f t="shared" ca="1" si="224"/>
        <v>0</v>
      </c>
      <c r="CB179" s="24">
        <f t="shared" ca="1" si="188"/>
        <v>0</v>
      </c>
      <c r="CC179" s="24">
        <f t="shared" ca="1" si="225"/>
        <v>0</v>
      </c>
      <c r="CD179" s="24">
        <f t="shared" ca="1" si="189"/>
        <v>-17457.339391852442</v>
      </c>
      <c r="CE179" s="25">
        <f t="shared" ca="1" si="226"/>
        <v>-226227.64193539351</v>
      </c>
      <c r="CF179" s="23">
        <f t="shared" ca="1" si="227"/>
        <v>461843.20000000001</v>
      </c>
      <c r="CG179" s="25">
        <f t="array" aca="1" ref="CG179" ca="1">SUM(BF168:BF179/(1+inflation/100)^(AP168:AP179/12))</f>
        <v>267980.53702225373</v>
      </c>
      <c r="CH179" s="32">
        <f ca="1">IFERROR(IF(MOD(AP179-ap_months_since_start,12)=0,ap_drawdown/100*(AQ179+AV179+BA179-BC179),CH178),0)</f>
        <v>321738.91660755768</v>
      </c>
      <c r="EL179" s="21">
        <f t="shared" ca="1" si="229"/>
        <v>7</v>
      </c>
      <c r="EM179" t="str">
        <f t="shared" ref="EM179:EO179" ca="1" si="255">DR30</f>
        <v/>
      </c>
      <c r="EN179" t="str">
        <f t="shared" ca="1" si="255"/>
        <v/>
      </c>
      <c r="EO179" t="str">
        <f t="shared" ca="1" si="255"/>
        <v/>
      </c>
      <c r="EP179" t="str">
        <f t="shared" ca="1" si="231"/>
        <v/>
      </c>
      <c r="EQ179" t="str">
        <f t="shared" ca="1" si="232"/>
        <v/>
      </c>
      <c r="ER179" t="str">
        <f t="shared" ca="1" si="233"/>
        <v/>
      </c>
      <c r="ES179" t="str">
        <f t="shared" si="234"/>
        <v/>
      </c>
      <c r="ET179" t="str">
        <f t="shared" ca="1" si="235"/>
        <v/>
      </c>
      <c r="EU179" s="22">
        <v>170</v>
      </c>
      <c r="EX179" s="21" t="str">
        <f ca="1">IF(EX178="","",IF(EX178+1&lt;=MAX('Financial Planning Tool'!$EL$10:$EL$209),EX178+1,""))</f>
        <v/>
      </c>
      <c r="EY179" t="str">
        <f ca="1">IF(EX179&lt;&gt;"",VLOOKUP(EX179,'Financial Planning Tool'!$EL$10:$ER$209,2,FALSE),"")</f>
        <v/>
      </c>
      <c r="EZ179" t="str">
        <f ca="1">IF(EX179&lt;&gt;"",VLOOKUP(EX179,'Financial Planning Tool'!$EL$10:$ER$209,3,FALSE),"")</f>
        <v/>
      </c>
      <c r="FA179" t="str">
        <f ca="1">IF(EX179&lt;&gt;"",VLOOKUP(EX179,'Financial Planning Tool'!$EL$10:$ER$209,4,FALSE),"")</f>
        <v/>
      </c>
      <c r="FB179" t="str">
        <f t="shared" ca="1" si="220"/>
        <v/>
      </c>
      <c r="FC179" t="str">
        <f ca="1">IF(EX179&lt;&gt;"",VLOOKUP(EX179,'Financial Planning Tool'!$EL$10:$ER$209,5,FALSE),"")</f>
        <v/>
      </c>
      <c r="FD179" t="str">
        <f ca="1">IF(EX179&lt;&gt;"",VLOOKUP(EX179,'Financial Planning Tool'!$EL$10:$ER$209,6,FALSE),"")</f>
        <v/>
      </c>
      <c r="FE179" t="str">
        <f ca="1">IF(EX179&lt;&gt;"",VLOOKUP(EX179,'Financial Planning Tool'!$EL$10:$ER$209,7,FALSE),"")</f>
        <v/>
      </c>
      <c r="FF179" t="str">
        <f ca="1">IF(EX179&lt;&gt;"",VLOOKUP(EX179,'Financial Planning Tool'!$EL$10:$ES$209,8,FALSE),"")</f>
        <v/>
      </c>
      <c r="FG179" t="str">
        <f ca="1">IF(EX179&lt;&gt;"",VLOOKUP(EX179,'Financial Planning Tool'!$EL$10:$ET$209,9,FALSE),"")</f>
        <v/>
      </c>
      <c r="FH179" t="str">
        <f t="shared" ca="1" si="246"/>
        <v/>
      </c>
      <c r="FI179" s="22" t="str">
        <f t="shared" ca="1" si="247"/>
        <v/>
      </c>
    </row>
    <row r="180" spans="8:165" x14ac:dyDescent="0.25">
      <c r="AN180" s="32">
        <f t="shared" ca="1" si="184"/>
        <v>69.25</v>
      </c>
      <c r="AO180" s="53">
        <f t="shared" ca="1" si="215"/>
        <v>50861</v>
      </c>
      <c r="AP180" s="22">
        <v>173</v>
      </c>
      <c r="AQ180" s="32">
        <f t="shared" ca="1" si="216"/>
        <v>2013930.9713621638</v>
      </c>
      <c r="AR180" s="23">
        <f t="array" aca="1" ref="AR180" ca="1">SUM(IF(lsc_start_date=AO180,lsc_amount,0))</f>
        <v>0</v>
      </c>
      <c r="AS180" s="24">
        <f t="shared" ca="1" si="190"/>
        <v>0</v>
      </c>
      <c r="AT180" s="24">
        <f t="shared" ca="1" si="191"/>
        <v>0</v>
      </c>
      <c r="AU180" s="24">
        <f t="shared" ca="1" si="192"/>
        <v>0</v>
      </c>
      <c r="AV180" s="25">
        <f t="shared" ca="1" si="193"/>
        <v>0</v>
      </c>
      <c r="AW180" s="23">
        <f t="array" aca="1" ref="AW180" ca="1">SUM(IF(rcs_start_date&lt;=AO180,1,0)*IF(rcs_end_date&gt;=AO180,1,0)*rcs_amount*(1+rcs_escalation/100)^(INT((AP180-rcs_months_since_start)/12))*IF(MOD((AP180-rcs_months_since_start),rcs_frequency)=0,1,0)*IF(rcs_frequency=13,0,1))+SUM(IF(rcs_start_date=AO180,rcs_amount,0)*IF(rcs_frequency=13,1,0))</f>
        <v>0</v>
      </c>
      <c r="AX180" s="24">
        <f t="shared" ca="1" si="194"/>
        <v>0</v>
      </c>
      <c r="AY180" s="24">
        <f t="shared" ca="1" si="195"/>
        <v>0</v>
      </c>
      <c r="AZ180" s="24">
        <f t="shared" ca="1" si="196"/>
        <v>0</v>
      </c>
      <c r="BA180" s="25">
        <f t="shared" ca="1" si="197"/>
        <v>0</v>
      </c>
      <c r="BB180" s="23">
        <f t="array" aca="1" ref="BB180" ca="1">SUM(IF(w_start_date&lt;=AO180,1,0)*IF(w_end_date&gt;=AO180,1,0)*w_amount*(1+w_escalation/100)^(INT((AP180-w_months_since_start)/12))*IF(MOD(AP180-w_months_since_start,w_frequency)=0,1,0)*IF(w_frequency=13,0,1))+SUM(IF(w_start_date=AO180,w_amount,0)*IF(w_frequency=13,1,0))</f>
        <v>0</v>
      </c>
      <c r="BC180" s="25">
        <f t="shared" ca="1" si="198"/>
        <v>0</v>
      </c>
      <c r="BD180" s="24" t="b">
        <f t="shared" ca="1" si="199"/>
        <v>1</v>
      </c>
      <c r="BE180" s="24" t="b">
        <f t="shared" ca="1" si="200"/>
        <v>1</v>
      </c>
      <c r="BF180" s="23">
        <f t="array" aca="1" ref="BF180" ca="1">SUM(IF(BD180,1,0)*IF(ap_start_date&lt;=AO180,1,0)*IF(ap_end_date&gt;=AO180,1,0)*ap_amount*(1+ap_escalation/100)^(INT((AP180-ap_months_since_start)/12))*IF(MOD(AP180-ap_months_since_start,ap_frequency)=0,1,0))</f>
        <v>39370.240000000005</v>
      </c>
      <c r="BG180" s="24">
        <f t="shared" ca="1" si="201"/>
        <v>472442.87999999995</v>
      </c>
      <c r="BH180" s="24">
        <f t="shared" ca="1" si="202"/>
        <v>52334.291158870401</v>
      </c>
      <c r="BI180">
        <f t="shared" ca="1" si="203"/>
        <v>0</v>
      </c>
      <c r="BJ180" s="24">
        <f t="shared" ca="1" si="204"/>
        <v>366340.03811209276</v>
      </c>
      <c r="BK180">
        <f t="shared" ca="1" si="205"/>
        <v>1</v>
      </c>
      <c r="BL180" s="25">
        <f t="shared" ca="1" si="206"/>
        <v>30528.336509341072</v>
      </c>
      <c r="BM180" s="32">
        <f t="shared" ca="1" si="185"/>
        <v>1997697.6589082843</v>
      </c>
      <c r="BN180" s="23">
        <f t="shared" ca="1" si="207"/>
        <v>0</v>
      </c>
      <c r="BO180" s="24">
        <f t="shared" ca="1" si="208"/>
        <v>0</v>
      </c>
      <c r="BP180" s="25">
        <f t="shared" ca="1" si="209"/>
        <v>0</v>
      </c>
      <c r="BQ180" s="34">
        <f t="shared" ca="1" si="210"/>
        <v>50890</v>
      </c>
      <c r="BR180" s="23">
        <f t="shared" ca="1" si="211"/>
        <v>1997697.6589082843</v>
      </c>
      <c r="BS180" s="24">
        <f t="shared" ca="1" si="212"/>
        <v>0</v>
      </c>
      <c r="BT180" s="24">
        <f t="shared" ca="1" si="221"/>
        <v>0</v>
      </c>
      <c r="BU180" s="24">
        <f t="shared" ca="1" si="213"/>
        <v>0</v>
      </c>
      <c r="BV180" s="24">
        <f t="shared" ca="1" si="222"/>
        <v>0</v>
      </c>
      <c r="BW180" s="24">
        <f t="shared" ca="1" si="214"/>
        <v>-30528.336509341072</v>
      </c>
      <c r="BX180" s="25">
        <f t="shared" ca="1" si="223"/>
        <v>-385214.85254008899</v>
      </c>
      <c r="BY180" s="23">
        <f t="shared" ca="1" si="186"/>
        <v>1134921.4017187764</v>
      </c>
      <c r="BZ180" s="24">
        <f t="shared" ca="1" si="187"/>
        <v>0</v>
      </c>
      <c r="CA180" s="24">
        <f t="shared" ca="1" si="224"/>
        <v>0</v>
      </c>
      <c r="CB180" s="24">
        <f t="shared" ca="1" si="188"/>
        <v>0</v>
      </c>
      <c r="CC180" s="24">
        <f t="shared" ca="1" si="225"/>
        <v>0</v>
      </c>
      <c r="CD180" s="24">
        <f t="shared" ca="1" si="189"/>
        <v>-17400.375091689595</v>
      </c>
      <c r="CE180" s="25">
        <f t="shared" ca="1" si="226"/>
        <v>-223666.87850495428</v>
      </c>
      <c r="CF180" s="23">
        <f t="shared" ca="1" si="227"/>
        <v>463357.44</v>
      </c>
      <c r="CG180" s="25">
        <f t="array" aca="1" ref="CG180" ca="1">SUM(BF169:BF180/(1+inflation/100)^(AP169:AP180/12))</f>
        <v>267980.53702225373</v>
      </c>
      <c r="CH180" s="32">
        <f ca="1">IFERROR(IF(MOD(AP180-ap_months_since_start,12)=0,ap_drawdown/100*(AQ180+AV180+BA180-BC180),CH179),0)</f>
        <v>321738.91660755768</v>
      </c>
      <c r="EL180" s="21">
        <f t="shared" ca="1" si="229"/>
        <v>7</v>
      </c>
      <c r="EM180" t="str">
        <f t="shared" ref="EM180:EO180" ca="1" si="256">DR31</f>
        <v/>
      </c>
      <c r="EN180" t="str">
        <f t="shared" ca="1" si="256"/>
        <v/>
      </c>
      <c r="EO180" t="str">
        <f t="shared" ca="1" si="256"/>
        <v/>
      </c>
      <c r="EP180" t="str">
        <f t="shared" ca="1" si="231"/>
        <v/>
      </c>
      <c r="EQ180" t="str">
        <f t="shared" ca="1" si="232"/>
        <v/>
      </c>
      <c r="ER180" t="str">
        <f t="shared" ca="1" si="233"/>
        <v/>
      </c>
      <c r="ES180" t="str">
        <f t="shared" si="234"/>
        <v/>
      </c>
      <c r="ET180" t="str">
        <f t="shared" ca="1" si="235"/>
        <v/>
      </c>
      <c r="EU180" s="22">
        <v>171</v>
      </c>
      <c r="EX180" s="21" t="str">
        <f ca="1">IF(EX179="","",IF(EX179+1&lt;=MAX('Financial Planning Tool'!$EL$10:$EL$209),EX179+1,""))</f>
        <v/>
      </c>
      <c r="EY180" t="str">
        <f ca="1">IF(EX180&lt;&gt;"",VLOOKUP(EX180,'Financial Planning Tool'!$EL$10:$ER$209,2,FALSE),"")</f>
        <v/>
      </c>
      <c r="EZ180" t="str">
        <f ca="1">IF(EX180&lt;&gt;"",VLOOKUP(EX180,'Financial Planning Tool'!$EL$10:$ER$209,3,FALSE),"")</f>
        <v/>
      </c>
      <c r="FA180" t="str">
        <f ca="1">IF(EX180&lt;&gt;"",VLOOKUP(EX180,'Financial Planning Tool'!$EL$10:$ER$209,4,FALSE),"")</f>
        <v/>
      </c>
      <c r="FB180" t="str">
        <f t="shared" ca="1" si="220"/>
        <v/>
      </c>
      <c r="FC180" t="str">
        <f ca="1">IF(EX180&lt;&gt;"",VLOOKUP(EX180,'Financial Planning Tool'!$EL$10:$ER$209,5,FALSE),"")</f>
        <v/>
      </c>
      <c r="FD180" t="str">
        <f ca="1">IF(EX180&lt;&gt;"",VLOOKUP(EX180,'Financial Planning Tool'!$EL$10:$ER$209,6,FALSE),"")</f>
        <v/>
      </c>
      <c r="FE180" t="str">
        <f ca="1">IF(EX180&lt;&gt;"",VLOOKUP(EX180,'Financial Planning Tool'!$EL$10:$ER$209,7,FALSE),"")</f>
        <v/>
      </c>
      <c r="FF180" t="str">
        <f ca="1">IF(EX180&lt;&gt;"",VLOOKUP(EX180,'Financial Planning Tool'!$EL$10:$ES$209,8,FALSE),"")</f>
        <v/>
      </c>
      <c r="FG180" t="str">
        <f ca="1">IF(EX180&lt;&gt;"",VLOOKUP(EX180,'Financial Planning Tool'!$EL$10:$ET$209,9,FALSE),"")</f>
        <v/>
      </c>
      <c r="FH180" t="str">
        <f t="shared" ca="1" si="246"/>
        <v/>
      </c>
      <c r="FI180" s="22" t="str">
        <f t="shared" ca="1" si="247"/>
        <v/>
      </c>
    </row>
    <row r="181" spans="8:165" x14ac:dyDescent="0.25">
      <c r="AN181" s="32">
        <f t="shared" ca="1" si="184"/>
        <v>69.333333333333329</v>
      </c>
      <c r="AO181" s="53">
        <f t="shared" ca="1" si="215"/>
        <v>50891</v>
      </c>
      <c r="AP181" s="22">
        <v>174</v>
      </c>
      <c r="AQ181" s="32">
        <f t="shared" ca="1" si="216"/>
        <v>1997697.6589082843</v>
      </c>
      <c r="AR181" s="23">
        <f t="array" aca="1" ref="AR181" ca="1">SUM(IF(lsc_start_date=AO181,lsc_amount,0))</f>
        <v>0</v>
      </c>
      <c r="AS181" s="24">
        <f t="shared" ca="1" si="190"/>
        <v>0</v>
      </c>
      <c r="AT181" s="24">
        <f t="shared" ca="1" si="191"/>
        <v>0</v>
      </c>
      <c r="AU181" s="24">
        <f t="shared" ca="1" si="192"/>
        <v>0</v>
      </c>
      <c r="AV181" s="25">
        <f t="shared" ca="1" si="193"/>
        <v>0</v>
      </c>
      <c r="AW181" s="23">
        <f t="array" aca="1" ref="AW181" ca="1">SUM(IF(rcs_start_date&lt;=AO181,1,0)*IF(rcs_end_date&gt;=AO181,1,0)*rcs_amount*(1+rcs_escalation/100)^(INT((AP181-rcs_months_since_start)/12))*IF(MOD((AP181-rcs_months_since_start),rcs_frequency)=0,1,0)*IF(rcs_frequency=13,0,1))+SUM(IF(rcs_start_date=AO181,rcs_amount,0)*IF(rcs_frequency=13,1,0))</f>
        <v>0</v>
      </c>
      <c r="AX181" s="24">
        <f t="shared" ca="1" si="194"/>
        <v>0</v>
      </c>
      <c r="AY181" s="24">
        <f t="shared" ca="1" si="195"/>
        <v>0</v>
      </c>
      <c r="AZ181" s="24">
        <f t="shared" ca="1" si="196"/>
        <v>0</v>
      </c>
      <c r="BA181" s="25">
        <f t="shared" ca="1" si="197"/>
        <v>0</v>
      </c>
      <c r="BB181" s="23">
        <f t="array" aca="1" ref="BB181" ca="1">SUM(IF(w_start_date&lt;=AO181,1,0)*IF(w_end_date&gt;=AO181,1,0)*w_amount*(1+w_escalation/100)^(INT((AP181-w_months_since_start)/12))*IF(MOD(AP181-w_months_since_start,w_frequency)=0,1,0)*IF(w_frequency=13,0,1))+SUM(IF(w_start_date=AO181,w_amount,0)*IF(w_frequency=13,1,0))</f>
        <v>0</v>
      </c>
      <c r="BC181" s="25">
        <f t="shared" ca="1" si="198"/>
        <v>0</v>
      </c>
      <c r="BD181" s="24" t="b">
        <f t="shared" ca="1" si="199"/>
        <v>1</v>
      </c>
      <c r="BE181" s="24" t="b">
        <f t="shared" ca="1" si="200"/>
        <v>1</v>
      </c>
      <c r="BF181" s="23">
        <f t="array" aca="1" ref="BF181" ca="1">SUM(IF(BD181,1,0)*IF(ap_start_date&lt;=AO181,1,0)*IF(ap_end_date&gt;=AO181,1,0)*ap_amount*(1+ap_escalation/100)^(INT((AP181-ap_months_since_start)/12))*IF(MOD(AP181-ap_months_since_start,ap_frequency)=0,1,0))</f>
        <v>39370.240000000005</v>
      </c>
      <c r="BG181" s="24">
        <f t="shared" ca="1" si="201"/>
        <v>472442.87999999995</v>
      </c>
      <c r="BH181" s="24">
        <f t="shared" ca="1" si="202"/>
        <v>52334.291158870401</v>
      </c>
      <c r="BI181">
        <f t="shared" ca="1" si="203"/>
        <v>0</v>
      </c>
      <c r="BJ181" s="24">
        <f t="shared" ca="1" si="204"/>
        <v>366340.03811209276</v>
      </c>
      <c r="BK181">
        <f t="shared" ca="1" si="205"/>
        <v>1</v>
      </c>
      <c r="BL181" s="25">
        <f t="shared" ca="1" si="206"/>
        <v>30528.336509341072</v>
      </c>
      <c r="BM181" s="32">
        <f t="shared" ca="1" si="185"/>
        <v>1981347.347723058</v>
      </c>
      <c r="BN181" s="23">
        <f t="shared" ca="1" si="207"/>
        <v>0</v>
      </c>
      <c r="BO181" s="24">
        <f t="shared" ca="1" si="208"/>
        <v>0</v>
      </c>
      <c r="BP181" s="25">
        <f t="shared" ca="1" si="209"/>
        <v>0</v>
      </c>
      <c r="BQ181" s="34">
        <f t="shared" ca="1" si="210"/>
        <v>50921</v>
      </c>
      <c r="BR181" s="23">
        <f t="shared" ca="1" si="211"/>
        <v>1981347.347723058</v>
      </c>
      <c r="BS181" s="24">
        <f t="shared" ca="1" si="212"/>
        <v>0</v>
      </c>
      <c r="BT181" s="24">
        <f t="shared" ca="1" si="221"/>
        <v>0</v>
      </c>
      <c r="BU181" s="24">
        <f t="shared" ca="1" si="213"/>
        <v>0</v>
      </c>
      <c r="BV181" s="24">
        <f t="shared" ca="1" si="222"/>
        <v>0</v>
      </c>
      <c r="BW181" s="24">
        <f t="shared" ca="1" si="214"/>
        <v>-30528.336509341072</v>
      </c>
      <c r="BX181" s="25">
        <f t="shared" ca="1" si="223"/>
        <v>-382069.05013542302</v>
      </c>
      <c r="BY181" s="23">
        <f t="shared" ca="1" si="186"/>
        <v>1121959.5460215709</v>
      </c>
      <c r="BZ181" s="24">
        <f t="shared" ca="1" si="187"/>
        <v>0</v>
      </c>
      <c r="CA181" s="24">
        <f t="shared" ca="1" si="224"/>
        <v>0</v>
      </c>
      <c r="CB181" s="24">
        <f t="shared" ca="1" si="188"/>
        <v>0</v>
      </c>
      <c r="CC181" s="24">
        <f t="shared" ca="1" si="225"/>
        <v>0</v>
      </c>
      <c r="CD181" s="24">
        <f t="shared" ca="1" si="189"/>
        <v>-17343.59666930688</v>
      </c>
      <c r="CE181" s="25">
        <f t="shared" ca="1" si="226"/>
        <v>-221114.47099252886</v>
      </c>
      <c r="CF181" s="23">
        <f t="shared" ca="1" si="227"/>
        <v>464871.67999999999</v>
      </c>
      <c r="CG181" s="25">
        <f t="array" aca="1" ref="CG181" ca="1">SUM(BF170:BF181/(1+inflation/100)^(AP170:AP181/12))</f>
        <v>267980.53702225373</v>
      </c>
      <c r="CH181" s="32">
        <f ca="1">IFERROR(IF(MOD(AP181-ap_months_since_start,12)=0,ap_drawdown/100*(AQ181+AV181+BA181-BC181),CH180),0)</f>
        <v>321738.91660755768</v>
      </c>
      <c r="EL181" s="21">
        <f t="shared" ca="1" si="229"/>
        <v>7</v>
      </c>
      <c r="EM181" t="str">
        <f t="shared" ref="EM181:EO181" ca="1" si="257">DR32</f>
        <v/>
      </c>
      <c r="EN181" t="str">
        <f t="shared" ca="1" si="257"/>
        <v/>
      </c>
      <c r="EO181" t="str">
        <f t="shared" ca="1" si="257"/>
        <v/>
      </c>
      <c r="EP181" t="str">
        <f t="shared" ca="1" si="231"/>
        <v/>
      </c>
      <c r="EQ181" t="str">
        <f t="shared" ca="1" si="232"/>
        <v/>
      </c>
      <c r="ER181" t="str">
        <f t="shared" ca="1" si="233"/>
        <v/>
      </c>
      <c r="ES181" t="str">
        <f t="shared" si="234"/>
        <v/>
      </c>
      <c r="ET181" t="str">
        <f t="shared" ca="1" si="235"/>
        <v/>
      </c>
      <c r="EU181" s="22">
        <v>172</v>
      </c>
      <c r="EX181" s="21" t="str">
        <f ca="1">IF(EX180="","",IF(EX180+1&lt;=MAX('Financial Planning Tool'!$EL$10:$EL$209),EX180+1,""))</f>
        <v/>
      </c>
      <c r="EY181" t="str">
        <f ca="1">IF(EX181&lt;&gt;"",VLOOKUP(EX181,'Financial Planning Tool'!$EL$10:$ER$209,2,FALSE),"")</f>
        <v/>
      </c>
      <c r="EZ181" t="str">
        <f ca="1">IF(EX181&lt;&gt;"",VLOOKUP(EX181,'Financial Planning Tool'!$EL$10:$ER$209,3,FALSE),"")</f>
        <v/>
      </c>
      <c r="FA181" t="str">
        <f ca="1">IF(EX181&lt;&gt;"",VLOOKUP(EX181,'Financial Planning Tool'!$EL$10:$ER$209,4,FALSE),"")</f>
        <v/>
      </c>
      <c r="FB181" t="str">
        <f t="shared" ca="1" si="220"/>
        <v/>
      </c>
      <c r="FC181" t="str">
        <f ca="1">IF(EX181&lt;&gt;"",VLOOKUP(EX181,'Financial Planning Tool'!$EL$10:$ER$209,5,FALSE),"")</f>
        <v/>
      </c>
      <c r="FD181" t="str">
        <f ca="1">IF(EX181&lt;&gt;"",VLOOKUP(EX181,'Financial Planning Tool'!$EL$10:$ER$209,6,FALSE),"")</f>
        <v/>
      </c>
      <c r="FE181" t="str">
        <f ca="1">IF(EX181&lt;&gt;"",VLOOKUP(EX181,'Financial Planning Tool'!$EL$10:$ER$209,7,FALSE),"")</f>
        <v/>
      </c>
      <c r="FF181" t="str">
        <f ca="1">IF(EX181&lt;&gt;"",VLOOKUP(EX181,'Financial Planning Tool'!$EL$10:$ES$209,8,FALSE),"")</f>
        <v/>
      </c>
      <c r="FG181" t="str">
        <f ca="1">IF(EX181&lt;&gt;"",VLOOKUP(EX181,'Financial Planning Tool'!$EL$10:$ET$209,9,FALSE),"")</f>
        <v/>
      </c>
      <c r="FH181" t="str">
        <f t="shared" ca="1" si="246"/>
        <v/>
      </c>
      <c r="FI181" s="22" t="str">
        <f t="shared" ca="1" si="247"/>
        <v/>
      </c>
    </row>
    <row r="182" spans="8:165" x14ac:dyDescent="0.25">
      <c r="AN182" s="32">
        <f t="shared" ca="1" si="184"/>
        <v>69.416666666666671</v>
      </c>
      <c r="AO182" s="53">
        <f t="shared" ca="1" si="215"/>
        <v>50922</v>
      </c>
      <c r="AP182" s="22">
        <v>175</v>
      </c>
      <c r="AQ182" s="32">
        <f t="shared" ca="1" si="216"/>
        <v>1981347.347723058</v>
      </c>
      <c r="AR182" s="23">
        <f t="array" aca="1" ref="AR182" ca="1">SUM(IF(lsc_start_date=AO182,lsc_amount,0))</f>
        <v>0</v>
      </c>
      <c r="AS182" s="24">
        <f t="shared" ca="1" si="190"/>
        <v>0</v>
      </c>
      <c r="AT182" s="24">
        <f t="shared" ca="1" si="191"/>
        <v>0</v>
      </c>
      <c r="AU182" s="24">
        <f t="shared" ca="1" si="192"/>
        <v>0</v>
      </c>
      <c r="AV182" s="25">
        <f t="shared" ca="1" si="193"/>
        <v>0</v>
      </c>
      <c r="AW182" s="23">
        <f t="array" aca="1" ref="AW182" ca="1">SUM(IF(rcs_start_date&lt;=AO182,1,0)*IF(rcs_end_date&gt;=AO182,1,0)*rcs_amount*(1+rcs_escalation/100)^(INT((AP182-rcs_months_since_start)/12))*IF(MOD((AP182-rcs_months_since_start),rcs_frequency)=0,1,0)*IF(rcs_frequency=13,0,1))+SUM(IF(rcs_start_date=AO182,rcs_amount,0)*IF(rcs_frequency=13,1,0))</f>
        <v>0</v>
      </c>
      <c r="AX182" s="24">
        <f t="shared" ca="1" si="194"/>
        <v>0</v>
      </c>
      <c r="AY182" s="24">
        <f t="shared" ca="1" si="195"/>
        <v>0</v>
      </c>
      <c r="AZ182" s="24">
        <f t="shared" ca="1" si="196"/>
        <v>0</v>
      </c>
      <c r="BA182" s="25">
        <f t="shared" ca="1" si="197"/>
        <v>0</v>
      </c>
      <c r="BB182" s="23">
        <f t="array" aca="1" ref="BB182" ca="1">SUM(IF(w_start_date&lt;=AO182,1,0)*IF(w_end_date&gt;=AO182,1,0)*w_amount*(1+w_escalation/100)^(INT((AP182-w_months_since_start)/12))*IF(MOD(AP182-w_months_since_start,w_frequency)=0,1,0)*IF(w_frequency=13,0,1))+SUM(IF(w_start_date=AO182,w_amount,0)*IF(w_frequency=13,1,0))</f>
        <v>0</v>
      </c>
      <c r="BC182" s="25">
        <f t="shared" ca="1" si="198"/>
        <v>0</v>
      </c>
      <c r="BD182" s="24" t="b">
        <f t="shared" ca="1" si="199"/>
        <v>1</v>
      </c>
      <c r="BE182" s="24" t="b">
        <f t="shared" ca="1" si="200"/>
        <v>1</v>
      </c>
      <c r="BF182" s="23">
        <f t="array" aca="1" ref="BF182" ca="1">SUM(IF(BD182,1,0)*IF(ap_start_date&lt;=AO182,1,0)*IF(ap_end_date&gt;=AO182,1,0)*ap_amount*(1+ap_escalation/100)^(INT((AP182-ap_months_since_start)/12))*IF(MOD(AP182-ap_months_since_start,ap_frequency)=0,1,0))</f>
        <v>39370.240000000005</v>
      </c>
      <c r="BG182" s="24">
        <f t="shared" ca="1" si="201"/>
        <v>472442.87999999995</v>
      </c>
      <c r="BH182" s="24">
        <f t="shared" ca="1" si="202"/>
        <v>52334.291158870401</v>
      </c>
      <c r="BI182">
        <f t="shared" ca="1" si="203"/>
        <v>0</v>
      </c>
      <c r="BJ182" s="24">
        <f t="shared" ca="1" si="204"/>
        <v>366340.03811209276</v>
      </c>
      <c r="BK182">
        <f t="shared" ca="1" si="205"/>
        <v>1</v>
      </c>
      <c r="BL182" s="25">
        <f t="shared" ca="1" si="206"/>
        <v>30528.336509341072</v>
      </c>
      <c r="BM182" s="32">
        <f t="shared" ca="1" si="185"/>
        <v>1964879.1945588002</v>
      </c>
      <c r="BN182" s="23">
        <f t="shared" ca="1" si="207"/>
        <v>0</v>
      </c>
      <c r="BO182" s="24">
        <f t="shared" ca="1" si="208"/>
        <v>0</v>
      </c>
      <c r="BP182" s="25">
        <f t="shared" ca="1" si="209"/>
        <v>0</v>
      </c>
      <c r="BQ182" s="34">
        <f t="shared" ca="1" si="210"/>
        <v>50951</v>
      </c>
      <c r="BR182" s="23">
        <f t="shared" ca="1" si="211"/>
        <v>1964879.1945588002</v>
      </c>
      <c r="BS182" s="24">
        <f t="shared" ca="1" si="212"/>
        <v>0</v>
      </c>
      <c r="BT182" s="24">
        <f t="shared" ca="1" si="221"/>
        <v>0</v>
      </c>
      <c r="BU182" s="24">
        <f t="shared" ca="1" si="213"/>
        <v>0</v>
      </c>
      <c r="BV182" s="24">
        <f t="shared" ca="1" si="222"/>
        <v>0</v>
      </c>
      <c r="BW182" s="24">
        <f t="shared" ca="1" si="214"/>
        <v>-30528.336509341072</v>
      </c>
      <c r="BX182" s="25">
        <f t="shared" ca="1" si="223"/>
        <v>-378923.24773075699</v>
      </c>
      <c r="BY182" s="23">
        <f t="shared" ca="1" si="186"/>
        <v>1109003.685192856</v>
      </c>
      <c r="BZ182" s="24">
        <f t="shared" ca="1" si="187"/>
        <v>0</v>
      </c>
      <c r="CA182" s="24">
        <f t="shared" ca="1" si="224"/>
        <v>0</v>
      </c>
      <c r="CB182" s="24">
        <f t="shared" ca="1" si="188"/>
        <v>0</v>
      </c>
      <c r="CC182" s="24">
        <f t="shared" ca="1" si="225"/>
        <v>0</v>
      </c>
      <c r="CD182" s="24">
        <f t="shared" ca="1" si="189"/>
        <v>-17287.003518174417</v>
      </c>
      <c r="CE182" s="25">
        <f t="shared" ca="1" si="226"/>
        <v>-218570.39213227731</v>
      </c>
      <c r="CF182" s="23">
        <f t="shared" ca="1" si="227"/>
        <v>466385.91999999998</v>
      </c>
      <c r="CG182" s="25">
        <f t="array" aca="1" ref="CG182" ca="1">SUM(BF171:BF182/(1+inflation/100)^(AP171:AP182/12))</f>
        <v>267980.53702225373</v>
      </c>
      <c r="CH182" s="32">
        <f ca="1">IFERROR(IF(MOD(AP182-ap_months_since_start,12)=0,ap_drawdown/100*(AQ182+AV182+BA182-BC182),CH181),0)</f>
        <v>321738.91660755768</v>
      </c>
      <c r="EL182" s="21">
        <f t="shared" ca="1" si="229"/>
        <v>7</v>
      </c>
      <c r="EM182" t="str">
        <f t="shared" ref="EM182:EO182" ca="1" si="258">DR33</f>
        <v/>
      </c>
      <c r="EN182" t="str">
        <f t="shared" ca="1" si="258"/>
        <v/>
      </c>
      <c r="EO182" t="str">
        <f t="shared" ca="1" si="258"/>
        <v/>
      </c>
      <c r="EP182" t="str">
        <f t="shared" ca="1" si="231"/>
        <v/>
      </c>
      <c r="EQ182" t="str">
        <f t="shared" ca="1" si="232"/>
        <v/>
      </c>
      <c r="ER182" t="str">
        <f t="shared" ca="1" si="233"/>
        <v/>
      </c>
      <c r="ES182" t="str">
        <f t="shared" si="234"/>
        <v/>
      </c>
      <c r="ET182" t="str">
        <f t="shared" ca="1" si="235"/>
        <v/>
      </c>
      <c r="EU182" s="22">
        <v>173</v>
      </c>
      <c r="EX182" s="21" t="str">
        <f ca="1">IF(EX181="","",IF(EX181+1&lt;=MAX('Financial Planning Tool'!$EL$10:$EL$209),EX181+1,""))</f>
        <v/>
      </c>
      <c r="EY182" t="str">
        <f ca="1">IF(EX182&lt;&gt;"",VLOOKUP(EX182,'Financial Planning Tool'!$EL$10:$ER$209,2,FALSE),"")</f>
        <v/>
      </c>
      <c r="EZ182" t="str">
        <f ca="1">IF(EX182&lt;&gt;"",VLOOKUP(EX182,'Financial Planning Tool'!$EL$10:$ER$209,3,FALSE),"")</f>
        <v/>
      </c>
      <c r="FA182" t="str">
        <f ca="1">IF(EX182&lt;&gt;"",VLOOKUP(EX182,'Financial Planning Tool'!$EL$10:$ER$209,4,FALSE),"")</f>
        <v/>
      </c>
      <c r="FB182" t="str">
        <f t="shared" ca="1" si="220"/>
        <v/>
      </c>
      <c r="FC182" t="str">
        <f ca="1">IF(EX182&lt;&gt;"",VLOOKUP(EX182,'Financial Planning Tool'!$EL$10:$ER$209,5,FALSE),"")</f>
        <v/>
      </c>
      <c r="FD182" t="str">
        <f ca="1">IF(EX182&lt;&gt;"",VLOOKUP(EX182,'Financial Planning Tool'!$EL$10:$ER$209,6,FALSE),"")</f>
        <v/>
      </c>
      <c r="FE182" t="str">
        <f ca="1">IF(EX182&lt;&gt;"",VLOOKUP(EX182,'Financial Planning Tool'!$EL$10:$ER$209,7,FALSE),"")</f>
        <v/>
      </c>
      <c r="FF182" t="str">
        <f ca="1">IF(EX182&lt;&gt;"",VLOOKUP(EX182,'Financial Planning Tool'!$EL$10:$ES$209,8,FALSE),"")</f>
        <v/>
      </c>
      <c r="FG182" t="str">
        <f ca="1">IF(EX182&lt;&gt;"",VLOOKUP(EX182,'Financial Planning Tool'!$EL$10:$ET$209,9,FALSE),"")</f>
        <v/>
      </c>
      <c r="FH182" t="str">
        <f t="shared" ca="1" si="246"/>
        <v/>
      </c>
      <c r="FI182" s="22" t="str">
        <f t="shared" ca="1" si="247"/>
        <v/>
      </c>
    </row>
    <row r="183" spans="8:165" x14ac:dyDescent="0.25">
      <c r="AN183" s="32">
        <f t="shared" ca="1" si="184"/>
        <v>69.5</v>
      </c>
      <c r="AO183" s="53">
        <f t="shared" ca="1" si="215"/>
        <v>50952</v>
      </c>
      <c r="AP183" s="22">
        <v>176</v>
      </c>
      <c r="AQ183" s="32">
        <f t="shared" ca="1" si="216"/>
        <v>1964879.1945588002</v>
      </c>
      <c r="AR183" s="23">
        <f t="array" aca="1" ref="AR183" ca="1">SUM(IF(lsc_start_date=AO183,lsc_amount,0))</f>
        <v>0</v>
      </c>
      <c r="AS183" s="24">
        <f t="shared" ca="1" si="190"/>
        <v>0</v>
      </c>
      <c r="AT183" s="24">
        <f t="shared" ca="1" si="191"/>
        <v>0</v>
      </c>
      <c r="AU183" s="24">
        <f t="shared" ca="1" si="192"/>
        <v>0</v>
      </c>
      <c r="AV183" s="25">
        <f t="shared" ca="1" si="193"/>
        <v>0</v>
      </c>
      <c r="AW183" s="23">
        <f t="array" aca="1" ref="AW183" ca="1">SUM(IF(rcs_start_date&lt;=AO183,1,0)*IF(rcs_end_date&gt;=AO183,1,0)*rcs_amount*(1+rcs_escalation/100)^(INT((AP183-rcs_months_since_start)/12))*IF(MOD((AP183-rcs_months_since_start),rcs_frequency)=0,1,0)*IF(rcs_frequency=13,0,1))+SUM(IF(rcs_start_date=AO183,rcs_amount,0)*IF(rcs_frequency=13,1,0))</f>
        <v>0</v>
      </c>
      <c r="AX183" s="24">
        <f t="shared" ca="1" si="194"/>
        <v>0</v>
      </c>
      <c r="AY183" s="24">
        <f t="shared" ca="1" si="195"/>
        <v>0</v>
      </c>
      <c r="AZ183" s="24">
        <f t="shared" ca="1" si="196"/>
        <v>0</v>
      </c>
      <c r="BA183" s="25">
        <f t="shared" ca="1" si="197"/>
        <v>0</v>
      </c>
      <c r="BB183" s="23">
        <f t="array" aca="1" ref="BB183" ca="1">SUM(IF(w_start_date&lt;=AO183,1,0)*IF(w_end_date&gt;=AO183,1,0)*w_amount*(1+w_escalation/100)^(INT((AP183-w_months_since_start)/12))*IF(MOD(AP183-w_months_since_start,w_frequency)=0,1,0)*IF(w_frequency=13,0,1))+SUM(IF(w_start_date=AO183,w_amount,0)*IF(w_frequency=13,1,0))</f>
        <v>0</v>
      </c>
      <c r="BC183" s="25">
        <f t="shared" ca="1" si="198"/>
        <v>0</v>
      </c>
      <c r="BD183" s="24" t="b">
        <f t="shared" ca="1" si="199"/>
        <v>1</v>
      </c>
      <c r="BE183" s="24" t="b">
        <f t="shared" ca="1" si="200"/>
        <v>1</v>
      </c>
      <c r="BF183" s="23">
        <f t="array" aca="1" ref="BF183" ca="1">SUM(IF(BD183,1,0)*IF(ap_start_date&lt;=AO183,1,0)*IF(ap_end_date&gt;=AO183,1,0)*ap_amount*(1+ap_escalation/100)^(INT((AP183-ap_months_since_start)/12))*IF(MOD(AP183-ap_months_since_start,ap_frequency)=0,1,0))</f>
        <v>39370.240000000005</v>
      </c>
      <c r="BG183" s="24">
        <f t="shared" ca="1" si="201"/>
        <v>472442.87999999995</v>
      </c>
      <c r="BH183" s="24">
        <f t="shared" ca="1" si="202"/>
        <v>52334.291158870401</v>
      </c>
      <c r="BI183">
        <f t="shared" ca="1" si="203"/>
        <v>0</v>
      </c>
      <c r="BJ183" s="24">
        <f t="shared" ca="1" si="204"/>
        <v>366340.03811209276</v>
      </c>
      <c r="BK183">
        <f t="shared" ca="1" si="205"/>
        <v>1</v>
      </c>
      <c r="BL183" s="25">
        <f t="shared" ca="1" si="206"/>
        <v>30528.336509341072</v>
      </c>
      <c r="BM183" s="32">
        <f t="shared" ca="1" si="185"/>
        <v>1948292.3500902681</v>
      </c>
      <c r="BN183" s="23">
        <f t="shared" ca="1" si="207"/>
        <v>0</v>
      </c>
      <c r="BO183" s="24">
        <f t="shared" ca="1" si="208"/>
        <v>0</v>
      </c>
      <c r="BP183" s="25">
        <f t="shared" ca="1" si="209"/>
        <v>0</v>
      </c>
      <c r="BQ183" s="34">
        <f t="shared" ca="1" si="210"/>
        <v>50982</v>
      </c>
      <c r="BR183" s="23">
        <f t="shared" ca="1" si="211"/>
        <v>1948292.3500902681</v>
      </c>
      <c r="BS183" s="24">
        <f t="shared" ca="1" si="212"/>
        <v>0</v>
      </c>
      <c r="BT183" s="24">
        <f t="shared" ca="1" si="221"/>
        <v>0</v>
      </c>
      <c r="BU183" s="24">
        <f t="shared" ca="1" si="213"/>
        <v>0</v>
      </c>
      <c r="BV183" s="24">
        <f t="shared" ca="1" si="222"/>
        <v>0</v>
      </c>
      <c r="BW183" s="24">
        <f t="shared" ca="1" si="214"/>
        <v>-30528.336509341072</v>
      </c>
      <c r="BX183" s="25">
        <f t="shared" ca="1" si="223"/>
        <v>-375777.44532609102</v>
      </c>
      <c r="BY183" s="23">
        <f t="shared" ca="1" si="186"/>
        <v>1096053.65734627</v>
      </c>
      <c r="BZ183" s="24">
        <f t="shared" ca="1" si="187"/>
        <v>0</v>
      </c>
      <c r="CA183" s="24">
        <f t="shared" ca="1" si="224"/>
        <v>0</v>
      </c>
      <c r="CB183" s="24">
        <f t="shared" ca="1" si="188"/>
        <v>0</v>
      </c>
      <c r="CC183" s="24">
        <f t="shared" ca="1" si="225"/>
        <v>0</v>
      </c>
      <c r="CD183" s="24">
        <f t="shared" ca="1" si="189"/>
        <v>-17230.595033741498</v>
      </c>
      <c r="CE183" s="25">
        <f t="shared" ca="1" si="226"/>
        <v>-216034.61474732967</v>
      </c>
      <c r="CF183" s="23">
        <f t="shared" ca="1" si="227"/>
        <v>467900.15999999997</v>
      </c>
      <c r="CG183" s="25">
        <f t="array" aca="1" ref="CG183" ca="1">SUM(BF172:BF183/(1+inflation/100)^(AP172:AP183/12))</f>
        <v>267980.53702225367</v>
      </c>
      <c r="CH183" s="32">
        <f ca="1">IFERROR(IF(MOD(AP183-ap_months_since_start,12)=0,ap_drawdown/100*(AQ183+AV183+BA183-BC183),CH182),0)</f>
        <v>321738.91660755768</v>
      </c>
      <c r="EL183" s="21">
        <f t="shared" ca="1" si="229"/>
        <v>7</v>
      </c>
      <c r="EM183" t="str">
        <f t="shared" ref="EM183:EO183" ca="1" si="259">DR34</f>
        <v/>
      </c>
      <c r="EN183" t="str">
        <f t="shared" ca="1" si="259"/>
        <v/>
      </c>
      <c r="EO183" t="str">
        <f t="shared" ca="1" si="259"/>
        <v/>
      </c>
      <c r="EP183" t="str">
        <f t="shared" ca="1" si="231"/>
        <v/>
      </c>
      <c r="EQ183" t="str">
        <f t="shared" ca="1" si="232"/>
        <v/>
      </c>
      <c r="ER183" t="str">
        <f t="shared" ca="1" si="233"/>
        <v/>
      </c>
      <c r="ES183" t="str">
        <f t="shared" si="234"/>
        <v/>
      </c>
      <c r="ET183" t="str">
        <f t="shared" ca="1" si="235"/>
        <v/>
      </c>
      <c r="EU183" s="22">
        <v>174</v>
      </c>
      <c r="EX183" s="21" t="str">
        <f ca="1">IF(EX182="","",IF(EX182+1&lt;=MAX('Financial Planning Tool'!$EL$10:$EL$209),EX182+1,""))</f>
        <v/>
      </c>
      <c r="EY183" t="str">
        <f ca="1">IF(EX183&lt;&gt;"",VLOOKUP(EX183,'Financial Planning Tool'!$EL$10:$ER$209,2,FALSE),"")</f>
        <v/>
      </c>
      <c r="EZ183" t="str">
        <f ca="1">IF(EX183&lt;&gt;"",VLOOKUP(EX183,'Financial Planning Tool'!$EL$10:$ER$209,3,FALSE),"")</f>
        <v/>
      </c>
      <c r="FA183" t="str">
        <f ca="1">IF(EX183&lt;&gt;"",VLOOKUP(EX183,'Financial Planning Tool'!$EL$10:$ER$209,4,FALSE),"")</f>
        <v/>
      </c>
      <c r="FB183" t="str">
        <f t="shared" ca="1" si="220"/>
        <v/>
      </c>
      <c r="FC183" t="str">
        <f ca="1">IF(EX183&lt;&gt;"",VLOOKUP(EX183,'Financial Planning Tool'!$EL$10:$ER$209,5,FALSE),"")</f>
        <v/>
      </c>
      <c r="FD183" t="str">
        <f ca="1">IF(EX183&lt;&gt;"",VLOOKUP(EX183,'Financial Planning Tool'!$EL$10:$ER$209,6,FALSE),"")</f>
        <v/>
      </c>
      <c r="FE183" t="str">
        <f ca="1">IF(EX183&lt;&gt;"",VLOOKUP(EX183,'Financial Planning Tool'!$EL$10:$ER$209,7,FALSE),"")</f>
        <v/>
      </c>
      <c r="FF183" t="str">
        <f ca="1">IF(EX183&lt;&gt;"",VLOOKUP(EX183,'Financial Planning Tool'!$EL$10:$ES$209,8,FALSE),"")</f>
        <v/>
      </c>
      <c r="FG183" t="str">
        <f ca="1">IF(EX183&lt;&gt;"",VLOOKUP(EX183,'Financial Planning Tool'!$EL$10:$ET$209,9,FALSE),"")</f>
        <v/>
      </c>
      <c r="FH183" t="str">
        <f t="shared" ca="1" si="246"/>
        <v/>
      </c>
      <c r="FI183" s="22" t="str">
        <f t="shared" ca="1" si="247"/>
        <v/>
      </c>
    </row>
    <row r="184" spans="8:165" x14ac:dyDescent="0.25">
      <c r="AN184" s="32">
        <f t="shared" ca="1" si="184"/>
        <v>69.583333333333329</v>
      </c>
      <c r="AO184" s="53">
        <f t="shared" ca="1" si="215"/>
        <v>50983</v>
      </c>
      <c r="AP184" s="22">
        <v>177</v>
      </c>
      <c r="AQ184" s="32">
        <f t="shared" ca="1" si="216"/>
        <v>1948292.3500902681</v>
      </c>
      <c r="AR184" s="23">
        <f t="array" aca="1" ref="AR184" ca="1">SUM(IF(lsc_start_date=AO184,lsc_amount,0))</f>
        <v>0</v>
      </c>
      <c r="AS184" s="24">
        <f t="shared" ca="1" si="190"/>
        <v>0</v>
      </c>
      <c r="AT184" s="24">
        <f t="shared" ca="1" si="191"/>
        <v>0</v>
      </c>
      <c r="AU184" s="24">
        <f t="shared" ca="1" si="192"/>
        <v>0</v>
      </c>
      <c r="AV184" s="25">
        <f t="shared" ca="1" si="193"/>
        <v>0</v>
      </c>
      <c r="AW184" s="23">
        <f t="array" aca="1" ref="AW184" ca="1">SUM(IF(rcs_start_date&lt;=AO184,1,0)*IF(rcs_end_date&gt;=AO184,1,0)*rcs_amount*(1+rcs_escalation/100)^(INT((AP184-rcs_months_since_start)/12))*IF(MOD((AP184-rcs_months_since_start),rcs_frequency)=0,1,0)*IF(rcs_frequency=13,0,1))+SUM(IF(rcs_start_date=AO184,rcs_amount,0)*IF(rcs_frequency=13,1,0))</f>
        <v>0</v>
      </c>
      <c r="AX184" s="24">
        <f t="shared" ca="1" si="194"/>
        <v>0</v>
      </c>
      <c r="AY184" s="24">
        <f t="shared" ca="1" si="195"/>
        <v>0</v>
      </c>
      <c r="AZ184" s="24">
        <f t="shared" ca="1" si="196"/>
        <v>0</v>
      </c>
      <c r="BA184" s="25">
        <f t="shared" ca="1" si="197"/>
        <v>0</v>
      </c>
      <c r="BB184" s="23">
        <f t="array" aca="1" ref="BB184" ca="1">SUM(IF(w_start_date&lt;=AO184,1,0)*IF(w_end_date&gt;=AO184,1,0)*w_amount*(1+w_escalation/100)^(INT((AP184-w_months_since_start)/12))*IF(MOD(AP184-w_months_since_start,w_frequency)=0,1,0)*IF(w_frequency=13,0,1))+SUM(IF(w_start_date=AO184,w_amount,0)*IF(w_frequency=13,1,0))</f>
        <v>0</v>
      </c>
      <c r="BC184" s="25">
        <f t="shared" ca="1" si="198"/>
        <v>0</v>
      </c>
      <c r="BD184" s="24" t="b">
        <f t="shared" ca="1" si="199"/>
        <v>1</v>
      </c>
      <c r="BE184" s="24" t="b">
        <f t="shared" ca="1" si="200"/>
        <v>1</v>
      </c>
      <c r="BF184" s="23">
        <f t="array" aca="1" ref="BF184" ca="1">SUM(IF(BD184,1,0)*IF(ap_start_date&lt;=AO184,1,0)*IF(ap_end_date&gt;=AO184,1,0)*ap_amount*(1+ap_escalation/100)^(INT((AP184-ap_months_since_start)/12))*IF(MOD(AP184-ap_months_since_start,ap_frequency)=0,1,0))</f>
        <v>39370.240000000005</v>
      </c>
      <c r="BG184" s="24">
        <f t="shared" ca="1" si="201"/>
        <v>472442.87999999995</v>
      </c>
      <c r="BH184" s="24">
        <f t="shared" ca="1" si="202"/>
        <v>52334.291158870401</v>
      </c>
      <c r="BI184">
        <f t="shared" ca="1" si="203"/>
        <v>0</v>
      </c>
      <c r="BJ184" s="24">
        <f t="shared" ca="1" si="204"/>
        <v>366340.03811209276</v>
      </c>
      <c r="BK184">
        <f t="shared" ca="1" si="205"/>
        <v>1</v>
      </c>
      <c r="BL184" s="25">
        <f t="shared" ca="1" si="206"/>
        <v>30528.336509341072</v>
      </c>
      <c r="BM184" s="32">
        <f t="shared" ca="1" si="185"/>
        <v>1931585.9588708566</v>
      </c>
      <c r="BN184" s="23">
        <f t="shared" ca="1" si="207"/>
        <v>0</v>
      </c>
      <c r="BO184" s="24">
        <f t="shared" ca="1" si="208"/>
        <v>0</v>
      </c>
      <c r="BP184" s="25">
        <f t="shared" ca="1" si="209"/>
        <v>0</v>
      </c>
      <c r="BQ184" s="34">
        <f t="shared" ca="1" si="210"/>
        <v>51013</v>
      </c>
      <c r="BR184" s="23">
        <f t="shared" ca="1" si="211"/>
        <v>1931585.9588708566</v>
      </c>
      <c r="BS184" s="24">
        <f t="shared" ca="1" si="212"/>
        <v>0</v>
      </c>
      <c r="BT184" s="24">
        <f t="shared" ca="1" si="221"/>
        <v>0</v>
      </c>
      <c r="BU184" s="24">
        <f t="shared" ca="1" si="213"/>
        <v>0</v>
      </c>
      <c r="BV184" s="24">
        <f t="shared" ca="1" si="222"/>
        <v>0</v>
      </c>
      <c r="BW184" s="24">
        <f t="shared" ca="1" si="214"/>
        <v>-30528.336509341072</v>
      </c>
      <c r="BX184" s="25">
        <f t="shared" ca="1" si="223"/>
        <v>-372631.64292142494</v>
      </c>
      <c r="BY184" s="23">
        <f t="shared" ca="1" si="186"/>
        <v>1083109.3005656749</v>
      </c>
      <c r="BZ184" s="24">
        <f t="shared" ca="1" si="187"/>
        <v>0</v>
      </c>
      <c r="CA184" s="24">
        <f t="shared" ca="1" si="224"/>
        <v>0</v>
      </c>
      <c r="CB184" s="24">
        <f t="shared" ca="1" si="188"/>
        <v>0</v>
      </c>
      <c r="CC184" s="24">
        <f t="shared" ca="1" si="225"/>
        <v>0</v>
      </c>
      <c r="CD184" s="24">
        <f t="shared" ca="1" si="189"/>
        <v>-17174.370613430088</v>
      </c>
      <c r="CE184" s="25">
        <f t="shared" ca="1" si="226"/>
        <v>-213507.11174949567</v>
      </c>
      <c r="CF184" s="23">
        <f t="shared" ca="1" si="227"/>
        <v>469414.39999999997</v>
      </c>
      <c r="CG184" s="25">
        <f t="array" aca="1" ref="CG184" ca="1">SUM(BF173:BF184/(1+inflation/100)^(AP173:AP184/12))</f>
        <v>267980.53702225367</v>
      </c>
      <c r="CH184" s="32">
        <f ca="1">IFERROR(IF(MOD(AP184-ap_months_since_start,12)=0,ap_drawdown/100*(AQ184+AV184+BA184-BC184),CH183),0)</f>
        <v>321738.91660755768</v>
      </c>
      <c r="EL184" s="21">
        <f t="shared" ca="1" si="229"/>
        <v>7</v>
      </c>
      <c r="EM184" t="str">
        <f t="shared" ref="EM184:EO184" ca="1" si="260">DR35</f>
        <v/>
      </c>
      <c r="EN184" t="str">
        <f t="shared" ca="1" si="260"/>
        <v/>
      </c>
      <c r="EO184" t="str">
        <f t="shared" ca="1" si="260"/>
        <v/>
      </c>
      <c r="EP184" t="str">
        <f t="shared" ca="1" si="231"/>
        <v/>
      </c>
      <c r="EQ184" t="str">
        <f t="shared" ca="1" si="232"/>
        <v/>
      </c>
      <c r="ER184" t="str">
        <f t="shared" ca="1" si="233"/>
        <v/>
      </c>
      <c r="ES184" t="str">
        <f t="shared" si="234"/>
        <v/>
      </c>
      <c r="ET184" t="str">
        <f t="shared" ca="1" si="235"/>
        <v/>
      </c>
      <c r="EU184" s="22">
        <v>175</v>
      </c>
      <c r="EX184" s="21" t="str">
        <f ca="1">IF(EX183="","",IF(EX183+1&lt;=MAX('Financial Planning Tool'!$EL$10:$EL$209),EX183+1,""))</f>
        <v/>
      </c>
      <c r="EY184" t="str">
        <f ca="1">IF(EX184&lt;&gt;"",VLOOKUP(EX184,'Financial Planning Tool'!$EL$10:$ER$209,2,FALSE),"")</f>
        <v/>
      </c>
      <c r="EZ184" t="str">
        <f ca="1">IF(EX184&lt;&gt;"",VLOOKUP(EX184,'Financial Planning Tool'!$EL$10:$ER$209,3,FALSE),"")</f>
        <v/>
      </c>
      <c r="FA184" t="str">
        <f ca="1">IF(EX184&lt;&gt;"",VLOOKUP(EX184,'Financial Planning Tool'!$EL$10:$ER$209,4,FALSE),"")</f>
        <v/>
      </c>
      <c r="FB184" t="str">
        <f t="shared" ca="1" si="220"/>
        <v/>
      </c>
      <c r="FC184" t="str">
        <f ca="1">IF(EX184&lt;&gt;"",VLOOKUP(EX184,'Financial Planning Tool'!$EL$10:$ER$209,5,FALSE),"")</f>
        <v/>
      </c>
      <c r="FD184" t="str">
        <f ca="1">IF(EX184&lt;&gt;"",VLOOKUP(EX184,'Financial Planning Tool'!$EL$10:$ER$209,6,FALSE),"")</f>
        <v/>
      </c>
      <c r="FE184" t="str">
        <f ca="1">IF(EX184&lt;&gt;"",VLOOKUP(EX184,'Financial Planning Tool'!$EL$10:$ER$209,7,FALSE),"")</f>
        <v/>
      </c>
      <c r="FF184" t="str">
        <f ca="1">IF(EX184&lt;&gt;"",VLOOKUP(EX184,'Financial Planning Tool'!$EL$10:$ES$209,8,FALSE),"")</f>
        <v/>
      </c>
      <c r="FG184" t="str">
        <f ca="1">IF(EX184&lt;&gt;"",VLOOKUP(EX184,'Financial Planning Tool'!$EL$10:$ET$209,9,FALSE),"")</f>
        <v/>
      </c>
      <c r="FH184" t="str">
        <f t="shared" ca="1" si="246"/>
        <v/>
      </c>
      <c r="FI184" s="22" t="str">
        <f t="shared" ca="1" si="247"/>
        <v/>
      </c>
    </row>
    <row r="185" spans="8:165" x14ac:dyDescent="0.25">
      <c r="AN185" s="32">
        <f t="shared" ca="1" si="184"/>
        <v>69.666666666666671</v>
      </c>
      <c r="AO185" s="53">
        <f t="shared" ca="1" si="215"/>
        <v>51014</v>
      </c>
      <c r="AP185" s="22">
        <v>178</v>
      </c>
      <c r="AQ185" s="32">
        <f t="shared" ca="1" si="216"/>
        <v>1931585.9588708566</v>
      </c>
      <c r="AR185" s="23">
        <f t="array" aca="1" ref="AR185" ca="1">SUM(IF(lsc_start_date=AO185,lsc_amount,0))</f>
        <v>0</v>
      </c>
      <c r="AS185" s="24">
        <f t="shared" ca="1" si="190"/>
        <v>0</v>
      </c>
      <c r="AT185" s="24">
        <f t="shared" ca="1" si="191"/>
        <v>0</v>
      </c>
      <c r="AU185" s="24">
        <f t="shared" ca="1" si="192"/>
        <v>0</v>
      </c>
      <c r="AV185" s="25">
        <f t="shared" ca="1" si="193"/>
        <v>0</v>
      </c>
      <c r="AW185" s="23">
        <f t="array" aca="1" ref="AW185" ca="1">SUM(IF(rcs_start_date&lt;=AO185,1,0)*IF(rcs_end_date&gt;=AO185,1,0)*rcs_amount*(1+rcs_escalation/100)^(INT((AP185-rcs_months_since_start)/12))*IF(MOD((AP185-rcs_months_since_start),rcs_frequency)=0,1,0)*IF(rcs_frequency=13,0,1))+SUM(IF(rcs_start_date=AO185,rcs_amount,0)*IF(rcs_frequency=13,1,0))</f>
        <v>0</v>
      </c>
      <c r="AX185" s="24">
        <f t="shared" ca="1" si="194"/>
        <v>0</v>
      </c>
      <c r="AY185" s="24">
        <f t="shared" ca="1" si="195"/>
        <v>0</v>
      </c>
      <c r="AZ185" s="24">
        <f t="shared" ca="1" si="196"/>
        <v>0</v>
      </c>
      <c r="BA185" s="25">
        <f t="shared" ca="1" si="197"/>
        <v>0</v>
      </c>
      <c r="BB185" s="23">
        <f t="array" aca="1" ref="BB185" ca="1">SUM(IF(w_start_date&lt;=AO185,1,0)*IF(w_end_date&gt;=AO185,1,0)*w_amount*(1+w_escalation/100)^(INT((AP185-w_months_since_start)/12))*IF(MOD(AP185-w_months_since_start,w_frequency)=0,1,0)*IF(w_frequency=13,0,1))+SUM(IF(w_start_date=AO185,w_amount,0)*IF(w_frequency=13,1,0))</f>
        <v>0</v>
      </c>
      <c r="BC185" s="25">
        <f t="shared" ca="1" si="198"/>
        <v>0</v>
      </c>
      <c r="BD185" s="24" t="b">
        <f t="shared" ca="1" si="199"/>
        <v>1</v>
      </c>
      <c r="BE185" s="24" t="b">
        <f t="shared" ca="1" si="200"/>
        <v>1</v>
      </c>
      <c r="BF185" s="23">
        <f t="array" aca="1" ref="BF185" ca="1">SUM(IF(BD185,1,0)*IF(ap_start_date&lt;=AO185,1,0)*IF(ap_end_date&gt;=AO185,1,0)*ap_amount*(1+ap_escalation/100)^(INT((AP185-ap_months_since_start)/12))*IF(MOD(AP185-ap_months_since_start,ap_frequency)=0,1,0))</f>
        <v>39370.240000000005</v>
      </c>
      <c r="BG185" s="24">
        <f t="shared" ca="1" si="201"/>
        <v>472442.87999999995</v>
      </c>
      <c r="BH185" s="24">
        <f t="shared" ca="1" si="202"/>
        <v>52334.291158870401</v>
      </c>
      <c r="BI185">
        <f t="shared" ca="1" si="203"/>
        <v>0</v>
      </c>
      <c r="BJ185" s="24">
        <f t="shared" ca="1" si="204"/>
        <v>366340.03811209276</v>
      </c>
      <c r="BK185">
        <f t="shared" ca="1" si="205"/>
        <v>1</v>
      </c>
      <c r="BL185" s="25">
        <f t="shared" ca="1" si="206"/>
        <v>30528.336509341072</v>
      </c>
      <c r="BM185" s="32">
        <f t="shared" ca="1" si="185"/>
        <v>1914759.1592884809</v>
      </c>
      <c r="BN185" s="23">
        <f t="shared" ca="1" si="207"/>
        <v>0</v>
      </c>
      <c r="BO185" s="24">
        <f t="shared" ca="1" si="208"/>
        <v>0</v>
      </c>
      <c r="BP185" s="25">
        <f t="shared" ca="1" si="209"/>
        <v>0</v>
      </c>
      <c r="BQ185" s="34">
        <f t="shared" ca="1" si="210"/>
        <v>51043</v>
      </c>
      <c r="BR185" s="23">
        <f t="shared" ca="1" si="211"/>
        <v>1914759.1592884809</v>
      </c>
      <c r="BS185" s="24">
        <f t="shared" ca="1" si="212"/>
        <v>0</v>
      </c>
      <c r="BT185" s="24">
        <f t="shared" ca="1" si="221"/>
        <v>0</v>
      </c>
      <c r="BU185" s="24">
        <f t="shared" ca="1" si="213"/>
        <v>0</v>
      </c>
      <c r="BV185" s="24">
        <f t="shared" ca="1" si="222"/>
        <v>0</v>
      </c>
      <c r="BW185" s="24">
        <f t="shared" ca="1" si="214"/>
        <v>-30528.336509341072</v>
      </c>
      <c r="BX185" s="25">
        <f t="shared" ca="1" si="223"/>
        <v>-369485.84051675897</v>
      </c>
      <c r="BY185" s="23">
        <f t="shared" ca="1" si="186"/>
        <v>1070170.4529030677</v>
      </c>
      <c r="BZ185" s="24">
        <f t="shared" ca="1" si="187"/>
        <v>0</v>
      </c>
      <c r="CA185" s="24">
        <f t="shared" ca="1" si="224"/>
        <v>0</v>
      </c>
      <c r="CB185" s="24">
        <f t="shared" ca="1" si="188"/>
        <v>0</v>
      </c>
      <c r="CC185" s="24">
        <f t="shared" ca="1" si="225"/>
        <v>0</v>
      </c>
      <c r="CD185" s="24">
        <f t="shared" ca="1" si="189"/>
        <v>-17118.32965662839</v>
      </c>
      <c r="CE185" s="25">
        <f t="shared" ca="1" si="226"/>
        <v>-210987.85613897533</v>
      </c>
      <c r="CF185" s="23">
        <f t="shared" ca="1" si="227"/>
        <v>470928.63999999996</v>
      </c>
      <c r="CG185" s="25">
        <f t="array" aca="1" ref="CG185" ca="1">SUM(BF174:BF185/(1+inflation/100)^(AP174:AP185/12))</f>
        <v>267980.53702225373</v>
      </c>
      <c r="CH185" s="32">
        <f ca="1">IFERROR(IF(MOD(AP185-ap_months_since_start,12)=0,ap_drawdown/100*(AQ185+AV185+BA185-BC185),CH184),0)</f>
        <v>321738.91660755768</v>
      </c>
      <c r="EL185" s="21">
        <f t="shared" ca="1" si="229"/>
        <v>7</v>
      </c>
      <c r="EM185" t="str">
        <f t="shared" ref="EM185:EO185" ca="1" si="261">DR36</f>
        <v/>
      </c>
      <c r="EN185" t="str">
        <f t="shared" ca="1" si="261"/>
        <v/>
      </c>
      <c r="EO185" t="str">
        <f t="shared" ca="1" si="261"/>
        <v/>
      </c>
      <c r="EP185" t="str">
        <f t="shared" ca="1" si="231"/>
        <v/>
      </c>
      <c r="EQ185" t="str">
        <f t="shared" ca="1" si="232"/>
        <v/>
      </c>
      <c r="ER185" t="str">
        <f t="shared" ca="1" si="233"/>
        <v/>
      </c>
      <c r="ES185" t="str">
        <f t="shared" si="234"/>
        <v/>
      </c>
      <c r="ET185" t="str">
        <f t="shared" ca="1" si="235"/>
        <v/>
      </c>
      <c r="EU185" s="22">
        <v>176</v>
      </c>
      <c r="EX185" s="21" t="str">
        <f ca="1">IF(EX184="","",IF(EX184+1&lt;=MAX('Financial Planning Tool'!$EL$10:$EL$209),EX184+1,""))</f>
        <v/>
      </c>
      <c r="EY185" t="str">
        <f ca="1">IF(EX185&lt;&gt;"",VLOOKUP(EX185,'Financial Planning Tool'!$EL$10:$ER$209,2,FALSE),"")</f>
        <v/>
      </c>
      <c r="EZ185" t="str">
        <f ca="1">IF(EX185&lt;&gt;"",VLOOKUP(EX185,'Financial Planning Tool'!$EL$10:$ER$209,3,FALSE),"")</f>
        <v/>
      </c>
      <c r="FA185" t="str">
        <f ca="1">IF(EX185&lt;&gt;"",VLOOKUP(EX185,'Financial Planning Tool'!$EL$10:$ER$209,4,FALSE),"")</f>
        <v/>
      </c>
      <c r="FB185" t="str">
        <f t="shared" ca="1" si="220"/>
        <v/>
      </c>
      <c r="FC185" t="str">
        <f ca="1">IF(EX185&lt;&gt;"",VLOOKUP(EX185,'Financial Planning Tool'!$EL$10:$ER$209,5,FALSE),"")</f>
        <v/>
      </c>
      <c r="FD185" t="str">
        <f ca="1">IF(EX185&lt;&gt;"",VLOOKUP(EX185,'Financial Planning Tool'!$EL$10:$ER$209,6,FALSE),"")</f>
        <v/>
      </c>
      <c r="FE185" t="str">
        <f ca="1">IF(EX185&lt;&gt;"",VLOOKUP(EX185,'Financial Planning Tool'!$EL$10:$ER$209,7,FALSE),"")</f>
        <v/>
      </c>
      <c r="FF185" t="str">
        <f ca="1">IF(EX185&lt;&gt;"",VLOOKUP(EX185,'Financial Planning Tool'!$EL$10:$ES$209,8,FALSE),"")</f>
        <v/>
      </c>
      <c r="FG185" t="str">
        <f ca="1">IF(EX185&lt;&gt;"",VLOOKUP(EX185,'Financial Planning Tool'!$EL$10:$ET$209,9,FALSE),"")</f>
        <v/>
      </c>
      <c r="FH185" t="str">
        <f t="shared" ca="1" si="246"/>
        <v/>
      </c>
      <c r="FI185" s="22" t="str">
        <f t="shared" ca="1" si="247"/>
        <v/>
      </c>
    </row>
    <row r="186" spans="8:165" x14ac:dyDescent="0.25">
      <c r="AN186" s="32">
        <f t="shared" ca="1" si="184"/>
        <v>69.75</v>
      </c>
      <c r="AO186" s="53">
        <f t="shared" ca="1" si="215"/>
        <v>51044</v>
      </c>
      <c r="AP186" s="22">
        <v>179</v>
      </c>
      <c r="AQ186" s="32">
        <f t="shared" ca="1" si="216"/>
        <v>1914759.1592884809</v>
      </c>
      <c r="AR186" s="23">
        <f t="array" aca="1" ref="AR186" ca="1">SUM(IF(lsc_start_date=AO186,lsc_amount,0))</f>
        <v>0</v>
      </c>
      <c r="AS186" s="24">
        <f t="shared" ca="1" si="190"/>
        <v>0</v>
      </c>
      <c r="AT186" s="24">
        <f t="shared" ca="1" si="191"/>
        <v>0</v>
      </c>
      <c r="AU186" s="24">
        <f t="shared" ca="1" si="192"/>
        <v>0</v>
      </c>
      <c r="AV186" s="25">
        <f t="shared" ca="1" si="193"/>
        <v>0</v>
      </c>
      <c r="AW186" s="23">
        <f t="array" aca="1" ref="AW186" ca="1">SUM(IF(rcs_start_date&lt;=AO186,1,0)*IF(rcs_end_date&gt;=AO186,1,0)*rcs_amount*(1+rcs_escalation/100)^(INT((AP186-rcs_months_since_start)/12))*IF(MOD((AP186-rcs_months_since_start),rcs_frequency)=0,1,0)*IF(rcs_frequency=13,0,1))+SUM(IF(rcs_start_date=AO186,rcs_amount,0)*IF(rcs_frequency=13,1,0))</f>
        <v>0</v>
      </c>
      <c r="AX186" s="24">
        <f t="shared" ca="1" si="194"/>
        <v>0</v>
      </c>
      <c r="AY186" s="24">
        <f t="shared" ca="1" si="195"/>
        <v>0</v>
      </c>
      <c r="AZ186" s="24">
        <f t="shared" ca="1" si="196"/>
        <v>0</v>
      </c>
      <c r="BA186" s="25">
        <f t="shared" ca="1" si="197"/>
        <v>0</v>
      </c>
      <c r="BB186" s="23">
        <f t="array" aca="1" ref="BB186" ca="1">SUM(IF(w_start_date&lt;=AO186,1,0)*IF(w_end_date&gt;=AO186,1,0)*w_amount*(1+w_escalation/100)^(INT((AP186-w_months_since_start)/12))*IF(MOD(AP186-w_months_since_start,w_frequency)=0,1,0)*IF(w_frequency=13,0,1))+SUM(IF(w_start_date=AO186,w_amount,0)*IF(w_frequency=13,1,0))</f>
        <v>0</v>
      </c>
      <c r="BC186" s="25">
        <f t="shared" ca="1" si="198"/>
        <v>0</v>
      </c>
      <c r="BD186" s="24" t="b">
        <f t="shared" ca="1" si="199"/>
        <v>1</v>
      </c>
      <c r="BE186" s="24" t="b">
        <f t="shared" ca="1" si="200"/>
        <v>1</v>
      </c>
      <c r="BF186" s="23">
        <f t="array" aca="1" ref="BF186" ca="1">SUM(IF(BD186,1,0)*IF(ap_start_date&lt;=AO186,1,0)*IF(ap_end_date&gt;=AO186,1,0)*ap_amount*(1+ap_escalation/100)^(INT((AP186-ap_months_since_start)/12))*IF(MOD(AP186-ap_months_since_start,ap_frequency)=0,1,0))</f>
        <v>39370.240000000005</v>
      </c>
      <c r="BG186" s="24">
        <f t="shared" ca="1" si="201"/>
        <v>472442.87999999995</v>
      </c>
      <c r="BH186" s="24">
        <f t="shared" ca="1" si="202"/>
        <v>52334.291158870401</v>
      </c>
      <c r="BI186">
        <f t="shared" ca="1" si="203"/>
        <v>0</v>
      </c>
      <c r="BJ186" s="24">
        <f t="shared" ca="1" si="204"/>
        <v>366340.03811209276</v>
      </c>
      <c r="BK186">
        <f t="shared" ca="1" si="205"/>
        <v>1</v>
      </c>
      <c r="BL186" s="25">
        <f t="shared" ca="1" si="206"/>
        <v>30528.336509341072</v>
      </c>
      <c r="BM186" s="32">
        <f t="shared" ca="1" si="185"/>
        <v>1897811.0835211393</v>
      </c>
      <c r="BN186" s="23">
        <f t="shared" ca="1" si="207"/>
        <v>0</v>
      </c>
      <c r="BO186" s="24">
        <f t="shared" ca="1" si="208"/>
        <v>0</v>
      </c>
      <c r="BP186" s="25">
        <f t="shared" ca="1" si="209"/>
        <v>0</v>
      </c>
      <c r="BQ186" s="34">
        <f t="shared" ca="1" si="210"/>
        <v>51074</v>
      </c>
      <c r="BR186" s="23">
        <f t="shared" ca="1" si="211"/>
        <v>1897811.0835211393</v>
      </c>
      <c r="BS186" s="24">
        <f t="shared" ca="1" si="212"/>
        <v>0</v>
      </c>
      <c r="BT186" s="24">
        <f t="shared" ca="1" si="221"/>
        <v>0</v>
      </c>
      <c r="BU186" s="24">
        <f t="shared" ca="1" si="213"/>
        <v>0</v>
      </c>
      <c r="BV186" s="24">
        <f t="shared" ca="1" si="222"/>
        <v>0</v>
      </c>
      <c r="BW186" s="24">
        <f t="shared" ca="1" si="214"/>
        <v>-30528.336509341072</v>
      </c>
      <c r="BX186" s="25">
        <f t="shared" ca="1" si="223"/>
        <v>-366340.03811209294</v>
      </c>
      <c r="BY186" s="23">
        <f t="shared" ca="1" si="186"/>
        <v>1057236.9523764877</v>
      </c>
      <c r="BZ186" s="24">
        <f t="shared" ca="1" si="187"/>
        <v>0</v>
      </c>
      <c r="CA186" s="24">
        <f t="shared" ca="1" si="224"/>
        <v>0</v>
      </c>
      <c r="CB186" s="24">
        <f t="shared" ca="1" si="188"/>
        <v>0</v>
      </c>
      <c r="CC186" s="24">
        <f t="shared" ca="1" si="225"/>
        <v>0</v>
      </c>
      <c r="CD186" s="24">
        <f t="shared" ca="1" si="189"/>
        <v>-17062.471564684442</v>
      </c>
      <c r="CE186" s="25">
        <f t="shared" ca="1" si="226"/>
        <v>-208476.82100407063</v>
      </c>
      <c r="CF186" s="23">
        <f t="shared" ca="1" si="227"/>
        <v>472442.87999999995</v>
      </c>
      <c r="CG186" s="25">
        <f t="array" aca="1" ref="CG186" ca="1">SUM(BF175:BF186/(1+inflation/100)^(AP175:AP186/12))</f>
        <v>267980.53702225373</v>
      </c>
      <c r="CH186" s="32">
        <f ca="1">IFERROR(IF(MOD(AP186-ap_months_since_start,12)=0,ap_drawdown/100*(AQ186+AV186+BA186-BC186),CH185),0)</f>
        <v>321738.91660755768</v>
      </c>
      <c r="EL186" s="21">
        <f t="shared" ca="1" si="229"/>
        <v>7</v>
      </c>
      <c r="EM186" t="str">
        <f t="shared" ref="EM186:EO186" ca="1" si="262">DR37</f>
        <v/>
      </c>
      <c r="EN186" t="str">
        <f t="shared" ca="1" si="262"/>
        <v/>
      </c>
      <c r="EO186" t="str">
        <f t="shared" ca="1" si="262"/>
        <v/>
      </c>
      <c r="EP186" t="str">
        <f t="shared" ca="1" si="231"/>
        <v/>
      </c>
      <c r="EQ186" t="str">
        <f t="shared" ca="1" si="232"/>
        <v/>
      </c>
      <c r="ER186" t="str">
        <f t="shared" ca="1" si="233"/>
        <v/>
      </c>
      <c r="ES186" t="str">
        <f t="shared" si="234"/>
        <v/>
      </c>
      <c r="ET186" t="str">
        <f t="shared" ca="1" si="235"/>
        <v/>
      </c>
      <c r="EU186" s="22">
        <v>177</v>
      </c>
      <c r="EX186" s="21" t="str">
        <f ca="1">IF(EX185="","",IF(EX185+1&lt;=MAX('Financial Planning Tool'!$EL$10:$EL$209),EX185+1,""))</f>
        <v/>
      </c>
      <c r="EY186" t="str">
        <f ca="1">IF(EX186&lt;&gt;"",VLOOKUP(EX186,'Financial Planning Tool'!$EL$10:$ER$209,2,FALSE),"")</f>
        <v/>
      </c>
      <c r="EZ186" t="str">
        <f ca="1">IF(EX186&lt;&gt;"",VLOOKUP(EX186,'Financial Planning Tool'!$EL$10:$ER$209,3,FALSE),"")</f>
        <v/>
      </c>
      <c r="FA186" t="str">
        <f ca="1">IF(EX186&lt;&gt;"",VLOOKUP(EX186,'Financial Planning Tool'!$EL$10:$ER$209,4,FALSE),"")</f>
        <v/>
      </c>
      <c r="FB186" t="str">
        <f t="shared" ca="1" si="220"/>
        <v/>
      </c>
      <c r="FC186" t="str">
        <f ca="1">IF(EX186&lt;&gt;"",VLOOKUP(EX186,'Financial Planning Tool'!$EL$10:$ER$209,5,FALSE),"")</f>
        <v/>
      </c>
      <c r="FD186" t="str">
        <f ca="1">IF(EX186&lt;&gt;"",VLOOKUP(EX186,'Financial Planning Tool'!$EL$10:$ER$209,6,FALSE),"")</f>
        <v/>
      </c>
      <c r="FE186" t="str">
        <f ca="1">IF(EX186&lt;&gt;"",VLOOKUP(EX186,'Financial Planning Tool'!$EL$10:$ER$209,7,FALSE),"")</f>
        <v/>
      </c>
      <c r="FF186" t="str">
        <f ca="1">IF(EX186&lt;&gt;"",VLOOKUP(EX186,'Financial Planning Tool'!$EL$10:$ES$209,8,FALSE),"")</f>
        <v/>
      </c>
      <c r="FG186" t="str">
        <f ca="1">IF(EX186&lt;&gt;"",VLOOKUP(EX186,'Financial Planning Tool'!$EL$10:$ET$209,9,FALSE),"")</f>
        <v/>
      </c>
      <c r="FH186" t="str">
        <f t="shared" ca="1" si="246"/>
        <v/>
      </c>
      <c r="FI186" s="22" t="str">
        <f t="shared" ca="1" si="247"/>
        <v/>
      </c>
    </row>
    <row r="187" spans="8:165" x14ac:dyDescent="0.25">
      <c r="AN187" s="32">
        <f t="shared" ca="1" si="184"/>
        <v>69.833333333333329</v>
      </c>
      <c r="AO187" s="53">
        <f t="shared" ca="1" si="215"/>
        <v>51075</v>
      </c>
      <c r="AP187" s="22">
        <v>180</v>
      </c>
      <c r="AQ187" s="32">
        <f t="shared" ca="1" si="216"/>
        <v>1897811.0835211393</v>
      </c>
      <c r="AR187" s="23">
        <f t="array" aca="1" ref="AR187" ca="1">SUM(IF(lsc_start_date=AO187,lsc_amount,0))</f>
        <v>0</v>
      </c>
      <c r="AS187" s="24">
        <f t="shared" ca="1" si="190"/>
        <v>0</v>
      </c>
      <c r="AT187" s="24">
        <f t="shared" ca="1" si="191"/>
        <v>0</v>
      </c>
      <c r="AU187" s="24">
        <f t="shared" ca="1" si="192"/>
        <v>0</v>
      </c>
      <c r="AV187" s="25">
        <f t="shared" ca="1" si="193"/>
        <v>0</v>
      </c>
      <c r="AW187" s="23">
        <f t="array" aca="1" ref="AW187" ca="1">SUM(IF(rcs_start_date&lt;=AO187,1,0)*IF(rcs_end_date&gt;=AO187,1,0)*rcs_amount*(1+rcs_escalation/100)^(INT((AP187-rcs_months_since_start)/12))*IF(MOD((AP187-rcs_months_since_start),rcs_frequency)=0,1,0)*IF(rcs_frequency=13,0,1))+SUM(IF(rcs_start_date=AO187,rcs_amount,0)*IF(rcs_frequency=13,1,0))</f>
        <v>0</v>
      </c>
      <c r="AX187" s="24">
        <f t="shared" ca="1" si="194"/>
        <v>0</v>
      </c>
      <c r="AY187" s="24">
        <f t="shared" ca="1" si="195"/>
        <v>0</v>
      </c>
      <c r="AZ187" s="24">
        <f t="shared" ca="1" si="196"/>
        <v>0</v>
      </c>
      <c r="BA187" s="25">
        <f t="shared" ca="1" si="197"/>
        <v>0</v>
      </c>
      <c r="BB187" s="23">
        <f t="array" aca="1" ref="BB187" ca="1">SUM(IF(w_start_date&lt;=AO187,1,0)*IF(w_end_date&gt;=AO187,1,0)*w_amount*(1+w_escalation/100)^(INT((AP187-w_months_since_start)/12))*IF(MOD(AP187-w_months_since_start,w_frequency)=0,1,0)*IF(w_frequency=13,0,1))+SUM(IF(w_start_date=AO187,w_amount,0)*IF(w_frequency=13,1,0))</f>
        <v>0</v>
      </c>
      <c r="BC187" s="25">
        <f t="shared" ca="1" si="198"/>
        <v>0</v>
      </c>
      <c r="BD187" s="24" t="b">
        <f t="shared" ca="1" si="199"/>
        <v>1</v>
      </c>
      <c r="BE187" s="24" t="b">
        <f t="shared" ca="1" si="200"/>
        <v>1</v>
      </c>
      <c r="BF187" s="23">
        <f t="array" aca="1" ref="BF187" ca="1">SUM(IF(BD187,1,0)*IF(ap_start_date&lt;=AO187,1,0)*IF(ap_end_date&gt;=AO187,1,0)*ap_amount*(1+ap_escalation/100)^(INT((AP187-ap_months_since_start)/12))*IF(MOD(AP187-ap_months_since_start,ap_frequency)=0,1,0))</f>
        <v>40945.049600000006</v>
      </c>
      <c r="BG187" s="24">
        <f t="shared" ca="1" si="201"/>
        <v>491340.59520000016</v>
      </c>
      <c r="BH187" s="24">
        <f t="shared" ca="1" si="202"/>
        <v>47445.277088028488</v>
      </c>
      <c r="BI187">
        <f t="shared" ca="1" si="203"/>
        <v>0</v>
      </c>
      <c r="BJ187" s="24">
        <f t="shared" ca="1" si="204"/>
        <v>332116.93961619935</v>
      </c>
      <c r="BK187">
        <f t="shared" ca="1" si="205"/>
        <v>1</v>
      </c>
      <c r="BL187" s="25">
        <f t="shared" ca="1" si="206"/>
        <v>27676.411634683274</v>
      </c>
      <c r="BM187" s="32">
        <f t="shared" ca="1" si="185"/>
        <v>1883613.3371114589</v>
      </c>
      <c r="BN187" s="23">
        <f t="shared" ca="1" si="207"/>
        <v>0</v>
      </c>
      <c r="BO187" s="24">
        <f t="shared" ca="1" si="208"/>
        <v>0</v>
      </c>
      <c r="BP187" s="25">
        <f t="shared" ca="1" si="209"/>
        <v>0</v>
      </c>
      <c r="BQ187" s="34">
        <f t="shared" ca="1" si="210"/>
        <v>51104</v>
      </c>
      <c r="BR187" s="23">
        <f t="shared" ca="1" si="211"/>
        <v>1883613.3371114589</v>
      </c>
      <c r="BS187" s="24">
        <f t="shared" ca="1" si="212"/>
        <v>0</v>
      </c>
      <c r="BT187" s="24">
        <f t="shared" ca="1" si="221"/>
        <v>0</v>
      </c>
      <c r="BU187" s="24">
        <f t="shared" ca="1" si="213"/>
        <v>0</v>
      </c>
      <c r="BV187" s="24">
        <f t="shared" ca="1" si="222"/>
        <v>0</v>
      </c>
      <c r="BW187" s="24">
        <f t="shared" ca="1" si="214"/>
        <v>-27676.411634683274</v>
      </c>
      <c r="BX187" s="25">
        <f t="shared" ca="1" si="223"/>
        <v>-363488.11323743511</v>
      </c>
      <c r="BY187" s="23">
        <f t="shared" ca="1" si="186"/>
        <v>1045903.6229352861</v>
      </c>
      <c r="BZ187" s="24">
        <f t="shared" ca="1" si="187"/>
        <v>0</v>
      </c>
      <c r="CA187" s="24">
        <f t="shared" ca="1" si="224"/>
        <v>0</v>
      </c>
      <c r="CB187" s="24">
        <f t="shared" ca="1" si="188"/>
        <v>0</v>
      </c>
      <c r="CC187" s="24">
        <f t="shared" ca="1" si="225"/>
        <v>0</v>
      </c>
      <c r="CD187" s="24">
        <f t="shared" ca="1" si="189"/>
        <v>-15418.038888823772</v>
      </c>
      <c r="CE187" s="25">
        <f t="shared" ca="1" si="226"/>
        <v>-206207.7923223587</v>
      </c>
      <c r="CF187" s="23">
        <f t="shared" ca="1" si="227"/>
        <v>474017.68959999998</v>
      </c>
      <c r="CG187" s="25">
        <f t="array" aca="1" ref="CG187" ca="1">SUM(BF176:BF187/(1+inflation/100)^(AP176:AP187/12))</f>
        <v>267980.53702225373</v>
      </c>
      <c r="CH187" s="32">
        <f ca="1">IFERROR(IF(MOD(AP187-ap_months_since_start,12)=0,ap_drawdown/100*(AQ187+AV187+BA187-BC187),CH186),0)</f>
        <v>291682.40766093426</v>
      </c>
      <c r="EL187" s="21">
        <f t="shared" ca="1" si="229"/>
        <v>7</v>
      </c>
      <c r="EM187" t="str">
        <f t="shared" ref="EM187:EO187" ca="1" si="263">DR38</f>
        <v/>
      </c>
      <c r="EN187" t="str">
        <f t="shared" ca="1" si="263"/>
        <v/>
      </c>
      <c r="EO187" t="str">
        <f t="shared" ca="1" si="263"/>
        <v/>
      </c>
      <c r="EP187" t="str">
        <f t="shared" ca="1" si="231"/>
        <v/>
      </c>
      <c r="EQ187" t="str">
        <f t="shared" ca="1" si="232"/>
        <v/>
      </c>
      <c r="ER187" t="str">
        <f t="shared" ca="1" si="233"/>
        <v/>
      </c>
      <c r="ES187" t="str">
        <f t="shared" si="234"/>
        <v/>
      </c>
      <c r="ET187" t="str">
        <f t="shared" ca="1" si="235"/>
        <v/>
      </c>
      <c r="EU187" s="22">
        <v>178</v>
      </c>
      <c r="EX187" s="21" t="str">
        <f ca="1">IF(EX186="","",IF(EX186+1&lt;=MAX('Financial Planning Tool'!$EL$10:$EL$209),EX186+1,""))</f>
        <v/>
      </c>
      <c r="EY187" t="str">
        <f ca="1">IF(EX187&lt;&gt;"",VLOOKUP(EX187,'Financial Planning Tool'!$EL$10:$ER$209,2,FALSE),"")</f>
        <v/>
      </c>
      <c r="EZ187" t="str">
        <f ca="1">IF(EX187&lt;&gt;"",VLOOKUP(EX187,'Financial Planning Tool'!$EL$10:$ER$209,3,FALSE),"")</f>
        <v/>
      </c>
      <c r="FA187" t="str">
        <f ca="1">IF(EX187&lt;&gt;"",VLOOKUP(EX187,'Financial Planning Tool'!$EL$10:$ER$209,4,FALSE),"")</f>
        <v/>
      </c>
      <c r="FB187" t="str">
        <f t="shared" ca="1" si="220"/>
        <v/>
      </c>
      <c r="FC187" t="str">
        <f ca="1">IF(EX187&lt;&gt;"",VLOOKUP(EX187,'Financial Planning Tool'!$EL$10:$ER$209,5,FALSE),"")</f>
        <v/>
      </c>
      <c r="FD187" t="str">
        <f ca="1">IF(EX187&lt;&gt;"",VLOOKUP(EX187,'Financial Planning Tool'!$EL$10:$ER$209,6,FALSE),"")</f>
        <v/>
      </c>
      <c r="FE187" t="str">
        <f ca="1">IF(EX187&lt;&gt;"",VLOOKUP(EX187,'Financial Planning Tool'!$EL$10:$ER$209,7,FALSE),"")</f>
        <v/>
      </c>
      <c r="FF187" t="str">
        <f ca="1">IF(EX187&lt;&gt;"",VLOOKUP(EX187,'Financial Planning Tool'!$EL$10:$ES$209,8,FALSE),"")</f>
        <v/>
      </c>
      <c r="FG187" t="str">
        <f ca="1">IF(EX187&lt;&gt;"",VLOOKUP(EX187,'Financial Planning Tool'!$EL$10:$ET$209,9,FALSE),"")</f>
        <v/>
      </c>
      <c r="FH187" t="str">
        <f t="shared" ca="1" si="246"/>
        <v/>
      </c>
      <c r="FI187" s="22" t="str">
        <f t="shared" ca="1" si="247"/>
        <v/>
      </c>
    </row>
    <row r="188" spans="8:165" x14ac:dyDescent="0.25">
      <c r="AN188" s="32">
        <f t="shared" ca="1" si="184"/>
        <v>69.916666666666671</v>
      </c>
      <c r="AO188" s="53">
        <f t="shared" ca="1" si="215"/>
        <v>51105</v>
      </c>
      <c r="AP188" s="22">
        <v>181</v>
      </c>
      <c r="AQ188" s="32">
        <f t="shared" ca="1" si="216"/>
        <v>1883613.3371114589</v>
      </c>
      <c r="AR188" s="23">
        <f t="array" aca="1" ref="AR188" ca="1">SUM(IF(lsc_start_date=AO188,lsc_amount,0))</f>
        <v>0</v>
      </c>
      <c r="AS188" s="24">
        <f t="shared" ca="1" si="190"/>
        <v>0</v>
      </c>
      <c r="AT188" s="24">
        <f t="shared" ca="1" si="191"/>
        <v>0</v>
      </c>
      <c r="AU188" s="24">
        <f t="shared" ca="1" si="192"/>
        <v>0</v>
      </c>
      <c r="AV188" s="25">
        <f t="shared" ca="1" si="193"/>
        <v>0</v>
      </c>
      <c r="AW188" s="23">
        <f t="array" aca="1" ref="AW188" ca="1">SUM(IF(rcs_start_date&lt;=AO188,1,0)*IF(rcs_end_date&gt;=AO188,1,0)*rcs_amount*(1+rcs_escalation/100)^(INT((AP188-rcs_months_since_start)/12))*IF(MOD((AP188-rcs_months_since_start),rcs_frequency)=0,1,0)*IF(rcs_frequency=13,0,1))+SUM(IF(rcs_start_date=AO188,rcs_amount,0)*IF(rcs_frequency=13,1,0))</f>
        <v>0</v>
      </c>
      <c r="AX188" s="24">
        <f t="shared" ca="1" si="194"/>
        <v>0</v>
      </c>
      <c r="AY188" s="24">
        <f t="shared" ca="1" si="195"/>
        <v>0</v>
      </c>
      <c r="AZ188" s="24">
        <f t="shared" ca="1" si="196"/>
        <v>0</v>
      </c>
      <c r="BA188" s="25">
        <f t="shared" ca="1" si="197"/>
        <v>0</v>
      </c>
      <c r="BB188" s="23">
        <f t="array" aca="1" ref="BB188" ca="1">SUM(IF(w_start_date&lt;=AO188,1,0)*IF(w_end_date&gt;=AO188,1,0)*w_amount*(1+w_escalation/100)^(INT((AP188-w_months_since_start)/12))*IF(MOD(AP188-w_months_since_start,w_frequency)=0,1,0)*IF(w_frequency=13,0,1))+SUM(IF(w_start_date=AO188,w_amount,0)*IF(w_frequency=13,1,0))</f>
        <v>0</v>
      </c>
      <c r="BC188" s="25">
        <f t="shared" ca="1" si="198"/>
        <v>0</v>
      </c>
      <c r="BD188" s="24" t="b">
        <f t="shared" ca="1" si="199"/>
        <v>1</v>
      </c>
      <c r="BE188" s="24" t="b">
        <f t="shared" ca="1" si="200"/>
        <v>1</v>
      </c>
      <c r="BF188" s="23">
        <f t="array" aca="1" ref="BF188" ca="1">SUM(IF(BD188,1,0)*IF(ap_start_date&lt;=AO188,1,0)*IF(ap_end_date&gt;=AO188,1,0)*ap_amount*(1+ap_escalation/100)^(INT((AP188-ap_months_since_start)/12))*IF(MOD(AP188-ap_months_since_start,ap_frequency)=0,1,0))</f>
        <v>40945.049600000006</v>
      </c>
      <c r="BG188" s="24">
        <f t="shared" ca="1" si="201"/>
        <v>491340.59520000016</v>
      </c>
      <c r="BH188" s="24">
        <f t="shared" ca="1" si="202"/>
        <v>47445.277088028488</v>
      </c>
      <c r="BI188">
        <f t="shared" ca="1" si="203"/>
        <v>0</v>
      </c>
      <c r="BJ188" s="24">
        <f t="shared" ca="1" si="204"/>
        <v>332116.93961619935</v>
      </c>
      <c r="BK188">
        <f t="shared" ca="1" si="205"/>
        <v>1</v>
      </c>
      <c r="BL188" s="25">
        <f t="shared" ca="1" si="206"/>
        <v>27676.411634683274</v>
      </c>
      <c r="BM188" s="32">
        <f t="shared" ca="1" si="185"/>
        <v>1869313.2629530434</v>
      </c>
      <c r="BN188" s="23">
        <f t="shared" ca="1" si="207"/>
        <v>0</v>
      </c>
      <c r="BO188" s="24">
        <f t="shared" ca="1" si="208"/>
        <v>0</v>
      </c>
      <c r="BP188" s="25">
        <f t="shared" ca="1" si="209"/>
        <v>0</v>
      </c>
      <c r="BQ188" s="34">
        <f t="shared" ca="1" si="210"/>
        <v>51135</v>
      </c>
      <c r="BR188" s="23">
        <f t="shared" ca="1" si="211"/>
        <v>1869313.2629530434</v>
      </c>
      <c r="BS188" s="24">
        <f t="shared" ca="1" si="212"/>
        <v>0</v>
      </c>
      <c r="BT188" s="24">
        <f t="shared" ca="1" si="221"/>
        <v>0</v>
      </c>
      <c r="BU188" s="24">
        <f t="shared" ca="1" si="213"/>
        <v>0</v>
      </c>
      <c r="BV188" s="24">
        <f t="shared" ca="1" si="222"/>
        <v>0</v>
      </c>
      <c r="BW188" s="24">
        <f t="shared" ca="1" si="214"/>
        <v>-27676.411634683274</v>
      </c>
      <c r="BX188" s="25">
        <f t="shared" ca="1" si="223"/>
        <v>-360636.18836277729</v>
      </c>
      <c r="BY188" s="23">
        <f t="shared" ca="1" si="186"/>
        <v>1034576.3655632836</v>
      </c>
      <c r="BZ188" s="24">
        <f t="shared" ca="1" si="187"/>
        <v>0</v>
      </c>
      <c r="CA188" s="24">
        <f t="shared" ca="1" si="224"/>
        <v>0</v>
      </c>
      <c r="CB188" s="24">
        <f t="shared" ca="1" si="188"/>
        <v>0</v>
      </c>
      <c r="CC188" s="24">
        <f t="shared" ca="1" si="225"/>
        <v>0</v>
      </c>
      <c r="CD188" s="24">
        <f t="shared" ca="1" si="189"/>
        <v>-15367.7289432203</v>
      </c>
      <c r="CE188" s="25">
        <f t="shared" ca="1" si="226"/>
        <v>-203946.16761143529</v>
      </c>
      <c r="CF188" s="23">
        <f t="shared" ca="1" si="227"/>
        <v>475592.49920000002</v>
      </c>
      <c r="CG188" s="25">
        <f t="array" aca="1" ref="CG188" ca="1">SUM(BF177:BF188/(1+inflation/100)^(AP177:AP188/12))</f>
        <v>267980.53702225373</v>
      </c>
      <c r="CH188" s="32">
        <f ca="1">IFERROR(IF(MOD(AP188-ap_months_since_start,12)=0,ap_drawdown/100*(AQ188+AV188+BA188-BC188),CH187),0)</f>
        <v>291682.40766093426</v>
      </c>
      <c r="EL188" s="21">
        <f t="shared" ca="1" si="229"/>
        <v>7</v>
      </c>
      <c r="EM188" t="str">
        <f t="shared" ref="EM188:EO188" ca="1" si="264">DR39</f>
        <v/>
      </c>
      <c r="EN188" t="str">
        <f t="shared" ca="1" si="264"/>
        <v/>
      </c>
      <c r="EO188" t="str">
        <f t="shared" ca="1" si="264"/>
        <v/>
      </c>
      <c r="EP188" t="str">
        <f t="shared" ca="1" si="231"/>
        <v/>
      </c>
      <c r="EQ188" t="str">
        <f t="shared" ca="1" si="232"/>
        <v/>
      </c>
      <c r="ER188" t="str">
        <f t="shared" ca="1" si="233"/>
        <v/>
      </c>
      <c r="ES188" t="str">
        <f t="shared" si="234"/>
        <v/>
      </c>
      <c r="ET188" t="str">
        <f t="shared" ca="1" si="235"/>
        <v/>
      </c>
      <c r="EU188" s="22">
        <v>179</v>
      </c>
      <c r="EX188" s="21" t="str">
        <f ca="1">IF(EX187="","",IF(EX187+1&lt;=MAX('Financial Planning Tool'!$EL$10:$EL$209),EX187+1,""))</f>
        <v/>
      </c>
      <c r="EY188" t="str">
        <f ca="1">IF(EX188&lt;&gt;"",VLOOKUP(EX188,'Financial Planning Tool'!$EL$10:$ER$209,2,FALSE),"")</f>
        <v/>
      </c>
      <c r="EZ188" t="str">
        <f ca="1">IF(EX188&lt;&gt;"",VLOOKUP(EX188,'Financial Planning Tool'!$EL$10:$ER$209,3,FALSE),"")</f>
        <v/>
      </c>
      <c r="FA188" t="str">
        <f ca="1">IF(EX188&lt;&gt;"",VLOOKUP(EX188,'Financial Planning Tool'!$EL$10:$ER$209,4,FALSE),"")</f>
        <v/>
      </c>
      <c r="FB188" t="str">
        <f t="shared" ca="1" si="220"/>
        <v/>
      </c>
      <c r="FC188" t="str">
        <f ca="1">IF(EX188&lt;&gt;"",VLOOKUP(EX188,'Financial Planning Tool'!$EL$10:$ER$209,5,FALSE),"")</f>
        <v/>
      </c>
      <c r="FD188" t="str">
        <f ca="1">IF(EX188&lt;&gt;"",VLOOKUP(EX188,'Financial Planning Tool'!$EL$10:$ER$209,6,FALSE),"")</f>
        <v/>
      </c>
      <c r="FE188" t="str">
        <f ca="1">IF(EX188&lt;&gt;"",VLOOKUP(EX188,'Financial Planning Tool'!$EL$10:$ER$209,7,FALSE),"")</f>
        <v/>
      </c>
      <c r="FF188" t="str">
        <f ca="1">IF(EX188&lt;&gt;"",VLOOKUP(EX188,'Financial Planning Tool'!$EL$10:$ES$209,8,FALSE),"")</f>
        <v/>
      </c>
      <c r="FG188" t="str">
        <f ca="1">IF(EX188&lt;&gt;"",VLOOKUP(EX188,'Financial Planning Tool'!$EL$10:$ET$209,9,FALSE),"")</f>
        <v/>
      </c>
      <c r="FH188" t="str">
        <f t="shared" ca="1" si="246"/>
        <v/>
      </c>
      <c r="FI188" s="22" t="str">
        <f t="shared" ca="1" si="247"/>
        <v/>
      </c>
    </row>
    <row r="189" spans="8:165" x14ac:dyDescent="0.25">
      <c r="AN189" s="32">
        <f t="shared" ca="1" si="184"/>
        <v>70</v>
      </c>
      <c r="AO189" s="53">
        <f t="shared" ca="1" si="215"/>
        <v>51136</v>
      </c>
      <c r="AP189" s="22">
        <v>182</v>
      </c>
      <c r="AQ189" s="32">
        <f t="shared" ca="1" si="216"/>
        <v>1869313.2629530434</v>
      </c>
      <c r="AR189" s="23">
        <f t="array" aca="1" ref="AR189" ca="1">SUM(IF(lsc_start_date=AO189,lsc_amount,0))</f>
        <v>0</v>
      </c>
      <c r="AS189" s="24">
        <f t="shared" ca="1" si="190"/>
        <v>0</v>
      </c>
      <c r="AT189" s="24">
        <f t="shared" ca="1" si="191"/>
        <v>0</v>
      </c>
      <c r="AU189" s="24">
        <f t="shared" ca="1" si="192"/>
        <v>0</v>
      </c>
      <c r="AV189" s="25">
        <f t="shared" ca="1" si="193"/>
        <v>0</v>
      </c>
      <c r="AW189" s="23">
        <f t="array" aca="1" ref="AW189" ca="1">SUM(IF(rcs_start_date&lt;=AO189,1,0)*IF(rcs_end_date&gt;=AO189,1,0)*rcs_amount*(1+rcs_escalation/100)^(INT((AP189-rcs_months_since_start)/12))*IF(MOD((AP189-rcs_months_since_start),rcs_frequency)=0,1,0)*IF(rcs_frequency=13,0,1))+SUM(IF(rcs_start_date=AO189,rcs_amount,0)*IF(rcs_frequency=13,1,0))</f>
        <v>0</v>
      </c>
      <c r="AX189" s="24">
        <f t="shared" ca="1" si="194"/>
        <v>0</v>
      </c>
      <c r="AY189" s="24">
        <f t="shared" ca="1" si="195"/>
        <v>0</v>
      </c>
      <c r="AZ189" s="24">
        <f t="shared" ca="1" si="196"/>
        <v>0</v>
      </c>
      <c r="BA189" s="25">
        <f t="shared" ca="1" si="197"/>
        <v>0</v>
      </c>
      <c r="BB189" s="23">
        <f t="array" aca="1" ref="BB189" ca="1">SUM(IF(w_start_date&lt;=AO189,1,0)*IF(w_end_date&gt;=AO189,1,0)*w_amount*(1+w_escalation/100)^(INT((AP189-w_months_since_start)/12))*IF(MOD(AP189-w_months_since_start,w_frequency)=0,1,0)*IF(w_frequency=13,0,1))+SUM(IF(w_start_date=AO189,w_amount,0)*IF(w_frequency=13,1,0))</f>
        <v>0</v>
      </c>
      <c r="BC189" s="25">
        <f t="shared" ca="1" si="198"/>
        <v>0</v>
      </c>
      <c r="BD189" s="24" t="b">
        <f t="shared" ca="1" si="199"/>
        <v>1</v>
      </c>
      <c r="BE189" s="24" t="b">
        <f t="shared" ca="1" si="200"/>
        <v>1</v>
      </c>
      <c r="BF189" s="23">
        <f t="array" aca="1" ref="BF189" ca="1">SUM(IF(BD189,1,0)*IF(ap_start_date&lt;=AO189,1,0)*IF(ap_end_date&gt;=AO189,1,0)*ap_amount*(1+ap_escalation/100)^(INT((AP189-ap_months_since_start)/12))*IF(MOD(AP189-ap_months_since_start,ap_frequency)=0,1,0))</f>
        <v>40945.049600000006</v>
      </c>
      <c r="BG189" s="24">
        <f t="shared" ca="1" si="201"/>
        <v>491340.59520000016</v>
      </c>
      <c r="BH189" s="24">
        <f t="shared" ca="1" si="202"/>
        <v>47445.277088028488</v>
      </c>
      <c r="BI189">
        <f t="shared" ca="1" si="203"/>
        <v>0</v>
      </c>
      <c r="BJ189" s="24">
        <f t="shared" ca="1" si="204"/>
        <v>332116.93961619935</v>
      </c>
      <c r="BK189">
        <f t="shared" ca="1" si="205"/>
        <v>1</v>
      </c>
      <c r="BL189" s="25">
        <f t="shared" ca="1" si="206"/>
        <v>27676.411634683274</v>
      </c>
      <c r="BM189" s="32">
        <f t="shared" ca="1" si="185"/>
        <v>1854910.1235367234</v>
      </c>
      <c r="BN189" s="23">
        <f t="shared" ca="1" si="207"/>
        <v>0</v>
      </c>
      <c r="BO189" s="24">
        <f t="shared" ca="1" si="208"/>
        <v>0</v>
      </c>
      <c r="BP189" s="25">
        <f t="shared" ca="1" si="209"/>
        <v>0</v>
      </c>
      <c r="BQ189" s="34">
        <f t="shared" ca="1" si="210"/>
        <v>51166</v>
      </c>
      <c r="BR189" s="23">
        <f t="shared" ca="1" si="211"/>
        <v>1854910.1235367234</v>
      </c>
      <c r="BS189" s="24">
        <f t="shared" ca="1" si="212"/>
        <v>0</v>
      </c>
      <c r="BT189" s="24">
        <f t="shared" ca="1" si="221"/>
        <v>0</v>
      </c>
      <c r="BU189" s="24">
        <f t="shared" ca="1" si="213"/>
        <v>0</v>
      </c>
      <c r="BV189" s="24">
        <f t="shared" ca="1" si="222"/>
        <v>0</v>
      </c>
      <c r="BW189" s="24">
        <f t="shared" ca="1" si="214"/>
        <v>-27676.411634683274</v>
      </c>
      <c r="BX189" s="25">
        <f t="shared" ca="1" si="223"/>
        <v>-357784.26348811947</v>
      </c>
      <c r="BY189" s="23">
        <f t="shared" ca="1" si="186"/>
        <v>1023255.0392596466</v>
      </c>
      <c r="BZ189" s="24">
        <f t="shared" ca="1" si="187"/>
        <v>0</v>
      </c>
      <c r="CA189" s="24">
        <f t="shared" ca="1" si="224"/>
        <v>0</v>
      </c>
      <c r="CB189" s="24">
        <f t="shared" ca="1" si="188"/>
        <v>0</v>
      </c>
      <c r="CC189" s="24">
        <f t="shared" ca="1" si="225"/>
        <v>0</v>
      </c>
      <c r="CD189" s="24">
        <f t="shared" ca="1" si="189"/>
        <v>-15317.583161856193</v>
      </c>
      <c r="CE189" s="25">
        <f t="shared" ca="1" si="226"/>
        <v>-201691.92271171891</v>
      </c>
      <c r="CF189" s="23">
        <f t="shared" ca="1" si="227"/>
        <v>477167.30880000006</v>
      </c>
      <c r="CG189" s="25">
        <f t="array" aca="1" ref="CG189" ca="1">SUM(BF178:BF189/(1+inflation/100)^(AP178:AP189/12))</f>
        <v>267980.53702225379</v>
      </c>
      <c r="CH189" s="32">
        <f ca="1">IFERROR(IF(MOD(AP189-ap_months_since_start,12)=0,ap_drawdown/100*(AQ189+AV189+BA189-BC189),CH188),0)</f>
        <v>291682.40766093426</v>
      </c>
      <c r="EL189" s="21">
        <f t="shared" ca="1" si="229"/>
        <v>7</v>
      </c>
      <c r="EM189" t="str">
        <f t="shared" ref="EM189:EO189" ca="1" si="265">DR40</f>
        <v/>
      </c>
      <c r="EN189" t="str">
        <f t="shared" ca="1" si="265"/>
        <v/>
      </c>
      <c r="EO189" t="str">
        <f t="shared" ca="1" si="265"/>
        <v/>
      </c>
      <c r="EP189" t="str">
        <f t="shared" ca="1" si="231"/>
        <v/>
      </c>
      <c r="EQ189" t="str">
        <f t="shared" ca="1" si="232"/>
        <v/>
      </c>
      <c r="ER189" t="str">
        <f t="shared" ca="1" si="233"/>
        <v/>
      </c>
      <c r="ES189" t="str">
        <f t="shared" si="234"/>
        <v/>
      </c>
      <c r="ET189" t="str">
        <f t="shared" ca="1" si="235"/>
        <v/>
      </c>
      <c r="EU189" s="22">
        <v>180</v>
      </c>
      <c r="EX189" s="21" t="str">
        <f ca="1">IF(EX188="","",IF(EX188+1&lt;=MAX('Financial Planning Tool'!$EL$10:$EL$209),EX188+1,""))</f>
        <v/>
      </c>
      <c r="EY189" t="str">
        <f ca="1">IF(EX189&lt;&gt;"",VLOOKUP(EX189,'Financial Planning Tool'!$EL$10:$ER$209,2,FALSE),"")</f>
        <v/>
      </c>
      <c r="EZ189" t="str">
        <f ca="1">IF(EX189&lt;&gt;"",VLOOKUP(EX189,'Financial Planning Tool'!$EL$10:$ER$209,3,FALSE),"")</f>
        <v/>
      </c>
      <c r="FA189" t="str">
        <f ca="1">IF(EX189&lt;&gt;"",VLOOKUP(EX189,'Financial Planning Tool'!$EL$10:$ER$209,4,FALSE),"")</f>
        <v/>
      </c>
      <c r="FB189" t="str">
        <f t="shared" ca="1" si="220"/>
        <v/>
      </c>
      <c r="FC189" t="str">
        <f ca="1">IF(EX189&lt;&gt;"",VLOOKUP(EX189,'Financial Planning Tool'!$EL$10:$ER$209,5,FALSE),"")</f>
        <v/>
      </c>
      <c r="FD189" t="str">
        <f ca="1">IF(EX189&lt;&gt;"",VLOOKUP(EX189,'Financial Planning Tool'!$EL$10:$ER$209,6,FALSE),"")</f>
        <v/>
      </c>
      <c r="FE189" t="str">
        <f ca="1">IF(EX189&lt;&gt;"",VLOOKUP(EX189,'Financial Planning Tool'!$EL$10:$ER$209,7,FALSE),"")</f>
        <v/>
      </c>
      <c r="FF189" t="str">
        <f ca="1">IF(EX189&lt;&gt;"",VLOOKUP(EX189,'Financial Planning Tool'!$EL$10:$ES$209,8,FALSE),"")</f>
        <v/>
      </c>
      <c r="FG189" t="str">
        <f ca="1">IF(EX189&lt;&gt;"",VLOOKUP(EX189,'Financial Planning Tool'!$EL$10:$ET$209,9,FALSE),"")</f>
        <v/>
      </c>
      <c r="FH189" t="str">
        <f t="shared" ca="1" si="246"/>
        <v/>
      </c>
      <c r="FI189" s="22" t="str">
        <f t="shared" ca="1" si="247"/>
        <v/>
      </c>
    </row>
    <row r="190" spans="8:165" x14ac:dyDescent="0.25">
      <c r="AN190" s="32">
        <f t="shared" ca="1" si="184"/>
        <v>70.083333333333329</v>
      </c>
      <c r="AO190" s="53">
        <f t="shared" ca="1" si="215"/>
        <v>51167</v>
      </c>
      <c r="AP190" s="22">
        <v>183</v>
      </c>
      <c r="AQ190" s="32">
        <f t="shared" ca="1" si="216"/>
        <v>1854910.1235367234</v>
      </c>
      <c r="AR190" s="23">
        <f t="array" aca="1" ref="AR190" ca="1">SUM(IF(lsc_start_date=AO190,lsc_amount,0))</f>
        <v>0</v>
      </c>
      <c r="AS190" s="24">
        <f t="shared" ca="1" si="190"/>
        <v>0</v>
      </c>
      <c r="AT190" s="24">
        <f t="shared" ca="1" si="191"/>
        <v>0</v>
      </c>
      <c r="AU190" s="24">
        <f t="shared" ca="1" si="192"/>
        <v>0</v>
      </c>
      <c r="AV190" s="25">
        <f t="shared" ca="1" si="193"/>
        <v>0</v>
      </c>
      <c r="AW190" s="23">
        <f t="array" aca="1" ref="AW190" ca="1">SUM(IF(rcs_start_date&lt;=AO190,1,0)*IF(rcs_end_date&gt;=AO190,1,0)*rcs_amount*(1+rcs_escalation/100)^(INT((AP190-rcs_months_since_start)/12))*IF(MOD((AP190-rcs_months_since_start),rcs_frequency)=0,1,0)*IF(rcs_frequency=13,0,1))+SUM(IF(rcs_start_date=AO190,rcs_amount,0)*IF(rcs_frequency=13,1,0))</f>
        <v>0</v>
      </c>
      <c r="AX190" s="24">
        <f t="shared" ca="1" si="194"/>
        <v>0</v>
      </c>
      <c r="AY190" s="24">
        <f t="shared" ca="1" si="195"/>
        <v>0</v>
      </c>
      <c r="AZ190" s="24">
        <f t="shared" ca="1" si="196"/>
        <v>0</v>
      </c>
      <c r="BA190" s="25">
        <f t="shared" ca="1" si="197"/>
        <v>0</v>
      </c>
      <c r="BB190" s="23">
        <f t="array" aca="1" ref="BB190" ca="1">SUM(IF(w_start_date&lt;=AO190,1,0)*IF(w_end_date&gt;=AO190,1,0)*w_amount*(1+w_escalation/100)^(INT((AP190-w_months_since_start)/12))*IF(MOD(AP190-w_months_since_start,w_frequency)=0,1,0)*IF(w_frequency=13,0,1))+SUM(IF(w_start_date=AO190,w_amount,0)*IF(w_frequency=13,1,0))</f>
        <v>0</v>
      </c>
      <c r="BC190" s="25">
        <f t="shared" ca="1" si="198"/>
        <v>0</v>
      </c>
      <c r="BD190" s="24" t="b">
        <f t="shared" ca="1" si="199"/>
        <v>1</v>
      </c>
      <c r="BE190" s="24" t="b">
        <f t="shared" ca="1" si="200"/>
        <v>1</v>
      </c>
      <c r="BF190" s="23">
        <f t="array" aca="1" ref="BF190" ca="1">SUM(IF(BD190,1,0)*IF(ap_start_date&lt;=AO190,1,0)*IF(ap_end_date&gt;=AO190,1,0)*ap_amount*(1+ap_escalation/100)^(INT((AP190-ap_months_since_start)/12))*IF(MOD(AP190-ap_months_since_start,ap_frequency)=0,1,0))</f>
        <v>40945.049600000006</v>
      </c>
      <c r="BG190" s="24">
        <f t="shared" ca="1" si="201"/>
        <v>491340.59520000016</v>
      </c>
      <c r="BH190" s="24">
        <f t="shared" ca="1" si="202"/>
        <v>47445.277088028488</v>
      </c>
      <c r="BI190">
        <f t="shared" ca="1" si="203"/>
        <v>0</v>
      </c>
      <c r="BJ190" s="24">
        <f t="shared" ca="1" si="204"/>
        <v>332116.93961619935</v>
      </c>
      <c r="BK190">
        <f t="shared" ca="1" si="205"/>
        <v>1</v>
      </c>
      <c r="BL190" s="25">
        <f t="shared" ca="1" si="206"/>
        <v>27676.411634683274</v>
      </c>
      <c r="BM190" s="32">
        <f t="shared" ca="1" si="185"/>
        <v>1840403.1760378627</v>
      </c>
      <c r="BN190" s="23">
        <f t="shared" ca="1" si="207"/>
        <v>0</v>
      </c>
      <c r="BO190" s="24">
        <f t="shared" ca="1" si="208"/>
        <v>0</v>
      </c>
      <c r="BP190" s="25">
        <f t="shared" ca="1" si="209"/>
        <v>0</v>
      </c>
      <c r="BQ190" s="34">
        <f t="shared" ca="1" si="210"/>
        <v>51195</v>
      </c>
      <c r="BR190" s="23">
        <f t="shared" ca="1" si="211"/>
        <v>1840403.1760378627</v>
      </c>
      <c r="BS190" s="24">
        <f t="shared" ca="1" si="212"/>
        <v>0</v>
      </c>
      <c r="BT190" s="24">
        <f t="shared" ca="1" si="221"/>
        <v>0</v>
      </c>
      <c r="BU190" s="24">
        <f t="shared" ca="1" si="213"/>
        <v>0</v>
      </c>
      <c r="BV190" s="24">
        <f t="shared" ca="1" si="222"/>
        <v>0</v>
      </c>
      <c r="BW190" s="24">
        <f t="shared" ca="1" si="214"/>
        <v>-27676.411634683274</v>
      </c>
      <c r="BX190" s="25">
        <f t="shared" ca="1" si="223"/>
        <v>-354932.33861346164</v>
      </c>
      <c r="BY190" s="23">
        <f t="shared" ca="1" si="186"/>
        <v>1011939.5030084912</v>
      </c>
      <c r="BZ190" s="24">
        <f t="shared" ca="1" si="187"/>
        <v>0</v>
      </c>
      <c r="CA190" s="24">
        <f t="shared" ca="1" si="224"/>
        <v>0</v>
      </c>
      <c r="CB190" s="24">
        <f t="shared" ca="1" si="188"/>
        <v>0</v>
      </c>
      <c r="CC190" s="24">
        <f t="shared" ca="1" si="225"/>
        <v>0</v>
      </c>
      <c r="CD190" s="24">
        <f t="shared" ca="1" si="189"/>
        <v>-15267.601009054115</v>
      </c>
      <c r="CE190" s="25">
        <f t="shared" ca="1" si="226"/>
        <v>-199445.03354246213</v>
      </c>
      <c r="CF190" s="23">
        <f t="shared" ca="1" si="227"/>
        <v>478742.11840000009</v>
      </c>
      <c r="CG190" s="25">
        <f t="array" aca="1" ref="CG190" ca="1">SUM(BF179:BF190/(1+inflation/100)^(AP179:AP190/12))</f>
        <v>267980.53702225373</v>
      </c>
      <c r="CH190" s="32">
        <f ca="1">IFERROR(IF(MOD(AP190-ap_months_since_start,12)=0,ap_drawdown/100*(AQ190+AV190+BA190-BC190),CH189),0)</f>
        <v>291682.40766093426</v>
      </c>
      <c r="EL190" s="21">
        <f t="shared" ca="1" si="229"/>
        <v>7</v>
      </c>
      <c r="EM190" t="str">
        <f t="shared" ref="EM190:EO190" ca="1" si="266">DR41</f>
        <v/>
      </c>
      <c r="EN190" t="str">
        <f t="shared" ca="1" si="266"/>
        <v/>
      </c>
      <c r="EO190" t="str">
        <f t="shared" ca="1" si="266"/>
        <v/>
      </c>
      <c r="EP190" t="str">
        <f t="shared" ca="1" si="231"/>
        <v/>
      </c>
      <c r="EQ190" t="str">
        <f t="shared" ca="1" si="232"/>
        <v/>
      </c>
      <c r="ER190" t="str">
        <f t="shared" ca="1" si="233"/>
        <v/>
      </c>
      <c r="ES190" t="str">
        <f t="shared" si="234"/>
        <v/>
      </c>
      <c r="ET190" t="str">
        <f t="shared" ca="1" si="235"/>
        <v/>
      </c>
      <c r="EU190" s="22">
        <v>181</v>
      </c>
      <c r="EX190" s="21" t="str">
        <f ca="1">IF(EX189="","",IF(EX189+1&lt;=MAX('Financial Planning Tool'!$EL$10:$EL$209),EX189+1,""))</f>
        <v/>
      </c>
      <c r="EY190" t="str">
        <f ca="1">IF(EX190&lt;&gt;"",VLOOKUP(EX190,'Financial Planning Tool'!$EL$10:$ER$209,2,FALSE),"")</f>
        <v/>
      </c>
      <c r="EZ190" t="str">
        <f ca="1">IF(EX190&lt;&gt;"",VLOOKUP(EX190,'Financial Planning Tool'!$EL$10:$ER$209,3,FALSE),"")</f>
        <v/>
      </c>
      <c r="FA190" t="str">
        <f ca="1">IF(EX190&lt;&gt;"",VLOOKUP(EX190,'Financial Planning Tool'!$EL$10:$ER$209,4,FALSE),"")</f>
        <v/>
      </c>
      <c r="FB190" t="str">
        <f t="shared" ca="1" si="220"/>
        <v/>
      </c>
      <c r="FC190" t="str">
        <f ca="1">IF(EX190&lt;&gt;"",VLOOKUP(EX190,'Financial Planning Tool'!$EL$10:$ER$209,5,FALSE),"")</f>
        <v/>
      </c>
      <c r="FD190" t="str">
        <f ca="1">IF(EX190&lt;&gt;"",VLOOKUP(EX190,'Financial Planning Tool'!$EL$10:$ER$209,6,FALSE),"")</f>
        <v/>
      </c>
      <c r="FE190" t="str">
        <f ca="1">IF(EX190&lt;&gt;"",VLOOKUP(EX190,'Financial Planning Tool'!$EL$10:$ER$209,7,FALSE),"")</f>
        <v/>
      </c>
      <c r="FF190" t="str">
        <f ca="1">IF(EX190&lt;&gt;"",VLOOKUP(EX190,'Financial Planning Tool'!$EL$10:$ES$209,8,FALSE),"")</f>
        <v/>
      </c>
      <c r="FG190" t="str">
        <f ca="1">IF(EX190&lt;&gt;"",VLOOKUP(EX190,'Financial Planning Tool'!$EL$10:$ET$209,9,FALSE),"")</f>
        <v/>
      </c>
      <c r="FH190" t="str">
        <f t="shared" ca="1" si="246"/>
        <v/>
      </c>
      <c r="FI190" s="22" t="str">
        <f t="shared" ca="1" si="247"/>
        <v/>
      </c>
    </row>
    <row r="191" spans="8:165" x14ac:dyDescent="0.25">
      <c r="AN191" s="32">
        <f t="shared" ca="1" si="184"/>
        <v>70.166666666666671</v>
      </c>
      <c r="AO191" s="53">
        <f t="shared" ca="1" si="215"/>
        <v>51196</v>
      </c>
      <c r="AP191" s="22">
        <v>184</v>
      </c>
      <c r="AQ191" s="32">
        <f t="shared" ca="1" si="216"/>
        <v>1840403.1760378627</v>
      </c>
      <c r="AR191" s="23">
        <f t="array" aca="1" ref="AR191" ca="1">SUM(IF(lsc_start_date=AO191,lsc_amount,0))</f>
        <v>0</v>
      </c>
      <c r="AS191" s="24">
        <f t="shared" ca="1" si="190"/>
        <v>0</v>
      </c>
      <c r="AT191" s="24">
        <f t="shared" ca="1" si="191"/>
        <v>0</v>
      </c>
      <c r="AU191" s="24">
        <f t="shared" ca="1" si="192"/>
        <v>0</v>
      </c>
      <c r="AV191" s="25">
        <f t="shared" ca="1" si="193"/>
        <v>0</v>
      </c>
      <c r="AW191" s="23">
        <f t="array" aca="1" ref="AW191" ca="1">SUM(IF(rcs_start_date&lt;=AO191,1,0)*IF(rcs_end_date&gt;=AO191,1,0)*rcs_amount*(1+rcs_escalation/100)^(INT((AP191-rcs_months_since_start)/12))*IF(MOD((AP191-rcs_months_since_start),rcs_frequency)=0,1,0)*IF(rcs_frequency=13,0,1))+SUM(IF(rcs_start_date=AO191,rcs_amount,0)*IF(rcs_frequency=13,1,0))</f>
        <v>0</v>
      </c>
      <c r="AX191" s="24">
        <f t="shared" ca="1" si="194"/>
        <v>0</v>
      </c>
      <c r="AY191" s="24">
        <f t="shared" ca="1" si="195"/>
        <v>0</v>
      </c>
      <c r="AZ191" s="24">
        <f t="shared" ca="1" si="196"/>
        <v>0</v>
      </c>
      <c r="BA191" s="25">
        <f t="shared" ca="1" si="197"/>
        <v>0</v>
      </c>
      <c r="BB191" s="23">
        <f t="array" aca="1" ref="BB191" ca="1">SUM(IF(w_start_date&lt;=AO191,1,0)*IF(w_end_date&gt;=AO191,1,0)*w_amount*(1+w_escalation/100)^(INT((AP191-w_months_since_start)/12))*IF(MOD(AP191-w_months_since_start,w_frequency)=0,1,0)*IF(w_frequency=13,0,1))+SUM(IF(w_start_date=AO191,w_amount,0)*IF(w_frequency=13,1,0))</f>
        <v>0</v>
      </c>
      <c r="BC191" s="25">
        <f t="shared" ca="1" si="198"/>
        <v>0</v>
      </c>
      <c r="BD191" s="24" t="b">
        <f t="shared" ca="1" si="199"/>
        <v>1</v>
      </c>
      <c r="BE191" s="24" t="b">
        <f t="shared" ca="1" si="200"/>
        <v>1</v>
      </c>
      <c r="BF191" s="23">
        <f t="array" aca="1" ref="BF191" ca="1">SUM(IF(BD191,1,0)*IF(ap_start_date&lt;=AO191,1,0)*IF(ap_end_date&gt;=AO191,1,0)*ap_amount*(1+ap_escalation/100)^(INT((AP191-ap_months_since_start)/12))*IF(MOD(AP191-ap_months_since_start,ap_frequency)=0,1,0))</f>
        <v>40945.049600000006</v>
      </c>
      <c r="BG191" s="24">
        <f t="shared" ca="1" si="201"/>
        <v>491340.59520000016</v>
      </c>
      <c r="BH191" s="24">
        <f t="shared" ca="1" si="202"/>
        <v>47445.277088028488</v>
      </c>
      <c r="BI191">
        <f t="shared" ca="1" si="203"/>
        <v>0</v>
      </c>
      <c r="BJ191" s="24">
        <f t="shared" ca="1" si="204"/>
        <v>332116.93961619935</v>
      </c>
      <c r="BK191">
        <f t="shared" ca="1" si="205"/>
        <v>1</v>
      </c>
      <c r="BL191" s="25">
        <f t="shared" ca="1" si="206"/>
        <v>27676.411634683274</v>
      </c>
      <c r="BM191" s="32">
        <f t="shared" ca="1" si="185"/>
        <v>1825791.6722780473</v>
      </c>
      <c r="BN191" s="23">
        <f t="shared" ca="1" si="207"/>
        <v>0</v>
      </c>
      <c r="BO191" s="24">
        <f t="shared" ca="1" si="208"/>
        <v>0</v>
      </c>
      <c r="BP191" s="25">
        <f t="shared" ca="1" si="209"/>
        <v>0</v>
      </c>
      <c r="BQ191" s="34">
        <f t="shared" ca="1" si="210"/>
        <v>51226</v>
      </c>
      <c r="BR191" s="23">
        <f t="shared" ca="1" si="211"/>
        <v>1825791.6722780473</v>
      </c>
      <c r="BS191" s="24">
        <f t="shared" ca="1" si="212"/>
        <v>0</v>
      </c>
      <c r="BT191" s="24">
        <f t="shared" ca="1" si="221"/>
        <v>0</v>
      </c>
      <c r="BU191" s="24">
        <f t="shared" ca="1" si="213"/>
        <v>0</v>
      </c>
      <c r="BV191" s="24">
        <f t="shared" ca="1" si="222"/>
        <v>0</v>
      </c>
      <c r="BW191" s="24">
        <f t="shared" ca="1" si="214"/>
        <v>-27676.411634683274</v>
      </c>
      <c r="BX191" s="25">
        <f t="shared" ca="1" si="223"/>
        <v>-352080.41373880382</v>
      </c>
      <c r="BY191" s="23">
        <f t="shared" ca="1" si="186"/>
        <v>1000629.615777069</v>
      </c>
      <c r="BZ191" s="24">
        <f t="shared" ca="1" si="187"/>
        <v>0</v>
      </c>
      <c r="CA191" s="24">
        <f t="shared" ca="1" si="224"/>
        <v>0</v>
      </c>
      <c r="CB191" s="24">
        <f t="shared" ca="1" si="188"/>
        <v>0</v>
      </c>
      <c r="CC191" s="24">
        <f t="shared" ca="1" si="225"/>
        <v>0</v>
      </c>
      <c r="CD191" s="24">
        <f t="shared" ca="1" si="189"/>
        <v>-15217.781950884675</v>
      </c>
      <c r="CE191" s="25">
        <f t="shared" ca="1" si="226"/>
        <v>-197205.47610149437</v>
      </c>
      <c r="CF191" s="23">
        <f t="shared" ca="1" si="227"/>
        <v>480316.92800000013</v>
      </c>
      <c r="CG191" s="25">
        <f t="array" aca="1" ref="CG191" ca="1">SUM(BF180:BF191/(1+inflation/100)^(AP180:AP191/12))</f>
        <v>267980.53702225373</v>
      </c>
      <c r="CH191" s="32">
        <f ca="1">IFERROR(IF(MOD(AP191-ap_months_since_start,12)=0,ap_drawdown/100*(AQ191+AV191+BA191-BC191),CH190),0)</f>
        <v>291682.40766093426</v>
      </c>
      <c r="EL191" s="21">
        <f t="shared" ca="1" si="229"/>
        <v>7</v>
      </c>
      <c r="EM191" t="str">
        <f t="shared" ref="EM191:EO191" ca="1" si="267">DR42</f>
        <v/>
      </c>
      <c r="EN191" t="str">
        <f t="shared" ca="1" si="267"/>
        <v/>
      </c>
      <c r="EO191" t="str">
        <f t="shared" ca="1" si="267"/>
        <v/>
      </c>
      <c r="EP191" t="str">
        <f t="shared" ca="1" si="231"/>
        <v/>
      </c>
      <c r="EQ191" t="str">
        <f t="shared" ca="1" si="232"/>
        <v/>
      </c>
      <c r="ER191" t="str">
        <f t="shared" ca="1" si="233"/>
        <v/>
      </c>
      <c r="ES191" t="str">
        <f t="shared" si="234"/>
        <v/>
      </c>
      <c r="ET191" t="str">
        <f t="shared" ca="1" si="235"/>
        <v/>
      </c>
      <c r="EU191" s="22">
        <v>182</v>
      </c>
      <c r="EX191" s="21" t="str">
        <f ca="1">IF(EX190="","",IF(EX190+1&lt;=MAX('Financial Planning Tool'!$EL$10:$EL$209),EX190+1,""))</f>
        <v/>
      </c>
      <c r="EY191" t="str">
        <f ca="1">IF(EX191&lt;&gt;"",VLOOKUP(EX191,'Financial Planning Tool'!$EL$10:$ER$209,2,FALSE),"")</f>
        <v/>
      </c>
      <c r="EZ191" t="str">
        <f ca="1">IF(EX191&lt;&gt;"",VLOOKUP(EX191,'Financial Planning Tool'!$EL$10:$ER$209,3,FALSE),"")</f>
        <v/>
      </c>
      <c r="FA191" t="str">
        <f ca="1">IF(EX191&lt;&gt;"",VLOOKUP(EX191,'Financial Planning Tool'!$EL$10:$ER$209,4,FALSE),"")</f>
        <v/>
      </c>
      <c r="FB191" t="str">
        <f t="shared" ca="1" si="220"/>
        <v/>
      </c>
      <c r="FC191" t="str">
        <f ca="1">IF(EX191&lt;&gt;"",VLOOKUP(EX191,'Financial Planning Tool'!$EL$10:$ER$209,5,FALSE),"")</f>
        <v/>
      </c>
      <c r="FD191" t="str">
        <f ca="1">IF(EX191&lt;&gt;"",VLOOKUP(EX191,'Financial Planning Tool'!$EL$10:$ER$209,6,FALSE),"")</f>
        <v/>
      </c>
      <c r="FE191" t="str">
        <f ca="1">IF(EX191&lt;&gt;"",VLOOKUP(EX191,'Financial Planning Tool'!$EL$10:$ER$209,7,FALSE),"")</f>
        <v/>
      </c>
      <c r="FF191" t="str">
        <f ca="1">IF(EX191&lt;&gt;"",VLOOKUP(EX191,'Financial Planning Tool'!$EL$10:$ES$209,8,FALSE),"")</f>
        <v/>
      </c>
      <c r="FG191" t="str">
        <f ca="1">IF(EX191&lt;&gt;"",VLOOKUP(EX191,'Financial Planning Tool'!$EL$10:$ET$209,9,FALSE),"")</f>
        <v/>
      </c>
      <c r="FH191" t="str">
        <f t="shared" ca="1" si="246"/>
        <v/>
      </c>
      <c r="FI191" s="22" t="str">
        <f t="shared" ca="1" si="247"/>
        <v/>
      </c>
    </row>
    <row r="192" spans="8:165" x14ac:dyDescent="0.25">
      <c r="AN192" s="32">
        <f t="shared" ca="1" si="184"/>
        <v>70.25</v>
      </c>
      <c r="AO192" s="53">
        <f t="shared" ca="1" si="215"/>
        <v>51227</v>
      </c>
      <c r="AP192" s="22">
        <v>185</v>
      </c>
      <c r="AQ192" s="32">
        <f t="shared" ca="1" si="216"/>
        <v>1825791.6722780473</v>
      </c>
      <c r="AR192" s="23">
        <f t="array" aca="1" ref="AR192" ca="1">SUM(IF(lsc_start_date=AO192,lsc_amount,0))</f>
        <v>0</v>
      </c>
      <c r="AS192" s="24">
        <f t="shared" ca="1" si="190"/>
        <v>0</v>
      </c>
      <c r="AT192" s="24">
        <f t="shared" ca="1" si="191"/>
        <v>0</v>
      </c>
      <c r="AU192" s="24">
        <f t="shared" ca="1" si="192"/>
        <v>0</v>
      </c>
      <c r="AV192" s="25">
        <f t="shared" ca="1" si="193"/>
        <v>0</v>
      </c>
      <c r="AW192" s="23">
        <f t="array" aca="1" ref="AW192" ca="1">SUM(IF(rcs_start_date&lt;=AO192,1,0)*IF(rcs_end_date&gt;=AO192,1,0)*rcs_amount*(1+rcs_escalation/100)^(INT((AP192-rcs_months_since_start)/12))*IF(MOD((AP192-rcs_months_since_start),rcs_frequency)=0,1,0)*IF(rcs_frequency=13,0,1))+SUM(IF(rcs_start_date=AO192,rcs_amount,0)*IF(rcs_frequency=13,1,0))</f>
        <v>0</v>
      </c>
      <c r="AX192" s="24">
        <f t="shared" ca="1" si="194"/>
        <v>0</v>
      </c>
      <c r="AY192" s="24">
        <f t="shared" ca="1" si="195"/>
        <v>0</v>
      </c>
      <c r="AZ192" s="24">
        <f t="shared" ca="1" si="196"/>
        <v>0</v>
      </c>
      <c r="BA192" s="25">
        <f t="shared" ca="1" si="197"/>
        <v>0</v>
      </c>
      <c r="BB192" s="23">
        <f t="array" aca="1" ref="BB192" ca="1">SUM(IF(w_start_date&lt;=AO192,1,0)*IF(w_end_date&gt;=AO192,1,0)*w_amount*(1+w_escalation/100)^(INT((AP192-w_months_since_start)/12))*IF(MOD(AP192-w_months_since_start,w_frequency)=0,1,0)*IF(w_frequency=13,0,1))+SUM(IF(w_start_date=AO192,w_amount,0)*IF(w_frequency=13,1,0))</f>
        <v>0</v>
      </c>
      <c r="BC192" s="25">
        <f t="shared" ca="1" si="198"/>
        <v>0</v>
      </c>
      <c r="BD192" s="24" t="b">
        <f t="shared" ca="1" si="199"/>
        <v>1</v>
      </c>
      <c r="BE192" s="24" t="b">
        <f t="shared" ca="1" si="200"/>
        <v>1</v>
      </c>
      <c r="BF192" s="23">
        <f t="array" aca="1" ref="BF192" ca="1">SUM(IF(BD192,1,0)*IF(ap_start_date&lt;=AO192,1,0)*IF(ap_end_date&gt;=AO192,1,0)*ap_amount*(1+ap_escalation/100)^(INT((AP192-ap_months_since_start)/12))*IF(MOD(AP192-ap_months_since_start,ap_frequency)=0,1,0))</f>
        <v>40945.049600000006</v>
      </c>
      <c r="BG192" s="24">
        <f t="shared" ca="1" si="201"/>
        <v>491340.59520000016</v>
      </c>
      <c r="BH192" s="24">
        <f t="shared" ca="1" si="202"/>
        <v>47445.277088028488</v>
      </c>
      <c r="BI192">
        <f t="shared" ca="1" si="203"/>
        <v>0</v>
      </c>
      <c r="BJ192" s="24">
        <f t="shared" ca="1" si="204"/>
        <v>332116.93961619935</v>
      </c>
      <c r="BK192">
        <f t="shared" ca="1" si="205"/>
        <v>1</v>
      </c>
      <c r="BL192" s="25">
        <f t="shared" ca="1" si="206"/>
        <v>27676.411634683274</v>
      </c>
      <c r="BM192" s="32">
        <f t="shared" ca="1" si="185"/>
        <v>1811074.8586865</v>
      </c>
      <c r="BN192" s="23">
        <f t="shared" ca="1" si="207"/>
        <v>0</v>
      </c>
      <c r="BO192" s="24">
        <f t="shared" ca="1" si="208"/>
        <v>0</v>
      </c>
      <c r="BP192" s="25">
        <f t="shared" ca="1" si="209"/>
        <v>0</v>
      </c>
      <c r="BQ192" s="34">
        <f t="shared" ca="1" si="210"/>
        <v>51256</v>
      </c>
      <c r="BR192" s="23">
        <f t="shared" ca="1" si="211"/>
        <v>1811074.8586865</v>
      </c>
      <c r="BS192" s="24">
        <f t="shared" ca="1" si="212"/>
        <v>0</v>
      </c>
      <c r="BT192" s="24">
        <f t="shared" ca="1" si="221"/>
        <v>0</v>
      </c>
      <c r="BU192" s="24">
        <f t="shared" ca="1" si="213"/>
        <v>0</v>
      </c>
      <c r="BV192" s="24">
        <f t="shared" ca="1" si="222"/>
        <v>0</v>
      </c>
      <c r="BW192" s="24">
        <f t="shared" ca="1" si="214"/>
        <v>-27676.411634683274</v>
      </c>
      <c r="BX192" s="25">
        <f t="shared" ca="1" si="223"/>
        <v>-349228.488864146</v>
      </c>
      <c r="BY192" s="23">
        <f t="shared" ca="1" si="186"/>
        <v>989325.23651395133</v>
      </c>
      <c r="BZ192" s="24">
        <f t="shared" ca="1" si="187"/>
        <v>0</v>
      </c>
      <c r="CA192" s="24">
        <f t="shared" ca="1" si="224"/>
        <v>0</v>
      </c>
      <c r="CB192" s="24">
        <f t="shared" ca="1" si="188"/>
        <v>0</v>
      </c>
      <c r="CC192" s="24">
        <f t="shared" ca="1" si="225"/>
        <v>0</v>
      </c>
      <c r="CD192" s="24">
        <f t="shared" ca="1" si="189"/>
        <v>-15168.125455160731</v>
      </c>
      <c r="CE192" s="25">
        <f t="shared" ca="1" si="226"/>
        <v>-194973.2264649655</v>
      </c>
      <c r="CF192" s="23">
        <f t="shared" ca="1" si="227"/>
        <v>481891.73760000017</v>
      </c>
      <c r="CG192" s="25">
        <f t="array" aca="1" ref="CG192" ca="1">SUM(BF181:BF192/(1+inflation/100)^(AP181:AP192/12))</f>
        <v>267980.53702225367</v>
      </c>
      <c r="CH192" s="32">
        <f ca="1">IFERROR(IF(MOD(AP192-ap_months_since_start,12)=0,ap_drawdown/100*(AQ192+AV192+BA192-BC192),CH191),0)</f>
        <v>291682.40766093426</v>
      </c>
      <c r="EL192" s="21">
        <f t="shared" ca="1" si="229"/>
        <v>7</v>
      </c>
      <c r="EM192" t="str">
        <f t="shared" ref="EM192:EO192" ca="1" si="268">DR43</f>
        <v/>
      </c>
      <c r="EN192" t="str">
        <f t="shared" ca="1" si="268"/>
        <v/>
      </c>
      <c r="EO192" t="str">
        <f t="shared" ca="1" si="268"/>
        <v/>
      </c>
      <c r="EP192" t="str">
        <f t="shared" ca="1" si="231"/>
        <v/>
      </c>
      <c r="EQ192" t="str">
        <f t="shared" ca="1" si="232"/>
        <v/>
      </c>
      <c r="ER192" t="str">
        <f t="shared" ca="1" si="233"/>
        <v/>
      </c>
      <c r="ES192" t="str">
        <f t="shared" si="234"/>
        <v/>
      </c>
      <c r="ET192" t="str">
        <f t="shared" ca="1" si="235"/>
        <v/>
      </c>
      <c r="EU192" s="22">
        <v>183</v>
      </c>
      <c r="EX192" s="21" t="str">
        <f ca="1">IF(EX191="","",IF(EX191+1&lt;=MAX('Financial Planning Tool'!$EL$10:$EL$209),EX191+1,""))</f>
        <v/>
      </c>
      <c r="EY192" t="str">
        <f ca="1">IF(EX192&lt;&gt;"",VLOOKUP(EX192,'Financial Planning Tool'!$EL$10:$ER$209,2,FALSE),"")</f>
        <v/>
      </c>
      <c r="EZ192" t="str">
        <f ca="1">IF(EX192&lt;&gt;"",VLOOKUP(EX192,'Financial Planning Tool'!$EL$10:$ER$209,3,FALSE),"")</f>
        <v/>
      </c>
      <c r="FA192" t="str">
        <f ca="1">IF(EX192&lt;&gt;"",VLOOKUP(EX192,'Financial Planning Tool'!$EL$10:$ER$209,4,FALSE),"")</f>
        <v/>
      </c>
      <c r="FB192" t="str">
        <f t="shared" ca="1" si="220"/>
        <v/>
      </c>
      <c r="FC192" t="str">
        <f ca="1">IF(EX192&lt;&gt;"",VLOOKUP(EX192,'Financial Planning Tool'!$EL$10:$ER$209,5,FALSE),"")</f>
        <v/>
      </c>
      <c r="FD192" t="str">
        <f ca="1">IF(EX192&lt;&gt;"",VLOOKUP(EX192,'Financial Planning Tool'!$EL$10:$ER$209,6,FALSE),"")</f>
        <v/>
      </c>
      <c r="FE192" t="str">
        <f ca="1">IF(EX192&lt;&gt;"",VLOOKUP(EX192,'Financial Planning Tool'!$EL$10:$ER$209,7,FALSE),"")</f>
        <v/>
      </c>
      <c r="FF192" t="str">
        <f ca="1">IF(EX192&lt;&gt;"",VLOOKUP(EX192,'Financial Planning Tool'!$EL$10:$ES$209,8,FALSE),"")</f>
        <v/>
      </c>
      <c r="FG192" t="str">
        <f ca="1">IF(EX192&lt;&gt;"",VLOOKUP(EX192,'Financial Planning Tool'!$EL$10:$ET$209,9,FALSE),"")</f>
        <v/>
      </c>
      <c r="FH192" t="str">
        <f t="shared" ca="1" si="246"/>
        <v/>
      </c>
      <c r="FI192" s="22" t="str">
        <f t="shared" ca="1" si="247"/>
        <v/>
      </c>
    </row>
    <row r="193" spans="40:165" x14ac:dyDescent="0.25">
      <c r="AN193" s="32">
        <f t="shared" ca="1" si="184"/>
        <v>70.333333333333329</v>
      </c>
      <c r="AO193" s="53">
        <f t="shared" ca="1" si="215"/>
        <v>51257</v>
      </c>
      <c r="AP193" s="22">
        <v>186</v>
      </c>
      <c r="AQ193" s="32">
        <f t="shared" ca="1" si="216"/>
        <v>1811074.8586865</v>
      </c>
      <c r="AR193" s="23">
        <f t="array" aca="1" ref="AR193" ca="1">SUM(IF(lsc_start_date=AO193,lsc_amount,0))</f>
        <v>0</v>
      </c>
      <c r="AS193" s="24">
        <f t="shared" ca="1" si="190"/>
        <v>0</v>
      </c>
      <c r="AT193" s="24">
        <f t="shared" ca="1" si="191"/>
        <v>0</v>
      </c>
      <c r="AU193" s="24">
        <f t="shared" ca="1" si="192"/>
        <v>0</v>
      </c>
      <c r="AV193" s="25">
        <f t="shared" ca="1" si="193"/>
        <v>0</v>
      </c>
      <c r="AW193" s="23">
        <f t="array" aca="1" ref="AW193" ca="1">SUM(IF(rcs_start_date&lt;=AO193,1,0)*IF(rcs_end_date&gt;=AO193,1,0)*rcs_amount*(1+rcs_escalation/100)^(INT((AP193-rcs_months_since_start)/12))*IF(MOD((AP193-rcs_months_since_start),rcs_frequency)=0,1,0)*IF(rcs_frequency=13,0,1))+SUM(IF(rcs_start_date=AO193,rcs_amount,0)*IF(rcs_frequency=13,1,0))</f>
        <v>0</v>
      </c>
      <c r="AX193" s="24">
        <f t="shared" ca="1" si="194"/>
        <v>0</v>
      </c>
      <c r="AY193" s="24">
        <f t="shared" ca="1" si="195"/>
        <v>0</v>
      </c>
      <c r="AZ193" s="24">
        <f t="shared" ca="1" si="196"/>
        <v>0</v>
      </c>
      <c r="BA193" s="25">
        <f t="shared" ca="1" si="197"/>
        <v>0</v>
      </c>
      <c r="BB193" s="23">
        <f t="array" aca="1" ref="BB193" ca="1">SUM(IF(w_start_date&lt;=AO193,1,0)*IF(w_end_date&gt;=AO193,1,0)*w_amount*(1+w_escalation/100)^(INT((AP193-w_months_since_start)/12))*IF(MOD(AP193-w_months_since_start,w_frequency)=0,1,0)*IF(w_frequency=13,0,1))+SUM(IF(w_start_date=AO193,w_amount,0)*IF(w_frequency=13,1,0))</f>
        <v>0</v>
      </c>
      <c r="BC193" s="25">
        <f t="shared" ca="1" si="198"/>
        <v>0</v>
      </c>
      <c r="BD193" s="24" t="b">
        <f t="shared" ca="1" si="199"/>
        <v>1</v>
      </c>
      <c r="BE193" s="24" t="b">
        <f t="shared" ca="1" si="200"/>
        <v>1</v>
      </c>
      <c r="BF193" s="23">
        <f t="array" aca="1" ref="BF193" ca="1">SUM(IF(BD193,1,0)*IF(ap_start_date&lt;=AO193,1,0)*IF(ap_end_date&gt;=AO193,1,0)*ap_amount*(1+ap_escalation/100)^(INT((AP193-ap_months_since_start)/12))*IF(MOD(AP193-ap_months_since_start,ap_frequency)=0,1,0))</f>
        <v>40945.049600000006</v>
      </c>
      <c r="BG193" s="24">
        <f t="shared" ca="1" si="201"/>
        <v>491340.59520000016</v>
      </c>
      <c r="BH193" s="24">
        <f t="shared" ca="1" si="202"/>
        <v>47445.277088028488</v>
      </c>
      <c r="BI193">
        <f t="shared" ca="1" si="203"/>
        <v>0</v>
      </c>
      <c r="BJ193" s="24">
        <f t="shared" ca="1" si="204"/>
        <v>332116.93961619935</v>
      </c>
      <c r="BK193">
        <f t="shared" ca="1" si="205"/>
        <v>1</v>
      </c>
      <c r="BL193" s="25">
        <f t="shared" ca="1" si="206"/>
        <v>27676.411634683274</v>
      </c>
      <c r="BM193" s="32">
        <f t="shared" ca="1" si="185"/>
        <v>1796251.9762612153</v>
      </c>
      <c r="BN193" s="23">
        <f t="shared" ca="1" si="207"/>
        <v>0</v>
      </c>
      <c r="BO193" s="24">
        <f t="shared" ca="1" si="208"/>
        <v>0</v>
      </c>
      <c r="BP193" s="25">
        <f t="shared" ca="1" si="209"/>
        <v>0</v>
      </c>
      <c r="BQ193" s="34">
        <f t="shared" ca="1" si="210"/>
        <v>51287</v>
      </c>
      <c r="BR193" s="23">
        <f t="shared" ca="1" si="211"/>
        <v>1796251.9762612153</v>
      </c>
      <c r="BS193" s="24">
        <f t="shared" ca="1" si="212"/>
        <v>0</v>
      </c>
      <c r="BT193" s="24">
        <f t="shared" ca="1" si="221"/>
        <v>0</v>
      </c>
      <c r="BU193" s="24">
        <f t="shared" ca="1" si="213"/>
        <v>0</v>
      </c>
      <c r="BV193" s="24">
        <f t="shared" ca="1" si="222"/>
        <v>0</v>
      </c>
      <c r="BW193" s="24">
        <f t="shared" ca="1" si="214"/>
        <v>-27676.411634683274</v>
      </c>
      <c r="BX193" s="25">
        <f t="shared" ca="1" si="223"/>
        <v>-346376.56398948818</v>
      </c>
      <c r="BY193" s="23">
        <f t="shared" ca="1" si="186"/>
        <v>978026.22414721199</v>
      </c>
      <c r="BZ193" s="24">
        <f t="shared" ca="1" si="187"/>
        <v>0</v>
      </c>
      <c r="CA193" s="24">
        <f t="shared" ca="1" si="224"/>
        <v>0</v>
      </c>
      <c r="CB193" s="24">
        <f t="shared" ca="1" si="188"/>
        <v>0</v>
      </c>
      <c r="CC193" s="24">
        <f t="shared" ca="1" si="225"/>
        <v>0</v>
      </c>
      <c r="CD193" s="24">
        <f t="shared" ca="1" si="189"/>
        <v>-15118.630991431699</v>
      </c>
      <c r="CE193" s="25">
        <f t="shared" ca="1" si="226"/>
        <v>-192748.26078709034</v>
      </c>
      <c r="CF193" s="23">
        <f t="shared" ca="1" si="227"/>
        <v>483466.54720000015</v>
      </c>
      <c r="CG193" s="25">
        <f t="array" aca="1" ref="CG193" ca="1">SUM(BF182:BF193/(1+inflation/100)^(AP182:AP193/12))</f>
        <v>267980.53702225367</v>
      </c>
      <c r="CH193" s="32">
        <f ca="1">IFERROR(IF(MOD(AP193-ap_months_since_start,12)=0,ap_drawdown/100*(AQ193+AV193+BA193-BC193),CH192),0)</f>
        <v>291682.40766093426</v>
      </c>
      <c r="EL193" s="21">
        <f t="shared" ca="1" si="229"/>
        <v>7</v>
      </c>
      <c r="EM193" t="str">
        <f t="shared" ref="EM193:EO193" ca="1" si="269">DR44</f>
        <v/>
      </c>
      <c r="EN193" t="str">
        <f t="shared" ca="1" si="269"/>
        <v/>
      </c>
      <c r="EO193" t="str">
        <f t="shared" ca="1" si="269"/>
        <v/>
      </c>
      <c r="EP193" t="str">
        <f t="shared" ca="1" si="231"/>
        <v/>
      </c>
      <c r="EQ193" t="str">
        <f t="shared" ca="1" si="232"/>
        <v/>
      </c>
      <c r="ER193" t="str">
        <f t="shared" ca="1" si="233"/>
        <v/>
      </c>
      <c r="ES193" t="str">
        <f t="shared" si="234"/>
        <v/>
      </c>
      <c r="ET193" t="str">
        <f t="shared" ca="1" si="235"/>
        <v/>
      </c>
      <c r="EU193" s="22">
        <v>184</v>
      </c>
      <c r="EX193" s="21" t="str">
        <f ca="1">IF(EX192="","",IF(EX192+1&lt;=MAX('Financial Planning Tool'!$EL$10:$EL$209),EX192+1,""))</f>
        <v/>
      </c>
      <c r="EY193" t="str">
        <f ca="1">IF(EX193&lt;&gt;"",VLOOKUP(EX193,'Financial Planning Tool'!$EL$10:$ER$209,2,FALSE),"")</f>
        <v/>
      </c>
      <c r="EZ193" t="str">
        <f ca="1">IF(EX193&lt;&gt;"",VLOOKUP(EX193,'Financial Planning Tool'!$EL$10:$ER$209,3,FALSE),"")</f>
        <v/>
      </c>
      <c r="FA193" t="str">
        <f ca="1">IF(EX193&lt;&gt;"",VLOOKUP(EX193,'Financial Planning Tool'!$EL$10:$ER$209,4,FALSE),"")</f>
        <v/>
      </c>
      <c r="FB193" t="str">
        <f t="shared" ca="1" si="220"/>
        <v/>
      </c>
      <c r="FC193" t="str">
        <f ca="1">IF(EX193&lt;&gt;"",VLOOKUP(EX193,'Financial Planning Tool'!$EL$10:$ER$209,5,FALSE),"")</f>
        <v/>
      </c>
      <c r="FD193" t="str">
        <f ca="1">IF(EX193&lt;&gt;"",VLOOKUP(EX193,'Financial Planning Tool'!$EL$10:$ER$209,6,FALSE),"")</f>
        <v/>
      </c>
      <c r="FE193" t="str">
        <f ca="1">IF(EX193&lt;&gt;"",VLOOKUP(EX193,'Financial Planning Tool'!$EL$10:$ER$209,7,FALSE),"")</f>
        <v/>
      </c>
      <c r="FF193" t="str">
        <f ca="1">IF(EX193&lt;&gt;"",VLOOKUP(EX193,'Financial Planning Tool'!$EL$10:$ES$209,8,FALSE),"")</f>
        <v/>
      </c>
      <c r="FG193" t="str">
        <f ca="1">IF(EX193&lt;&gt;"",VLOOKUP(EX193,'Financial Planning Tool'!$EL$10:$ET$209,9,FALSE),"")</f>
        <v/>
      </c>
      <c r="FH193" t="str">
        <f t="shared" ca="1" si="246"/>
        <v/>
      </c>
      <c r="FI193" s="22" t="str">
        <f t="shared" ca="1" si="247"/>
        <v/>
      </c>
    </row>
    <row r="194" spans="40:165" x14ac:dyDescent="0.25">
      <c r="AN194" s="32">
        <f t="shared" ca="1" si="184"/>
        <v>70.416666666666671</v>
      </c>
      <c r="AO194" s="53">
        <f t="shared" ca="1" si="215"/>
        <v>51288</v>
      </c>
      <c r="AP194" s="22">
        <v>187</v>
      </c>
      <c r="AQ194" s="32">
        <f t="shared" ca="1" si="216"/>
        <v>1796251.9762612153</v>
      </c>
      <c r="AR194" s="23">
        <f t="array" aca="1" ref="AR194" ca="1">SUM(IF(lsc_start_date=AO194,lsc_amount,0))</f>
        <v>0</v>
      </c>
      <c r="AS194" s="24">
        <f t="shared" ca="1" si="190"/>
        <v>0</v>
      </c>
      <c r="AT194" s="24">
        <f t="shared" ca="1" si="191"/>
        <v>0</v>
      </c>
      <c r="AU194" s="24">
        <f t="shared" ca="1" si="192"/>
        <v>0</v>
      </c>
      <c r="AV194" s="25">
        <f t="shared" ca="1" si="193"/>
        <v>0</v>
      </c>
      <c r="AW194" s="23">
        <f t="array" aca="1" ref="AW194" ca="1">SUM(IF(rcs_start_date&lt;=AO194,1,0)*IF(rcs_end_date&gt;=AO194,1,0)*rcs_amount*(1+rcs_escalation/100)^(INT((AP194-rcs_months_since_start)/12))*IF(MOD((AP194-rcs_months_since_start),rcs_frequency)=0,1,0)*IF(rcs_frequency=13,0,1))+SUM(IF(rcs_start_date=AO194,rcs_amount,0)*IF(rcs_frequency=13,1,0))</f>
        <v>0</v>
      </c>
      <c r="AX194" s="24">
        <f t="shared" ca="1" si="194"/>
        <v>0</v>
      </c>
      <c r="AY194" s="24">
        <f t="shared" ca="1" si="195"/>
        <v>0</v>
      </c>
      <c r="AZ194" s="24">
        <f t="shared" ca="1" si="196"/>
        <v>0</v>
      </c>
      <c r="BA194" s="25">
        <f t="shared" ca="1" si="197"/>
        <v>0</v>
      </c>
      <c r="BB194" s="23">
        <f t="array" aca="1" ref="BB194" ca="1">SUM(IF(w_start_date&lt;=AO194,1,0)*IF(w_end_date&gt;=AO194,1,0)*w_amount*(1+w_escalation/100)^(INT((AP194-w_months_since_start)/12))*IF(MOD(AP194-w_months_since_start,w_frequency)=0,1,0)*IF(w_frequency=13,0,1))+SUM(IF(w_start_date=AO194,w_amount,0)*IF(w_frequency=13,1,0))</f>
        <v>0</v>
      </c>
      <c r="BC194" s="25">
        <f t="shared" ca="1" si="198"/>
        <v>0</v>
      </c>
      <c r="BD194" s="24" t="b">
        <f t="shared" ca="1" si="199"/>
        <v>1</v>
      </c>
      <c r="BE194" s="24" t="b">
        <f t="shared" ca="1" si="200"/>
        <v>1</v>
      </c>
      <c r="BF194" s="23">
        <f t="array" aca="1" ref="BF194" ca="1">SUM(IF(BD194,1,0)*IF(ap_start_date&lt;=AO194,1,0)*IF(ap_end_date&gt;=AO194,1,0)*ap_amount*(1+ap_escalation/100)^(INT((AP194-ap_months_since_start)/12))*IF(MOD(AP194-ap_months_since_start,ap_frequency)=0,1,0))</f>
        <v>40945.049600000006</v>
      </c>
      <c r="BG194" s="24">
        <f t="shared" ca="1" si="201"/>
        <v>491340.59520000016</v>
      </c>
      <c r="BH194" s="24">
        <f t="shared" ca="1" si="202"/>
        <v>47445.277088028488</v>
      </c>
      <c r="BI194">
        <f t="shared" ca="1" si="203"/>
        <v>0</v>
      </c>
      <c r="BJ194" s="24">
        <f t="shared" ca="1" si="204"/>
        <v>332116.93961619935</v>
      </c>
      <c r="BK194">
        <f t="shared" ca="1" si="205"/>
        <v>1</v>
      </c>
      <c r="BL194" s="25">
        <f t="shared" ca="1" si="206"/>
        <v>27676.411634683274</v>
      </c>
      <c r="BM194" s="32">
        <f t="shared" ca="1" si="185"/>
        <v>1781322.2605298143</v>
      </c>
      <c r="BN194" s="23">
        <f t="shared" ca="1" si="207"/>
        <v>0</v>
      </c>
      <c r="BO194" s="24">
        <f t="shared" ca="1" si="208"/>
        <v>0</v>
      </c>
      <c r="BP194" s="25">
        <f t="shared" ca="1" si="209"/>
        <v>0</v>
      </c>
      <c r="BQ194" s="34">
        <f t="shared" ca="1" si="210"/>
        <v>51317</v>
      </c>
      <c r="BR194" s="23">
        <f t="shared" ca="1" si="211"/>
        <v>1781322.2605298143</v>
      </c>
      <c r="BS194" s="24">
        <f t="shared" ca="1" si="212"/>
        <v>0</v>
      </c>
      <c r="BT194" s="24">
        <f t="shared" ca="1" si="221"/>
        <v>0</v>
      </c>
      <c r="BU194" s="24">
        <f t="shared" ca="1" si="213"/>
        <v>0</v>
      </c>
      <c r="BV194" s="24">
        <f t="shared" ca="1" si="222"/>
        <v>0</v>
      </c>
      <c r="BW194" s="24">
        <f t="shared" ca="1" si="214"/>
        <v>-27676.411634683274</v>
      </c>
      <c r="BX194" s="25">
        <f t="shared" ca="1" si="223"/>
        <v>-343524.63911483041</v>
      </c>
      <c r="BY194" s="23">
        <f t="shared" ca="1" si="186"/>
        <v>966732.43758261052</v>
      </c>
      <c r="BZ194" s="24">
        <f t="shared" ca="1" si="187"/>
        <v>0</v>
      </c>
      <c r="CA194" s="24">
        <f t="shared" ca="1" si="224"/>
        <v>0</v>
      </c>
      <c r="CB194" s="24">
        <f t="shared" ca="1" si="188"/>
        <v>0</v>
      </c>
      <c r="CC194" s="24">
        <f t="shared" ca="1" si="225"/>
        <v>0</v>
      </c>
      <c r="CD194" s="24">
        <f t="shared" ca="1" si="189"/>
        <v>-15069.298030977876</v>
      </c>
      <c r="CE194" s="25">
        <f t="shared" ca="1" si="226"/>
        <v>-190530.55529989378</v>
      </c>
      <c r="CF194" s="23">
        <f t="shared" ca="1" si="227"/>
        <v>485041.35680000018</v>
      </c>
      <c r="CG194" s="25">
        <f t="array" aca="1" ref="CG194" ca="1">SUM(BF183:BF194/(1+inflation/100)^(AP183:AP194/12))</f>
        <v>267980.53702225367</v>
      </c>
      <c r="CH194" s="32">
        <f ca="1">IFERROR(IF(MOD(AP194-ap_months_since_start,12)=0,ap_drawdown/100*(AQ194+AV194+BA194-BC194),CH193),0)</f>
        <v>291682.40766093426</v>
      </c>
      <c r="EL194" s="21">
        <f t="shared" ca="1" si="229"/>
        <v>7</v>
      </c>
      <c r="EM194" t="str">
        <f t="shared" ref="EM194:EO194" ca="1" si="270">DR45</f>
        <v/>
      </c>
      <c r="EN194" t="str">
        <f t="shared" ca="1" si="270"/>
        <v/>
      </c>
      <c r="EO194" t="str">
        <f t="shared" ca="1" si="270"/>
        <v/>
      </c>
      <c r="EP194" t="str">
        <f t="shared" ca="1" si="231"/>
        <v/>
      </c>
      <c r="EQ194" t="str">
        <f t="shared" ca="1" si="232"/>
        <v/>
      </c>
      <c r="ER194" t="str">
        <f t="shared" ca="1" si="233"/>
        <v/>
      </c>
      <c r="ES194" t="str">
        <f t="shared" si="234"/>
        <v/>
      </c>
      <c r="ET194" t="str">
        <f t="shared" ca="1" si="235"/>
        <v/>
      </c>
      <c r="EU194" s="22">
        <v>185</v>
      </c>
      <c r="EX194" s="21" t="str">
        <f ca="1">IF(EX193="","",IF(EX193+1&lt;=MAX('Financial Planning Tool'!$EL$10:$EL$209),EX193+1,""))</f>
        <v/>
      </c>
      <c r="EY194" t="str">
        <f ca="1">IF(EX194&lt;&gt;"",VLOOKUP(EX194,'Financial Planning Tool'!$EL$10:$ER$209,2,FALSE),"")</f>
        <v/>
      </c>
      <c r="EZ194" t="str">
        <f ca="1">IF(EX194&lt;&gt;"",VLOOKUP(EX194,'Financial Planning Tool'!$EL$10:$ER$209,3,FALSE),"")</f>
        <v/>
      </c>
      <c r="FA194" t="str">
        <f ca="1">IF(EX194&lt;&gt;"",VLOOKUP(EX194,'Financial Planning Tool'!$EL$10:$ER$209,4,FALSE),"")</f>
        <v/>
      </c>
      <c r="FB194" t="str">
        <f t="shared" ca="1" si="220"/>
        <v/>
      </c>
      <c r="FC194" t="str">
        <f ca="1">IF(EX194&lt;&gt;"",VLOOKUP(EX194,'Financial Planning Tool'!$EL$10:$ER$209,5,FALSE),"")</f>
        <v/>
      </c>
      <c r="FD194" t="str">
        <f ca="1">IF(EX194&lt;&gt;"",VLOOKUP(EX194,'Financial Planning Tool'!$EL$10:$ER$209,6,FALSE),"")</f>
        <v/>
      </c>
      <c r="FE194" t="str">
        <f ca="1">IF(EX194&lt;&gt;"",VLOOKUP(EX194,'Financial Planning Tool'!$EL$10:$ER$209,7,FALSE),"")</f>
        <v/>
      </c>
      <c r="FF194" t="str">
        <f ca="1">IF(EX194&lt;&gt;"",VLOOKUP(EX194,'Financial Planning Tool'!$EL$10:$ES$209,8,FALSE),"")</f>
        <v/>
      </c>
      <c r="FG194" t="str">
        <f ca="1">IF(EX194&lt;&gt;"",VLOOKUP(EX194,'Financial Planning Tool'!$EL$10:$ET$209,9,FALSE),"")</f>
        <v/>
      </c>
      <c r="FH194" t="str">
        <f t="shared" ca="1" si="246"/>
        <v/>
      </c>
      <c r="FI194" s="22" t="str">
        <f t="shared" ca="1" si="247"/>
        <v/>
      </c>
    </row>
    <row r="195" spans="40:165" x14ac:dyDescent="0.25">
      <c r="AN195" s="32">
        <f t="shared" ca="1" si="184"/>
        <v>70.5</v>
      </c>
      <c r="AO195" s="53">
        <f t="shared" ca="1" si="215"/>
        <v>51318</v>
      </c>
      <c r="AP195" s="22">
        <v>188</v>
      </c>
      <c r="AQ195" s="32">
        <f t="shared" ca="1" si="216"/>
        <v>1781322.2605298143</v>
      </c>
      <c r="AR195" s="23">
        <f t="array" aca="1" ref="AR195" ca="1">SUM(IF(lsc_start_date=AO195,lsc_amount,0))</f>
        <v>0</v>
      </c>
      <c r="AS195" s="24">
        <f t="shared" ca="1" si="190"/>
        <v>0</v>
      </c>
      <c r="AT195" s="24">
        <f t="shared" ca="1" si="191"/>
        <v>0</v>
      </c>
      <c r="AU195" s="24">
        <f t="shared" ca="1" si="192"/>
        <v>0</v>
      </c>
      <c r="AV195" s="25">
        <f t="shared" ca="1" si="193"/>
        <v>0</v>
      </c>
      <c r="AW195" s="23">
        <f t="array" aca="1" ref="AW195" ca="1">SUM(IF(rcs_start_date&lt;=AO195,1,0)*IF(rcs_end_date&gt;=AO195,1,0)*rcs_amount*(1+rcs_escalation/100)^(INT((AP195-rcs_months_since_start)/12))*IF(MOD((AP195-rcs_months_since_start),rcs_frequency)=0,1,0)*IF(rcs_frequency=13,0,1))+SUM(IF(rcs_start_date=AO195,rcs_amount,0)*IF(rcs_frequency=13,1,0))</f>
        <v>0</v>
      </c>
      <c r="AX195" s="24">
        <f t="shared" ca="1" si="194"/>
        <v>0</v>
      </c>
      <c r="AY195" s="24">
        <f t="shared" ca="1" si="195"/>
        <v>0</v>
      </c>
      <c r="AZ195" s="24">
        <f t="shared" ca="1" si="196"/>
        <v>0</v>
      </c>
      <c r="BA195" s="25">
        <f t="shared" ca="1" si="197"/>
        <v>0</v>
      </c>
      <c r="BB195" s="23">
        <f t="array" aca="1" ref="BB195" ca="1">SUM(IF(w_start_date&lt;=AO195,1,0)*IF(w_end_date&gt;=AO195,1,0)*w_amount*(1+w_escalation/100)^(INT((AP195-w_months_since_start)/12))*IF(MOD(AP195-w_months_since_start,w_frequency)=0,1,0)*IF(w_frequency=13,0,1))+SUM(IF(w_start_date=AO195,w_amount,0)*IF(w_frequency=13,1,0))</f>
        <v>0</v>
      </c>
      <c r="BC195" s="25">
        <f t="shared" ca="1" si="198"/>
        <v>0</v>
      </c>
      <c r="BD195" s="24" t="b">
        <f t="shared" ca="1" si="199"/>
        <v>1</v>
      </c>
      <c r="BE195" s="24" t="b">
        <f t="shared" ca="1" si="200"/>
        <v>1</v>
      </c>
      <c r="BF195" s="23">
        <f t="array" aca="1" ref="BF195" ca="1">SUM(IF(BD195,1,0)*IF(ap_start_date&lt;=AO195,1,0)*IF(ap_end_date&gt;=AO195,1,0)*ap_amount*(1+ap_escalation/100)^(INT((AP195-ap_months_since_start)/12))*IF(MOD(AP195-ap_months_since_start,ap_frequency)=0,1,0))</f>
        <v>40945.049600000006</v>
      </c>
      <c r="BG195" s="24">
        <f t="shared" ca="1" si="201"/>
        <v>491340.59520000016</v>
      </c>
      <c r="BH195" s="24">
        <f t="shared" ca="1" si="202"/>
        <v>47445.277088028488</v>
      </c>
      <c r="BI195">
        <f t="shared" ca="1" si="203"/>
        <v>0</v>
      </c>
      <c r="BJ195" s="24">
        <f t="shared" ca="1" si="204"/>
        <v>332116.93961619935</v>
      </c>
      <c r="BK195">
        <f t="shared" ca="1" si="205"/>
        <v>1</v>
      </c>
      <c r="BL195" s="25">
        <f t="shared" ca="1" si="206"/>
        <v>27676.411634683274</v>
      </c>
      <c r="BM195" s="32">
        <f t="shared" ca="1" si="185"/>
        <v>1766284.9415101192</v>
      </c>
      <c r="BN195" s="23">
        <f t="shared" ca="1" si="207"/>
        <v>0</v>
      </c>
      <c r="BO195" s="24">
        <f t="shared" ca="1" si="208"/>
        <v>0</v>
      </c>
      <c r="BP195" s="25">
        <f t="shared" ca="1" si="209"/>
        <v>0</v>
      </c>
      <c r="BQ195" s="34">
        <f t="shared" ca="1" si="210"/>
        <v>51348</v>
      </c>
      <c r="BR195" s="23">
        <f t="shared" ca="1" si="211"/>
        <v>1766284.9415101192</v>
      </c>
      <c r="BS195" s="24">
        <f t="shared" ca="1" si="212"/>
        <v>0</v>
      </c>
      <c r="BT195" s="24">
        <f t="shared" ca="1" si="221"/>
        <v>0</v>
      </c>
      <c r="BU195" s="24">
        <f t="shared" ca="1" si="213"/>
        <v>0</v>
      </c>
      <c r="BV195" s="24">
        <f t="shared" ca="1" si="222"/>
        <v>0</v>
      </c>
      <c r="BW195" s="24">
        <f t="shared" ca="1" si="214"/>
        <v>-27676.411634683274</v>
      </c>
      <c r="BX195" s="25">
        <f t="shared" ca="1" si="223"/>
        <v>-340672.71424017259</v>
      </c>
      <c r="BY195" s="23">
        <f t="shared" ca="1" si="186"/>
        <v>955443.7357017725</v>
      </c>
      <c r="BZ195" s="24">
        <f t="shared" ca="1" si="187"/>
        <v>0</v>
      </c>
      <c r="CA195" s="24">
        <f t="shared" ca="1" si="224"/>
        <v>0</v>
      </c>
      <c r="CB195" s="24">
        <f t="shared" ca="1" si="188"/>
        <v>0</v>
      </c>
      <c r="CC195" s="24">
        <f t="shared" ca="1" si="225"/>
        <v>0</v>
      </c>
      <c r="CD195" s="24">
        <f t="shared" ca="1" si="189"/>
        <v>-15020.126046804809</v>
      </c>
      <c r="CE195" s="25">
        <f t="shared" ca="1" si="226"/>
        <v>-188320.08631295708</v>
      </c>
      <c r="CF195" s="23">
        <f t="shared" ca="1" si="227"/>
        <v>486616.16640000016</v>
      </c>
      <c r="CG195" s="25">
        <f t="array" aca="1" ref="CG195" ca="1">SUM(BF184:BF195/(1+inflation/100)^(AP184:AP195/12))</f>
        <v>267980.53702225367</v>
      </c>
      <c r="CH195" s="32">
        <f ca="1">IFERROR(IF(MOD(AP195-ap_months_since_start,12)=0,ap_drawdown/100*(AQ195+AV195+BA195-BC195),CH194),0)</f>
        <v>291682.40766093426</v>
      </c>
      <c r="EL195" s="21">
        <f t="shared" ca="1" si="229"/>
        <v>7</v>
      </c>
      <c r="EM195" t="str">
        <f t="shared" ref="EM195:EO195" ca="1" si="271">DR46</f>
        <v/>
      </c>
      <c r="EN195" t="str">
        <f t="shared" ca="1" si="271"/>
        <v/>
      </c>
      <c r="EO195" t="str">
        <f t="shared" ca="1" si="271"/>
        <v/>
      </c>
      <c r="EP195" t="str">
        <f t="shared" ca="1" si="231"/>
        <v/>
      </c>
      <c r="EQ195" t="str">
        <f t="shared" ca="1" si="232"/>
        <v/>
      </c>
      <c r="ER195" t="str">
        <f t="shared" ca="1" si="233"/>
        <v/>
      </c>
      <c r="ES195" t="str">
        <f t="shared" si="234"/>
        <v/>
      </c>
      <c r="ET195" t="str">
        <f t="shared" ca="1" si="235"/>
        <v/>
      </c>
      <c r="EU195" s="22">
        <v>186</v>
      </c>
      <c r="EX195" s="21" t="str">
        <f ca="1">IF(EX194="","",IF(EX194+1&lt;=MAX('Financial Planning Tool'!$EL$10:$EL$209),EX194+1,""))</f>
        <v/>
      </c>
      <c r="EY195" t="str">
        <f ca="1">IF(EX195&lt;&gt;"",VLOOKUP(EX195,'Financial Planning Tool'!$EL$10:$ER$209,2,FALSE),"")</f>
        <v/>
      </c>
      <c r="EZ195" t="str">
        <f ca="1">IF(EX195&lt;&gt;"",VLOOKUP(EX195,'Financial Planning Tool'!$EL$10:$ER$209,3,FALSE),"")</f>
        <v/>
      </c>
      <c r="FA195" t="str">
        <f ca="1">IF(EX195&lt;&gt;"",VLOOKUP(EX195,'Financial Planning Tool'!$EL$10:$ER$209,4,FALSE),"")</f>
        <v/>
      </c>
      <c r="FB195" t="str">
        <f t="shared" ca="1" si="220"/>
        <v/>
      </c>
      <c r="FC195" t="str">
        <f ca="1">IF(EX195&lt;&gt;"",VLOOKUP(EX195,'Financial Planning Tool'!$EL$10:$ER$209,5,FALSE),"")</f>
        <v/>
      </c>
      <c r="FD195" t="str">
        <f ca="1">IF(EX195&lt;&gt;"",VLOOKUP(EX195,'Financial Planning Tool'!$EL$10:$ER$209,6,FALSE),"")</f>
        <v/>
      </c>
      <c r="FE195" t="str">
        <f ca="1">IF(EX195&lt;&gt;"",VLOOKUP(EX195,'Financial Planning Tool'!$EL$10:$ER$209,7,FALSE),"")</f>
        <v/>
      </c>
      <c r="FF195" t="str">
        <f ca="1">IF(EX195&lt;&gt;"",VLOOKUP(EX195,'Financial Planning Tool'!$EL$10:$ES$209,8,FALSE),"")</f>
        <v/>
      </c>
      <c r="FG195" t="str">
        <f ca="1">IF(EX195&lt;&gt;"",VLOOKUP(EX195,'Financial Planning Tool'!$EL$10:$ET$209,9,FALSE),"")</f>
        <v/>
      </c>
      <c r="FH195" t="str">
        <f t="shared" ca="1" si="246"/>
        <v/>
      </c>
      <c r="FI195" s="22" t="str">
        <f t="shared" ca="1" si="247"/>
        <v/>
      </c>
    </row>
    <row r="196" spans="40:165" x14ac:dyDescent="0.25">
      <c r="AN196" s="32">
        <f t="shared" ca="1" si="184"/>
        <v>70.583333333333329</v>
      </c>
      <c r="AO196" s="53">
        <f t="shared" ca="1" si="215"/>
        <v>51349</v>
      </c>
      <c r="AP196" s="22">
        <v>189</v>
      </c>
      <c r="AQ196" s="32">
        <f t="shared" ca="1" si="216"/>
        <v>1766284.9415101192</v>
      </c>
      <c r="AR196" s="23">
        <f t="array" aca="1" ref="AR196" ca="1">SUM(IF(lsc_start_date=AO196,lsc_amount,0))</f>
        <v>0</v>
      </c>
      <c r="AS196" s="24">
        <f t="shared" ca="1" si="190"/>
        <v>0</v>
      </c>
      <c r="AT196" s="24">
        <f t="shared" ca="1" si="191"/>
        <v>0</v>
      </c>
      <c r="AU196" s="24">
        <f t="shared" ca="1" si="192"/>
        <v>0</v>
      </c>
      <c r="AV196" s="25">
        <f t="shared" ca="1" si="193"/>
        <v>0</v>
      </c>
      <c r="AW196" s="23">
        <f t="array" aca="1" ref="AW196" ca="1">SUM(IF(rcs_start_date&lt;=AO196,1,0)*IF(rcs_end_date&gt;=AO196,1,0)*rcs_amount*(1+rcs_escalation/100)^(INT((AP196-rcs_months_since_start)/12))*IF(MOD((AP196-rcs_months_since_start),rcs_frequency)=0,1,0)*IF(rcs_frequency=13,0,1))+SUM(IF(rcs_start_date=AO196,rcs_amount,0)*IF(rcs_frequency=13,1,0))</f>
        <v>0</v>
      </c>
      <c r="AX196" s="24">
        <f t="shared" ca="1" si="194"/>
        <v>0</v>
      </c>
      <c r="AY196" s="24">
        <f t="shared" ca="1" si="195"/>
        <v>0</v>
      </c>
      <c r="AZ196" s="24">
        <f t="shared" ca="1" si="196"/>
        <v>0</v>
      </c>
      <c r="BA196" s="25">
        <f t="shared" ca="1" si="197"/>
        <v>0</v>
      </c>
      <c r="BB196" s="23">
        <f t="array" aca="1" ref="BB196" ca="1">SUM(IF(w_start_date&lt;=AO196,1,0)*IF(w_end_date&gt;=AO196,1,0)*w_amount*(1+w_escalation/100)^(INT((AP196-w_months_since_start)/12))*IF(MOD(AP196-w_months_since_start,w_frequency)=0,1,0)*IF(w_frequency=13,0,1))+SUM(IF(w_start_date=AO196,w_amount,0)*IF(w_frequency=13,1,0))</f>
        <v>0</v>
      </c>
      <c r="BC196" s="25">
        <f t="shared" ca="1" si="198"/>
        <v>0</v>
      </c>
      <c r="BD196" s="24" t="b">
        <f t="shared" ca="1" si="199"/>
        <v>1</v>
      </c>
      <c r="BE196" s="24" t="b">
        <f t="shared" ca="1" si="200"/>
        <v>1</v>
      </c>
      <c r="BF196" s="23">
        <f t="array" aca="1" ref="BF196" ca="1">SUM(IF(BD196,1,0)*IF(ap_start_date&lt;=AO196,1,0)*IF(ap_end_date&gt;=AO196,1,0)*ap_amount*(1+ap_escalation/100)^(INT((AP196-ap_months_since_start)/12))*IF(MOD(AP196-ap_months_since_start,ap_frequency)=0,1,0))</f>
        <v>40945.049600000006</v>
      </c>
      <c r="BG196" s="24">
        <f t="shared" ca="1" si="201"/>
        <v>491340.59520000016</v>
      </c>
      <c r="BH196" s="24">
        <f t="shared" ca="1" si="202"/>
        <v>47445.277088028488</v>
      </c>
      <c r="BI196">
        <f t="shared" ca="1" si="203"/>
        <v>0</v>
      </c>
      <c r="BJ196" s="24">
        <f t="shared" ca="1" si="204"/>
        <v>332116.93961619935</v>
      </c>
      <c r="BK196">
        <f t="shared" ca="1" si="205"/>
        <v>1</v>
      </c>
      <c r="BL196" s="25">
        <f t="shared" ca="1" si="206"/>
        <v>27676.411634683274</v>
      </c>
      <c r="BM196" s="32">
        <f t="shared" ca="1" si="185"/>
        <v>1751139.2436704412</v>
      </c>
      <c r="BN196" s="23">
        <f t="shared" ca="1" si="207"/>
        <v>0</v>
      </c>
      <c r="BO196" s="24">
        <f t="shared" ca="1" si="208"/>
        <v>0</v>
      </c>
      <c r="BP196" s="25">
        <f t="shared" ca="1" si="209"/>
        <v>0</v>
      </c>
      <c r="BQ196" s="34">
        <f t="shared" ca="1" si="210"/>
        <v>51379</v>
      </c>
      <c r="BR196" s="23">
        <f t="shared" ca="1" si="211"/>
        <v>1751139.2436704412</v>
      </c>
      <c r="BS196" s="24">
        <f t="shared" ca="1" si="212"/>
        <v>0</v>
      </c>
      <c r="BT196" s="24">
        <f t="shared" ca="1" si="221"/>
        <v>0</v>
      </c>
      <c r="BU196" s="24">
        <f t="shared" ca="1" si="213"/>
        <v>0</v>
      </c>
      <c r="BV196" s="24">
        <f t="shared" ca="1" si="222"/>
        <v>0</v>
      </c>
      <c r="BW196" s="24">
        <f t="shared" ca="1" si="214"/>
        <v>-27676.411634683274</v>
      </c>
      <c r="BX196" s="25">
        <f t="shared" ca="1" si="223"/>
        <v>-337820.78936551482</v>
      </c>
      <c r="BY196" s="23">
        <f t="shared" ca="1" si="186"/>
        <v>944159.97736036743</v>
      </c>
      <c r="BZ196" s="24">
        <f t="shared" ca="1" si="187"/>
        <v>0</v>
      </c>
      <c r="CA196" s="24">
        <f t="shared" ca="1" si="224"/>
        <v>0</v>
      </c>
      <c r="CB196" s="24">
        <f t="shared" ca="1" si="188"/>
        <v>0</v>
      </c>
      <c r="CC196" s="24">
        <f t="shared" ca="1" si="225"/>
        <v>0</v>
      </c>
      <c r="CD196" s="24">
        <f t="shared" ca="1" si="189"/>
        <v>-14971.114513637658</v>
      </c>
      <c r="CE196" s="25">
        <f t="shared" ca="1" si="226"/>
        <v>-186116.83021316462</v>
      </c>
      <c r="CF196" s="23">
        <f t="shared" ca="1" si="227"/>
        <v>488190.97600000014</v>
      </c>
      <c r="CG196" s="25">
        <f t="array" aca="1" ref="CG196" ca="1">SUM(BF185:BF196/(1+inflation/100)^(AP185:AP196/12))</f>
        <v>267980.53702225367</v>
      </c>
      <c r="CH196" s="32">
        <f ca="1">IFERROR(IF(MOD(AP196-ap_months_since_start,12)=0,ap_drawdown/100*(AQ196+AV196+BA196-BC196),CH195),0)</f>
        <v>291682.40766093426</v>
      </c>
      <c r="EL196" s="21">
        <f t="shared" ca="1" si="229"/>
        <v>7</v>
      </c>
      <c r="EM196" t="str">
        <f t="shared" ref="EM196:EO196" ca="1" si="272">DR47</f>
        <v/>
      </c>
      <c r="EN196" t="str">
        <f t="shared" ca="1" si="272"/>
        <v/>
      </c>
      <c r="EO196" t="str">
        <f t="shared" ca="1" si="272"/>
        <v/>
      </c>
      <c r="EP196" t="str">
        <f t="shared" ca="1" si="231"/>
        <v/>
      </c>
      <c r="EQ196" t="str">
        <f t="shared" ca="1" si="232"/>
        <v/>
      </c>
      <c r="ER196" t="str">
        <f t="shared" ca="1" si="233"/>
        <v/>
      </c>
      <c r="ES196" t="str">
        <f t="shared" si="234"/>
        <v/>
      </c>
      <c r="ET196" t="str">
        <f t="shared" ca="1" si="235"/>
        <v/>
      </c>
      <c r="EU196" s="22">
        <v>187</v>
      </c>
      <c r="EX196" s="21" t="str">
        <f ca="1">IF(EX195="","",IF(EX195+1&lt;=MAX('Financial Planning Tool'!$EL$10:$EL$209),EX195+1,""))</f>
        <v/>
      </c>
      <c r="EY196" t="str">
        <f ca="1">IF(EX196&lt;&gt;"",VLOOKUP(EX196,'Financial Planning Tool'!$EL$10:$ER$209,2,FALSE),"")</f>
        <v/>
      </c>
      <c r="EZ196" t="str">
        <f ca="1">IF(EX196&lt;&gt;"",VLOOKUP(EX196,'Financial Planning Tool'!$EL$10:$ER$209,3,FALSE),"")</f>
        <v/>
      </c>
      <c r="FA196" t="str">
        <f ca="1">IF(EX196&lt;&gt;"",VLOOKUP(EX196,'Financial Planning Tool'!$EL$10:$ER$209,4,FALSE),"")</f>
        <v/>
      </c>
      <c r="FB196" t="str">
        <f t="shared" ca="1" si="220"/>
        <v/>
      </c>
      <c r="FC196" t="str">
        <f ca="1">IF(EX196&lt;&gt;"",VLOOKUP(EX196,'Financial Planning Tool'!$EL$10:$ER$209,5,FALSE),"")</f>
        <v/>
      </c>
      <c r="FD196" t="str">
        <f ca="1">IF(EX196&lt;&gt;"",VLOOKUP(EX196,'Financial Planning Tool'!$EL$10:$ER$209,6,FALSE),"")</f>
        <v/>
      </c>
      <c r="FE196" t="str">
        <f ca="1">IF(EX196&lt;&gt;"",VLOOKUP(EX196,'Financial Planning Tool'!$EL$10:$ER$209,7,FALSE),"")</f>
        <v/>
      </c>
      <c r="FF196" t="str">
        <f ca="1">IF(EX196&lt;&gt;"",VLOOKUP(EX196,'Financial Planning Tool'!$EL$10:$ES$209,8,FALSE),"")</f>
        <v/>
      </c>
      <c r="FG196" t="str">
        <f ca="1">IF(EX196&lt;&gt;"",VLOOKUP(EX196,'Financial Planning Tool'!$EL$10:$ET$209,9,FALSE),"")</f>
        <v/>
      </c>
      <c r="FH196" t="str">
        <f t="shared" ca="1" si="246"/>
        <v/>
      </c>
      <c r="FI196" s="22" t="str">
        <f t="shared" ca="1" si="247"/>
        <v/>
      </c>
    </row>
    <row r="197" spans="40:165" x14ac:dyDescent="0.25">
      <c r="AN197" s="32">
        <f t="shared" ca="1" si="184"/>
        <v>70.666666666666671</v>
      </c>
      <c r="AO197" s="53">
        <f t="shared" ca="1" si="215"/>
        <v>51380</v>
      </c>
      <c r="AP197" s="22">
        <v>190</v>
      </c>
      <c r="AQ197" s="32">
        <f t="shared" ca="1" si="216"/>
        <v>1751139.2436704412</v>
      </c>
      <c r="AR197" s="23">
        <f t="array" aca="1" ref="AR197" ca="1">SUM(IF(lsc_start_date=AO197,lsc_amount,0))</f>
        <v>0</v>
      </c>
      <c r="AS197" s="24">
        <f t="shared" ca="1" si="190"/>
        <v>0</v>
      </c>
      <c r="AT197" s="24">
        <f t="shared" ca="1" si="191"/>
        <v>0</v>
      </c>
      <c r="AU197" s="24">
        <f t="shared" ca="1" si="192"/>
        <v>0</v>
      </c>
      <c r="AV197" s="25">
        <f t="shared" ca="1" si="193"/>
        <v>0</v>
      </c>
      <c r="AW197" s="23">
        <f t="array" aca="1" ref="AW197" ca="1">SUM(IF(rcs_start_date&lt;=AO197,1,0)*IF(rcs_end_date&gt;=AO197,1,0)*rcs_amount*(1+rcs_escalation/100)^(INT((AP197-rcs_months_since_start)/12))*IF(MOD((AP197-rcs_months_since_start),rcs_frequency)=0,1,0)*IF(rcs_frequency=13,0,1))+SUM(IF(rcs_start_date=AO197,rcs_amount,0)*IF(rcs_frequency=13,1,0))</f>
        <v>0</v>
      </c>
      <c r="AX197" s="24">
        <f t="shared" ca="1" si="194"/>
        <v>0</v>
      </c>
      <c r="AY197" s="24">
        <f t="shared" ca="1" si="195"/>
        <v>0</v>
      </c>
      <c r="AZ197" s="24">
        <f t="shared" ca="1" si="196"/>
        <v>0</v>
      </c>
      <c r="BA197" s="25">
        <f t="shared" ca="1" si="197"/>
        <v>0</v>
      </c>
      <c r="BB197" s="23">
        <f t="array" aca="1" ref="BB197" ca="1">SUM(IF(w_start_date&lt;=AO197,1,0)*IF(w_end_date&gt;=AO197,1,0)*w_amount*(1+w_escalation/100)^(INT((AP197-w_months_since_start)/12))*IF(MOD(AP197-w_months_since_start,w_frequency)=0,1,0)*IF(w_frequency=13,0,1))+SUM(IF(w_start_date=AO197,w_amount,0)*IF(w_frequency=13,1,0))</f>
        <v>0</v>
      </c>
      <c r="BC197" s="25">
        <f t="shared" ca="1" si="198"/>
        <v>0</v>
      </c>
      <c r="BD197" s="24" t="b">
        <f t="shared" ca="1" si="199"/>
        <v>1</v>
      </c>
      <c r="BE197" s="24" t="b">
        <f t="shared" ca="1" si="200"/>
        <v>1</v>
      </c>
      <c r="BF197" s="23">
        <f t="array" aca="1" ref="BF197" ca="1">SUM(IF(BD197,1,0)*IF(ap_start_date&lt;=AO197,1,0)*IF(ap_end_date&gt;=AO197,1,0)*ap_amount*(1+ap_escalation/100)^(INT((AP197-ap_months_since_start)/12))*IF(MOD(AP197-ap_months_since_start,ap_frequency)=0,1,0))</f>
        <v>40945.049600000006</v>
      </c>
      <c r="BG197" s="24">
        <f t="shared" ca="1" si="201"/>
        <v>491340.59520000016</v>
      </c>
      <c r="BH197" s="24">
        <f t="shared" ca="1" si="202"/>
        <v>47445.277088028488</v>
      </c>
      <c r="BI197">
        <f t="shared" ca="1" si="203"/>
        <v>0</v>
      </c>
      <c r="BJ197" s="24">
        <f t="shared" ca="1" si="204"/>
        <v>332116.93961619935</v>
      </c>
      <c r="BK197">
        <f t="shared" ca="1" si="205"/>
        <v>1</v>
      </c>
      <c r="BL197" s="25">
        <f t="shared" ca="1" si="206"/>
        <v>27676.411634683274</v>
      </c>
      <c r="BM197" s="32">
        <f t="shared" ca="1" si="185"/>
        <v>1735884.3858895842</v>
      </c>
      <c r="BN197" s="23">
        <f t="shared" ca="1" si="207"/>
        <v>0</v>
      </c>
      <c r="BO197" s="24">
        <f t="shared" ca="1" si="208"/>
        <v>0</v>
      </c>
      <c r="BP197" s="25">
        <f t="shared" ca="1" si="209"/>
        <v>0</v>
      </c>
      <c r="BQ197" s="34">
        <f t="shared" ca="1" si="210"/>
        <v>51409</v>
      </c>
      <c r="BR197" s="23">
        <f t="shared" ca="1" si="211"/>
        <v>1735884.3858895842</v>
      </c>
      <c r="BS197" s="24">
        <f t="shared" ca="1" si="212"/>
        <v>0</v>
      </c>
      <c r="BT197" s="24">
        <f t="shared" ca="1" si="221"/>
        <v>0</v>
      </c>
      <c r="BU197" s="24">
        <f t="shared" ca="1" si="213"/>
        <v>0</v>
      </c>
      <c r="BV197" s="24">
        <f t="shared" ca="1" si="222"/>
        <v>0</v>
      </c>
      <c r="BW197" s="24">
        <f t="shared" ca="1" si="214"/>
        <v>-27676.411634683274</v>
      </c>
      <c r="BX197" s="25">
        <f t="shared" ca="1" si="223"/>
        <v>-334968.864490857</v>
      </c>
      <c r="BY197" s="23">
        <f t="shared" ca="1" si="186"/>
        <v>932881.02138628799</v>
      </c>
      <c r="BZ197" s="24">
        <f t="shared" ca="1" si="187"/>
        <v>0</v>
      </c>
      <c r="CA197" s="24">
        <f t="shared" ca="1" si="224"/>
        <v>0</v>
      </c>
      <c r="CB197" s="24">
        <f t="shared" ca="1" si="188"/>
        <v>0</v>
      </c>
      <c r="CC197" s="24">
        <f t="shared" ca="1" si="225"/>
        <v>0</v>
      </c>
      <c r="CD197" s="24">
        <f t="shared" ca="1" si="189"/>
        <v>-14922.262907915581</v>
      </c>
      <c r="CE197" s="25">
        <f t="shared" ca="1" si="226"/>
        <v>-183920.76346445183</v>
      </c>
      <c r="CF197" s="23">
        <f t="shared" ca="1" si="227"/>
        <v>489765.78560000018</v>
      </c>
      <c r="CG197" s="25">
        <f t="array" aca="1" ref="CG197" ca="1">SUM(BF186:BF197/(1+inflation/100)^(AP186:AP197/12))</f>
        <v>267980.53702225373</v>
      </c>
      <c r="CH197" s="32">
        <f ca="1">IFERROR(IF(MOD(AP197-ap_months_since_start,12)=0,ap_drawdown/100*(AQ197+AV197+BA197-BC197),CH196),0)</f>
        <v>291682.40766093426</v>
      </c>
      <c r="EL197" s="21">
        <f t="shared" ca="1" si="229"/>
        <v>7</v>
      </c>
      <c r="EM197" t="str">
        <f t="shared" ref="EM197:EO197" ca="1" si="273">DR48</f>
        <v/>
      </c>
      <c r="EN197" t="str">
        <f t="shared" ca="1" si="273"/>
        <v/>
      </c>
      <c r="EO197" t="str">
        <f t="shared" ca="1" si="273"/>
        <v/>
      </c>
      <c r="EP197" t="str">
        <f t="shared" ca="1" si="231"/>
        <v/>
      </c>
      <c r="EQ197" t="str">
        <f t="shared" ca="1" si="232"/>
        <v/>
      </c>
      <c r="ER197" t="str">
        <f t="shared" ca="1" si="233"/>
        <v/>
      </c>
      <c r="ES197" t="str">
        <f t="shared" si="234"/>
        <v/>
      </c>
      <c r="ET197" t="str">
        <f t="shared" ca="1" si="235"/>
        <v/>
      </c>
      <c r="EU197" s="22">
        <v>188</v>
      </c>
      <c r="EX197" s="21" t="str">
        <f ca="1">IF(EX196="","",IF(EX196+1&lt;=MAX('Financial Planning Tool'!$EL$10:$EL$209),EX196+1,""))</f>
        <v/>
      </c>
      <c r="EY197" t="str">
        <f ca="1">IF(EX197&lt;&gt;"",VLOOKUP(EX197,'Financial Planning Tool'!$EL$10:$ER$209,2,FALSE),"")</f>
        <v/>
      </c>
      <c r="EZ197" t="str">
        <f ca="1">IF(EX197&lt;&gt;"",VLOOKUP(EX197,'Financial Planning Tool'!$EL$10:$ER$209,3,FALSE),"")</f>
        <v/>
      </c>
      <c r="FA197" t="str">
        <f ca="1">IF(EX197&lt;&gt;"",VLOOKUP(EX197,'Financial Planning Tool'!$EL$10:$ER$209,4,FALSE),"")</f>
        <v/>
      </c>
      <c r="FB197" t="str">
        <f t="shared" ca="1" si="220"/>
        <v/>
      </c>
      <c r="FC197" t="str">
        <f ca="1">IF(EX197&lt;&gt;"",VLOOKUP(EX197,'Financial Planning Tool'!$EL$10:$ER$209,5,FALSE),"")</f>
        <v/>
      </c>
      <c r="FD197" t="str">
        <f ca="1">IF(EX197&lt;&gt;"",VLOOKUP(EX197,'Financial Planning Tool'!$EL$10:$ER$209,6,FALSE),"")</f>
        <v/>
      </c>
      <c r="FE197" t="str">
        <f ca="1">IF(EX197&lt;&gt;"",VLOOKUP(EX197,'Financial Planning Tool'!$EL$10:$ER$209,7,FALSE),"")</f>
        <v/>
      </c>
      <c r="FF197" t="str">
        <f ca="1">IF(EX197&lt;&gt;"",VLOOKUP(EX197,'Financial Planning Tool'!$EL$10:$ES$209,8,FALSE),"")</f>
        <v/>
      </c>
      <c r="FG197" t="str">
        <f ca="1">IF(EX197&lt;&gt;"",VLOOKUP(EX197,'Financial Planning Tool'!$EL$10:$ET$209,9,FALSE),"")</f>
        <v/>
      </c>
      <c r="FH197" t="str">
        <f t="shared" ca="1" si="246"/>
        <v/>
      </c>
      <c r="FI197" s="22" t="str">
        <f t="shared" ca="1" si="247"/>
        <v/>
      </c>
    </row>
    <row r="198" spans="40:165" x14ac:dyDescent="0.25">
      <c r="AN198" s="32">
        <f t="shared" ca="1" si="184"/>
        <v>70.75</v>
      </c>
      <c r="AO198" s="53">
        <f t="shared" ca="1" si="215"/>
        <v>51410</v>
      </c>
      <c r="AP198" s="22">
        <v>191</v>
      </c>
      <c r="AQ198" s="32">
        <f t="shared" ca="1" si="216"/>
        <v>1735884.3858895842</v>
      </c>
      <c r="AR198" s="23">
        <f t="array" aca="1" ref="AR198" ca="1">SUM(IF(lsc_start_date=AO198,lsc_amount,0))</f>
        <v>0</v>
      </c>
      <c r="AS198" s="24">
        <f t="shared" ca="1" si="190"/>
        <v>0</v>
      </c>
      <c r="AT198" s="24">
        <f t="shared" ca="1" si="191"/>
        <v>0</v>
      </c>
      <c r="AU198" s="24">
        <f t="shared" ca="1" si="192"/>
        <v>0</v>
      </c>
      <c r="AV198" s="25">
        <f t="shared" ca="1" si="193"/>
        <v>0</v>
      </c>
      <c r="AW198" s="23">
        <f t="array" aca="1" ref="AW198" ca="1">SUM(IF(rcs_start_date&lt;=AO198,1,0)*IF(rcs_end_date&gt;=AO198,1,0)*rcs_amount*(1+rcs_escalation/100)^(INT((AP198-rcs_months_since_start)/12))*IF(MOD((AP198-rcs_months_since_start),rcs_frequency)=0,1,0)*IF(rcs_frequency=13,0,1))+SUM(IF(rcs_start_date=AO198,rcs_amount,0)*IF(rcs_frequency=13,1,0))</f>
        <v>0</v>
      </c>
      <c r="AX198" s="24">
        <f t="shared" ca="1" si="194"/>
        <v>0</v>
      </c>
      <c r="AY198" s="24">
        <f t="shared" ca="1" si="195"/>
        <v>0</v>
      </c>
      <c r="AZ198" s="24">
        <f t="shared" ca="1" si="196"/>
        <v>0</v>
      </c>
      <c r="BA198" s="25">
        <f t="shared" ca="1" si="197"/>
        <v>0</v>
      </c>
      <c r="BB198" s="23">
        <f t="array" aca="1" ref="BB198" ca="1">SUM(IF(w_start_date&lt;=AO198,1,0)*IF(w_end_date&gt;=AO198,1,0)*w_amount*(1+w_escalation/100)^(INT((AP198-w_months_since_start)/12))*IF(MOD(AP198-w_months_since_start,w_frequency)=0,1,0)*IF(w_frequency=13,0,1))+SUM(IF(w_start_date=AO198,w_amount,0)*IF(w_frequency=13,1,0))</f>
        <v>0</v>
      </c>
      <c r="BC198" s="25">
        <f t="shared" ca="1" si="198"/>
        <v>0</v>
      </c>
      <c r="BD198" s="24" t="b">
        <f t="shared" ca="1" si="199"/>
        <v>1</v>
      </c>
      <c r="BE198" s="24" t="b">
        <f t="shared" ca="1" si="200"/>
        <v>1</v>
      </c>
      <c r="BF198" s="23">
        <f t="array" aca="1" ref="BF198" ca="1">SUM(IF(BD198,1,0)*IF(ap_start_date&lt;=AO198,1,0)*IF(ap_end_date&gt;=AO198,1,0)*ap_amount*(1+ap_escalation/100)^(INT((AP198-ap_months_since_start)/12))*IF(MOD(AP198-ap_months_since_start,ap_frequency)=0,1,0))</f>
        <v>40945.049600000006</v>
      </c>
      <c r="BG198" s="24">
        <f t="shared" ca="1" si="201"/>
        <v>491340.59520000016</v>
      </c>
      <c r="BH198" s="24">
        <f t="shared" ca="1" si="202"/>
        <v>47445.277088028488</v>
      </c>
      <c r="BI198">
        <f t="shared" ca="1" si="203"/>
        <v>0</v>
      </c>
      <c r="BJ198" s="24">
        <f t="shared" ca="1" si="204"/>
        <v>332116.93961619935</v>
      </c>
      <c r="BK198">
        <f t="shared" ca="1" si="205"/>
        <v>1</v>
      </c>
      <c r="BL198" s="25">
        <f t="shared" ca="1" si="206"/>
        <v>27676.411634683274</v>
      </c>
      <c r="BM198" s="32">
        <f t="shared" ca="1" si="185"/>
        <v>1720519.5814165589</v>
      </c>
      <c r="BN198" s="23">
        <f t="shared" ca="1" si="207"/>
        <v>0</v>
      </c>
      <c r="BO198" s="24">
        <f t="shared" ca="1" si="208"/>
        <v>0</v>
      </c>
      <c r="BP198" s="25">
        <f t="shared" ca="1" si="209"/>
        <v>0</v>
      </c>
      <c r="BQ198" s="34">
        <f t="shared" ca="1" si="210"/>
        <v>51440</v>
      </c>
      <c r="BR198" s="23">
        <f t="shared" ca="1" si="211"/>
        <v>1720519.5814165589</v>
      </c>
      <c r="BS198" s="24">
        <f t="shared" ca="1" si="212"/>
        <v>0</v>
      </c>
      <c r="BT198" s="24">
        <f t="shared" ca="1" si="221"/>
        <v>0</v>
      </c>
      <c r="BU198" s="24">
        <f t="shared" ca="1" si="213"/>
        <v>0</v>
      </c>
      <c r="BV198" s="24">
        <f t="shared" ca="1" si="222"/>
        <v>0</v>
      </c>
      <c r="BW198" s="24">
        <f t="shared" ca="1" si="214"/>
        <v>-27676.411634683274</v>
      </c>
      <c r="BX198" s="25">
        <f t="shared" ca="1" si="223"/>
        <v>-332116.93961619918</v>
      </c>
      <c r="BY198" s="23">
        <f t="shared" ca="1" si="186"/>
        <v>921606.72657782445</v>
      </c>
      <c r="BZ198" s="24">
        <f t="shared" ca="1" si="187"/>
        <v>0</v>
      </c>
      <c r="CA198" s="24">
        <f t="shared" ca="1" si="224"/>
        <v>0</v>
      </c>
      <c r="CB198" s="24">
        <f t="shared" ca="1" si="188"/>
        <v>0</v>
      </c>
      <c r="CC198" s="24">
        <f t="shared" ca="1" si="225"/>
        <v>0</v>
      </c>
      <c r="CD198" s="24">
        <f t="shared" ca="1" si="189"/>
        <v>-14873.570707786153</v>
      </c>
      <c r="CE198" s="25">
        <f t="shared" ca="1" si="226"/>
        <v>-181731.86260755357</v>
      </c>
      <c r="CF198" s="23">
        <f t="shared" ca="1" si="227"/>
        <v>491340.59520000016</v>
      </c>
      <c r="CG198" s="25">
        <f t="array" aca="1" ref="CG198" ca="1">SUM(BF187:BF198/(1+inflation/100)^(AP187:AP198/12))</f>
        <v>267980.53702225367</v>
      </c>
      <c r="CH198" s="32">
        <f ca="1">IFERROR(IF(MOD(AP198-ap_months_since_start,12)=0,ap_drawdown/100*(AQ198+AV198+BA198-BC198),CH197),0)</f>
        <v>291682.40766093426</v>
      </c>
      <c r="EL198" s="21">
        <f t="shared" ca="1" si="229"/>
        <v>7</v>
      </c>
      <c r="EM198" t="str">
        <f t="shared" ref="EM198:EO198" ca="1" si="274">DR49</f>
        <v/>
      </c>
      <c r="EN198" t="str">
        <f t="shared" ca="1" si="274"/>
        <v/>
      </c>
      <c r="EO198" t="str">
        <f t="shared" ca="1" si="274"/>
        <v/>
      </c>
      <c r="EP198" t="str">
        <f t="shared" ca="1" si="231"/>
        <v/>
      </c>
      <c r="EQ198" t="str">
        <f t="shared" ca="1" si="232"/>
        <v/>
      </c>
      <c r="ER198" t="str">
        <f t="shared" ca="1" si="233"/>
        <v/>
      </c>
      <c r="ES198" t="str">
        <f t="shared" si="234"/>
        <v/>
      </c>
      <c r="ET198" t="str">
        <f t="shared" ca="1" si="235"/>
        <v/>
      </c>
      <c r="EU198" s="22">
        <v>189</v>
      </c>
      <c r="EX198" s="21" t="str">
        <f ca="1">IF(EX197="","",IF(EX197+1&lt;=MAX('Financial Planning Tool'!$EL$10:$EL$209),EX197+1,""))</f>
        <v/>
      </c>
      <c r="EY198" t="str">
        <f ca="1">IF(EX198&lt;&gt;"",VLOOKUP(EX198,'Financial Planning Tool'!$EL$10:$ER$209,2,FALSE),"")</f>
        <v/>
      </c>
      <c r="EZ198" t="str">
        <f ca="1">IF(EX198&lt;&gt;"",VLOOKUP(EX198,'Financial Planning Tool'!$EL$10:$ER$209,3,FALSE),"")</f>
        <v/>
      </c>
      <c r="FA198" t="str">
        <f ca="1">IF(EX198&lt;&gt;"",VLOOKUP(EX198,'Financial Planning Tool'!$EL$10:$ER$209,4,FALSE),"")</f>
        <v/>
      </c>
      <c r="FB198" t="str">
        <f t="shared" ca="1" si="220"/>
        <v/>
      </c>
      <c r="FC198" t="str">
        <f ca="1">IF(EX198&lt;&gt;"",VLOOKUP(EX198,'Financial Planning Tool'!$EL$10:$ER$209,5,FALSE),"")</f>
        <v/>
      </c>
      <c r="FD198" t="str">
        <f ca="1">IF(EX198&lt;&gt;"",VLOOKUP(EX198,'Financial Planning Tool'!$EL$10:$ER$209,6,FALSE),"")</f>
        <v/>
      </c>
      <c r="FE198" t="str">
        <f ca="1">IF(EX198&lt;&gt;"",VLOOKUP(EX198,'Financial Planning Tool'!$EL$10:$ER$209,7,FALSE),"")</f>
        <v/>
      </c>
      <c r="FF198" t="str">
        <f ca="1">IF(EX198&lt;&gt;"",VLOOKUP(EX198,'Financial Planning Tool'!$EL$10:$ES$209,8,FALSE),"")</f>
        <v/>
      </c>
      <c r="FG198" t="str">
        <f ca="1">IF(EX198&lt;&gt;"",VLOOKUP(EX198,'Financial Planning Tool'!$EL$10:$ET$209,9,FALSE),"")</f>
        <v/>
      </c>
      <c r="FH198" t="str">
        <f t="shared" ca="1" si="246"/>
        <v/>
      </c>
      <c r="FI198" s="22" t="str">
        <f t="shared" ca="1" si="247"/>
        <v/>
      </c>
    </row>
    <row r="199" spans="40:165" x14ac:dyDescent="0.25">
      <c r="AN199" s="32">
        <f t="shared" ca="1" si="184"/>
        <v>70.833333333333329</v>
      </c>
      <c r="AO199" s="53">
        <f t="shared" ca="1" si="215"/>
        <v>51441</v>
      </c>
      <c r="AP199" s="22">
        <v>192</v>
      </c>
      <c r="AQ199" s="32">
        <f t="shared" ca="1" si="216"/>
        <v>1720519.5814165589</v>
      </c>
      <c r="AR199" s="23">
        <f t="array" aca="1" ref="AR199" ca="1">SUM(IF(lsc_start_date=AO199,lsc_amount,0))</f>
        <v>0</v>
      </c>
      <c r="AS199" s="24">
        <f t="shared" ca="1" si="190"/>
        <v>0</v>
      </c>
      <c r="AT199" s="24">
        <f t="shared" ca="1" si="191"/>
        <v>0</v>
      </c>
      <c r="AU199" s="24">
        <f t="shared" ca="1" si="192"/>
        <v>0</v>
      </c>
      <c r="AV199" s="25">
        <f t="shared" ca="1" si="193"/>
        <v>0</v>
      </c>
      <c r="AW199" s="23">
        <f t="array" aca="1" ref="AW199" ca="1">SUM(IF(rcs_start_date&lt;=AO199,1,0)*IF(rcs_end_date&gt;=AO199,1,0)*rcs_amount*(1+rcs_escalation/100)^(INT((AP199-rcs_months_since_start)/12))*IF(MOD((AP199-rcs_months_since_start),rcs_frequency)=0,1,0)*IF(rcs_frequency=13,0,1))+SUM(IF(rcs_start_date=AO199,rcs_amount,0)*IF(rcs_frequency=13,1,0))</f>
        <v>0</v>
      </c>
      <c r="AX199" s="24">
        <f t="shared" ca="1" si="194"/>
        <v>0</v>
      </c>
      <c r="AY199" s="24">
        <f t="shared" ca="1" si="195"/>
        <v>0</v>
      </c>
      <c r="AZ199" s="24">
        <f t="shared" ca="1" si="196"/>
        <v>0</v>
      </c>
      <c r="BA199" s="25">
        <f t="shared" ca="1" si="197"/>
        <v>0</v>
      </c>
      <c r="BB199" s="23">
        <f t="array" aca="1" ref="BB199" ca="1">SUM(IF(w_start_date&lt;=AO199,1,0)*IF(w_end_date&gt;=AO199,1,0)*w_amount*(1+w_escalation/100)^(INT((AP199-w_months_since_start)/12))*IF(MOD(AP199-w_months_since_start,w_frequency)=0,1,0)*IF(w_frequency=13,0,1))+SUM(IF(w_start_date=AO199,w_amount,0)*IF(w_frequency=13,1,0))</f>
        <v>0</v>
      </c>
      <c r="BC199" s="25">
        <f t="shared" ca="1" si="198"/>
        <v>0</v>
      </c>
      <c r="BD199" s="24" t="b">
        <f t="shared" ca="1" si="199"/>
        <v>1</v>
      </c>
      <c r="BE199" s="24" t="b">
        <f t="shared" ca="1" si="200"/>
        <v>1</v>
      </c>
      <c r="BF199" s="23">
        <f t="array" aca="1" ref="BF199" ca="1">SUM(IF(BD199,1,0)*IF(ap_start_date&lt;=AO199,1,0)*IF(ap_end_date&gt;=AO199,1,0)*ap_amount*(1+ap_escalation/100)^(INT((AP199-ap_months_since_start)/12))*IF(MOD(AP199-ap_months_since_start,ap_frequency)=0,1,0))</f>
        <v>42582.851584000011</v>
      </c>
      <c r="BG199" s="24">
        <f t="shared" ca="1" si="201"/>
        <v>510994.21900800004</v>
      </c>
      <c r="BH199" s="24">
        <f t="shared" ca="1" si="202"/>
        <v>43012.989535413973</v>
      </c>
      <c r="BI199">
        <f t="shared" ca="1" si="203"/>
        <v>0</v>
      </c>
      <c r="BJ199" s="24">
        <f t="shared" ca="1" si="204"/>
        <v>301090.92674789781</v>
      </c>
      <c r="BK199">
        <f t="shared" ca="1" si="205"/>
        <v>1</v>
      </c>
      <c r="BL199" s="25">
        <f t="shared" ca="1" si="206"/>
        <v>25090.910562324822</v>
      </c>
      <c r="BM199" s="32">
        <f t="shared" ca="1" si="185"/>
        <v>1707648.1734445286</v>
      </c>
      <c r="BN199" s="23">
        <f t="shared" ca="1" si="207"/>
        <v>0</v>
      </c>
      <c r="BO199" s="24">
        <f t="shared" ca="1" si="208"/>
        <v>0</v>
      </c>
      <c r="BP199" s="25">
        <f t="shared" ca="1" si="209"/>
        <v>0</v>
      </c>
      <c r="BQ199" s="34">
        <f t="shared" ca="1" si="210"/>
        <v>51470</v>
      </c>
      <c r="BR199" s="23">
        <f t="shared" ca="1" si="211"/>
        <v>1707648.1734445286</v>
      </c>
      <c r="BS199" s="24">
        <f t="shared" ca="1" si="212"/>
        <v>0</v>
      </c>
      <c r="BT199" s="24">
        <f t="shared" ca="1" si="221"/>
        <v>0</v>
      </c>
      <c r="BU199" s="24">
        <f t="shared" ca="1" si="213"/>
        <v>0</v>
      </c>
      <c r="BV199" s="24">
        <f t="shared" ca="1" si="222"/>
        <v>0</v>
      </c>
      <c r="BW199" s="24">
        <f t="shared" ca="1" si="214"/>
        <v>-25090.910562324822</v>
      </c>
      <c r="BX199" s="25">
        <f t="shared" ca="1" si="223"/>
        <v>-329531.43854384072</v>
      </c>
      <c r="BY199" s="23">
        <f t="shared" ca="1" si="186"/>
        <v>911727.32099702687</v>
      </c>
      <c r="BZ199" s="24">
        <f t="shared" ca="1" si="187"/>
        <v>0</v>
      </c>
      <c r="CA199" s="24">
        <f t="shared" ca="1" si="224"/>
        <v>0</v>
      </c>
      <c r="CB199" s="24">
        <f t="shared" ca="1" si="188"/>
        <v>0</v>
      </c>
      <c r="CC199" s="24">
        <f t="shared" ca="1" si="225"/>
        <v>0</v>
      </c>
      <c r="CD199" s="24">
        <f t="shared" ca="1" si="189"/>
        <v>-13440.098095926609</v>
      </c>
      <c r="CE199" s="25">
        <f t="shared" ca="1" si="226"/>
        <v>-179753.92181465641</v>
      </c>
      <c r="CF199" s="23">
        <f t="shared" ca="1" si="227"/>
        <v>492978.39718400012</v>
      </c>
      <c r="CG199" s="25">
        <f t="array" aca="1" ref="CG199" ca="1">SUM(BF188:BF199/(1+inflation/100)^(AP188:AP199/12))</f>
        <v>267980.53702225373</v>
      </c>
      <c r="CH199" s="32">
        <f ca="1">IFERROR(IF(MOD(AP199-ap_months_since_start,12)=0,ap_drawdown/100*(AQ199+AV199+BA199-BC199),CH198),0)</f>
        <v>264433.74595760962</v>
      </c>
      <c r="EL199" s="21">
        <f t="shared" ca="1" si="229"/>
        <v>7</v>
      </c>
      <c r="EM199" t="str">
        <f t="shared" ref="EM199:EO199" ca="1" si="275">DR50</f>
        <v/>
      </c>
      <c r="EN199" t="str">
        <f t="shared" ca="1" si="275"/>
        <v/>
      </c>
      <c r="EO199" t="str">
        <f t="shared" ca="1" si="275"/>
        <v/>
      </c>
      <c r="EP199" t="str">
        <f t="shared" ca="1" si="231"/>
        <v/>
      </c>
      <c r="EQ199" t="str">
        <f t="shared" ca="1" si="232"/>
        <v/>
      </c>
      <c r="ER199" t="str">
        <f t="shared" ca="1" si="233"/>
        <v/>
      </c>
      <c r="ES199" t="str">
        <f t="shared" si="234"/>
        <v/>
      </c>
      <c r="ET199" t="str">
        <f t="shared" ca="1" si="235"/>
        <v/>
      </c>
      <c r="EU199" s="22">
        <v>190</v>
      </c>
      <c r="EX199" s="21" t="str">
        <f ca="1">IF(EX198="","",IF(EX198+1&lt;=MAX('Financial Planning Tool'!$EL$10:$EL$209),EX198+1,""))</f>
        <v/>
      </c>
      <c r="EY199" t="str">
        <f ca="1">IF(EX199&lt;&gt;"",VLOOKUP(EX199,'Financial Planning Tool'!$EL$10:$ER$209,2,FALSE),"")</f>
        <v/>
      </c>
      <c r="EZ199" t="str">
        <f ca="1">IF(EX199&lt;&gt;"",VLOOKUP(EX199,'Financial Planning Tool'!$EL$10:$ER$209,3,FALSE),"")</f>
        <v/>
      </c>
      <c r="FA199" t="str">
        <f ca="1">IF(EX199&lt;&gt;"",VLOOKUP(EX199,'Financial Planning Tool'!$EL$10:$ER$209,4,FALSE),"")</f>
        <v/>
      </c>
      <c r="FB199" t="str">
        <f t="shared" ca="1" si="220"/>
        <v/>
      </c>
      <c r="FC199" t="str">
        <f ca="1">IF(EX199&lt;&gt;"",VLOOKUP(EX199,'Financial Planning Tool'!$EL$10:$ER$209,5,FALSE),"")</f>
        <v/>
      </c>
      <c r="FD199" t="str">
        <f ca="1">IF(EX199&lt;&gt;"",VLOOKUP(EX199,'Financial Planning Tool'!$EL$10:$ER$209,6,FALSE),"")</f>
        <v/>
      </c>
      <c r="FE199" t="str">
        <f ca="1">IF(EX199&lt;&gt;"",VLOOKUP(EX199,'Financial Planning Tool'!$EL$10:$ER$209,7,FALSE),"")</f>
        <v/>
      </c>
      <c r="FF199" t="str">
        <f ca="1">IF(EX199&lt;&gt;"",VLOOKUP(EX199,'Financial Planning Tool'!$EL$10:$ES$209,8,FALSE),"")</f>
        <v/>
      </c>
      <c r="FG199" t="str">
        <f ca="1">IF(EX199&lt;&gt;"",VLOOKUP(EX199,'Financial Planning Tool'!$EL$10:$ET$209,9,FALSE),"")</f>
        <v/>
      </c>
      <c r="FH199" t="str">
        <f t="shared" ca="1" si="246"/>
        <v/>
      </c>
      <c r="FI199" s="22" t="str">
        <f t="shared" ca="1" si="247"/>
        <v/>
      </c>
    </row>
    <row r="200" spans="40:165" x14ac:dyDescent="0.25">
      <c r="AN200" s="32">
        <f t="shared" ref="AN200:AN263" ca="1" si="276">IF(AND(Date_of_birth&lt;&gt;"",Date_of_birth&lt;&gt;"Please enter date of birth"),YEARFRAC(Date_of_birth,AO200),AP200/12)</f>
        <v>70.916666666666671</v>
      </c>
      <c r="AO200" s="53">
        <f t="shared" ca="1" si="215"/>
        <v>51471</v>
      </c>
      <c r="AP200" s="22">
        <v>193</v>
      </c>
      <c r="AQ200" s="32">
        <f t="shared" ca="1" si="216"/>
        <v>1707648.1734445286</v>
      </c>
      <c r="AR200" s="23">
        <f t="array" aca="1" ref="AR200" ca="1">SUM(IF(lsc_start_date=AO200,lsc_amount,0))</f>
        <v>0</v>
      </c>
      <c r="AS200" s="24">
        <f t="shared" ca="1" si="190"/>
        <v>0</v>
      </c>
      <c r="AT200" s="24">
        <f t="shared" ca="1" si="191"/>
        <v>0</v>
      </c>
      <c r="AU200" s="24">
        <f t="shared" ca="1" si="192"/>
        <v>0</v>
      </c>
      <c r="AV200" s="25">
        <f t="shared" ca="1" si="193"/>
        <v>0</v>
      </c>
      <c r="AW200" s="23">
        <f t="array" aca="1" ref="AW200" ca="1">SUM(IF(rcs_start_date&lt;=AO200,1,0)*IF(rcs_end_date&gt;=AO200,1,0)*rcs_amount*(1+rcs_escalation/100)^(INT((AP200-rcs_months_since_start)/12))*IF(MOD((AP200-rcs_months_since_start),rcs_frequency)=0,1,0)*IF(rcs_frequency=13,0,1))+SUM(IF(rcs_start_date=AO200,rcs_amount,0)*IF(rcs_frequency=13,1,0))</f>
        <v>0</v>
      </c>
      <c r="AX200" s="24">
        <f t="shared" ca="1" si="194"/>
        <v>0</v>
      </c>
      <c r="AY200" s="24">
        <f t="shared" ca="1" si="195"/>
        <v>0</v>
      </c>
      <c r="AZ200" s="24">
        <f t="shared" ca="1" si="196"/>
        <v>0</v>
      </c>
      <c r="BA200" s="25">
        <f t="shared" ca="1" si="197"/>
        <v>0</v>
      </c>
      <c r="BB200" s="23">
        <f t="array" aca="1" ref="BB200" ca="1">SUM(IF(w_start_date&lt;=AO200,1,0)*IF(w_end_date&gt;=AO200,1,0)*w_amount*(1+w_escalation/100)^(INT((AP200-w_months_since_start)/12))*IF(MOD(AP200-w_months_since_start,w_frequency)=0,1,0)*IF(w_frequency=13,0,1))+SUM(IF(w_start_date=AO200,w_amount,0)*IF(w_frequency=13,1,0))</f>
        <v>0</v>
      </c>
      <c r="BC200" s="25">
        <f t="shared" ca="1" si="198"/>
        <v>0</v>
      </c>
      <c r="BD200" s="24" t="b">
        <f t="shared" ca="1" si="199"/>
        <v>1</v>
      </c>
      <c r="BE200" s="24" t="b">
        <f t="shared" ca="1" si="200"/>
        <v>1</v>
      </c>
      <c r="BF200" s="23">
        <f t="array" aca="1" ref="BF200" ca="1">SUM(IF(BD200,1,0)*IF(ap_start_date&lt;=AO200,1,0)*IF(ap_end_date&gt;=AO200,1,0)*ap_amount*(1+ap_escalation/100)^(INT((AP200-ap_months_since_start)/12))*IF(MOD(AP200-ap_months_since_start,ap_frequency)=0,1,0))</f>
        <v>42582.851584000011</v>
      </c>
      <c r="BG200" s="24">
        <f t="shared" ca="1" si="201"/>
        <v>510994.21900800004</v>
      </c>
      <c r="BH200" s="24">
        <f t="shared" ca="1" si="202"/>
        <v>43012.989535413973</v>
      </c>
      <c r="BI200">
        <f t="shared" ca="1" si="203"/>
        <v>0</v>
      </c>
      <c r="BJ200" s="24">
        <f t="shared" ca="1" si="204"/>
        <v>301090.92674789781</v>
      </c>
      <c r="BK200">
        <f t="shared" ca="1" si="205"/>
        <v>1</v>
      </c>
      <c r="BL200" s="25">
        <f t="shared" ca="1" si="206"/>
        <v>25090.910562324822</v>
      </c>
      <c r="BM200" s="32">
        <f t="shared" ref="BM200:BM263" ca="1" si="277">(AQ200+AV200+BA200-BC200-BL200)*(1+NomRetn/100)^(1/12)</f>
        <v>1694683.99707371</v>
      </c>
      <c r="BN200" s="23">
        <f t="shared" ca="1" si="207"/>
        <v>0</v>
      </c>
      <c r="BO200" s="24">
        <f t="shared" ca="1" si="208"/>
        <v>0</v>
      </c>
      <c r="BP200" s="25">
        <f t="shared" ca="1" si="209"/>
        <v>0</v>
      </c>
      <c r="BQ200" s="34">
        <f t="shared" ca="1" si="210"/>
        <v>51501</v>
      </c>
      <c r="BR200" s="23">
        <f t="shared" ca="1" si="211"/>
        <v>1694683.99707371</v>
      </c>
      <c r="BS200" s="24">
        <f t="shared" ca="1" si="212"/>
        <v>0</v>
      </c>
      <c r="BT200" s="24">
        <f t="shared" ca="1" si="221"/>
        <v>0</v>
      </c>
      <c r="BU200" s="24">
        <f t="shared" ca="1" si="213"/>
        <v>0</v>
      </c>
      <c r="BV200" s="24">
        <f t="shared" ca="1" si="222"/>
        <v>0</v>
      </c>
      <c r="BW200" s="24">
        <f t="shared" ca="1" si="214"/>
        <v>-25090.910562324822</v>
      </c>
      <c r="BX200" s="25">
        <f t="shared" ca="1" si="223"/>
        <v>-326945.93747148226</v>
      </c>
      <c r="BY200" s="23">
        <f t="shared" ref="BY200:BY263" ca="1" si="278">BR200*(1+inflation/100)^(-$AP200/12)</f>
        <v>901853.20851519413</v>
      </c>
      <c r="BZ200" s="24">
        <f t="shared" ref="BZ200:BZ263" ca="1" si="279">BS200*(1+inflation/100)^(-(AP200-1)/12)</f>
        <v>0</v>
      </c>
      <c r="CA200" s="24">
        <f t="shared" ca="1" si="224"/>
        <v>0</v>
      </c>
      <c r="CB200" s="24">
        <f t="shared" ref="CB200:CB263" ca="1" si="280">BU200*(1+inflation/100)^(-($AP200-1)/12)</f>
        <v>0</v>
      </c>
      <c r="CC200" s="24">
        <f t="shared" ca="1" si="225"/>
        <v>0</v>
      </c>
      <c r="CD200" s="24">
        <f t="shared" ref="CD200:CD263" ca="1" si="281">BW200*(1+inflation/100)^(-($AP200-1)/12)</f>
        <v>-13396.242284627446</v>
      </c>
      <c r="CE200" s="25">
        <f t="shared" ca="1" si="226"/>
        <v>-177782.43515606356</v>
      </c>
      <c r="CF200" s="23">
        <f t="shared" ca="1" si="227"/>
        <v>494616.19916800008</v>
      </c>
      <c r="CG200" s="25">
        <f t="array" aca="1" ref="CG200" ca="1">SUM(BF189:BF200/(1+inflation/100)^(AP189:AP200/12))</f>
        <v>267980.53702225373</v>
      </c>
      <c r="CH200" s="32">
        <f ca="1">IFERROR(IF(MOD(AP200-ap_months_since_start,12)=0,ap_drawdown/100*(AQ200+AV200+BA200-BC200),CH199),0)</f>
        <v>264433.74595760962</v>
      </c>
      <c r="EL200" s="21">
        <f t="shared" ca="1" si="229"/>
        <v>7</v>
      </c>
      <c r="EM200" t="str">
        <f t="shared" ref="EM200:EO200" ca="1" si="282">DR51</f>
        <v/>
      </c>
      <c r="EN200" t="str">
        <f t="shared" ca="1" si="282"/>
        <v/>
      </c>
      <c r="EO200" t="str">
        <f t="shared" ca="1" si="282"/>
        <v/>
      </c>
      <c r="EP200" t="str">
        <f t="shared" ca="1" si="231"/>
        <v/>
      </c>
      <c r="EQ200" t="str">
        <f t="shared" ca="1" si="232"/>
        <v/>
      </c>
      <c r="ER200" t="str">
        <f t="shared" ca="1" si="233"/>
        <v/>
      </c>
      <c r="ES200" t="str">
        <f t="shared" si="234"/>
        <v/>
      </c>
      <c r="ET200" t="str">
        <f t="shared" ca="1" si="235"/>
        <v/>
      </c>
      <c r="EU200" s="22">
        <v>191</v>
      </c>
      <c r="EX200" s="21" t="str">
        <f ca="1">IF(EX199="","",IF(EX199+1&lt;=MAX('Financial Planning Tool'!$EL$10:$EL$209),EX199+1,""))</f>
        <v/>
      </c>
      <c r="EY200" t="str">
        <f ca="1">IF(EX200&lt;&gt;"",VLOOKUP(EX200,'Financial Planning Tool'!$EL$10:$ER$209,2,FALSE),"")</f>
        <v/>
      </c>
      <c r="EZ200" t="str">
        <f ca="1">IF(EX200&lt;&gt;"",VLOOKUP(EX200,'Financial Planning Tool'!$EL$10:$ER$209,3,FALSE),"")</f>
        <v/>
      </c>
      <c r="FA200" t="str">
        <f ca="1">IF(EX200&lt;&gt;"",VLOOKUP(EX200,'Financial Planning Tool'!$EL$10:$ER$209,4,FALSE),"")</f>
        <v/>
      </c>
      <c r="FB200" t="str">
        <f t="shared" ca="1" si="220"/>
        <v/>
      </c>
      <c r="FC200" t="str">
        <f ca="1">IF(EX200&lt;&gt;"",VLOOKUP(EX200,'Financial Planning Tool'!$EL$10:$ER$209,5,FALSE),"")</f>
        <v/>
      </c>
      <c r="FD200" t="str">
        <f ca="1">IF(EX200&lt;&gt;"",VLOOKUP(EX200,'Financial Planning Tool'!$EL$10:$ER$209,6,FALSE),"")</f>
        <v/>
      </c>
      <c r="FE200" t="str">
        <f ca="1">IF(EX200&lt;&gt;"",VLOOKUP(EX200,'Financial Planning Tool'!$EL$10:$ER$209,7,FALSE),"")</f>
        <v/>
      </c>
      <c r="FF200" t="str">
        <f ca="1">IF(EX200&lt;&gt;"",VLOOKUP(EX200,'Financial Planning Tool'!$EL$10:$ES$209,8,FALSE),"")</f>
        <v/>
      </c>
      <c r="FG200" t="str">
        <f ca="1">IF(EX200&lt;&gt;"",VLOOKUP(EX200,'Financial Planning Tool'!$EL$10:$ET$209,9,FALSE),"")</f>
        <v/>
      </c>
      <c r="FH200" t="str">
        <f t="shared" ca="1" si="246"/>
        <v/>
      </c>
      <c r="FI200" s="22" t="str">
        <f t="shared" ca="1" si="247"/>
        <v/>
      </c>
    </row>
    <row r="201" spans="40:165" x14ac:dyDescent="0.25">
      <c r="AN201" s="32">
        <f t="shared" ca="1" si="276"/>
        <v>71</v>
      </c>
      <c r="AO201" s="53">
        <f t="shared" ca="1" si="215"/>
        <v>51502</v>
      </c>
      <c r="AP201" s="22">
        <v>194</v>
      </c>
      <c r="AQ201" s="32">
        <f t="shared" ca="1" si="216"/>
        <v>1694683.99707371</v>
      </c>
      <c r="AR201" s="23">
        <f t="array" aca="1" ref="AR201" ca="1">SUM(IF(lsc_start_date=AO201,lsc_amount,0))</f>
        <v>0</v>
      </c>
      <c r="AS201" s="24">
        <f t="shared" ref="AS201:AS264" ca="1" si="283">AR201*$D$34/100</f>
        <v>0</v>
      </c>
      <c r="AT201" s="24">
        <f t="shared" ref="AT201:AT264" ca="1" si="284">AR201*$D$33/100</f>
        <v>0</v>
      </c>
      <c r="AU201" s="24">
        <f t="shared" ref="AU201:AU264" ca="1" si="285">AR201*$D$35/100</f>
        <v>0</v>
      </c>
      <c r="AV201" s="25">
        <f t="shared" ref="AV201:AV264" ca="1" si="286">AR201-AS201-AT201-AU201</f>
        <v>0</v>
      </c>
      <c r="AW201" s="23">
        <f t="array" aca="1" ref="AW201" ca="1">SUM(IF(rcs_start_date&lt;=AO201,1,0)*IF(rcs_end_date&gt;=AO201,1,0)*rcs_amount*(1+rcs_escalation/100)^(INT((AP201-rcs_months_since_start)/12))*IF(MOD((AP201-rcs_months_since_start),rcs_frequency)=0,1,0)*IF(rcs_frequency=13,0,1))+SUM(IF(rcs_start_date=AO201,rcs_amount,0)*IF(rcs_frequency=13,1,0))</f>
        <v>0</v>
      </c>
      <c r="AX201" s="24">
        <f t="shared" ref="AX201:AX264" ca="1" si="287">AW201*$D$34/100</f>
        <v>0</v>
      </c>
      <c r="AY201" s="24">
        <f t="shared" ref="AY201:AY264" ca="1" si="288">AW201*$D$33/100</f>
        <v>0</v>
      </c>
      <c r="AZ201" s="24">
        <f t="shared" ref="AZ201:AZ264" ca="1" si="289">AW201*$D$35/100</f>
        <v>0</v>
      </c>
      <c r="BA201" s="25">
        <f t="shared" ref="BA201:BA264" ca="1" si="290">AW201-AX201-AY201-AZ201</f>
        <v>0</v>
      </c>
      <c r="BB201" s="23">
        <f t="array" aca="1" ref="BB201" ca="1">SUM(IF(w_start_date&lt;=AO201,1,0)*IF(w_end_date&gt;=AO201,1,0)*w_amount*(1+w_escalation/100)^(INT((AP201-w_months_since_start)/12))*IF(MOD(AP201-w_months_since_start,w_frequency)=0,1,0)*IF(w_frequency=13,0,1))+SUM(IF(w_start_date=AO201,w_amount,0)*IF(w_frequency=13,1,0))</f>
        <v>0</v>
      </c>
      <c r="BC201" s="25">
        <f t="shared" ref="BC201:BC264" ca="1" si="291">IF(BB201&gt;AQ201+AV201+BA201,AQ201+AV201+BA201,BB201)</f>
        <v>0</v>
      </c>
      <c r="BD201" s="24" t="b">
        <f t="shared" ref="BD201:BD264" ca="1" si="292">AND($DV$11&lt;=AO201,$DV$11&lt;&gt;0)</f>
        <v>1</v>
      </c>
      <c r="BE201" s="24" t="b">
        <f t="shared" ref="BE201:BE264" ca="1" si="293">$DW$11&lt;&gt;""</f>
        <v>1</v>
      </c>
      <c r="BF201" s="23">
        <f t="array" aca="1" ref="BF201" ca="1">SUM(IF(BD201,1,0)*IF(ap_start_date&lt;=AO201,1,0)*IF(ap_end_date&gt;=AO201,1,0)*ap_amount*(1+ap_escalation/100)^(INT((AP201-ap_months_since_start)/12))*IF(MOD(AP201-ap_months_since_start,ap_frequency)=0,1,0))</f>
        <v>42582.851584000011</v>
      </c>
      <c r="BG201" s="24">
        <f t="shared" ref="BG201:BG264" ca="1" si="294">IF(MOD(YEAR(AO201)*12+MONTH(AO201)-YEAR(Earliest_annuity_payment)*12-MONTH(Earliest_annuity_payment),12)=0,SUM(BF201:BF212),BG200)</f>
        <v>510994.21900800004</v>
      </c>
      <c r="BH201" s="24">
        <f t="shared" ref="BH201:BH264" ca="1" si="295">IF(AO201&gt;=Earliest_annuity_payment,IF(MOD(YEAR(AO201)*12+MONTH(AO201)-YEAR(Earliest_annuity_payment)*12-MONTH(Earliest_annuity_payment),12)=0,(AQ201+AV201+BA201-BC201)*Annuity_min,BH200),0)</f>
        <v>43012.989535413973</v>
      </c>
      <c r="BI201">
        <f t="shared" ref="BI201:BI264" ca="1" si="296">IF(AND(BH201&gt;BG201,BD201),1,0)</f>
        <v>0</v>
      </c>
      <c r="BJ201" s="24">
        <f t="shared" ref="BJ201:BJ264" ca="1" si="297">IF(AO201&gt;=Earliest_annuity_payment,IF(MOD(YEAR(AO201)*12+MONTH(AO201)-YEAR(Earliest_annuity_payment)*12-MONTH(Earliest_annuity_payment),12)=0,(AQ201+AV201+BA201-BC201)*Annuity_cap,BJ200),0)</f>
        <v>301090.92674789781</v>
      </c>
      <c r="BK201">
        <f t="shared" ref="BK201:BK264" ca="1" si="298">IF(BJ201&lt;BG201,1,0)</f>
        <v>1</v>
      </c>
      <c r="BL201" s="25">
        <f t="shared" ref="BL201:BL264" ca="1" si="299">IF(BJ201&lt;BG201,BF201/BG201*BJ201,IF(AND(BH201&gt;BG201,BG201&lt;&gt;0),BF201/BG201*BH201,BF201))</f>
        <v>25090.910562324822</v>
      </c>
      <c r="BM201" s="32">
        <f t="shared" ca="1" si="277"/>
        <v>1681626.3836922594</v>
      </c>
      <c r="BN201" s="23">
        <f t="shared" ref="BN201:BN264" ca="1" si="300">BM201*$E$34/1200</f>
        <v>0</v>
      </c>
      <c r="BO201" s="24">
        <f t="shared" ref="BO201:BO264" ca="1" si="301">BM201*$E$33/1200</f>
        <v>0</v>
      </c>
      <c r="BP201" s="25">
        <f t="shared" ref="BP201:BP264" ca="1" si="302">BM201*$E$35/1200</f>
        <v>0</v>
      </c>
      <c r="BQ201" s="34">
        <f t="shared" ref="BQ201:BQ264" ca="1" si="303">EOMONTH(AO201,0)</f>
        <v>51532</v>
      </c>
      <c r="BR201" s="23">
        <f t="shared" ref="BR201:BR264" ca="1" si="304">BM201-BN201-BO201-BP201</f>
        <v>1681626.3836922594</v>
      </c>
      <c r="BS201" s="24">
        <f t="shared" ref="BS201:BS264" ca="1" si="305">AV201+BA201</f>
        <v>0</v>
      </c>
      <c r="BT201" s="24">
        <f t="shared" ca="1" si="221"/>
        <v>0</v>
      </c>
      <c r="BU201" s="24">
        <f t="shared" ref="BU201:BU264" ca="1" si="306">-BC201</f>
        <v>0</v>
      </c>
      <c r="BV201" s="24">
        <f t="shared" ca="1" si="222"/>
        <v>0</v>
      </c>
      <c r="BW201" s="24">
        <f t="shared" ref="BW201:BW264" ca="1" si="307">-BL201</f>
        <v>-25090.910562324822</v>
      </c>
      <c r="BX201" s="25">
        <f t="shared" ca="1" si="223"/>
        <v>-324360.43639912381</v>
      </c>
      <c r="BY201" s="23">
        <f t="shared" ca="1" si="278"/>
        <v>891984.26622012863</v>
      </c>
      <c r="BZ201" s="24">
        <f t="shared" ca="1" si="279"/>
        <v>0</v>
      </c>
      <c r="CA201" s="24">
        <f t="shared" ca="1" si="224"/>
        <v>0</v>
      </c>
      <c r="CB201" s="24">
        <f t="shared" ca="1" si="280"/>
        <v>0</v>
      </c>
      <c r="CC201" s="24">
        <f t="shared" ca="1" si="225"/>
        <v>0</v>
      </c>
      <c r="CD201" s="24">
        <f t="shared" ca="1" si="281"/>
        <v>-13352.529577357069</v>
      </c>
      <c r="CE201" s="25">
        <f t="shared" ca="1" si="226"/>
        <v>-175817.38157156442</v>
      </c>
      <c r="CF201" s="23">
        <f t="shared" ca="1" si="227"/>
        <v>496254.00115200004</v>
      </c>
      <c r="CG201" s="25">
        <f t="array" aca="1" ref="CG201" ca="1">SUM(BF190:BF201/(1+inflation/100)^(AP190:AP201/12))</f>
        <v>267980.53702225373</v>
      </c>
      <c r="CH201" s="32">
        <f ca="1">IFERROR(IF(MOD(AP201-ap_months_since_start,12)=0,ap_drawdown/100*(AQ201+AV201+BA201-BC201),CH200),0)</f>
        <v>264433.74595760962</v>
      </c>
      <c r="EL201" s="21">
        <f t="shared" ca="1" si="229"/>
        <v>7</v>
      </c>
      <c r="EM201" t="str">
        <f t="shared" ref="EM201:EO201" ca="1" si="308">DR52</f>
        <v/>
      </c>
      <c r="EN201" t="str">
        <f t="shared" ca="1" si="308"/>
        <v/>
      </c>
      <c r="EO201" t="str">
        <f t="shared" ca="1" si="308"/>
        <v/>
      </c>
      <c r="EP201" t="str">
        <f t="shared" ca="1" si="231"/>
        <v/>
      </c>
      <c r="EQ201" t="str">
        <f t="shared" ca="1" si="232"/>
        <v/>
      </c>
      <c r="ER201" t="str">
        <f t="shared" ca="1" si="233"/>
        <v/>
      </c>
      <c r="ES201" t="str">
        <f t="shared" si="234"/>
        <v/>
      </c>
      <c r="ET201" t="str">
        <f t="shared" ca="1" si="235"/>
        <v/>
      </c>
      <c r="EU201" s="22">
        <v>192</v>
      </c>
      <c r="EX201" s="21" t="str">
        <f ca="1">IF(EX200="","",IF(EX200+1&lt;=MAX('Financial Planning Tool'!$EL$10:$EL$209),EX200+1,""))</f>
        <v/>
      </c>
      <c r="EY201" t="str">
        <f ca="1">IF(EX201&lt;&gt;"",VLOOKUP(EX201,'Financial Planning Tool'!$EL$10:$ER$209,2,FALSE),"")</f>
        <v/>
      </c>
      <c r="EZ201" t="str">
        <f ca="1">IF(EX201&lt;&gt;"",VLOOKUP(EX201,'Financial Planning Tool'!$EL$10:$ER$209,3,FALSE),"")</f>
        <v/>
      </c>
      <c r="FA201" t="str">
        <f ca="1">IF(EX201&lt;&gt;"",VLOOKUP(EX201,'Financial Planning Tool'!$EL$10:$ER$209,4,FALSE),"")</f>
        <v/>
      </c>
      <c r="FB201" t="str">
        <f t="shared" ca="1" si="220"/>
        <v/>
      </c>
      <c r="FC201" t="str">
        <f ca="1">IF(EX201&lt;&gt;"",VLOOKUP(EX201,'Financial Planning Tool'!$EL$10:$ER$209,5,FALSE),"")</f>
        <v/>
      </c>
      <c r="FD201" t="str">
        <f ca="1">IF(EX201&lt;&gt;"",VLOOKUP(EX201,'Financial Planning Tool'!$EL$10:$ER$209,6,FALSE),"")</f>
        <v/>
      </c>
      <c r="FE201" t="str">
        <f ca="1">IF(EX201&lt;&gt;"",VLOOKUP(EX201,'Financial Planning Tool'!$EL$10:$ER$209,7,FALSE),"")</f>
        <v/>
      </c>
      <c r="FF201" t="str">
        <f ca="1">IF(EX201&lt;&gt;"",VLOOKUP(EX201,'Financial Planning Tool'!$EL$10:$ES$209,8,FALSE),"")</f>
        <v/>
      </c>
      <c r="FG201" t="str">
        <f ca="1">IF(EX201&lt;&gt;"",VLOOKUP(EX201,'Financial Planning Tool'!$EL$10:$ET$209,9,FALSE),"")</f>
        <v/>
      </c>
      <c r="FH201" t="str">
        <f t="shared" ca="1" si="246"/>
        <v/>
      </c>
      <c r="FI201" s="22" t="str">
        <f t="shared" ca="1" si="247"/>
        <v/>
      </c>
    </row>
    <row r="202" spans="40:165" x14ac:dyDescent="0.25">
      <c r="AN202" s="32">
        <f t="shared" ca="1" si="276"/>
        <v>71.083333333333329</v>
      </c>
      <c r="AO202" s="53">
        <f t="shared" ref="AO202:AO265" ca="1" si="309">DATE(YEAR(AO201),MONTH(AO201)+1,1)</f>
        <v>51533</v>
      </c>
      <c r="AP202" s="22">
        <v>195</v>
      </c>
      <c r="AQ202" s="32">
        <f t="shared" ref="AQ202:AQ265" ca="1" si="310">IF(BR201&lt;0,0,BR201)</f>
        <v>1681626.3836922594</v>
      </c>
      <c r="AR202" s="23">
        <f t="array" aca="1" ref="AR202" ca="1">SUM(IF(lsc_start_date=AO202,lsc_amount,0))</f>
        <v>0</v>
      </c>
      <c r="AS202" s="24">
        <f t="shared" ca="1" si="283"/>
        <v>0</v>
      </c>
      <c r="AT202" s="24">
        <f t="shared" ca="1" si="284"/>
        <v>0</v>
      </c>
      <c r="AU202" s="24">
        <f t="shared" ca="1" si="285"/>
        <v>0</v>
      </c>
      <c r="AV202" s="25">
        <f t="shared" ca="1" si="286"/>
        <v>0</v>
      </c>
      <c r="AW202" s="23">
        <f t="array" aca="1" ref="AW202" ca="1">SUM(IF(rcs_start_date&lt;=AO202,1,0)*IF(rcs_end_date&gt;=AO202,1,0)*rcs_amount*(1+rcs_escalation/100)^(INT((AP202-rcs_months_since_start)/12))*IF(MOD((AP202-rcs_months_since_start),rcs_frequency)=0,1,0)*IF(rcs_frequency=13,0,1))+SUM(IF(rcs_start_date=AO202,rcs_amount,0)*IF(rcs_frequency=13,1,0))</f>
        <v>0</v>
      </c>
      <c r="AX202" s="24">
        <f t="shared" ca="1" si="287"/>
        <v>0</v>
      </c>
      <c r="AY202" s="24">
        <f t="shared" ca="1" si="288"/>
        <v>0</v>
      </c>
      <c r="AZ202" s="24">
        <f t="shared" ca="1" si="289"/>
        <v>0</v>
      </c>
      <c r="BA202" s="25">
        <f t="shared" ca="1" si="290"/>
        <v>0</v>
      </c>
      <c r="BB202" s="23">
        <f t="array" aca="1" ref="BB202" ca="1">SUM(IF(w_start_date&lt;=AO202,1,0)*IF(w_end_date&gt;=AO202,1,0)*w_amount*(1+w_escalation/100)^(INT((AP202-w_months_since_start)/12))*IF(MOD(AP202-w_months_since_start,w_frequency)=0,1,0)*IF(w_frequency=13,0,1))+SUM(IF(w_start_date=AO202,w_amount,0)*IF(w_frequency=13,1,0))</f>
        <v>0</v>
      </c>
      <c r="BC202" s="25">
        <f t="shared" ca="1" si="291"/>
        <v>0</v>
      </c>
      <c r="BD202" s="24" t="b">
        <f t="shared" ca="1" si="292"/>
        <v>1</v>
      </c>
      <c r="BE202" s="24" t="b">
        <f t="shared" ca="1" si="293"/>
        <v>1</v>
      </c>
      <c r="BF202" s="23">
        <f t="array" aca="1" ref="BF202" ca="1">SUM(IF(BD202,1,0)*IF(ap_start_date&lt;=AO202,1,0)*IF(ap_end_date&gt;=AO202,1,0)*ap_amount*(1+ap_escalation/100)^(INT((AP202-ap_months_since_start)/12))*IF(MOD(AP202-ap_months_since_start,ap_frequency)=0,1,0))</f>
        <v>42582.851584000011</v>
      </c>
      <c r="BG202" s="24">
        <f t="shared" ca="1" si="294"/>
        <v>510994.21900800004</v>
      </c>
      <c r="BH202" s="24">
        <f t="shared" ca="1" si="295"/>
        <v>43012.989535413973</v>
      </c>
      <c r="BI202">
        <f t="shared" ca="1" si="296"/>
        <v>0</v>
      </c>
      <c r="BJ202" s="24">
        <f t="shared" ca="1" si="297"/>
        <v>301090.92674789781</v>
      </c>
      <c r="BK202">
        <f t="shared" ca="1" si="298"/>
        <v>1</v>
      </c>
      <c r="BL202" s="25">
        <f t="shared" ca="1" si="299"/>
        <v>25090.910562324822</v>
      </c>
      <c r="BM202" s="32">
        <f t="shared" ca="1" si="277"/>
        <v>1668474.6598694315</v>
      </c>
      <c r="BN202" s="23">
        <f t="shared" ca="1" si="300"/>
        <v>0</v>
      </c>
      <c r="BO202" s="24">
        <f t="shared" ca="1" si="301"/>
        <v>0</v>
      </c>
      <c r="BP202" s="25">
        <f t="shared" ca="1" si="302"/>
        <v>0</v>
      </c>
      <c r="BQ202" s="34">
        <f t="shared" ca="1" si="303"/>
        <v>51560</v>
      </c>
      <c r="BR202" s="23">
        <f t="shared" ca="1" si="304"/>
        <v>1668474.6598694315</v>
      </c>
      <c r="BS202" s="24">
        <f t="shared" ca="1" si="305"/>
        <v>0</v>
      </c>
      <c r="BT202" s="24">
        <f t="shared" ca="1" si="221"/>
        <v>0</v>
      </c>
      <c r="BU202" s="24">
        <f t="shared" ca="1" si="306"/>
        <v>0</v>
      </c>
      <c r="BV202" s="24">
        <f t="shared" ca="1" si="222"/>
        <v>0</v>
      </c>
      <c r="BW202" s="24">
        <f t="shared" ca="1" si="307"/>
        <v>-25090.910562324822</v>
      </c>
      <c r="BX202" s="25">
        <f t="shared" ca="1" si="223"/>
        <v>-321774.93532676541</v>
      </c>
      <c r="BY202" s="23">
        <f t="shared" ca="1" si="278"/>
        <v>882120.3711865145</v>
      </c>
      <c r="BZ202" s="24">
        <f t="shared" ca="1" si="279"/>
        <v>0</v>
      </c>
      <c r="CA202" s="24">
        <f t="shared" ca="1" si="224"/>
        <v>0</v>
      </c>
      <c r="CB202" s="24">
        <f t="shared" ca="1" si="280"/>
        <v>0</v>
      </c>
      <c r="CC202" s="24">
        <f t="shared" ca="1" si="225"/>
        <v>0</v>
      </c>
      <c r="CD202" s="24">
        <f t="shared" ca="1" si="281"/>
        <v>-13308.959507158808</v>
      </c>
      <c r="CE202" s="25">
        <f t="shared" ca="1" si="226"/>
        <v>-173858.74006966912</v>
      </c>
      <c r="CF202" s="23">
        <f t="shared" ca="1" si="227"/>
        <v>497891.803136</v>
      </c>
      <c r="CG202" s="25">
        <f t="array" aca="1" ref="CG202" ca="1">SUM(BF191:BF202/(1+inflation/100)^(AP191:AP202/12))</f>
        <v>267980.53702225373</v>
      </c>
      <c r="CH202" s="32">
        <f ca="1">IFERROR(IF(MOD(AP202-ap_months_since_start,12)=0,ap_drawdown/100*(AQ202+AV202+BA202-BC202),CH201),0)</f>
        <v>264433.74595760962</v>
      </c>
      <c r="EL202" s="21">
        <f t="shared" ca="1" si="229"/>
        <v>7</v>
      </c>
      <c r="EM202" t="str">
        <f t="shared" ref="EM202:EO202" ca="1" si="311">DR53</f>
        <v/>
      </c>
      <c r="EN202" t="str">
        <f t="shared" ca="1" si="311"/>
        <v/>
      </c>
      <c r="EO202" t="str">
        <f t="shared" ca="1" si="311"/>
        <v/>
      </c>
      <c r="EP202" t="str">
        <f t="shared" ca="1" si="231"/>
        <v/>
      </c>
      <c r="EQ202" t="str">
        <f t="shared" ca="1" si="232"/>
        <v/>
      </c>
      <c r="ER202" t="str">
        <f t="shared" ca="1" si="233"/>
        <v/>
      </c>
      <c r="ES202" t="str">
        <f t="shared" si="234"/>
        <v/>
      </c>
      <c r="ET202" t="str">
        <f t="shared" ca="1" si="235"/>
        <v/>
      </c>
      <c r="EU202" s="22">
        <v>193</v>
      </c>
      <c r="EX202" s="21" t="str">
        <f ca="1">IF(EX201="","",IF(EX201+1&lt;=MAX('Financial Planning Tool'!$EL$10:$EL$209),EX201+1,""))</f>
        <v/>
      </c>
      <c r="EY202" t="str">
        <f ca="1">IF(EX202&lt;&gt;"",VLOOKUP(EX202,'Financial Planning Tool'!$EL$10:$ER$209,2,FALSE),"")</f>
        <v/>
      </c>
      <c r="EZ202" t="str">
        <f ca="1">IF(EX202&lt;&gt;"",VLOOKUP(EX202,'Financial Planning Tool'!$EL$10:$ER$209,3,FALSE),"")</f>
        <v/>
      </c>
      <c r="FA202" t="str">
        <f ca="1">IF(EX202&lt;&gt;"",VLOOKUP(EX202,'Financial Planning Tool'!$EL$10:$ER$209,4,FALSE),"")</f>
        <v/>
      </c>
      <c r="FB202" t="str">
        <f t="shared" ca="1" si="220"/>
        <v/>
      </c>
      <c r="FC202" t="str">
        <f ca="1">IF(EX202&lt;&gt;"",VLOOKUP(EX202,'Financial Planning Tool'!$EL$10:$ER$209,5,FALSE),"")</f>
        <v/>
      </c>
      <c r="FD202" t="str">
        <f ca="1">IF(EX202&lt;&gt;"",VLOOKUP(EX202,'Financial Planning Tool'!$EL$10:$ER$209,6,FALSE),"")</f>
        <v/>
      </c>
      <c r="FE202" t="str">
        <f ca="1">IF(EX202&lt;&gt;"",VLOOKUP(EX202,'Financial Planning Tool'!$EL$10:$ER$209,7,FALSE),"")</f>
        <v/>
      </c>
      <c r="FF202" t="str">
        <f ca="1">IF(EX202&lt;&gt;"",VLOOKUP(EX202,'Financial Planning Tool'!$EL$10:$ES$209,8,FALSE),"")</f>
        <v/>
      </c>
      <c r="FG202" t="str">
        <f ca="1">IF(EX202&lt;&gt;"",VLOOKUP(EX202,'Financial Planning Tool'!$EL$10:$ET$209,9,FALSE),"")</f>
        <v/>
      </c>
      <c r="FH202" t="str">
        <f t="shared" ca="1" si="246"/>
        <v/>
      </c>
      <c r="FI202" s="22" t="str">
        <f t="shared" ca="1" si="247"/>
        <v/>
      </c>
    </row>
    <row r="203" spans="40:165" x14ac:dyDescent="0.25">
      <c r="AN203" s="32">
        <f t="shared" ca="1" si="276"/>
        <v>71.166666666666671</v>
      </c>
      <c r="AO203" s="53">
        <f t="shared" ca="1" si="309"/>
        <v>51561</v>
      </c>
      <c r="AP203" s="22">
        <v>196</v>
      </c>
      <c r="AQ203" s="32">
        <f t="shared" ca="1" si="310"/>
        <v>1668474.6598694315</v>
      </c>
      <c r="AR203" s="23">
        <f t="array" aca="1" ref="AR203" ca="1">SUM(IF(lsc_start_date=AO203,lsc_amount,0))</f>
        <v>0</v>
      </c>
      <c r="AS203" s="24">
        <f t="shared" ca="1" si="283"/>
        <v>0</v>
      </c>
      <c r="AT203" s="24">
        <f t="shared" ca="1" si="284"/>
        <v>0</v>
      </c>
      <c r="AU203" s="24">
        <f t="shared" ca="1" si="285"/>
        <v>0</v>
      </c>
      <c r="AV203" s="25">
        <f t="shared" ca="1" si="286"/>
        <v>0</v>
      </c>
      <c r="AW203" s="23">
        <f t="array" aca="1" ref="AW203" ca="1">SUM(IF(rcs_start_date&lt;=AO203,1,0)*IF(rcs_end_date&gt;=AO203,1,0)*rcs_amount*(1+rcs_escalation/100)^(INT((AP203-rcs_months_since_start)/12))*IF(MOD((AP203-rcs_months_since_start),rcs_frequency)=0,1,0)*IF(rcs_frequency=13,0,1))+SUM(IF(rcs_start_date=AO203,rcs_amount,0)*IF(rcs_frequency=13,1,0))</f>
        <v>0</v>
      </c>
      <c r="AX203" s="24">
        <f t="shared" ca="1" si="287"/>
        <v>0</v>
      </c>
      <c r="AY203" s="24">
        <f t="shared" ca="1" si="288"/>
        <v>0</v>
      </c>
      <c r="AZ203" s="24">
        <f t="shared" ca="1" si="289"/>
        <v>0</v>
      </c>
      <c r="BA203" s="25">
        <f t="shared" ca="1" si="290"/>
        <v>0</v>
      </c>
      <c r="BB203" s="23">
        <f t="array" aca="1" ref="BB203" ca="1">SUM(IF(w_start_date&lt;=AO203,1,0)*IF(w_end_date&gt;=AO203,1,0)*w_amount*(1+w_escalation/100)^(INT((AP203-w_months_since_start)/12))*IF(MOD(AP203-w_months_since_start,w_frequency)=0,1,0)*IF(w_frequency=13,0,1))+SUM(IF(w_start_date=AO203,w_amount,0)*IF(w_frequency=13,1,0))</f>
        <v>0</v>
      </c>
      <c r="BC203" s="25">
        <f t="shared" ca="1" si="291"/>
        <v>0</v>
      </c>
      <c r="BD203" s="24" t="b">
        <f t="shared" ca="1" si="292"/>
        <v>1</v>
      </c>
      <c r="BE203" s="24" t="b">
        <f t="shared" ca="1" si="293"/>
        <v>1</v>
      </c>
      <c r="BF203" s="23">
        <f t="array" aca="1" ref="BF203" ca="1">SUM(IF(BD203,1,0)*IF(ap_start_date&lt;=AO203,1,0)*IF(ap_end_date&gt;=AO203,1,0)*ap_amount*(1+ap_escalation/100)^(INT((AP203-ap_months_since_start)/12))*IF(MOD(AP203-ap_months_since_start,ap_frequency)=0,1,0))</f>
        <v>42582.851584000011</v>
      </c>
      <c r="BG203" s="24">
        <f t="shared" ca="1" si="294"/>
        <v>510994.21900800004</v>
      </c>
      <c r="BH203" s="24">
        <f t="shared" ca="1" si="295"/>
        <v>43012.989535413973</v>
      </c>
      <c r="BI203">
        <f t="shared" ca="1" si="296"/>
        <v>0</v>
      </c>
      <c r="BJ203" s="24">
        <f t="shared" ca="1" si="297"/>
        <v>301090.92674789781</v>
      </c>
      <c r="BK203">
        <f t="shared" ca="1" si="298"/>
        <v>1</v>
      </c>
      <c r="BL203" s="25">
        <f t="shared" ca="1" si="299"/>
        <v>25090.910562324822</v>
      </c>
      <c r="BM203" s="32">
        <f t="shared" ca="1" si="277"/>
        <v>1655228.147320848</v>
      </c>
      <c r="BN203" s="23">
        <f t="shared" ca="1" si="300"/>
        <v>0</v>
      </c>
      <c r="BO203" s="24">
        <f t="shared" ca="1" si="301"/>
        <v>0</v>
      </c>
      <c r="BP203" s="25">
        <f t="shared" ca="1" si="302"/>
        <v>0</v>
      </c>
      <c r="BQ203" s="34">
        <f t="shared" ca="1" si="303"/>
        <v>51591</v>
      </c>
      <c r="BR203" s="23">
        <f t="shared" ca="1" si="304"/>
        <v>1655228.147320848</v>
      </c>
      <c r="BS203" s="24">
        <f t="shared" ca="1" si="305"/>
        <v>0</v>
      </c>
      <c r="BT203" s="24">
        <f t="shared" ca="1" si="221"/>
        <v>0</v>
      </c>
      <c r="BU203" s="24">
        <f t="shared" ca="1" si="306"/>
        <v>0</v>
      </c>
      <c r="BV203" s="24">
        <f t="shared" ca="1" si="222"/>
        <v>0</v>
      </c>
      <c r="BW203" s="24">
        <f t="shared" ca="1" si="307"/>
        <v>-25090.910562324822</v>
      </c>
      <c r="BX203" s="25">
        <f t="shared" ca="1" si="223"/>
        <v>-319189.43425440695</v>
      </c>
      <c r="BY203" s="23">
        <f t="shared" ca="1" si="278"/>
        <v>872261.40047433355</v>
      </c>
      <c r="BZ203" s="24">
        <f t="shared" ca="1" si="279"/>
        <v>0</v>
      </c>
      <c r="CA203" s="24">
        <f t="shared" ca="1" si="224"/>
        <v>0</v>
      </c>
      <c r="CB203" s="24">
        <f t="shared" ca="1" si="280"/>
        <v>0</v>
      </c>
      <c r="CC203" s="24">
        <f t="shared" ca="1" si="225"/>
        <v>0</v>
      </c>
      <c r="CD203" s="24">
        <f t="shared" ca="1" si="281"/>
        <v>-13265.53160859972</v>
      </c>
      <c r="CE203" s="25">
        <f t="shared" ca="1" si="226"/>
        <v>-171906.48972738418</v>
      </c>
      <c r="CF203" s="23">
        <f t="shared" ca="1" si="227"/>
        <v>499529.60511999996</v>
      </c>
      <c r="CG203" s="25">
        <f t="array" aca="1" ref="CG203" ca="1">SUM(BF192:BF203/(1+inflation/100)^(AP192:AP203/12))</f>
        <v>267980.53702225373</v>
      </c>
      <c r="CH203" s="32">
        <f ca="1">IFERROR(IF(MOD(AP203-ap_months_since_start,12)=0,ap_drawdown/100*(AQ203+AV203+BA203-BC203),CH202),0)</f>
        <v>264433.74595760962</v>
      </c>
      <c r="EL203" s="21">
        <f t="shared" ca="1" si="229"/>
        <v>7</v>
      </c>
      <c r="EM203" t="str">
        <f t="shared" ref="EM203:EO203" ca="1" si="312">DR54</f>
        <v/>
      </c>
      <c r="EN203" t="str">
        <f t="shared" ca="1" si="312"/>
        <v/>
      </c>
      <c r="EO203" t="str">
        <f t="shared" ca="1" si="312"/>
        <v/>
      </c>
      <c r="EP203" t="str">
        <f t="shared" ca="1" si="231"/>
        <v/>
      </c>
      <c r="EQ203" t="str">
        <f t="shared" ca="1" si="232"/>
        <v/>
      </c>
      <c r="ER203" t="str">
        <f t="shared" ca="1" si="233"/>
        <v/>
      </c>
      <c r="ES203" t="str">
        <f t="shared" si="234"/>
        <v/>
      </c>
      <c r="ET203" t="str">
        <f t="shared" ca="1" si="235"/>
        <v/>
      </c>
      <c r="EU203" s="22">
        <v>194</v>
      </c>
      <c r="EX203" s="21" t="str">
        <f ca="1">IF(EX202="","",IF(EX202+1&lt;=MAX('Financial Planning Tool'!$EL$10:$EL$209),EX202+1,""))</f>
        <v/>
      </c>
      <c r="EY203" t="str">
        <f ca="1">IF(EX203&lt;&gt;"",VLOOKUP(EX203,'Financial Planning Tool'!$EL$10:$ER$209,2,FALSE),"")</f>
        <v/>
      </c>
      <c r="EZ203" t="str">
        <f ca="1">IF(EX203&lt;&gt;"",VLOOKUP(EX203,'Financial Planning Tool'!$EL$10:$ER$209,3,FALSE),"")</f>
        <v/>
      </c>
      <c r="FA203" t="str">
        <f ca="1">IF(EX203&lt;&gt;"",VLOOKUP(EX203,'Financial Planning Tool'!$EL$10:$ER$209,4,FALSE),"")</f>
        <v/>
      </c>
      <c r="FB203" t="str">
        <f t="shared" ca="1" si="220"/>
        <v/>
      </c>
      <c r="FC203" t="str">
        <f ca="1">IF(EX203&lt;&gt;"",VLOOKUP(EX203,'Financial Planning Tool'!$EL$10:$ER$209,5,FALSE),"")</f>
        <v/>
      </c>
      <c r="FD203" t="str">
        <f ca="1">IF(EX203&lt;&gt;"",VLOOKUP(EX203,'Financial Planning Tool'!$EL$10:$ER$209,6,FALSE),"")</f>
        <v/>
      </c>
      <c r="FE203" t="str">
        <f ca="1">IF(EX203&lt;&gt;"",VLOOKUP(EX203,'Financial Planning Tool'!$EL$10:$ER$209,7,FALSE),"")</f>
        <v/>
      </c>
      <c r="FF203" t="str">
        <f ca="1">IF(EX203&lt;&gt;"",VLOOKUP(EX203,'Financial Planning Tool'!$EL$10:$ES$209,8,FALSE),"")</f>
        <v/>
      </c>
      <c r="FG203" t="str">
        <f ca="1">IF(EX203&lt;&gt;"",VLOOKUP(EX203,'Financial Planning Tool'!$EL$10:$ET$209,9,FALSE),"")</f>
        <v/>
      </c>
      <c r="FH203" t="str">
        <f t="shared" ref="FH203:FH209" ca="1" si="313">IF(AdjVarType="Escalation",FE203,IF(AdjVarType="Drawdown",FG203,FA203))</f>
        <v/>
      </c>
      <c r="FI203" s="22" t="str">
        <f t="shared" ref="FI203:FI209" ca="1" si="314">IF(AdjVarType="Escalation",IFERROR(FE203-inflation,FE203),IF(AdjVarType="Drawdown",FG203,FB203))</f>
        <v/>
      </c>
    </row>
    <row r="204" spans="40:165" x14ac:dyDescent="0.25">
      <c r="AN204" s="32">
        <f t="shared" ca="1" si="276"/>
        <v>71.25</v>
      </c>
      <c r="AO204" s="53">
        <f t="shared" ca="1" si="309"/>
        <v>51592</v>
      </c>
      <c r="AP204" s="22">
        <v>197</v>
      </c>
      <c r="AQ204" s="32">
        <f t="shared" ca="1" si="310"/>
        <v>1655228.147320848</v>
      </c>
      <c r="AR204" s="23">
        <f t="array" aca="1" ref="AR204" ca="1">SUM(IF(lsc_start_date=AO204,lsc_amount,0))</f>
        <v>0</v>
      </c>
      <c r="AS204" s="24">
        <f t="shared" ca="1" si="283"/>
        <v>0</v>
      </c>
      <c r="AT204" s="24">
        <f t="shared" ca="1" si="284"/>
        <v>0</v>
      </c>
      <c r="AU204" s="24">
        <f t="shared" ca="1" si="285"/>
        <v>0</v>
      </c>
      <c r="AV204" s="25">
        <f t="shared" ca="1" si="286"/>
        <v>0</v>
      </c>
      <c r="AW204" s="23">
        <f t="array" aca="1" ref="AW204" ca="1">SUM(IF(rcs_start_date&lt;=AO204,1,0)*IF(rcs_end_date&gt;=AO204,1,0)*rcs_amount*(1+rcs_escalation/100)^(INT((AP204-rcs_months_since_start)/12))*IF(MOD((AP204-rcs_months_since_start),rcs_frequency)=0,1,0)*IF(rcs_frequency=13,0,1))+SUM(IF(rcs_start_date=AO204,rcs_amount,0)*IF(rcs_frequency=13,1,0))</f>
        <v>0</v>
      </c>
      <c r="AX204" s="24">
        <f t="shared" ca="1" si="287"/>
        <v>0</v>
      </c>
      <c r="AY204" s="24">
        <f t="shared" ca="1" si="288"/>
        <v>0</v>
      </c>
      <c r="AZ204" s="24">
        <f t="shared" ca="1" si="289"/>
        <v>0</v>
      </c>
      <c r="BA204" s="25">
        <f t="shared" ca="1" si="290"/>
        <v>0</v>
      </c>
      <c r="BB204" s="23">
        <f t="array" aca="1" ref="BB204" ca="1">SUM(IF(w_start_date&lt;=AO204,1,0)*IF(w_end_date&gt;=AO204,1,0)*w_amount*(1+w_escalation/100)^(INT((AP204-w_months_since_start)/12))*IF(MOD(AP204-w_months_since_start,w_frequency)=0,1,0)*IF(w_frequency=13,0,1))+SUM(IF(w_start_date=AO204,w_amount,0)*IF(w_frequency=13,1,0))</f>
        <v>0</v>
      </c>
      <c r="BC204" s="25">
        <f t="shared" ca="1" si="291"/>
        <v>0</v>
      </c>
      <c r="BD204" s="24" t="b">
        <f t="shared" ca="1" si="292"/>
        <v>1</v>
      </c>
      <c r="BE204" s="24" t="b">
        <f t="shared" ca="1" si="293"/>
        <v>1</v>
      </c>
      <c r="BF204" s="23">
        <f t="array" aca="1" ref="BF204" ca="1">SUM(IF(BD204,1,0)*IF(ap_start_date&lt;=AO204,1,0)*IF(ap_end_date&gt;=AO204,1,0)*ap_amount*(1+ap_escalation/100)^(INT((AP204-ap_months_since_start)/12))*IF(MOD(AP204-ap_months_since_start,ap_frequency)=0,1,0))</f>
        <v>42582.851584000011</v>
      </c>
      <c r="BG204" s="24">
        <f t="shared" ca="1" si="294"/>
        <v>510994.21900800004</v>
      </c>
      <c r="BH204" s="24">
        <f t="shared" ca="1" si="295"/>
        <v>43012.989535413973</v>
      </c>
      <c r="BI204">
        <f t="shared" ca="1" si="296"/>
        <v>0</v>
      </c>
      <c r="BJ204" s="24">
        <f t="shared" ca="1" si="297"/>
        <v>301090.92674789781</v>
      </c>
      <c r="BK204">
        <f t="shared" ca="1" si="298"/>
        <v>1</v>
      </c>
      <c r="BL204" s="25">
        <f t="shared" ca="1" si="299"/>
        <v>25090.910562324822</v>
      </c>
      <c r="BM204" s="32">
        <f t="shared" ca="1" si="277"/>
        <v>1641886.1628735156</v>
      </c>
      <c r="BN204" s="23">
        <f t="shared" ca="1" si="300"/>
        <v>0</v>
      </c>
      <c r="BO204" s="24">
        <f t="shared" ca="1" si="301"/>
        <v>0</v>
      </c>
      <c r="BP204" s="25">
        <f t="shared" ca="1" si="302"/>
        <v>0</v>
      </c>
      <c r="BQ204" s="34">
        <f t="shared" ca="1" si="303"/>
        <v>51621</v>
      </c>
      <c r="BR204" s="23">
        <f t="shared" ca="1" si="304"/>
        <v>1641886.1628735156</v>
      </c>
      <c r="BS204" s="24">
        <f t="shared" ca="1" si="305"/>
        <v>0</v>
      </c>
      <c r="BT204" s="24">
        <f t="shared" ca="1" si="221"/>
        <v>0</v>
      </c>
      <c r="BU204" s="24">
        <f t="shared" ca="1" si="306"/>
        <v>0</v>
      </c>
      <c r="BV204" s="24">
        <f t="shared" ca="1" si="222"/>
        <v>0</v>
      </c>
      <c r="BW204" s="24">
        <f t="shared" ca="1" si="307"/>
        <v>-25090.910562324822</v>
      </c>
      <c r="BX204" s="25">
        <f t="shared" ca="1" si="223"/>
        <v>-316603.93318204855</v>
      </c>
      <c r="BY204" s="23">
        <f t="shared" ca="1" si="278"/>
        <v>862407.23112728412</v>
      </c>
      <c r="BZ204" s="24">
        <f t="shared" ca="1" si="279"/>
        <v>0</v>
      </c>
      <c r="CA204" s="24">
        <f t="shared" ca="1" si="224"/>
        <v>0</v>
      </c>
      <c r="CB204" s="24">
        <f t="shared" ca="1" si="280"/>
        <v>0</v>
      </c>
      <c r="CC204" s="24">
        <f t="shared" ca="1" si="225"/>
        <v>0</v>
      </c>
      <c r="CD204" s="24">
        <f t="shared" ca="1" si="281"/>
        <v>-13222.245417765582</v>
      </c>
      <c r="CE204" s="25">
        <f t="shared" ca="1" si="226"/>
        <v>-169960.60968998901</v>
      </c>
      <c r="CF204" s="23">
        <f t="shared" ca="1" si="227"/>
        <v>501167.40710399998</v>
      </c>
      <c r="CG204" s="25">
        <f t="array" aca="1" ref="CG204" ca="1">SUM(BF193:BF204/(1+inflation/100)^(AP193:AP204/12))</f>
        <v>267980.53702225373</v>
      </c>
      <c r="CH204" s="32">
        <f ca="1">IFERROR(IF(MOD(AP204-ap_months_since_start,12)=0,ap_drawdown/100*(AQ204+AV204+BA204-BC204),CH203),0)</f>
        <v>264433.74595760962</v>
      </c>
      <c r="EL204" s="21">
        <f t="shared" ca="1" si="229"/>
        <v>7</v>
      </c>
      <c r="EM204" t="str">
        <f t="shared" ref="EM204:EO204" ca="1" si="315">DR55</f>
        <v/>
      </c>
      <c r="EN204" t="str">
        <f t="shared" ca="1" si="315"/>
        <v/>
      </c>
      <c r="EO204" t="str">
        <f t="shared" ca="1" si="315"/>
        <v/>
      </c>
      <c r="EP204" t="str">
        <f t="shared" ca="1" si="231"/>
        <v/>
      </c>
      <c r="EQ204" t="str">
        <f t="shared" ca="1" si="232"/>
        <v/>
      </c>
      <c r="ER204" t="str">
        <f t="shared" ca="1" si="233"/>
        <v/>
      </c>
      <c r="ES204" t="str">
        <f t="shared" si="234"/>
        <v/>
      </c>
      <c r="ET204" t="str">
        <f t="shared" ca="1" si="235"/>
        <v/>
      </c>
      <c r="EU204" s="22">
        <v>195</v>
      </c>
      <c r="EX204" s="21" t="str">
        <f ca="1">IF(EX203="","",IF(EX203+1&lt;=MAX('Financial Planning Tool'!$EL$10:$EL$209),EX203+1,""))</f>
        <v/>
      </c>
      <c r="EY204" t="str">
        <f ca="1">IF(EX204&lt;&gt;"",VLOOKUP(EX204,'Financial Planning Tool'!$EL$10:$ER$209,2,FALSE),"")</f>
        <v/>
      </c>
      <c r="EZ204" t="str">
        <f ca="1">IF(EX204&lt;&gt;"",VLOOKUP(EX204,'Financial Planning Tool'!$EL$10:$ER$209,3,FALSE),"")</f>
        <v/>
      </c>
      <c r="FA204" t="str">
        <f ca="1">IF(EX204&lt;&gt;"",VLOOKUP(EX204,'Financial Planning Tool'!$EL$10:$ER$209,4,FALSE),"")</f>
        <v/>
      </c>
      <c r="FB204" t="str">
        <f t="shared" ref="FB204:FB209" ca="1" si="316">IF(FA204&lt;&gt;"",FA204/(1+inflation/100)^(YEARFRAC(date_start,FC204)),"")</f>
        <v/>
      </c>
      <c r="FC204" t="str">
        <f ca="1">IF(EX204&lt;&gt;"",VLOOKUP(EX204,'Financial Planning Tool'!$EL$10:$ER$209,5,FALSE),"")</f>
        <v/>
      </c>
      <c r="FD204" t="str">
        <f ca="1">IF(EX204&lt;&gt;"",VLOOKUP(EX204,'Financial Planning Tool'!$EL$10:$ER$209,6,FALSE),"")</f>
        <v/>
      </c>
      <c r="FE204" t="str">
        <f ca="1">IF(EX204&lt;&gt;"",VLOOKUP(EX204,'Financial Planning Tool'!$EL$10:$ER$209,7,FALSE),"")</f>
        <v/>
      </c>
      <c r="FF204" t="str">
        <f ca="1">IF(EX204&lt;&gt;"",VLOOKUP(EX204,'Financial Planning Tool'!$EL$10:$ES$209,8,FALSE),"")</f>
        <v/>
      </c>
      <c r="FG204" t="str">
        <f ca="1">IF(EX204&lt;&gt;"",VLOOKUP(EX204,'Financial Planning Tool'!$EL$10:$ET$209,9,FALSE),"")</f>
        <v/>
      </c>
      <c r="FH204" t="str">
        <f t="shared" ca="1" si="313"/>
        <v/>
      </c>
      <c r="FI204" s="22" t="str">
        <f t="shared" ca="1" si="314"/>
        <v/>
      </c>
    </row>
    <row r="205" spans="40:165" x14ac:dyDescent="0.25">
      <c r="AN205" s="32">
        <f t="shared" ca="1" si="276"/>
        <v>71.333333333333329</v>
      </c>
      <c r="AO205" s="53">
        <f t="shared" ca="1" si="309"/>
        <v>51622</v>
      </c>
      <c r="AP205" s="22">
        <v>198</v>
      </c>
      <c r="AQ205" s="32">
        <f t="shared" ca="1" si="310"/>
        <v>1641886.1628735156</v>
      </c>
      <c r="AR205" s="23">
        <f t="array" aca="1" ref="AR205" ca="1">SUM(IF(lsc_start_date=AO205,lsc_amount,0))</f>
        <v>0</v>
      </c>
      <c r="AS205" s="24">
        <f t="shared" ca="1" si="283"/>
        <v>0</v>
      </c>
      <c r="AT205" s="24">
        <f t="shared" ca="1" si="284"/>
        <v>0</v>
      </c>
      <c r="AU205" s="24">
        <f t="shared" ca="1" si="285"/>
        <v>0</v>
      </c>
      <c r="AV205" s="25">
        <f t="shared" ca="1" si="286"/>
        <v>0</v>
      </c>
      <c r="AW205" s="23">
        <f t="array" aca="1" ref="AW205" ca="1">SUM(IF(rcs_start_date&lt;=AO205,1,0)*IF(rcs_end_date&gt;=AO205,1,0)*rcs_amount*(1+rcs_escalation/100)^(INT((AP205-rcs_months_since_start)/12))*IF(MOD((AP205-rcs_months_since_start),rcs_frequency)=0,1,0)*IF(rcs_frequency=13,0,1))+SUM(IF(rcs_start_date=AO205,rcs_amount,0)*IF(rcs_frequency=13,1,0))</f>
        <v>0</v>
      </c>
      <c r="AX205" s="24">
        <f t="shared" ca="1" si="287"/>
        <v>0</v>
      </c>
      <c r="AY205" s="24">
        <f t="shared" ca="1" si="288"/>
        <v>0</v>
      </c>
      <c r="AZ205" s="24">
        <f t="shared" ca="1" si="289"/>
        <v>0</v>
      </c>
      <c r="BA205" s="25">
        <f t="shared" ca="1" si="290"/>
        <v>0</v>
      </c>
      <c r="BB205" s="23">
        <f t="array" aca="1" ref="BB205" ca="1">SUM(IF(w_start_date&lt;=AO205,1,0)*IF(w_end_date&gt;=AO205,1,0)*w_amount*(1+w_escalation/100)^(INT((AP205-w_months_since_start)/12))*IF(MOD(AP205-w_months_since_start,w_frequency)=0,1,0)*IF(w_frequency=13,0,1))+SUM(IF(w_start_date=AO205,w_amount,0)*IF(w_frequency=13,1,0))</f>
        <v>0</v>
      </c>
      <c r="BC205" s="25">
        <f t="shared" ca="1" si="291"/>
        <v>0</v>
      </c>
      <c r="BD205" s="24" t="b">
        <f t="shared" ca="1" si="292"/>
        <v>1</v>
      </c>
      <c r="BE205" s="24" t="b">
        <f t="shared" ca="1" si="293"/>
        <v>1</v>
      </c>
      <c r="BF205" s="23">
        <f t="array" aca="1" ref="BF205" ca="1">SUM(IF(BD205,1,0)*IF(ap_start_date&lt;=AO205,1,0)*IF(ap_end_date&gt;=AO205,1,0)*ap_amount*(1+ap_escalation/100)^(INT((AP205-ap_months_since_start)/12))*IF(MOD(AP205-ap_months_since_start,ap_frequency)=0,1,0))</f>
        <v>42582.851584000011</v>
      </c>
      <c r="BG205" s="24">
        <f t="shared" ca="1" si="294"/>
        <v>510994.21900800004</v>
      </c>
      <c r="BH205" s="24">
        <f t="shared" ca="1" si="295"/>
        <v>43012.989535413973</v>
      </c>
      <c r="BI205">
        <f t="shared" ca="1" si="296"/>
        <v>0</v>
      </c>
      <c r="BJ205" s="24">
        <f t="shared" ca="1" si="297"/>
        <v>301090.92674789781</v>
      </c>
      <c r="BK205">
        <f t="shared" ca="1" si="298"/>
        <v>1</v>
      </c>
      <c r="BL205" s="25">
        <f t="shared" ca="1" si="299"/>
        <v>25090.910562324822</v>
      </c>
      <c r="BM205" s="32">
        <f t="shared" ca="1" si="277"/>
        <v>1628448.0184305925</v>
      </c>
      <c r="BN205" s="23">
        <f t="shared" ca="1" si="300"/>
        <v>0</v>
      </c>
      <c r="BO205" s="24">
        <f t="shared" ca="1" si="301"/>
        <v>0</v>
      </c>
      <c r="BP205" s="25">
        <f t="shared" ca="1" si="302"/>
        <v>0</v>
      </c>
      <c r="BQ205" s="34">
        <f t="shared" ca="1" si="303"/>
        <v>51652</v>
      </c>
      <c r="BR205" s="23">
        <f t="shared" ca="1" si="304"/>
        <v>1628448.0184305925</v>
      </c>
      <c r="BS205" s="24">
        <f t="shared" ca="1" si="305"/>
        <v>0</v>
      </c>
      <c r="BT205" s="24">
        <f t="shared" ca="1" si="221"/>
        <v>0</v>
      </c>
      <c r="BU205" s="24">
        <f t="shared" ca="1" si="306"/>
        <v>0</v>
      </c>
      <c r="BV205" s="24">
        <f t="shared" ca="1" si="222"/>
        <v>0</v>
      </c>
      <c r="BW205" s="24">
        <f t="shared" ca="1" si="307"/>
        <v>-25090.910562324822</v>
      </c>
      <c r="BX205" s="25">
        <f t="shared" ca="1" si="223"/>
        <v>-314018.4321096901</v>
      </c>
      <c r="BY205" s="23">
        <f t="shared" ca="1" si="278"/>
        <v>852557.74017119757</v>
      </c>
      <c r="BZ205" s="24">
        <f t="shared" ca="1" si="279"/>
        <v>0</v>
      </c>
      <c r="CA205" s="24">
        <f t="shared" ca="1" si="224"/>
        <v>0</v>
      </c>
      <c r="CB205" s="24">
        <f t="shared" ca="1" si="280"/>
        <v>0</v>
      </c>
      <c r="CC205" s="24">
        <f t="shared" ca="1" si="225"/>
        <v>0</v>
      </c>
      <c r="CD205" s="24">
        <f t="shared" ca="1" si="281"/>
        <v>-13179.100472255961</v>
      </c>
      <c r="CE205" s="25">
        <f t="shared" ca="1" si="226"/>
        <v>-168021.07917081329</v>
      </c>
      <c r="CF205" s="23">
        <f t="shared" ca="1" si="227"/>
        <v>502805.209088</v>
      </c>
      <c r="CG205" s="25">
        <f t="array" aca="1" ref="CG205" ca="1">SUM(BF194:BF205/(1+inflation/100)^(AP194:AP205/12))</f>
        <v>267980.53702225373</v>
      </c>
      <c r="CH205" s="32">
        <f ca="1">IFERROR(IF(MOD(AP205-ap_months_since_start,12)=0,ap_drawdown/100*(AQ205+AV205+BA205-BC205),CH204),0)</f>
        <v>264433.74595760962</v>
      </c>
      <c r="EL205" s="21">
        <f t="shared" ca="1" si="229"/>
        <v>7</v>
      </c>
      <c r="EM205" t="str">
        <f t="shared" ref="EM205:EO205" ca="1" si="317">DR56</f>
        <v/>
      </c>
      <c r="EN205" t="str">
        <f t="shared" ca="1" si="317"/>
        <v/>
      </c>
      <c r="EO205" t="str">
        <f t="shared" ca="1" si="317"/>
        <v/>
      </c>
      <c r="EP205" t="str">
        <f t="shared" ca="1" si="231"/>
        <v/>
      </c>
      <c r="EQ205" t="str">
        <f t="shared" ca="1" si="232"/>
        <v/>
      </c>
      <c r="ER205" t="str">
        <f t="shared" ca="1" si="233"/>
        <v/>
      </c>
      <c r="ES205" t="str">
        <f t="shared" si="234"/>
        <v/>
      </c>
      <c r="ET205" t="str">
        <f t="shared" ca="1" si="235"/>
        <v/>
      </c>
      <c r="EU205" s="22">
        <v>196</v>
      </c>
      <c r="EX205" s="21" t="str">
        <f ca="1">IF(EX204="","",IF(EX204+1&lt;=MAX('Financial Planning Tool'!$EL$10:$EL$209),EX204+1,""))</f>
        <v/>
      </c>
      <c r="EY205" t="str">
        <f ca="1">IF(EX205&lt;&gt;"",VLOOKUP(EX205,'Financial Planning Tool'!$EL$10:$ER$209,2,FALSE),"")</f>
        <v/>
      </c>
      <c r="EZ205" t="str">
        <f ca="1">IF(EX205&lt;&gt;"",VLOOKUP(EX205,'Financial Planning Tool'!$EL$10:$ER$209,3,FALSE),"")</f>
        <v/>
      </c>
      <c r="FA205" t="str">
        <f ca="1">IF(EX205&lt;&gt;"",VLOOKUP(EX205,'Financial Planning Tool'!$EL$10:$ER$209,4,FALSE),"")</f>
        <v/>
      </c>
      <c r="FB205" t="str">
        <f t="shared" ca="1" si="316"/>
        <v/>
      </c>
      <c r="FC205" t="str">
        <f ca="1">IF(EX205&lt;&gt;"",VLOOKUP(EX205,'Financial Planning Tool'!$EL$10:$ER$209,5,FALSE),"")</f>
        <v/>
      </c>
      <c r="FD205" t="str">
        <f ca="1">IF(EX205&lt;&gt;"",VLOOKUP(EX205,'Financial Planning Tool'!$EL$10:$ER$209,6,FALSE),"")</f>
        <v/>
      </c>
      <c r="FE205" t="str">
        <f ca="1">IF(EX205&lt;&gt;"",VLOOKUP(EX205,'Financial Planning Tool'!$EL$10:$ER$209,7,FALSE),"")</f>
        <v/>
      </c>
      <c r="FF205" t="str">
        <f ca="1">IF(EX205&lt;&gt;"",VLOOKUP(EX205,'Financial Planning Tool'!$EL$10:$ES$209,8,FALSE),"")</f>
        <v/>
      </c>
      <c r="FG205" t="str">
        <f ca="1">IF(EX205&lt;&gt;"",VLOOKUP(EX205,'Financial Planning Tool'!$EL$10:$ET$209,9,FALSE),"")</f>
        <v/>
      </c>
      <c r="FH205" t="str">
        <f t="shared" ca="1" si="313"/>
        <v/>
      </c>
      <c r="FI205" s="22" t="str">
        <f t="shared" ca="1" si="314"/>
        <v/>
      </c>
    </row>
    <row r="206" spans="40:165" x14ac:dyDescent="0.25">
      <c r="AN206" s="32">
        <f t="shared" ca="1" si="276"/>
        <v>71.416666666666671</v>
      </c>
      <c r="AO206" s="53">
        <f t="shared" ca="1" si="309"/>
        <v>51653</v>
      </c>
      <c r="AP206" s="22">
        <v>199</v>
      </c>
      <c r="AQ206" s="32">
        <f t="shared" ca="1" si="310"/>
        <v>1628448.0184305925</v>
      </c>
      <c r="AR206" s="23">
        <f t="array" aca="1" ref="AR206" ca="1">SUM(IF(lsc_start_date=AO206,lsc_amount,0))</f>
        <v>0</v>
      </c>
      <c r="AS206" s="24">
        <f t="shared" ca="1" si="283"/>
        <v>0</v>
      </c>
      <c r="AT206" s="24">
        <f t="shared" ca="1" si="284"/>
        <v>0</v>
      </c>
      <c r="AU206" s="24">
        <f t="shared" ca="1" si="285"/>
        <v>0</v>
      </c>
      <c r="AV206" s="25">
        <f t="shared" ca="1" si="286"/>
        <v>0</v>
      </c>
      <c r="AW206" s="23">
        <f t="array" aca="1" ref="AW206" ca="1">SUM(IF(rcs_start_date&lt;=AO206,1,0)*IF(rcs_end_date&gt;=AO206,1,0)*rcs_amount*(1+rcs_escalation/100)^(INT((AP206-rcs_months_since_start)/12))*IF(MOD((AP206-rcs_months_since_start),rcs_frequency)=0,1,0)*IF(rcs_frequency=13,0,1))+SUM(IF(rcs_start_date=AO206,rcs_amount,0)*IF(rcs_frequency=13,1,0))</f>
        <v>0</v>
      </c>
      <c r="AX206" s="24">
        <f t="shared" ca="1" si="287"/>
        <v>0</v>
      </c>
      <c r="AY206" s="24">
        <f t="shared" ca="1" si="288"/>
        <v>0</v>
      </c>
      <c r="AZ206" s="24">
        <f t="shared" ca="1" si="289"/>
        <v>0</v>
      </c>
      <c r="BA206" s="25">
        <f t="shared" ca="1" si="290"/>
        <v>0</v>
      </c>
      <c r="BB206" s="23">
        <f t="array" aca="1" ref="BB206" ca="1">SUM(IF(w_start_date&lt;=AO206,1,0)*IF(w_end_date&gt;=AO206,1,0)*w_amount*(1+w_escalation/100)^(INT((AP206-w_months_since_start)/12))*IF(MOD(AP206-w_months_since_start,w_frequency)=0,1,0)*IF(w_frequency=13,0,1))+SUM(IF(w_start_date=AO206,w_amount,0)*IF(w_frequency=13,1,0))</f>
        <v>0</v>
      </c>
      <c r="BC206" s="25">
        <f t="shared" ca="1" si="291"/>
        <v>0</v>
      </c>
      <c r="BD206" s="24" t="b">
        <f t="shared" ca="1" si="292"/>
        <v>1</v>
      </c>
      <c r="BE206" s="24" t="b">
        <f t="shared" ca="1" si="293"/>
        <v>1</v>
      </c>
      <c r="BF206" s="23">
        <f t="array" aca="1" ref="BF206" ca="1">SUM(IF(BD206,1,0)*IF(ap_start_date&lt;=AO206,1,0)*IF(ap_end_date&gt;=AO206,1,0)*ap_amount*(1+ap_escalation/100)^(INT((AP206-ap_months_since_start)/12))*IF(MOD(AP206-ap_months_since_start,ap_frequency)=0,1,0))</f>
        <v>42582.851584000011</v>
      </c>
      <c r="BG206" s="24">
        <f t="shared" ca="1" si="294"/>
        <v>510994.21900800004</v>
      </c>
      <c r="BH206" s="24">
        <f t="shared" ca="1" si="295"/>
        <v>43012.989535413973</v>
      </c>
      <c r="BI206">
        <f t="shared" ca="1" si="296"/>
        <v>0</v>
      </c>
      <c r="BJ206" s="24">
        <f t="shared" ca="1" si="297"/>
        <v>301090.92674789781</v>
      </c>
      <c r="BK206">
        <f t="shared" ca="1" si="298"/>
        <v>1</v>
      </c>
      <c r="BL206" s="25">
        <f t="shared" ca="1" si="299"/>
        <v>25090.910562324822</v>
      </c>
      <c r="BM206" s="32">
        <f t="shared" ca="1" si="277"/>
        <v>1614913.0209359003</v>
      </c>
      <c r="BN206" s="23">
        <f t="shared" ca="1" si="300"/>
        <v>0</v>
      </c>
      <c r="BO206" s="24">
        <f t="shared" ca="1" si="301"/>
        <v>0</v>
      </c>
      <c r="BP206" s="25">
        <f t="shared" ca="1" si="302"/>
        <v>0</v>
      </c>
      <c r="BQ206" s="34">
        <f t="shared" ca="1" si="303"/>
        <v>51682</v>
      </c>
      <c r="BR206" s="23">
        <f t="shared" ca="1" si="304"/>
        <v>1614913.0209359003</v>
      </c>
      <c r="BS206" s="24">
        <f t="shared" ca="1" si="305"/>
        <v>0</v>
      </c>
      <c r="BT206" s="24">
        <f t="shared" ca="1" si="221"/>
        <v>0</v>
      </c>
      <c r="BU206" s="24">
        <f t="shared" ca="1" si="306"/>
        <v>0</v>
      </c>
      <c r="BV206" s="24">
        <f t="shared" ca="1" si="222"/>
        <v>0</v>
      </c>
      <c r="BW206" s="24">
        <f t="shared" ca="1" si="307"/>
        <v>-25090.910562324822</v>
      </c>
      <c r="BX206" s="25">
        <f t="shared" ca="1" si="223"/>
        <v>-311432.9310373317</v>
      </c>
      <c r="BY206" s="23">
        <f t="shared" ca="1" si="278"/>
        <v>842712.8046124524</v>
      </c>
      <c r="BZ206" s="24">
        <f t="shared" ca="1" si="279"/>
        <v>0</v>
      </c>
      <c r="CA206" s="24">
        <f t="shared" ca="1" si="224"/>
        <v>0</v>
      </c>
      <c r="CB206" s="24">
        <f t="shared" ca="1" si="280"/>
        <v>0</v>
      </c>
      <c r="CC206" s="24">
        <f t="shared" ca="1" si="225"/>
        <v>0</v>
      </c>
      <c r="CD206" s="24">
        <f t="shared" ca="1" si="281"/>
        <v>-13136.096311179261</v>
      </c>
      <c r="CE206" s="25">
        <f t="shared" ca="1" si="226"/>
        <v>-166087.87745101465</v>
      </c>
      <c r="CF206" s="23">
        <f t="shared" ca="1" si="227"/>
        <v>504443.01107200002</v>
      </c>
      <c r="CG206" s="25">
        <f t="array" aca="1" ref="CG206" ca="1">SUM(BF195:BF206/(1+inflation/100)^(AP195:AP206/12))</f>
        <v>267980.53702225373</v>
      </c>
      <c r="CH206" s="32">
        <f ca="1">IFERROR(IF(MOD(AP206-ap_months_since_start,12)=0,ap_drawdown/100*(AQ206+AV206+BA206-BC206),CH205),0)</f>
        <v>264433.74595760962</v>
      </c>
      <c r="EL206" s="21">
        <f t="shared" ca="1" si="229"/>
        <v>7</v>
      </c>
      <c r="EM206" t="str">
        <f t="shared" ref="EM206:EO206" ca="1" si="318">DR57</f>
        <v/>
      </c>
      <c r="EN206" t="str">
        <f t="shared" ca="1" si="318"/>
        <v/>
      </c>
      <c r="EO206" t="str">
        <f t="shared" ca="1" si="318"/>
        <v/>
      </c>
      <c r="EP206" t="str">
        <f t="shared" ca="1" si="231"/>
        <v/>
      </c>
      <c r="EQ206" t="str">
        <f t="shared" ca="1" si="232"/>
        <v/>
      </c>
      <c r="ER206" t="str">
        <f t="shared" ca="1" si="233"/>
        <v/>
      </c>
      <c r="ES206" t="str">
        <f t="shared" si="234"/>
        <v/>
      </c>
      <c r="ET206" t="str">
        <f t="shared" ca="1" si="235"/>
        <v/>
      </c>
      <c r="EU206" s="22">
        <v>197</v>
      </c>
      <c r="EX206" s="21" t="str">
        <f ca="1">IF(EX205="","",IF(EX205+1&lt;=MAX('Financial Planning Tool'!$EL$10:$EL$209),EX205+1,""))</f>
        <v/>
      </c>
      <c r="EY206" t="str">
        <f ca="1">IF(EX206&lt;&gt;"",VLOOKUP(EX206,'Financial Planning Tool'!$EL$10:$ER$209,2,FALSE),"")</f>
        <v/>
      </c>
      <c r="EZ206" t="str">
        <f ca="1">IF(EX206&lt;&gt;"",VLOOKUP(EX206,'Financial Planning Tool'!$EL$10:$ER$209,3,FALSE),"")</f>
        <v/>
      </c>
      <c r="FA206" t="str">
        <f ca="1">IF(EX206&lt;&gt;"",VLOOKUP(EX206,'Financial Planning Tool'!$EL$10:$ER$209,4,FALSE),"")</f>
        <v/>
      </c>
      <c r="FB206" t="str">
        <f t="shared" ca="1" si="316"/>
        <v/>
      </c>
      <c r="FC206" t="str">
        <f ca="1">IF(EX206&lt;&gt;"",VLOOKUP(EX206,'Financial Planning Tool'!$EL$10:$ER$209,5,FALSE),"")</f>
        <v/>
      </c>
      <c r="FD206" t="str">
        <f ca="1">IF(EX206&lt;&gt;"",VLOOKUP(EX206,'Financial Planning Tool'!$EL$10:$ER$209,6,FALSE),"")</f>
        <v/>
      </c>
      <c r="FE206" t="str">
        <f ca="1">IF(EX206&lt;&gt;"",VLOOKUP(EX206,'Financial Planning Tool'!$EL$10:$ER$209,7,FALSE),"")</f>
        <v/>
      </c>
      <c r="FF206" t="str">
        <f ca="1">IF(EX206&lt;&gt;"",VLOOKUP(EX206,'Financial Planning Tool'!$EL$10:$ES$209,8,FALSE),"")</f>
        <v/>
      </c>
      <c r="FG206" t="str">
        <f ca="1">IF(EX206&lt;&gt;"",VLOOKUP(EX206,'Financial Planning Tool'!$EL$10:$ET$209,9,FALSE),"")</f>
        <v/>
      </c>
      <c r="FH206" t="str">
        <f t="shared" ca="1" si="313"/>
        <v/>
      </c>
      <c r="FI206" s="22" t="str">
        <f t="shared" ca="1" si="314"/>
        <v/>
      </c>
    </row>
    <row r="207" spans="40:165" x14ac:dyDescent="0.25">
      <c r="AN207" s="32">
        <f t="shared" ca="1" si="276"/>
        <v>71.5</v>
      </c>
      <c r="AO207" s="53">
        <f t="shared" ca="1" si="309"/>
        <v>51683</v>
      </c>
      <c r="AP207" s="22">
        <v>200</v>
      </c>
      <c r="AQ207" s="32">
        <f t="shared" ca="1" si="310"/>
        <v>1614913.0209359003</v>
      </c>
      <c r="AR207" s="23">
        <f t="array" aca="1" ref="AR207" ca="1">SUM(IF(lsc_start_date=AO207,lsc_amount,0))</f>
        <v>0</v>
      </c>
      <c r="AS207" s="24">
        <f t="shared" ca="1" si="283"/>
        <v>0</v>
      </c>
      <c r="AT207" s="24">
        <f t="shared" ca="1" si="284"/>
        <v>0</v>
      </c>
      <c r="AU207" s="24">
        <f t="shared" ca="1" si="285"/>
        <v>0</v>
      </c>
      <c r="AV207" s="25">
        <f t="shared" ca="1" si="286"/>
        <v>0</v>
      </c>
      <c r="AW207" s="23">
        <f t="array" aca="1" ref="AW207" ca="1">SUM(IF(rcs_start_date&lt;=AO207,1,0)*IF(rcs_end_date&gt;=AO207,1,0)*rcs_amount*(1+rcs_escalation/100)^(INT((AP207-rcs_months_since_start)/12))*IF(MOD((AP207-rcs_months_since_start),rcs_frequency)=0,1,0)*IF(rcs_frequency=13,0,1))+SUM(IF(rcs_start_date=AO207,rcs_amount,0)*IF(rcs_frequency=13,1,0))</f>
        <v>0</v>
      </c>
      <c r="AX207" s="24">
        <f t="shared" ca="1" si="287"/>
        <v>0</v>
      </c>
      <c r="AY207" s="24">
        <f t="shared" ca="1" si="288"/>
        <v>0</v>
      </c>
      <c r="AZ207" s="24">
        <f t="shared" ca="1" si="289"/>
        <v>0</v>
      </c>
      <c r="BA207" s="25">
        <f t="shared" ca="1" si="290"/>
        <v>0</v>
      </c>
      <c r="BB207" s="23">
        <f t="array" aca="1" ref="BB207" ca="1">SUM(IF(w_start_date&lt;=AO207,1,0)*IF(w_end_date&gt;=AO207,1,0)*w_amount*(1+w_escalation/100)^(INT((AP207-w_months_since_start)/12))*IF(MOD(AP207-w_months_since_start,w_frequency)=0,1,0)*IF(w_frequency=13,0,1))+SUM(IF(w_start_date=AO207,w_amount,0)*IF(w_frequency=13,1,0))</f>
        <v>0</v>
      </c>
      <c r="BC207" s="25">
        <f t="shared" ca="1" si="291"/>
        <v>0</v>
      </c>
      <c r="BD207" s="24" t="b">
        <f t="shared" ca="1" si="292"/>
        <v>1</v>
      </c>
      <c r="BE207" s="24" t="b">
        <f t="shared" ca="1" si="293"/>
        <v>1</v>
      </c>
      <c r="BF207" s="23">
        <f t="array" aca="1" ref="BF207" ca="1">SUM(IF(BD207,1,0)*IF(ap_start_date&lt;=AO207,1,0)*IF(ap_end_date&gt;=AO207,1,0)*ap_amount*(1+ap_escalation/100)^(INT((AP207-ap_months_since_start)/12))*IF(MOD(AP207-ap_months_since_start,ap_frequency)=0,1,0))</f>
        <v>42582.851584000011</v>
      </c>
      <c r="BG207" s="24">
        <f t="shared" ca="1" si="294"/>
        <v>510994.21900800004</v>
      </c>
      <c r="BH207" s="24">
        <f t="shared" ca="1" si="295"/>
        <v>43012.989535413973</v>
      </c>
      <c r="BI207">
        <f t="shared" ca="1" si="296"/>
        <v>0</v>
      </c>
      <c r="BJ207" s="24">
        <f t="shared" ca="1" si="297"/>
        <v>301090.92674789781</v>
      </c>
      <c r="BK207">
        <f t="shared" ca="1" si="298"/>
        <v>1</v>
      </c>
      <c r="BL207" s="25">
        <f t="shared" ca="1" si="299"/>
        <v>25090.910562324822</v>
      </c>
      <c r="BM207" s="32">
        <f t="shared" ca="1" si="277"/>
        <v>1601280.4723381805</v>
      </c>
      <c r="BN207" s="23">
        <f t="shared" ca="1" si="300"/>
        <v>0</v>
      </c>
      <c r="BO207" s="24">
        <f t="shared" ca="1" si="301"/>
        <v>0</v>
      </c>
      <c r="BP207" s="25">
        <f t="shared" ca="1" si="302"/>
        <v>0</v>
      </c>
      <c r="BQ207" s="34">
        <f t="shared" ca="1" si="303"/>
        <v>51713</v>
      </c>
      <c r="BR207" s="23">
        <f t="shared" ca="1" si="304"/>
        <v>1601280.4723381805</v>
      </c>
      <c r="BS207" s="24">
        <f t="shared" ca="1" si="305"/>
        <v>0</v>
      </c>
      <c r="BT207" s="24">
        <f t="shared" ca="1" si="221"/>
        <v>0</v>
      </c>
      <c r="BU207" s="24">
        <f t="shared" ca="1" si="306"/>
        <v>0</v>
      </c>
      <c r="BV207" s="24">
        <f t="shared" ca="1" si="222"/>
        <v>0</v>
      </c>
      <c r="BW207" s="24">
        <f t="shared" ca="1" si="307"/>
        <v>-25090.910562324822</v>
      </c>
      <c r="BX207" s="25">
        <f t="shared" ca="1" si="223"/>
        <v>-308847.42996497324</v>
      </c>
      <c r="BY207" s="23">
        <f t="shared" ca="1" si="278"/>
        <v>832872.3014363891</v>
      </c>
      <c r="BZ207" s="24">
        <f t="shared" ca="1" si="279"/>
        <v>0</v>
      </c>
      <c r="CA207" s="24">
        <f t="shared" ca="1" si="224"/>
        <v>0</v>
      </c>
      <c r="CB207" s="24">
        <f t="shared" ca="1" si="280"/>
        <v>0</v>
      </c>
      <c r="CC207" s="24">
        <f t="shared" ca="1" si="225"/>
        <v>0</v>
      </c>
      <c r="CD207" s="24">
        <f t="shared" ca="1" si="281"/>
        <v>-13093.232475147792</v>
      </c>
      <c r="CE207" s="25">
        <f t="shared" ca="1" si="226"/>
        <v>-164160.98387935763</v>
      </c>
      <c r="CF207" s="23">
        <f t="shared" ca="1" si="227"/>
        <v>506080.81305600004</v>
      </c>
      <c r="CG207" s="25">
        <f t="array" aca="1" ref="CG207" ca="1">SUM(BF196:BF207/(1+inflation/100)^(AP196:AP207/12))</f>
        <v>267980.53702225373</v>
      </c>
      <c r="CH207" s="32">
        <f ca="1">IFERROR(IF(MOD(AP207-ap_months_since_start,12)=0,ap_drawdown/100*(AQ207+AV207+BA207-BC207),CH206),0)</f>
        <v>264433.74595760962</v>
      </c>
      <c r="EL207" s="21">
        <f t="shared" ca="1" si="229"/>
        <v>7</v>
      </c>
      <c r="EM207" t="str">
        <f t="shared" ref="EM207:EO207" ca="1" si="319">DR58</f>
        <v/>
      </c>
      <c r="EN207" t="str">
        <f t="shared" ca="1" si="319"/>
        <v/>
      </c>
      <c r="EO207" t="str">
        <f t="shared" ca="1" si="319"/>
        <v/>
      </c>
      <c r="EP207" t="str">
        <f t="shared" ca="1" si="231"/>
        <v/>
      </c>
      <c r="EQ207" t="str">
        <f t="shared" ca="1" si="232"/>
        <v/>
      </c>
      <c r="ER207" t="str">
        <f t="shared" ca="1" si="233"/>
        <v/>
      </c>
      <c r="ES207" t="str">
        <f t="shared" si="234"/>
        <v/>
      </c>
      <c r="ET207" t="str">
        <f t="shared" ca="1" si="235"/>
        <v/>
      </c>
      <c r="EU207" s="22">
        <v>198</v>
      </c>
      <c r="EX207" s="21" t="str">
        <f ca="1">IF(EX206="","",IF(EX206+1&lt;=MAX('Financial Planning Tool'!$EL$10:$EL$209),EX206+1,""))</f>
        <v/>
      </c>
      <c r="EY207" t="str">
        <f ca="1">IF(EX207&lt;&gt;"",VLOOKUP(EX207,'Financial Planning Tool'!$EL$10:$ER$209,2,FALSE),"")</f>
        <v/>
      </c>
      <c r="EZ207" t="str">
        <f ca="1">IF(EX207&lt;&gt;"",VLOOKUP(EX207,'Financial Planning Tool'!$EL$10:$ER$209,3,FALSE),"")</f>
        <v/>
      </c>
      <c r="FA207" t="str">
        <f ca="1">IF(EX207&lt;&gt;"",VLOOKUP(EX207,'Financial Planning Tool'!$EL$10:$ER$209,4,FALSE),"")</f>
        <v/>
      </c>
      <c r="FB207" t="str">
        <f t="shared" ca="1" si="316"/>
        <v/>
      </c>
      <c r="FC207" t="str">
        <f ca="1">IF(EX207&lt;&gt;"",VLOOKUP(EX207,'Financial Planning Tool'!$EL$10:$ER$209,5,FALSE),"")</f>
        <v/>
      </c>
      <c r="FD207" t="str">
        <f ca="1">IF(EX207&lt;&gt;"",VLOOKUP(EX207,'Financial Planning Tool'!$EL$10:$ER$209,6,FALSE),"")</f>
        <v/>
      </c>
      <c r="FE207" t="str">
        <f ca="1">IF(EX207&lt;&gt;"",VLOOKUP(EX207,'Financial Planning Tool'!$EL$10:$ER$209,7,FALSE),"")</f>
        <v/>
      </c>
      <c r="FF207" t="str">
        <f ca="1">IF(EX207&lt;&gt;"",VLOOKUP(EX207,'Financial Planning Tool'!$EL$10:$ES$209,8,FALSE),"")</f>
        <v/>
      </c>
      <c r="FG207" t="str">
        <f ca="1">IF(EX207&lt;&gt;"",VLOOKUP(EX207,'Financial Planning Tool'!$EL$10:$ET$209,9,FALSE),"")</f>
        <v/>
      </c>
      <c r="FH207" t="str">
        <f t="shared" ca="1" si="313"/>
        <v/>
      </c>
      <c r="FI207" s="22" t="str">
        <f t="shared" ca="1" si="314"/>
        <v/>
      </c>
    </row>
    <row r="208" spans="40:165" x14ac:dyDescent="0.25">
      <c r="AN208" s="32">
        <f t="shared" ca="1" si="276"/>
        <v>71.583333333333329</v>
      </c>
      <c r="AO208" s="53">
        <f t="shared" ca="1" si="309"/>
        <v>51714</v>
      </c>
      <c r="AP208" s="22">
        <v>201</v>
      </c>
      <c r="AQ208" s="32">
        <f t="shared" ca="1" si="310"/>
        <v>1601280.4723381805</v>
      </c>
      <c r="AR208" s="23">
        <f t="array" aca="1" ref="AR208" ca="1">SUM(IF(lsc_start_date=AO208,lsc_amount,0))</f>
        <v>0</v>
      </c>
      <c r="AS208" s="24">
        <f t="shared" ca="1" si="283"/>
        <v>0</v>
      </c>
      <c r="AT208" s="24">
        <f t="shared" ca="1" si="284"/>
        <v>0</v>
      </c>
      <c r="AU208" s="24">
        <f t="shared" ca="1" si="285"/>
        <v>0</v>
      </c>
      <c r="AV208" s="25">
        <f t="shared" ca="1" si="286"/>
        <v>0</v>
      </c>
      <c r="AW208" s="23">
        <f t="array" aca="1" ref="AW208" ca="1">SUM(IF(rcs_start_date&lt;=AO208,1,0)*IF(rcs_end_date&gt;=AO208,1,0)*rcs_amount*(1+rcs_escalation/100)^(INT((AP208-rcs_months_since_start)/12))*IF(MOD((AP208-rcs_months_since_start),rcs_frequency)=0,1,0)*IF(rcs_frequency=13,0,1))+SUM(IF(rcs_start_date=AO208,rcs_amount,0)*IF(rcs_frequency=13,1,0))</f>
        <v>0</v>
      </c>
      <c r="AX208" s="24">
        <f t="shared" ca="1" si="287"/>
        <v>0</v>
      </c>
      <c r="AY208" s="24">
        <f t="shared" ca="1" si="288"/>
        <v>0</v>
      </c>
      <c r="AZ208" s="24">
        <f t="shared" ca="1" si="289"/>
        <v>0</v>
      </c>
      <c r="BA208" s="25">
        <f t="shared" ca="1" si="290"/>
        <v>0</v>
      </c>
      <c r="BB208" s="23">
        <f t="array" aca="1" ref="BB208" ca="1">SUM(IF(w_start_date&lt;=AO208,1,0)*IF(w_end_date&gt;=AO208,1,0)*w_amount*(1+w_escalation/100)^(INT((AP208-w_months_since_start)/12))*IF(MOD(AP208-w_months_since_start,w_frequency)=0,1,0)*IF(w_frequency=13,0,1))+SUM(IF(w_start_date=AO208,w_amount,0)*IF(w_frequency=13,1,0))</f>
        <v>0</v>
      </c>
      <c r="BC208" s="25">
        <f t="shared" ca="1" si="291"/>
        <v>0</v>
      </c>
      <c r="BD208" s="24" t="b">
        <f t="shared" ca="1" si="292"/>
        <v>1</v>
      </c>
      <c r="BE208" s="24" t="b">
        <f t="shared" ca="1" si="293"/>
        <v>1</v>
      </c>
      <c r="BF208" s="23">
        <f t="array" aca="1" ref="BF208" ca="1">SUM(IF(BD208,1,0)*IF(ap_start_date&lt;=AO208,1,0)*IF(ap_end_date&gt;=AO208,1,0)*ap_amount*(1+ap_escalation/100)^(INT((AP208-ap_months_since_start)/12))*IF(MOD(AP208-ap_months_since_start,ap_frequency)=0,1,0))</f>
        <v>42582.851584000011</v>
      </c>
      <c r="BG208" s="24">
        <f t="shared" ca="1" si="294"/>
        <v>510994.21900800004</v>
      </c>
      <c r="BH208" s="24">
        <f t="shared" ca="1" si="295"/>
        <v>43012.989535413973</v>
      </c>
      <c r="BI208">
        <f t="shared" ca="1" si="296"/>
        <v>0</v>
      </c>
      <c r="BJ208" s="24">
        <f t="shared" ca="1" si="297"/>
        <v>301090.92674789781</v>
      </c>
      <c r="BK208">
        <f t="shared" ca="1" si="298"/>
        <v>1</v>
      </c>
      <c r="BL208" s="25">
        <f t="shared" ca="1" si="299"/>
        <v>25090.910562324822</v>
      </c>
      <c r="BM208" s="32">
        <f t="shared" ca="1" si="277"/>
        <v>1587549.6695550941</v>
      </c>
      <c r="BN208" s="23">
        <f t="shared" ca="1" si="300"/>
        <v>0</v>
      </c>
      <c r="BO208" s="24">
        <f t="shared" ca="1" si="301"/>
        <v>0</v>
      </c>
      <c r="BP208" s="25">
        <f t="shared" ca="1" si="302"/>
        <v>0</v>
      </c>
      <c r="BQ208" s="34">
        <f t="shared" ca="1" si="303"/>
        <v>51744</v>
      </c>
      <c r="BR208" s="23">
        <f t="shared" ca="1" si="304"/>
        <v>1587549.6695550941</v>
      </c>
      <c r="BS208" s="24">
        <f t="shared" ca="1" si="305"/>
        <v>0</v>
      </c>
      <c r="BT208" s="24">
        <f t="shared" ca="1" si="221"/>
        <v>0</v>
      </c>
      <c r="BU208" s="24">
        <f t="shared" ca="1" si="306"/>
        <v>0</v>
      </c>
      <c r="BV208" s="24">
        <f t="shared" ca="1" si="222"/>
        <v>0</v>
      </c>
      <c r="BW208" s="24">
        <f t="shared" ca="1" si="307"/>
        <v>-25090.910562324822</v>
      </c>
      <c r="BX208" s="25">
        <f t="shared" ca="1" si="223"/>
        <v>-306261.92889261479</v>
      </c>
      <c r="BY208" s="23">
        <f t="shared" ca="1" si="278"/>
        <v>823036.10760572366</v>
      </c>
      <c r="BZ208" s="24">
        <f t="shared" ca="1" si="279"/>
        <v>0</v>
      </c>
      <c r="CA208" s="24">
        <f t="shared" ca="1" si="224"/>
        <v>0</v>
      </c>
      <c r="CB208" s="24">
        <f t="shared" ca="1" si="280"/>
        <v>0</v>
      </c>
      <c r="CC208" s="24">
        <f t="shared" ca="1" si="225"/>
        <v>0</v>
      </c>
      <c r="CD208" s="24">
        <f t="shared" ca="1" si="281"/>
        <v>-13050.508506272878</v>
      </c>
      <c r="CE208" s="25">
        <f t="shared" ca="1" si="226"/>
        <v>-162240.37787199285</v>
      </c>
      <c r="CF208" s="23">
        <f t="shared" ca="1" si="227"/>
        <v>507718.61504</v>
      </c>
      <c r="CG208" s="25">
        <f t="array" aca="1" ref="CG208" ca="1">SUM(BF197:BF208/(1+inflation/100)^(AP197:AP208/12))</f>
        <v>267980.53702225373</v>
      </c>
      <c r="CH208" s="32">
        <f ca="1">IFERROR(IF(MOD(AP208-ap_months_since_start,12)=0,ap_drawdown/100*(AQ208+AV208+BA208-BC208),CH207),0)</f>
        <v>264433.74595760962</v>
      </c>
      <c r="EL208" s="21">
        <f t="shared" ca="1" si="229"/>
        <v>7</v>
      </c>
      <c r="EM208" t="str">
        <f t="shared" ref="EM208:EO208" ca="1" si="320">DR59</f>
        <v/>
      </c>
      <c r="EN208" t="str">
        <f t="shared" ca="1" si="320"/>
        <v/>
      </c>
      <c r="EO208" t="str">
        <f t="shared" ca="1" si="320"/>
        <v/>
      </c>
      <c r="EP208" t="str">
        <f t="shared" ca="1" si="231"/>
        <v/>
      </c>
      <c r="EQ208" t="str">
        <f t="shared" ca="1" si="232"/>
        <v/>
      </c>
      <c r="ER208" t="str">
        <f t="shared" ca="1" si="233"/>
        <v/>
      </c>
      <c r="ES208" t="str">
        <f t="shared" si="234"/>
        <v/>
      </c>
      <c r="ET208" t="str">
        <f t="shared" ca="1" si="235"/>
        <v/>
      </c>
      <c r="EU208" s="22">
        <v>199</v>
      </c>
      <c r="EX208" s="21" t="str">
        <f ca="1">IF(EX207="","",IF(EX207+1&lt;=MAX('Financial Planning Tool'!$EL$10:$EL$209),EX207+1,""))</f>
        <v/>
      </c>
      <c r="EY208" t="str">
        <f ca="1">IF(EX208&lt;&gt;"",VLOOKUP(EX208,'Financial Planning Tool'!$EL$10:$ER$209,2,FALSE),"")</f>
        <v/>
      </c>
      <c r="EZ208" t="str">
        <f ca="1">IF(EX208&lt;&gt;"",VLOOKUP(EX208,'Financial Planning Tool'!$EL$10:$ER$209,3,FALSE),"")</f>
        <v/>
      </c>
      <c r="FA208" t="str">
        <f ca="1">IF(EX208&lt;&gt;"",VLOOKUP(EX208,'Financial Planning Tool'!$EL$10:$ER$209,4,FALSE),"")</f>
        <v/>
      </c>
      <c r="FB208" t="str">
        <f t="shared" ca="1" si="316"/>
        <v/>
      </c>
      <c r="FC208" t="str">
        <f ca="1">IF(EX208&lt;&gt;"",VLOOKUP(EX208,'Financial Planning Tool'!$EL$10:$ER$209,5,FALSE),"")</f>
        <v/>
      </c>
      <c r="FD208" t="str">
        <f ca="1">IF(EX208&lt;&gt;"",VLOOKUP(EX208,'Financial Planning Tool'!$EL$10:$ER$209,6,FALSE),"")</f>
        <v/>
      </c>
      <c r="FE208" t="str">
        <f ca="1">IF(EX208&lt;&gt;"",VLOOKUP(EX208,'Financial Planning Tool'!$EL$10:$ER$209,7,FALSE),"")</f>
        <v/>
      </c>
      <c r="FF208" t="str">
        <f ca="1">IF(EX208&lt;&gt;"",VLOOKUP(EX208,'Financial Planning Tool'!$EL$10:$ES$209,8,FALSE),"")</f>
        <v/>
      </c>
      <c r="FG208" t="str">
        <f ca="1">IF(EX208&lt;&gt;"",VLOOKUP(EX208,'Financial Planning Tool'!$EL$10:$ET$209,9,FALSE),"")</f>
        <v/>
      </c>
      <c r="FH208" t="str">
        <f t="shared" ca="1" si="313"/>
        <v/>
      </c>
      <c r="FI208" s="22" t="str">
        <f t="shared" ca="1" si="314"/>
        <v/>
      </c>
    </row>
    <row r="209" spans="40:165" x14ac:dyDescent="0.25">
      <c r="AN209" s="32">
        <f t="shared" ca="1" si="276"/>
        <v>71.666666666666671</v>
      </c>
      <c r="AO209" s="53">
        <f t="shared" ca="1" si="309"/>
        <v>51745</v>
      </c>
      <c r="AP209" s="22">
        <v>202</v>
      </c>
      <c r="AQ209" s="32">
        <f t="shared" ca="1" si="310"/>
        <v>1587549.6695550941</v>
      </c>
      <c r="AR209" s="23">
        <f t="array" aca="1" ref="AR209" ca="1">SUM(IF(lsc_start_date=AO209,lsc_amount,0))</f>
        <v>0</v>
      </c>
      <c r="AS209" s="24">
        <f t="shared" ca="1" si="283"/>
        <v>0</v>
      </c>
      <c r="AT209" s="24">
        <f t="shared" ca="1" si="284"/>
        <v>0</v>
      </c>
      <c r="AU209" s="24">
        <f t="shared" ca="1" si="285"/>
        <v>0</v>
      </c>
      <c r="AV209" s="25">
        <f t="shared" ca="1" si="286"/>
        <v>0</v>
      </c>
      <c r="AW209" s="23">
        <f t="array" aca="1" ref="AW209" ca="1">SUM(IF(rcs_start_date&lt;=AO209,1,0)*IF(rcs_end_date&gt;=AO209,1,0)*rcs_amount*(1+rcs_escalation/100)^(INT((AP209-rcs_months_since_start)/12))*IF(MOD((AP209-rcs_months_since_start),rcs_frequency)=0,1,0)*IF(rcs_frequency=13,0,1))+SUM(IF(rcs_start_date=AO209,rcs_amount,0)*IF(rcs_frequency=13,1,0))</f>
        <v>0</v>
      </c>
      <c r="AX209" s="24">
        <f t="shared" ca="1" si="287"/>
        <v>0</v>
      </c>
      <c r="AY209" s="24">
        <f t="shared" ca="1" si="288"/>
        <v>0</v>
      </c>
      <c r="AZ209" s="24">
        <f t="shared" ca="1" si="289"/>
        <v>0</v>
      </c>
      <c r="BA209" s="25">
        <f t="shared" ca="1" si="290"/>
        <v>0</v>
      </c>
      <c r="BB209" s="23">
        <f t="array" aca="1" ref="BB209" ca="1">SUM(IF(w_start_date&lt;=AO209,1,0)*IF(w_end_date&gt;=AO209,1,0)*w_amount*(1+w_escalation/100)^(INT((AP209-w_months_since_start)/12))*IF(MOD(AP209-w_months_since_start,w_frequency)=0,1,0)*IF(w_frequency=13,0,1))+SUM(IF(w_start_date=AO209,w_amount,0)*IF(w_frequency=13,1,0))</f>
        <v>0</v>
      </c>
      <c r="BC209" s="25">
        <f t="shared" ca="1" si="291"/>
        <v>0</v>
      </c>
      <c r="BD209" s="24" t="b">
        <f t="shared" ca="1" si="292"/>
        <v>1</v>
      </c>
      <c r="BE209" s="24" t="b">
        <f t="shared" ca="1" si="293"/>
        <v>1</v>
      </c>
      <c r="BF209" s="23">
        <f t="array" aca="1" ref="BF209" ca="1">SUM(IF(BD209,1,0)*IF(ap_start_date&lt;=AO209,1,0)*IF(ap_end_date&gt;=AO209,1,0)*ap_amount*(1+ap_escalation/100)^(INT((AP209-ap_months_since_start)/12))*IF(MOD(AP209-ap_months_since_start,ap_frequency)=0,1,0))</f>
        <v>42582.851584000011</v>
      </c>
      <c r="BG209" s="24">
        <f t="shared" ca="1" si="294"/>
        <v>510994.21900800004</v>
      </c>
      <c r="BH209" s="24">
        <f t="shared" ca="1" si="295"/>
        <v>43012.989535413973</v>
      </c>
      <c r="BI209">
        <f t="shared" ca="1" si="296"/>
        <v>0</v>
      </c>
      <c r="BJ209" s="24">
        <f t="shared" ca="1" si="297"/>
        <v>301090.92674789781</v>
      </c>
      <c r="BK209">
        <f t="shared" ca="1" si="298"/>
        <v>1</v>
      </c>
      <c r="BL209" s="25">
        <f t="shared" ca="1" si="299"/>
        <v>25090.910562324822</v>
      </c>
      <c r="BM209" s="32">
        <f t="shared" ca="1" si="277"/>
        <v>1573719.9044369599</v>
      </c>
      <c r="BN209" s="23">
        <f t="shared" ca="1" si="300"/>
        <v>0</v>
      </c>
      <c r="BO209" s="24">
        <f t="shared" ca="1" si="301"/>
        <v>0</v>
      </c>
      <c r="BP209" s="25">
        <f t="shared" ca="1" si="302"/>
        <v>0</v>
      </c>
      <c r="BQ209" s="34">
        <f t="shared" ca="1" si="303"/>
        <v>51774</v>
      </c>
      <c r="BR209" s="23">
        <f t="shared" ca="1" si="304"/>
        <v>1573719.9044369599</v>
      </c>
      <c r="BS209" s="24">
        <f t="shared" ca="1" si="305"/>
        <v>0</v>
      </c>
      <c r="BT209" s="24">
        <f t="shared" ca="1" si="221"/>
        <v>0</v>
      </c>
      <c r="BU209" s="24">
        <f t="shared" ca="1" si="306"/>
        <v>0</v>
      </c>
      <c r="BV209" s="24">
        <f t="shared" ca="1" si="222"/>
        <v>0</v>
      </c>
      <c r="BW209" s="24">
        <f t="shared" ca="1" si="307"/>
        <v>-25090.910562324822</v>
      </c>
      <c r="BX209" s="25">
        <f t="shared" ca="1" si="223"/>
        <v>-303676.42782025633</v>
      </c>
      <c r="BY209" s="23">
        <f t="shared" ca="1" si="278"/>
        <v>813204.10005895642</v>
      </c>
      <c r="BZ209" s="24">
        <f t="shared" ca="1" si="279"/>
        <v>0</v>
      </c>
      <c r="CA209" s="24">
        <f t="shared" ca="1" si="224"/>
        <v>0</v>
      </c>
      <c r="CB209" s="24">
        <f t="shared" ca="1" si="280"/>
        <v>0</v>
      </c>
      <c r="CC209" s="24">
        <f t="shared" ca="1" si="225"/>
        <v>0</v>
      </c>
      <c r="CD209" s="24">
        <f t="shared" ca="1" si="281"/>
        <v>-13007.923948159972</v>
      </c>
      <c r="CE209" s="25">
        <f t="shared" ca="1" si="226"/>
        <v>-160326.03891223727</v>
      </c>
      <c r="CF209" s="23">
        <f t="shared" ca="1" si="227"/>
        <v>509356.41702400002</v>
      </c>
      <c r="CG209" s="25">
        <f t="array" aca="1" ref="CG209" ca="1">SUM(BF198:BF209/(1+inflation/100)^(AP198:AP209/12))</f>
        <v>267980.53702225373</v>
      </c>
      <c r="CH209" s="32">
        <f ca="1">IFERROR(IF(MOD(AP209-ap_months_since_start,12)=0,ap_drawdown/100*(AQ209+AV209+BA209-BC209),CH208),0)</f>
        <v>264433.74595760962</v>
      </c>
      <c r="EL209" s="40">
        <f t="shared" ca="1" si="229"/>
        <v>7</v>
      </c>
      <c r="EM209" s="15" t="str">
        <f t="shared" ref="EM209:EO209" ca="1" si="321">DR60</f>
        <v/>
      </c>
      <c r="EN209" s="15" t="str">
        <f t="shared" ca="1" si="321"/>
        <v/>
      </c>
      <c r="EO209" s="15" t="str">
        <f t="shared" ca="1" si="321"/>
        <v/>
      </c>
      <c r="EP209" s="15" t="str">
        <f t="shared" ca="1" si="231"/>
        <v/>
      </c>
      <c r="EQ209" s="15" t="str">
        <f t="shared" ca="1" si="232"/>
        <v/>
      </c>
      <c r="ER209" s="15" t="str">
        <f t="shared" ca="1" si="233"/>
        <v/>
      </c>
      <c r="ES209" s="15" t="str">
        <f t="shared" si="234"/>
        <v/>
      </c>
      <c r="ET209" s="15" t="str">
        <f t="shared" ca="1" si="235"/>
        <v/>
      </c>
      <c r="EU209" s="38">
        <v>200</v>
      </c>
      <c r="EX209" s="40" t="str">
        <f ca="1">IF(EX208="","",IF(EX208+1&lt;=MAX('Financial Planning Tool'!$EL$10:$EL$209),EX208+1,""))</f>
        <v/>
      </c>
      <c r="EY209" s="15" t="str">
        <f ca="1">IF(EX209&lt;&gt;"",VLOOKUP(EX209,'Financial Planning Tool'!$EL$10:$ER$209,2,FALSE),"")</f>
        <v/>
      </c>
      <c r="EZ209" s="15" t="str">
        <f ca="1">IF(EX209&lt;&gt;"",VLOOKUP(EX209,'Financial Planning Tool'!$EL$10:$ER$209,3,FALSE),"")</f>
        <v/>
      </c>
      <c r="FA209" s="15" t="str">
        <f ca="1">IF(EX209&lt;&gt;"",VLOOKUP(EX209,'Financial Planning Tool'!$EL$10:$ER$209,4,FALSE),"")</f>
        <v/>
      </c>
      <c r="FB209" s="15" t="str">
        <f t="shared" ca="1" si="316"/>
        <v/>
      </c>
      <c r="FC209" s="15" t="str">
        <f ca="1">IF(EX209&lt;&gt;"",VLOOKUP(EX209,'Financial Planning Tool'!$EL$10:$ER$209,5,FALSE),"")</f>
        <v/>
      </c>
      <c r="FD209" s="15" t="str">
        <f ca="1">IF(EX209&lt;&gt;"",VLOOKUP(EX209,'Financial Planning Tool'!$EL$10:$ER$209,6,FALSE),"")</f>
        <v/>
      </c>
      <c r="FE209" s="15" t="str">
        <f ca="1">IF(EX209&lt;&gt;"",VLOOKUP(EX209,'Financial Planning Tool'!$EL$10:$ER$209,7,FALSE),"")</f>
        <v/>
      </c>
      <c r="FF209" s="15" t="str">
        <f ca="1">IF(EX209&lt;&gt;"",VLOOKUP(EX209,'Financial Planning Tool'!$EL$10:$ES$209,8,FALSE),"")</f>
        <v/>
      </c>
      <c r="FG209" s="15" t="str">
        <f ca="1">IF(EX209&lt;&gt;"",VLOOKUP(EX209,'Financial Planning Tool'!$EL$10:$ET$209,9,FALSE),"")</f>
        <v/>
      </c>
      <c r="FH209" s="15" t="str">
        <f t="shared" ca="1" si="313"/>
        <v/>
      </c>
      <c r="FI209" s="38" t="str">
        <f t="shared" ca="1" si="314"/>
        <v/>
      </c>
    </row>
    <row r="210" spans="40:165" x14ac:dyDescent="0.25">
      <c r="AN210" s="32">
        <f t="shared" ca="1" si="276"/>
        <v>71.75</v>
      </c>
      <c r="AO210" s="53">
        <f t="shared" ca="1" si="309"/>
        <v>51775</v>
      </c>
      <c r="AP210" s="22">
        <v>203</v>
      </c>
      <c r="AQ210" s="32">
        <f t="shared" ca="1" si="310"/>
        <v>1573719.9044369599</v>
      </c>
      <c r="AR210" s="23">
        <f t="array" aca="1" ref="AR210" ca="1">SUM(IF(lsc_start_date=AO210,lsc_amount,0))</f>
        <v>0</v>
      </c>
      <c r="AS210" s="24">
        <f t="shared" ca="1" si="283"/>
        <v>0</v>
      </c>
      <c r="AT210" s="24">
        <f t="shared" ca="1" si="284"/>
        <v>0</v>
      </c>
      <c r="AU210" s="24">
        <f t="shared" ca="1" si="285"/>
        <v>0</v>
      </c>
      <c r="AV210" s="25">
        <f t="shared" ca="1" si="286"/>
        <v>0</v>
      </c>
      <c r="AW210" s="23">
        <f t="array" aca="1" ref="AW210" ca="1">SUM(IF(rcs_start_date&lt;=AO210,1,0)*IF(rcs_end_date&gt;=AO210,1,0)*rcs_amount*(1+rcs_escalation/100)^(INT((AP210-rcs_months_since_start)/12))*IF(MOD((AP210-rcs_months_since_start),rcs_frequency)=0,1,0)*IF(rcs_frequency=13,0,1))+SUM(IF(rcs_start_date=AO210,rcs_amount,0)*IF(rcs_frequency=13,1,0))</f>
        <v>0</v>
      </c>
      <c r="AX210" s="24">
        <f t="shared" ca="1" si="287"/>
        <v>0</v>
      </c>
      <c r="AY210" s="24">
        <f t="shared" ca="1" si="288"/>
        <v>0</v>
      </c>
      <c r="AZ210" s="24">
        <f t="shared" ca="1" si="289"/>
        <v>0</v>
      </c>
      <c r="BA210" s="25">
        <f t="shared" ca="1" si="290"/>
        <v>0</v>
      </c>
      <c r="BB210" s="23">
        <f t="array" aca="1" ref="BB210" ca="1">SUM(IF(w_start_date&lt;=AO210,1,0)*IF(w_end_date&gt;=AO210,1,0)*w_amount*(1+w_escalation/100)^(INT((AP210-w_months_since_start)/12))*IF(MOD(AP210-w_months_since_start,w_frequency)=0,1,0)*IF(w_frequency=13,0,1))+SUM(IF(w_start_date=AO210,w_amount,0)*IF(w_frequency=13,1,0))</f>
        <v>0</v>
      </c>
      <c r="BC210" s="25">
        <f t="shared" ca="1" si="291"/>
        <v>0</v>
      </c>
      <c r="BD210" s="24" t="b">
        <f t="shared" ca="1" si="292"/>
        <v>1</v>
      </c>
      <c r="BE210" s="24" t="b">
        <f t="shared" ca="1" si="293"/>
        <v>1</v>
      </c>
      <c r="BF210" s="23">
        <f t="array" aca="1" ref="BF210" ca="1">SUM(IF(BD210,1,0)*IF(ap_start_date&lt;=AO210,1,0)*IF(ap_end_date&gt;=AO210,1,0)*ap_amount*(1+ap_escalation/100)^(INT((AP210-ap_months_since_start)/12))*IF(MOD(AP210-ap_months_since_start,ap_frequency)=0,1,0))</f>
        <v>42582.851584000011</v>
      </c>
      <c r="BG210" s="24">
        <f t="shared" ca="1" si="294"/>
        <v>510994.21900800004</v>
      </c>
      <c r="BH210" s="24">
        <f t="shared" ca="1" si="295"/>
        <v>43012.989535413973</v>
      </c>
      <c r="BI210">
        <f t="shared" ca="1" si="296"/>
        <v>0</v>
      </c>
      <c r="BJ210" s="24">
        <f t="shared" ca="1" si="297"/>
        <v>301090.92674789781</v>
      </c>
      <c r="BK210">
        <f t="shared" ca="1" si="298"/>
        <v>1</v>
      </c>
      <c r="BL210" s="25">
        <f t="shared" ca="1" si="299"/>
        <v>25090.910562324822</v>
      </c>
      <c r="BM210" s="32">
        <f t="shared" ca="1" si="277"/>
        <v>1559790.463730233</v>
      </c>
      <c r="BN210" s="23">
        <f t="shared" ca="1" si="300"/>
        <v>0</v>
      </c>
      <c r="BO210" s="24">
        <f t="shared" ca="1" si="301"/>
        <v>0</v>
      </c>
      <c r="BP210" s="25">
        <f t="shared" ca="1" si="302"/>
        <v>0</v>
      </c>
      <c r="BQ210" s="34">
        <f t="shared" ca="1" si="303"/>
        <v>51805</v>
      </c>
      <c r="BR210" s="23">
        <f t="shared" ca="1" si="304"/>
        <v>1559790.463730233</v>
      </c>
      <c r="BS210" s="24">
        <f t="shared" ca="1" si="305"/>
        <v>0</v>
      </c>
      <c r="BT210" s="24">
        <f t="shared" ca="1" si="221"/>
        <v>0</v>
      </c>
      <c r="BU210" s="24">
        <f t="shared" ca="1" si="306"/>
        <v>0</v>
      </c>
      <c r="BV210" s="24">
        <f t="shared" ca="1" si="222"/>
        <v>0</v>
      </c>
      <c r="BW210" s="24">
        <f t="shared" ca="1" si="307"/>
        <v>-25090.910562324822</v>
      </c>
      <c r="BX210" s="25">
        <f t="shared" ca="1" si="223"/>
        <v>-301090.92674789787</v>
      </c>
      <c r="BY210" s="23">
        <f t="shared" ca="1" si="278"/>
        <v>803376.15570878447</v>
      </c>
      <c r="BZ210" s="24">
        <f t="shared" ca="1" si="279"/>
        <v>0</v>
      </c>
      <c r="CA210" s="24">
        <f t="shared" ca="1" si="224"/>
        <v>0</v>
      </c>
      <c r="CB210" s="24">
        <f t="shared" ca="1" si="280"/>
        <v>0</v>
      </c>
      <c r="CC210" s="24">
        <f t="shared" ca="1" si="225"/>
        <v>0</v>
      </c>
      <c r="CD210" s="24">
        <f t="shared" ca="1" si="281"/>
        <v>-12965.47834590375</v>
      </c>
      <c r="CE210" s="25">
        <f t="shared" ca="1" si="226"/>
        <v>-158417.94655035483</v>
      </c>
      <c r="CF210" s="23">
        <f t="shared" ca="1" si="227"/>
        <v>510994.21900800004</v>
      </c>
      <c r="CG210" s="25">
        <f t="array" aca="1" ref="CG210" ca="1">SUM(BF199:BF210/(1+inflation/100)^(AP199:AP210/12))</f>
        <v>267980.53702225373</v>
      </c>
      <c r="CH210" s="32">
        <f ca="1">IFERROR(IF(MOD(AP210-ap_months_since_start,12)=0,ap_drawdown/100*(AQ210+AV210+BA210-BC210),CH209),0)</f>
        <v>264433.74595760962</v>
      </c>
    </row>
    <row r="211" spans="40:165" x14ac:dyDescent="0.25">
      <c r="AN211" s="32">
        <f t="shared" ca="1" si="276"/>
        <v>71.833333333333329</v>
      </c>
      <c r="AO211" s="53">
        <f t="shared" ca="1" si="309"/>
        <v>51806</v>
      </c>
      <c r="AP211" s="22">
        <v>204</v>
      </c>
      <c r="AQ211" s="32">
        <f t="shared" ca="1" si="310"/>
        <v>1559790.463730233</v>
      </c>
      <c r="AR211" s="23">
        <f t="array" aca="1" ref="AR211" ca="1">SUM(IF(lsc_start_date=AO211,lsc_amount,0))</f>
        <v>0</v>
      </c>
      <c r="AS211" s="24">
        <f t="shared" ca="1" si="283"/>
        <v>0</v>
      </c>
      <c r="AT211" s="24">
        <f t="shared" ca="1" si="284"/>
        <v>0</v>
      </c>
      <c r="AU211" s="24">
        <f t="shared" ca="1" si="285"/>
        <v>0</v>
      </c>
      <c r="AV211" s="25">
        <f t="shared" ca="1" si="286"/>
        <v>0</v>
      </c>
      <c r="AW211" s="23">
        <f t="array" aca="1" ref="AW211" ca="1">SUM(IF(rcs_start_date&lt;=AO211,1,0)*IF(rcs_end_date&gt;=AO211,1,0)*rcs_amount*(1+rcs_escalation/100)^(INT((AP211-rcs_months_since_start)/12))*IF(MOD((AP211-rcs_months_since_start),rcs_frequency)=0,1,0)*IF(rcs_frequency=13,0,1))+SUM(IF(rcs_start_date=AO211,rcs_amount,0)*IF(rcs_frequency=13,1,0))</f>
        <v>0</v>
      </c>
      <c r="AX211" s="24">
        <f t="shared" ca="1" si="287"/>
        <v>0</v>
      </c>
      <c r="AY211" s="24">
        <f t="shared" ca="1" si="288"/>
        <v>0</v>
      </c>
      <c r="AZ211" s="24">
        <f t="shared" ca="1" si="289"/>
        <v>0</v>
      </c>
      <c r="BA211" s="25">
        <f t="shared" ca="1" si="290"/>
        <v>0</v>
      </c>
      <c r="BB211" s="23">
        <f t="array" aca="1" ref="BB211" ca="1">SUM(IF(w_start_date&lt;=AO211,1,0)*IF(w_end_date&gt;=AO211,1,0)*w_amount*(1+w_escalation/100)^(INT((AP211-w_months_since_start)/12))*IF(MOD(AP211-w_months_since_start,w_frequency)=0,1,0)*IF(w_frequency=13,0,1))+SUM(IF(w_start_date=AO211,w_amount,0)*IF(w_frequency=13,1,0))</f>
        <v>0</v>
      </c>
      <c r="BC211" s="25">
        <f t="shared" ca="1" si="291"/>
        <v>0</v>
      </c>
      <c r="BD211" s="24" t="b">
        <f t="shared" ca="1" si="292"/>
        <v>1</v>
      </c>
      <c r="BE211" s="24" t="b">
        <f t="shared" ca="1" si="293"/>
        <v>1</v>
      </c>
      <c r="BF211" s="23">
        <f t="array" aca="1" ref="BF211" ca="1">SUM(IF(BD211,1,0)*IF(ap_start_date&lt;=AO211,1,0)*IF(ap_end_date&gt;=AO211,1,0)*ap_amount*(1+ap_escalation/100)^(INT((AP211-ap_months_since_start)/12))*IF(MOD(AP211-ap_months_since_start,ap_frequency)=0,1,0))</f>
        <v>44286.165647360016</v>
      </c>
      <c r="BG211" s="24">
        <f t="shared" ca="1" si="294"/>
        <v>531433.98776832025</v>
      </c>
      <c r="BH211" s="24">
        <f t="shared" ca="1" si="295"/>
        <v>38994.761593255826</v>
      </c>
      <c r="BI211">
        <f t="shared" ca="1" si="296"/>
        <v>0</v>
      </c>
      <c r="BJ211" s="24">
        <f t="shared" ca="1" si="297"/>
        <v>272963.33115279075</v>
      </c>
      <c r="BK211">
        <f t="shared" ca="1" si="298"/>
        <v>1</v>
      </c>
      <c r="BL211" s="25">
        <f t="shared" ca="1" si="299"/>
        <v>22746.944262732562</v>
      </c>
      <c r="BM211" s="32">
        <f t="shared" ca="1" si="277"/>
        <v>1548121.4890632755</v>
      </c>
      <c r="BN211" s="23">
        <f t="shared" ca="1" si="300"/>
        <v>0</v>
      </c>
      <c r="BO211" s="24">
        <f t="shared" ca="1" si="301"/>
        <v>0</v>
      </c>
      <c r="BP211" s="25">
        <f t="shared" ca="1" si="302"/>
        <v>0</v>
      </c>
      <c r="BQ211" s="34">
        <f t="shared" ca="1" si="303"/>
        <v>51835</v>
      </c>
      <c r="BR211" s="23">
        <f t="shared" ca="1" si="304"/>
        <v>1548121.4890632755</v>
      </c>
      <c r="BS211" s="24">
        <f t="shared" ca="1" si="305"/>
        <v>0</v>
      </c>
      <c r="BT211" s="24">
        <f t="shared" ca="1" si="221"/>
        <v>0</v>
      </c>
      <c r="BU211" s="24">
        <f t="shared" ca="1" si="306"/>
        <v>0</v>
      </c>
      <c r="BV211" s="24">
        <f t="shared" ca="1" si="222"/>
        <v>0</v>
      </c>
      <c r="BW211" s="24">
        <f t="shared" ca="1" si="307"/>
        <v>-22746.944262732562</v>
      </c>
      <c r="BX211" s="25">
        <f t="shared" ca="1" si="223"/>
        <v>-298746.96044830565</v>
      </c>
      <c r="BY211" s="23">
        <f t="shared" ca="1" si="278"/>
        <v>794764.15381328959</v>
      </c>
      <c r="BZ211" s="24">
        <f t="shared" ca="1" si="279"/>
        <v>0</v>
      </c>
      <c r="CA211" s="24">
        <f t="shared" ca="1" si="224"/>
        <v>0</v>
      </c>
      <c r="CB211" s="24">
        <f t="shared" ca="1" si="280"/>
        <v>0</v>
      </c>
      <c r="CC211" s="24">
        <f t="shared" ca="1" si="225"/>
        <v>0</v>
      </c>
      <c r="CD211" s="24">
        <f t="shared" ca="1" si="281"/>
        <v>-11715.902270753106</v>
      </c>
      <c r="CE211" s="25">
        <f t="shared" ca="1" si="226"/>
        <v>-156693.75072518134</v>
      </c>
      <c r="CF211" s="23">
        <f t="shared" ca="1" si="227"/>
        <v>512697.53307136009</v>
      </c>
      <c r="CG211" s="25">
        <f t="array" aca="1" ref="CG211" ca="1">SUM(BF200:BF211/(1+inflation/100)^(AP200:AP211/12))</f>
        <v>267980.53702225373</v>
      </c>
      <c r="CH211" s="32">
        <f ca="1">IFERROR(IF(MOD(AP211-ap_months_since_start,12)=0,ap_drawdown/100*(AQ211+AV211+BA211-BC211),CH210),0)</f>
        <v>239730.62538093867</v>
      </c>
    </row>
    <row r="212" spans="40:165" x14ac:dyDescent="0.25">
      <c r="AN212" s="32">
        <f t="shared" ca="1" si="276"/>
        <v>71.916666666666671</v>
      </c>
      <c r="AO212" s="53">
        <f t="shared" ca="1" si="309"/>
        <v>51836</v>
      </c>
      <c r="AP212" s="22">
        <v>205</v>
      </c>
      <c r="AQ212" s="32">
        <f t="shared" ca="1" si="310"/>
        <v>1548121.4890632755</v>
      </c>
      <c r="AR212" s="23">
        <f t="array" aca="1" ref="AR212" ca="1">SUM(IF(lsc_start_date=AO212,lsc_amount,0))</f>
        <v>0</v>
      </c>
      <c r="AS212" s="24">
        <f t="shared" ca="1" si="283"/>
        <v>0</v>
      </c>
      <c r="AT212" s="24">
        <f t="shared" ca="1" si="284"/>
        <v>0</v>
      </c>
      <c r="AU212" s="24">
        <f t="shared" ca="1" si="285"/>
        <v>0</v>
      </c>
      <c r="AV212" s="25">
        <f t="shared" ca="1" si="286"/>
        <v>0</v>
      </c>
      <c r="AW212" s="23">
        <f t="array" aca="1" ref="AW212" ca="1">SUM(IF(rcs_start_date&lt;=AO212,1,0)*IF(rcs_end_date&gt;=AO212,1,0)*rcs_amount*(1+rcs_escalation/100)^(INT((AP212-rcs_months_since_start)/12))*IF(MOD((AP212-rcs_months_since_start),rcs_frequency)=0,1,0)*IF(rcs_frequency=13,0,1))+SUM(IF(rcs_start_date=AO212,rcs_amount,0)*IF(rcs_frequency=13,1,0))</f>
        <v>0</v>
      </c>
      <c r="AX212" s="24">
        <f t="shared" ca="1" si="287"/>
        <v>0</v>
      </c>
      <c r="AY212" s="24">
        <f t="shared" ca="1" si="288"/>
        <v>0</v>
      </c>
      <c r="AZ212" s="24">
        <f t="shared" ca="1" si="289"/>
        <v>0</v>
      </c>
      <c r="BA212" s="25">
        <f t="shared" ca="1" si="290"/>
        <v>0</v>
      </c>
      <c r="BB212" s="23">
        <f t="array" aca="1" ref="BB212" ca="1">SUM(IF(w_start_date&lt;=AO212,1,0)*IF(w_end_date&gt;=AO212,1,0)*w_amount*(1+w_escalation/100)^(INT((AP212-w_months_since_start)/12))*IF(MOD(AP212-w_months_since_start,w_frequency)=0,1,0)*IF(w_frequency=13,0,1))+SUM(IF(w_start_date=AO212,w_amount,0)*IF(w_frequency=13,1,0))</f>
        <v>0</v>
      </c>
      <c r="BC212" s="25">
        <f t="shared" ca="1" si="291"/>
        <v>0</v>
      </c>
      <c r="BD212" s="24" t="b">
        <f t="shared" ca="1" si="292"/>
        <v>1</v>
      </c>
      <c r="BE212" s="24" t="b">
        <f t="shared" ca="1" si="293"/>
        <v>1</v>
      </c>
      <c r="BF212" s="23">
        <f t="array" aca="1" ref="BF212" ca="1">SUM(IF(BD212,1,0)*IF(ap_start_date&lt;=AO212,1,0)*IF(ap_end_date&gt;=AO212,1,0)*ap_amount*(1+ap_escalation/100)^(INT((AP212-ap_months_since_start)/12))*IF(MOD(AP212-ap_months_since_start,ap_frequency)=0,1,0))</f>
        <v>44286.165647360016</v>
      </c>
      <c r="BG212" s="24">
        <f t="shared" ca="1" si="294"/>
        <v>531433.98776832025</v>
      </c>
      <c r="BH212" s="24">
        <f t="shared" ca="1" si="295"/>
        <v>38994.761593255826</v>
      </c>
      <c r="BI212">
        <f t="shared" ca="1" si="296"/>
        <v>0</v>
      </c>
      <c r="BJ212" s="24">
        <f t="shared" ca="1" si="297"/>
        <v>272963.33115279075</v>
      </c>
      <c r="BK212">
        <f t="shared" ca="1" si="298"/>
        <v>1</v>
      </c>
      <c r="BL212" s="25">
        <f t="shared" ca="1" si="299"/>
        <v>22746.944262732562</v>
      </c>
      <c r="BM212" s="32">
        <f t="shared" ca="1" si="277"/>
        <v>1536368.4123231254</v>
      </c>
      <c r="BN212" s="23">
        <f t="shared" ca="1" si="300"/>
        <v>0</v>
      </c>
      <c r="BO212" s="24">
        <f t="shared" ca="1" si="301"/>
        <v>0</v>
      </c>
      <c r="BP212" s="25">
        <f t="shared" ca="1" si="302"/>
        <v>0</v>
      </c>
      <c r="BQ212" s="34">
        <f t="shared" ca="1" si="303"/>
        <v>51866</v>
      </c>
      <c r="BR212" s="23">
        <f t="shared" ca="1" si="304"/>
        <v>1536368.4123231254</v>
      </c>
      <c r="BS212" s="24">
        <f t="shared" ca="1" si="305"/>
        <v>0</v>
      </c>
      <c r="BT212" s="24">
        <f t="shared" ref="BT212:BT275" ca="1" si="322">SUM(BS201:BS212)</f>
        <v>0</v>
      </c>
      <c r="BU212" s="24">
        <f t="shared" ca="1" si="306"/>
        <v>0</v>
      </c>
      <c r="BV212" s="24">
        <f t="shared" ref="BV212:BV275" ca="1" si="323">SUM(BU201:BU212)</f>
        <v>0</v>
      </c>
      <c r="BW212" s="24">
        <f t="shared" ca="1" si="307"/>
        <v>-22746.944262732562</v>
      </c>
      <c r="BX212" s="25">
        <f t="shared" ref="BX212:BX275" ca="1" si="324">SUM(BW201:BW212)</f>
        <v>-296402.99414871342</v>
      </c>
      <c r="BY212" s="23">
        <f t="shared" ca="1" si="278"/>
        <v>786156.76597862493</v>
      </c>
      <c r="BZ212" s="24">
        <f t="shared" ca="1" si="279"/>
        <v>0</v>
      </c>
      <c r="CA212" s="24">
        <f t="shared" ref="CA212:CA275" ca="1" si="325">SUM(BZ201:BZ212)</f>
        <v>0</v>
      </c>
      <c r="CB212" s="24">
        <f t="shared" ca="1" si="280"/>
        <v>0</v>
      </c>
      <c r="CC212" s="24">
        <f t="shared" ref="CC212:CC275" ca="1" si="326">SUM(CB201:CB212)</f>
        <v>0</v>
      </c>
      <c r="CD212" s="24">
        <f t="shared" ca="1" si="281"/>
        <v>-11677.672609368319</v>
      </c>
      <c r="CE212" s="25">
        <f t="shared" ref="CE212:CE275" ca="1" si="327">SUM(CD201:CD212)</f>
        <v>-154975.18104992222</v>
      </c>
      <c r="CF212" s="23">
        <f t="shared" ref="CF212:CF275" ca="1" si="328">SUM(BF201:BF212)</f>
        <v>514400.84713472013</v>
      </c>
      <c r="CG212" s="25">
        <f t="array" aca="1" ref="CG212" ca="1">SUM(BF201:BF212/(1+inflation/100)^(AP201:AP212/12))</f>
        <v>267980.53702225373</v>
      </c>
      <c r="CH212" s="32">
        <f ca="1">IFERROR(IF(MOD(AP212-ap_months_since_start,12)=0,ap_drawdown/100*(AQ212+AV212+BA212-BC212),CH211),0)</f>
        <v>239730.62538093867</v>
      </c>
    </row>
    <row r="213" spans="40:165" x14ac:dyDescent="0.25">
      <c r="AN213" s="32">
        <f t="shared" ca="1" si="276"/>
        <v>72</v>
      </c>
      <c r="AO213" s="53">
        <f t="shared" ca="1" si="309"/>
        <v>51867</v>
      </c>
      <c r="AP213" s="22">
        <v>206</v>
      </c>
      <c r="AQ213" s="32">
        <f t="shared" ca="1" si="310"/>
        <v>1536368.4123231254</v>
      </c>
      <c r="AR213" s="23">
        <f t="array" aca="1" ref="AR213" ca="1">SUM(IF(lsc_start_date=AO213,lsc_amount,0))</f>
        <v>0</v>
      </c>
      <c r="AS213" s="24">
        <f t="shared" ca="1" si="283"/>
        <v>0</v>
      </c>
      <c r="AT213" s="24">
        <f t="shared" ca="1" si="284"/>
        <v>0</v>
      </c>
      <c r="AU213" s="24">
        <f t="shared" ca="1" si="285"/>
        <v>0</v>
      </c>
      <c r="AV213" s="25">
        <f t="shared" ca="1" si="286"/>
        <v>0</v>
      </c>
      <c r="AW213" s="23">
        <f t="array" aca="1" ref="AW213" ca="1">SUM(IF(rcs_start_date&lt;=AO213,1,0)*IF(rcs_end_date&gt;=AO213,1,0)*rcs_amount*(1+rcs_escalation/100)^(INT((AP213-rcs_months_since_start)/12))*IF(MOD((AP213-rcs_months_since_start),rcs_frequency)=0,1,0)*IF(rcs_frequency=13,0,1))+SUM(IF(rcs_start_date=AO213,rcs_amount,0)*IF(rcs_frequency=13,1,0))</f>
        <v>0</v>
      </c>
      <c r="AX213" s="24">
        <f t="shared" ca="1" si="287"/>
        <v>0</v>
      </c>
      <c r="AY213" s="24">
        <f t="shared" ca="1" si="288"/>
        <v>0</v>
      </c>
      <c r="AZ213" s="24">
        <f t="shared" ca="1" si="289"/>
        <v>0</v>
      </c>
      <c r="BA213" s="25">
        <f t="shared" ca="1" si="290"/>
        <v>0</v>
      </c>
      <c r="BB213" s="23">
        <f t="array" aca="1" ref="BB213" ca="1">SUM(IF(w_start_date&lt;=AO213,1,0)*IF(w_end_date&gt;=AO213,1,0)*w_amount*(1+w_escalation/100)^(INT((AP213-w_months_since_start)/12))*IF(MOD(AP213-w_months_since_start,w_frequency)=0,1,0)*IF(w_frequency=13,0,1))+SUM(IF(w_start_date=AO213,w_amount,0)*IF(w_frequency=13,1,0))</f>
        <v>0</v>
      </c>
      <c r="BC213" s="25">
        <f t="shared" ca="1" si="291"/>
        <v>0</v>
      </c>
      <c r="BD213" s="24" t="b">
        <f t="shared" ca="1" si="292"/>
        <v>1</v>
      </c>
      <c r="BE213" s="24" t="b">
        <f t="shared" ca="1" si="293"/>
        <v>1</v>
      </c>
      <c r="BF213" s="23">
        <f t="array" aca="1" ref="BF213" ca="1">SUM(IF(BD213,1,0)*IF(ap_start_date&lt;=AO213,1,0)*IF(ap_end_date&gt;=AO213,1,0)*ap_amount*(1+ap_escalation/100)^(INT((AP213-ap_months_since_start)/12))*IF(MOD(AP213-ap_months_since_start,ap_frequency)=0,1,0))</f>
        <v>44286.165647360016</v>
      </c>
      <c r="BG213" s="24">
        <f t="shared" ca="1" si="294"/>
        <v>531433.98776832025</v>
      </c>
      <c r="BH213" s="24">
        <f t="shared" ca="1" si="295"/>
        <v>38994.761593255826</v>
      </c>
      <c r="BI213">
        <f t="shared" ca="1" si="296"/>
        <v>0</v>
      </c>
      <c r="BJ213" s="24">
        <f t="shared" ca="1" si="297"/>
        <v>272963.33115279075</v>
      </c>
      <c r="BK213">
        <f t="shared" ca="1" si="298"/>
        <v>1</v>
      </c>
      <c r="BL213" s="25">
        <f t="shared" ca="1" si="299"/>
        <v>22746.944262732562</v>
      </c>
      <c r="BM213" s="32">
        <f t="shared" ca="1" si="277"/>
        <v>1524530.6273589497</v>
      </c>
      <c r="BN213" s="23">
        <f t="shared" ca="1" si="300"/>
        <v>0</v>
      </c>
      <c r="BO213" s="24">
        <f t="shared" ca="1" si="301"/>
        <v>0</v>
      </c>
      <c r="BP213" s="25">
        <f t="shared" ca="1" si="302"/>
        <v>0</v>
      </c>
      <c r="BQ213" s="34">
        <f t="shared" ca="1" si="303"/>
        <v>51897</v>
      </c>
      <c r="BR213" s="23">
        <f t="shared" ca="1" si="304"/>
        <v>1524530.6273589497</v>
      </c>
      <c r="BS213" s="24">
        <f t="shared" ca="1" si="305"/>
        <v>0</v>
      </c>
      <c r="BT213" s="24">
        <f t="shared" ca="1" si="322"/>
        <v>0</v>
      </c>
      <c r="BU213" s="24">
        <f t="shared" ca="1" si="306"/>
        <v>0</v>
      </c>
      <c r="BV213" s="24">
        <f t="shared" ca="1" si="323"/>
        <v>0</v>
      </c>
      <c r="BW213" s="24">
        <f t="shared" ca="1" si="307"/>
        <v>-22746.944262732562</v>
      </c>
      <c r="BX213" s="25">
        <f t="shared" ca="1" si="324"/>
        <v>-294059.02784912114</v>
      </c>
      <c r="BY213" s="23">
        <f t="shared" ca="1" si="278"/>
        <v>777553.88506068499</v>
      </c>
      <c r="BZ213" s="24">
        <f t="shared" ca="1" si="279"/>
        <v>0</v>
      </c>
      <c r="CA213" s="24">
        <f t="shared" ca="1" si="325"/>
        <v>0</v>
      </c>
      <c r="CB213" s="24">
        <f t="shared" ca="1" si="280"/>
        <v>0</v>
      </c>
      <c r="CC213" s="24">
        <f t="shared" ca="1" si="326"/>
        <v>0</v>
      </c>
      <c r="CD213" s="24">
        <f t="shared" ca="1" si="281"/>
        <v>-11639.567693562311</v>
      </c>
      <c r="CE213" s="25">
        <f t="shared" ca="1" si="327"/>
        <v>-153262.21916612744</v>
      </c>
      <c r="CF213" s="23">
        <f t="shared" ca="1" si="328"/>
        <v>516104.16119808017</v>
      </c>
      <c r="CG213" s="25">
        <f t="array" aca="1" ref="CG213" ca="1">SUM(BF202:BF213/(1+inflation/100)^(AP202:AP213/12))</f>
        <v>267980.53702225379</v>
      </c>
      <c r="CH213" s="32">
        <f ca="1">IFERROR(IF(MOD(AP213-ap_months_since_start,12)=0,ap_drawdown/100*(AQ213+AV213+BA213-BC213),CH212),0)</f>
        <v>239730.62538093867</v>
      </c>
    </row>
    <row r="214" spans="40:165" x14ac:dyDescent="0.25">
      <c r="AN214" s="32">
        <f t="shared" ca="1" si="276"/>
        <v>72.083333333333329</v>
      </c>
      <c r="AO214" s="53">
        <f t="shared" ca="1" si="309"/>
        <v>51898</v>
      </c>
      <c r="AP214" s="22">
        <v>207</v>
      </c>
      <c r="AQ214" s="32">
        <f t="shared" ca="1" si="310"/>
        <v>1524530.6273589497</v>
      </c>
      <c r="AR214" s="23">
        <f t="array" aca="1" ref="AR214" ca="1">SUM(IF(lsc_start_date=AO214,lsc_amount,0))</f>
        <v>0</v>
      </c>
      <c r="AS214" s="24">
        <f t="shared" ca="1" si="283"/>
        <v>0</v>
      </c>
      <c r="AT214" s="24">
        <f t="shared" ca="1" si="284"/>
        <v>0</v>
      </c>
      <c r="AU214" s="24">
        <f t="shared" ca="1" si="285"/>
        <v>0</v>
      </c>
      <c r="AV214" s="25">
        <f t="shared" ca="1" si="286"/>
        <v>0</v>
      </c>
      <c r="AW214" s="23">
        <f t="array" aca="1" ref="AW214" ca="1">SUM(IF(rcs_start_date&lt;=AO214,1,0)*IF(rcs_end_date&gt;=AO214,1,0)*rcs_amount*(1+rcs_escalation/100)^(INT((AP214-rcs_months_since_start)/12))*IF(MOD((AP214-rcs_months_since_start),rcs_frequency)=0,1,0)*IF(rcs_frequency=13,0,1))+SUM(IF(rcs_start_date=AO214,rcs_amount,0)*IF(rcs_frequency=13,1,0))</f>
        <v>0</v>
      </c>
      <c r="AX214" s="24">
        <f t="shared" ca="1" si="287"/>
        <v>0</v>
      </c>
      <c r="AY214" s="24">
        <f t="shared" ca="1" si="288"/>
        <v>0</v>
      </c>
      <c r="AZ214" s="24">
        <f t="shared" ca="1" si="289"/>
        <v>0</v>
      </c>
      <c r="BA214" s="25">
        <f t="shared" ca="1" si="290"/>
        <v>0</v>
      </c>
      <c r="BB214" s="23">
        <f t="array" aca="1" ref="BB214" ca="1">SUM(IF(w_start_date&lt;=AO214,1,0)*IF(w_end_date&gt;=AO214,1,0)*w_amount*(1+w_escalation/100)^(INT((AP214-w_months_since_start)/12))*IF(MOD(AP214-w_months_since_start,w_frequency)=0,1,0)*IF(w_frequency=13,0,1))+SUM(IF(w_start_date=AO214,w_amount,0)*IF(w_frequency=13,1,0))</f>
        <v>0</v>
      </c>
      <c r="BC214" s="25">
        <f t="shared" ca="1" si="291"/>
        <v>0</v>
      </c>
      <c r="BD214" s="24" t="b">
        <f t="shared" ca="1" si="292"/>
        <v>1</v>
      </c>
      <c r="BE214" s="24" t="b">
        <f t="shared" ca="1" si="293"/>
        <v>1</v>
      </c>
      <c r="BF214" s="23">
        <f t="array" aca="1" ref="BF214" ca="1">SUM(IF(BD214,1,0)*IF(ap_start_date&lt;=AO214,1,0)*IF(ap_end_date&gt;=AO214,1,0)*ap_amount*(1+ap_escalation/100)^(INT((AP214-ap_months_since_start)/12))*IF(MOD(AP214-ap_months_since_start,ap_frequency)=0,1,0))</f>
        <v>44286.165647360016</v>
      </c>
      <c r="BG214" s="24">
        <f t="shared" ca="1" si="294"/>
        <v>531433.98776832025</v>
      </c>
      <c r="BH214" s="24">
        <f t="shared" ca="1" si="295"/>
        <v>38994.761593255826</v>
      </c>
      <c r="BI214">
        <f t="shared" ca="1" si="296"/>
        <v>0</v>
      </c>
      <c r="BJ214" s="24">
        <f t="shared" ca="1" si="297"/>
        <v>272963.33115279075</v>
      </c>
      <c r="BK214">
        <f t="shared" ca="1" si="298"/>
        <v>1</v>
      </c>
      <c r="BL214" s="25">
        <f t="shared" ca="1" si="299"/>
        <v>22746.944262732562</v>
      </c>
      <c r="BM214" s="32">
        <f t="shared" ca="1" si="277"/>
        <v>1512607.5236511903</v>
      </c>
      <c r="BN214" s="23">
        <f t="shared" ca="1" si="300"/>
        <v>0</v>
      </c>
      <c r="BO214" s="24">
        <f t="shared" ca="1" si="301"/>
        <v>0</v>
      </c>
      <c r="BP214" s="25">
        <f t="shared" ca="1" si="302"/>
        <v>0</v>
      </c>
      <c r="BQ214" s="34">
        <f t="shared" ca="1" si="303"/>
        <v>51925</v>
      </c>
      <c r="BR214" s="23">
        <f t="shared" ca="1" si="304"/>
        <v>1512607.5236511903</v>
      </c>
      <c r="BS214" s="24">
        <f t="shared" ca="1" si="305"/>
        <v>0</v>
      </c>
      <c r="BT214" s="24">
        <f t="shared" ca="1" si="322"/>
        <v>0</v>
      </c>
      <c r="BU214" s="24">
        <f t="shared" ca="1" si="306"/>
        <v>0</v>
      </c>
      <c r="BV214" s="24">
        <f t="shared" ca="1" si="323"/>
        <v>0</v>
      </c>
      <c r="BW214" s="24">
        <f t="shared" ca="1" si="307"/>
        <v>-22746.944262732562</v>
      </c>
      <c r="BX214" s="25">
        <f t="shared" ca="1" si="324"/>
        <v>-291715.06154952891</v>
      </c>
      <c r="BY214" s="23">
        <f t="shared" ca="1" si="278"/>
        <v>768955.40390392812</v>
      </c>
      <c r="BZ214" s="24">
        <f t="shared" ca="1" si="279"/>
        <v>0</v>
      </c>
      <c r="CA214" s="24">
        <f t="shared" ca="1" si="325"/>
        <v>0</v>
      </c>
      <c r="CB214" s="24">
        <f t="shared" ca="1" si="280"/>
        <v>0</v>
      </c>
      <c r="CC214" s="24">
        <f t="shared" ca="1" si="326"/>
        <v>0</v>
      </c>
      <c r="CD214" s="24">
        <f t="shared" ca="1" si="281"/>
        <v>-11601.587116283086</v>
      </c>
      <c r="CE214" s="25">
        <f t="shared" ca="1" si="327"/>
        <v>-151554.84677525173</v>
      </c>
      <c r="CF214" s="23">
        <f t="shared" ca="1" si="328"/>
        <v>517807.47526144021</v>
      </c>
      <c r="CG214" s="25">
        <f t="array" aca="1" ref="CG214" ca="1">SUM(BF203:BF214/(1+inflation/100)^(AP203:AP214/12))</f>
        <v>267980.53702225373</v>
      </c>
      <c r="CH214" s="32">
        <f ca="1">IFERROR(IF(MOD(AP214-ap_months_since_start,12)=0,ap_drawdown/100*(AQ214+AV214+BA214-BC214),CH213),0)</f>
        <v>239730.62538093867</v>
      </c>
    </row>
    <row r="215" spans="40:165" x14ac:dyDescent="0.25">
      <c r="AN215" s="32">
        <f t="shared" ca="1" si="276"/>
        <v>72.166666666666671</v>
      </c>
      <c r="AO215" s="53">
        <f t="shared" ca="1" si="309"/>
        <v>51926</v>
      </c>
      <c r="AP215" s="22">
        <v>208</v>
      </c>
      <c r="AQ215" s="32">
        <f t="shared" ca="1" si="310"/>
        <v>1512607.5236511903</v>
      </c>
      <c r="AR215" s="23">
        <f t="array" aca="1" ref="AR215" ca="1">SUM(IF(lsc_start_date=AO215,lsc_amount,0))</f>
        <v>0</v>
      </c>
      <c r="AS215" s="24">
        <f t="shared" ca="1" si="283"/>
        <v>0</v>
      </c>
      <c r="AT215" s="24">
        <f t="shared" ca="1" si="284"/>
        <v>0</v>
      </c>
      <c r="AU215" s="24">
        <f t="shared" ca="1" si="285"/>
        <v>0</v>
      </c>
      <c r="AV215" s="25">
        <f t="shared" ca="1" si="286"/>
        <v>0</v>
      </c>
      <c r="AW215" s="23">
        <f t="array" aca="1" ref="AW215" ca="1">SUM(IF(rcs_start_date&lt;=AO215,1,0)*IF(rcs_end_date&gt;=AO215,1,0)*rcs_amount*(1+rcs_escalation/100)^(INT((AP215-rcs_months_since_start)/12))*IF(MOD((AP215-rcs_months_since_start),rcs_frequency)=0,1,0)*IF(rcs_frequency=13,0,1))+SUM(IF(rcs_start_date=AO215,rcs_amount,0)*IF(rcs_frequency=13,1,0))</f>
        <v>0</v>
      </c>
      <c r="AX215" s="24">
        <f t="shared" ca="1" si="287"/>
        <v>0</v>
      </c>
      <c r="AY215" s="24">
        <f t="shared" ca="1" si="288"/>
        <v>0</v>
      </c>
      <c r="AZ215" s="24">
        <f t="shared" ca="1" si="289"/>
        <v>0</v>
      </c>
      <c r="BA215" s="25">
        <f t="shared" ca="1" si="290"/>
        <v>0</v>
      </c>
      <c r="BB215" s="23">
        <f t="array" aca="1" ref="BB215" ca="1">SUM(IF(w_start_date&lt;=AO215,1,0)*IF(w_end_date&gt;=AO215,1,0)*w_amount*(1+w_escalation/100)^(INT((AP215-w_months_since_start)/12))*IF(MOD(AP215-w_months_since_start,w_frequency)=0,1,0)*IF(w_frequency=13,0,1))+SUM(IF(w_start_date=AO215,w_amount,0)*IF(w_frequency=13,1,0))</f>
        <v>0</v>
      </c>
      <c r="BC215" s="25">
        <f t="shared" ca="1" si="291"/>
        <v>0</v>
      </c>
      <c r="BD215" s="24" t="b">
        <f t="shared" ca="1" si="292"/>
        <v>1</v>
      </c>
      <c r="BE215" s="24" t="b">
        <f t="shared" ca="1" si="293"/>
        <v>1</v>
      </c>
      <c r="BF215" s="23">
        <f t="array" aca="1" ref="BF215" ca="1">SUM(IF(BD215,1,0)*IF(ap_start_date&lt;=AO215,1,0)*IF(ap_end_date&gt;=AO215,1,0)*ap_amount*(1+ap_escalation/100)^(INT((AP215-ap_months_since_start)/12))*IF(MOD(AP215-ap_months_since_start,ap_frequency)=0,1,0))</f>
        <v>44286.165647360016</v>
      </c>
      <c r="BG215" s="24">
        <f t="shared" ca="1" si="294"/>
        <v>531433.98776832025</v>
      </c>
      <c r="BH215" s="24">
        <f t="shared" ca="1" si="295"/>
        <v>38994.761593255826</v>
      </c>
      <c r="BI215">
        <f t="shared" ca="1" si="296"/>
        <v>0</v>
      </c>
      <c r="BJ215" s="24">
        <f t="shared" ca="1" si="297"/>
        <v>272963.33115279075</v>
      </c>
      <c r="BK215">
        <f t="shared" ca="1" si="298"/>
        <v>1</v>
      </c>
      <c r="BL215" s="25">
        <f t="shared" ca="1" si="299"/>
        <v>22746.944262732562</v>
      </c>
      <c r="BM215" s="32">
        <f t="shared" ca="1" si="277"/>
        <v>1500598.4862800771</v>
      </c>
      <c r="BN215" s="23">
        <f t="shared" ca="1" si="300"/>
        <v>0</v>
      </c>
      <c r="BO215" s="24">
        <f t="shared" ca="1" si="301"/>
        <v>0</v>
      </c>
      <c r="BP215" s="25">
        <f t="shared" ca="1" si="302"/>
        <v>0</v>
      </c>
      <c r="BQ215" s="34">
        <f t="shared" ca="1" si="303"/>
        <v>51956</v>
      </c>
      <c r="BR215" s="23">
        <f t="shared" ca="1" si="304"/>
        <v>1500598.4862800771</v>
      </c>
      <c r="BS215" s="24">
        <f t="shared" ca="1" si="305"/>
        <v>0</v>
      </c>
      <c r="BT215" s="24">
        <f t="shared" ca="1" si="322"/>
        <v>0</v>
      </c>
      <c r="BU215" s="24">
        <f t="shared" ca="1" si="306"/>
        <v>0</v>
      </c>
      <c r="BV215" s="24">
        <f t="shared" ca="1" si="323"/>
        <v>0</v>
      </c>
      <c r="BW215" s="24">
        <f t="shared" ca="1" si="307"/>
        <v>-22746.944262732562</v>
      </c>
      <c r="BX215" s="25">
        <f t="shared" ca="1" si="324"/>
        <v>-289371.09524993662</v>
      </c>
      <c r="BY215" s="23">
        <f t="shared" ca="1" si="278"/>
        <v>760361.21533999674</v>
      </c>
      <c r="BZ215" s="24">
        <f t="shared" ca="1" si="279"/>
        <v>0</v>
      </c>
      <c r="CA215" s="24">
        <f t="shared" ca="1" si="325"/>
        <v>0</v>
      </c>
      <c r="CB215" s="24">
        <f t="shared" ca="1" si="280"/>
        <v>0</v>
      </c>
      <c r="CC215" s="24">
        <f t="shared" ca="1" si="326"/>
        <v>0</v>
      </c>
      <c r="CD215" s="24">
        <f t="shared" ca="1" si="281"/>
        <v>-11563.730471806908</v>
      </c>
      <c r="CE215" s="25">
        <f t="shared" ca="1" si="327"/>
        <v>-149853.04563845895</v>
      </c>
      <c r="CF215" s="23">
        <f t="shared" ca="1" si="328"/>
        <v>519510.78932480025</v>
      </c>
      <c r="CG215" s="25">
        <f t="array" aca="1" ref="CG215" ca="1">SUM(BF204:BF215/(1+inflation/100)^(AP204:AP215/12))</f>
        <v>267980.53702225379</v>
      </c>
      <c r="CH215" s="32">
        <f ca="1">IFERROR(IF(MOD(AP215-ap_months_since_start,12)=0,ap_drawdown/100*(AQ215+AV215+BA215-BC215),CH214),0)</f>
        <v>239730.62538093867</v>
      </c>
    </row>
    <row r="216" spans="40:165" x14ac:dyDescent="0.25">
      <c r="AN216" s="32">
        <f t="shared" ca="1" si="276"/>
        <v>72.25</v>
      </c>
      <c r="AO216" s="53">
        <f t="shared" ca="1" si="309"/>
        <v>51957</v>
      </c>
      <c r="AP216" s="22">
        <v>209</v>
      </c>
      <c r="AQ216" s="32">
        <f t="shared" ca="1" si="310"/>
        <v>1500598.4862800771</v>
      </c>
      <c r="AR216" s="23">
        <f t="array" aca="1" ref="AR216" ca="1">SUM(IF(lsc_start_date=AO216,lsc_amount,0))</f>
        <v>0</v>
      </c>
      <c r="AS216" s="24">
        <f t="shared" ca="1" si="283"/>
        <v>0</v>
      </c>
      <c r="AT216" s="24">
        <f t="shared" ca="1" si="284"/>
        <v>0</v>
      </c>
      <c r="AU216" s="24">
        <f t="shared" ca="1" si="285"/>
        <v>0</v>
      </c>
      <c r="AV216" s="25">
        <f t="shared" ca="1" si="286"/>
        <v>0</v>
      </c>
      <c r="AW216" s="23">
        <f t="array" aca="1" ref="AW216" ca="1">SUM(IF(rcs_start_date&lt;=AO216,1,0)*IF(rcs_end_date&gt;=AO216,1,0)*rcs_amount*(1+rcs_escalation/100)^(INT((AP216-rcs_months_since_start)/12))*IF(MOD((AP216-rcs_months_since_start),rcs_frequency)=0,1,0)*IF(rcs_frequency=13,0,1))+SUM(IF(rcs_start_date=AO216,rcs_amount,0)*IF(rcs_frequency=13,1,0))</f>
        <v>0</v>
      </c>
      <c r="AX216" s="24">
        <f t="shared" ca="1" si="287"/>
        <v>0</v>
      </c>
      <c r="AY216" s="24">
        <f t="shared" ca="1" si="288"/>
        <v>0</v>
      </c>
      <c r="AZ216" s="24">
        <f t="shared" ca="1" si="289"/>
        <v>0</v>
      </c>
      <c r="BA216" s="25">
        <f t="shared" ca="1" si="290"/>
        <v>0</v>
      </c>
      <c r="BB216" s="23">
        <f t="array" aca="1" ref="BB216" ca="1">SUM(IF(w_start_date&lt;=AO216,1,0)*IF(w_end_date&gt;=AO216,1,0)*w_amount*(1+w_escalation/100)^(INT((AP216-w_months_since_start)/12))*IF(MOD(AP216-w_months_since_start,w_frequency)=0,1,0)*IF(w_frequency=13,0,1))+SUM(IF(w_start_date=AO216,w_amount,0)*IF(w_frequency=13,1,0))</f>
        <v>0</v>
      </c>
      <c r="BC216" s="25">
        <f t="shared" ca="1" si="291"/>
        <v>0</v>
      </c>
      <c r="BD216" s="24" t="b">
        <f t="shared" ca="1" si="292"/>
        <v>1</v>
      </c>
      <c r="BE216" s="24" t="b">
        <f t="shared" ca="1" si="293"/>
        <v>1</v>
      </c>
      <c r="BF216" s="23">
        <f t="array" aca="1" ref="BF216" ca="1">SUM(IF(BD216,1,0)*IF(ap_start_date&lt;=AO216,1,0)*IF(ap_end_date&gt;=AO216,1,0)*ap_amount*(1+ap_escalation/100)^(INT((AP216-ap_months_since_start)/12))*IF(MOD(AP216-ap_months_since_start,ap_frequency)=0,1,0))</f>
        <v>44286.165647360016</v>
      </c>
      <c r="BG216" s="24">
        <f t="shared" ca="1" si="294"/>
        <v>531433.98776832025</v>
      </c>
      <c r="BH216" s="24">
        <f t="shared" ca="1" si="295"/>
        <v>38994.761593255826</v>
      </c>
      <c r="BI216">
        <f t="shared" ca="1" si="296"/>
        <v>0</v>
      </c>
      <c r="BJ216" s="24">
        <f t="shared" ca="1" si="297"/>
        <v>272963.33115279075</v>
      </c>
      <c r="BK216">
        <f t="shared" ca="1" si="298"/>
        <v>1</v>
      </c>
      <c r="BL216" s="25">
        <f t="shared" ca="1" si="299"/>
        <v>22746.944262732562</v>
      </c>
      <c r="BM216" s="32">
        <f t="shared" ca="1" si="277"/>
        <v>1488502.8958939149</v>
      </c>
      <c r="BN216" s="23">
        <f t="shared" ca="1" si="300"/>
        <v>0</v>
      </c>
      <c r="BO216" s="24">
        <f t="shared" ca="1" si="301"/>
        <v>0</v>
      </c>
      <c r="BP216" s="25">
        <f t="shared" ca="1" si="302"/>
        <v>0</v>
      </c>
      <c r="BQ216" s="34">
        <f t="shared" ca="1" si="303"/>
        <v>51986</v>
      </c>
      <c r="BR216" s="23">
        <f t="shared" ca="1" si="304"/>
        <v>1488502.8958939149</v>
      </c>
      <c r="BS216" s="24">
        <f t="shared" ca="1" si="305"/>
        <v>0</v>
      </c>
      <c r="BT216" s="24">
        <f t="shared" ca="1" si="322"/>
        <v>0</v>
      </c>
      <c r="BU216" s="24">
        <f t="shared" ca="1" si="306"/>
        <v>0</v>
      </c>
      <c r="BV216" s="24">
        <f t="shared" ca="1" si="323"/>
        <v>0</v>
      </c>
      <c r="BW216" s="24">
        <f t="shared" ca="1" si="307"/>
        <v>-22746.944262732562</v>
      </c>
      <c r="BX216" s="25">
        <f t="shared" ca="1" si="324"/>
        <v>-287027.1289503444</v>
      </c>
      <c r="BY216" s="23">
        <f t="shared" ca="1" si="278"/>
        <v>751771.21218633885</v>
      </c>
      <c r="BZ216" s="24">
        <f t="shared" ca="1" si="279"/>
        <v>0</v>
      </c>
      <c r="CA216" s="24">
        <f t="shared" ca="1" si="325"/>
        <v>0</v>
      </c>
      <c r="CB216" s="24">
        <f t="shared" ca="1" si="280"/>
        <v>0</v>
      </c>
      <c r="CC216" s="24">
        <f t="shared" ca="1" si="326"/>
        <v>0</v>
      </c>
      <c r="CD216" s="24">
        <f t="shared" ca="1" si="281"/>
        <v>-11525.997355733924</v>
      </c>
      <c r="CE216" s="25">
        <f t="shared" ca="1" si="327"/>
        <v>-148156.79757642726</v>
      </c>
      <c r="CF216" s="23">
        <f t="shared" ca="1" si="328"/>
        <v>521214.10338816023</v>
      </c>
      <c r="CG216" s="25">
        <f t="array" aca="1" ref="CG216" ca="1">SUM(BF205:BF216/(1+inflation/100)^(AP205:AP216/12))</f>
        <v>267980.53702225379</v>
      </c>
      <c r="CH216" s="32">
        <f ca="1">IFERROR(IF(MOD(AP216-ap_months_since_start,12)=0,ap_drawdown/100*(AQ216+AV216+BA216-BC216),CH215),0)</f>
        <v>239730.62538093867</v>
      </c>
    </row>
    <row r="217" spans="40:165" x14ac:dyDescent="0.25">
      <c r="AN217" s="32">
        <f t="shared" ca="1" si="276"/>
        <v>72.333333333333329</v>
      </c>
      <c r="AO217" s="53">
        <f t="shared" ca="1" si="309"/>
        <v>51987</v>
      </c>
      <c r="AP217" s="22">
        <v>210</v>
      </c>
      <c r="AQ217" s="32">
        <f t="shared" ca="1" si="310"/>
        <v>1488502.8958939149</v>
      </c>
      <c r="AR217" s="23">
        <f t="array" aca="1" ref="AR217" ca="1">SUM(IF(lsc_start_date=AO217,lsc_amount,0))</f>
        <v>0</v>
      </c>
      <c r="AS217" s="24">
        <f t="shared" ca="1" si="283"/>
        <v>0</v>
      </c>
      <c r="AT217" s="24">
        <f t="shared" ca="1" si="284"/>
        <v>0</v>
      </c>
      <c r="AU217" s="24">
        <f t="shared" ca="1" si="285"/>
        <v>0</v>
      </c>
      <c r="AV217" s="25">
        <f t="shared" ca="1" si="286"/>
        <v>0</v>
      </c>
      <c r="AW217" s="23">
        <f t="array" aca="1" ref="AW217" ca="1">SUM(IF(rcs_start_date&lt;=AO217,1,0)*IF(rcs_end_date&gt;=AO217,1,0)*rcs_amount*(1+rcs_escalation/100)^(INT((AP217-rcs_months_since_start)/12))*IF(MOD((AP217-rcs_months_since_start),rcs_frequency)=0,1,0)*IF(rcs_frequency=13,0,1))+SUM(IF(rcs_start_date=AO217,rcs_amount,0)*IF(rcs_frequency=13,1,0))</f>
        <v>0</v>
      </c>
      <c r="AX217" s="24">
        <f t="shared" ca="1" si="287"/>
        <v>0</v>
      </c>
      <c r="AY217" s="24">
        <f t="shared" ca="1" si="288"/>
        <v>0</v>
      </c>
      <c r="AZ217" s="24">
        <f t="shared" ca="1" si="289"/>
        <v>0</v>
      </c>
      <c r="BA217" s="25">
        <f t="shared" ca="1" si="290"/>
        <v>0</v>
      </c>
      <c r="BB217" s="23">
        <f t="array" aca="1" ref="BB217" ca="1">SUM(IF(w_start_date&lt;=AO217,1,0)*IF(w_end_date&gt;=AO217,1,0)*w_amount*(1+w_escalation/100)^(INT((AP217-w_months_since_start)/12))*IF(MOD(AP217-w_months_since_start,w_frequency)=0,1,0)*IF(w_frequency=13,0,1))+SUM(IF(w_start_date=AO217,w_amount,0)*IF(w_frequency=13,1,0))</f>
        <v>0</v>
      </c>
      <c r="BC217" s="25">
        <f t="shared" ca="1" si="291"/>
        <v>0</v>
      </c>
      <c r="BD217" s="24" t="b">
        <f t="shared" ca="1" si="292"/>
        <v>1</v>
      </c>
      <c r="BE217" s="24" t="b">
        <f t="shared" ca="1" si="293"/>
        <v>1</v>
      </c>
      <c r="BF217" s="23">
        <f t="array" aca="1" ref="BF217" ca="1">SUM(IF(BD217,1,0)*IF(ap_start_date&lt;=AO217,1,0)*IF(ap_end_date&gt;=AO217,1,0)*ap_amount*(1+ap_escalation/100)^(INT((AP217-ap_months_since_start)/12))*IF(MOD(AP217-ap_months_since_start,ap_frequency)=0,1,0))</f>
        <v>44286.165647360016</v>
      </c>
      <c r="BG217" s="24">
        <f t="shared" ca="1" si="294"/>
        <v>531433.98776832025</v>
      </c>
      <c r="BH217" s="24">
        <f t="shared" ca="1" si="295"/>
        <v>38994.761593255826</v>
      </c>
      <c r="BI217">
        <f t="shared" ca="1" si="296"/>
        <v>0</v>
      </c>
      <c r="BJ217" s="24">
        <f t="shared" ca="1" si="297"/>
        <v>272963.33115279075</v>
      </c>
      <c r="BK217">
        <f t="shared" ca="1" si="298"/>
        <v>1</v>
      </c>
      <c r="BL217" s="25">
        <f t="shared" ca="1" si="299"/>
        <v>22746.944262732562</v>
      </c>
      <c r="BM217" s="32">
        <f t="shared" ca="1" si="277"/>
        <v>1476320.12867714</v>
      </c>
      <c r="BN217" s="23">
        <f t="shared" ca="1" si="300"/>
        <v>0</v>
      </c>
      <c r="BO217" s="24">
        <f t="shared" ca="1" si="301"/>
        <v>0</v>
      </c>
      <c r="BP217" s="25">
        <f t="shared" ca="1" si="302"/>
        <v>0</v>
      </c>
      <c r="BQ217" s="34">
        <f t="shared" ca="1" si="303"/>
        <v>52017</v>
      </c>
      <c r="BR217" s="23">
        <f t="shared" ca="1" si="304"/>
        <v>1476320.12867714</v>
      </c>
      <c r="BS217" s="24">
        <f t="shared" ca="1" si="305"/>
        <v>0</v>
      </c>
      <c r="BT217" s="24">
        <f t="shared" ca="1" si="322"/>
        <v>0</v>
      </c>
      <c r="BU217" s="24">
        <f t="shared" ca="1" si="306"/>
        <v>0</v>
      </c>
      <c r="BV217" s="24">
        <f t="shared" ca="1" si="323"/>
        <v>0</v>
      </c>
      <c r="BW217" s="24">
        <f t="shared" ca="1" si="307"/>
        <v>-22746.944262732562</v>
      </c>
      <c r="BX217" s="25">
        <f t="shared" ca="1" si="324"/>
        <v>-284683.16265075211</v>
      </c>
      <c r="BY217" s="23">
        <f t="shared" ca="1" si="278"/>
        <v>743185.28724482714</v>
      </c>
      <c r="BZ217" s="24">
        <f t="shared" ca="1" si="279"/>
        <v>0</v>
      </c>
      <c r="CA217" s="24">
        <f t="shared" ca="1" si="325"/>
        <v>0</v>
      </c>
      <c r="CB217" s="24">
        <f t="shared" ca="1" si="280"/>
        <v>0</v>
      </c>
      <c r="CC217" s="24">
        <f t="shared" ca="1" si="326"/>
        <v>0</v>
      </c>
      <c r="CD217" s="24">
        <f t="shared" ca="1" si="281"/>
        <v>-11488.387364983864</v>
      </c>
      <c r="CE217" s="25">
        <f t="shared" ca="1" si="327"/>
        <v>-146466.08446915518</v>
      </c>
      <c r="CF217" s="23">
        <f t="shared" ca="1" si="328"/>
        <v>522917.41745152028</v>
      </c>
      <c r="CG217" s="25">
        <f t="array" aca="1" ref="CG217" ca="1">SUM(BF206:BF217/(1+inflation/100)^(AP206:AP217/12))</f>
        <v>267980.53702225379</v>
      </c>
      <c r="CH217" s="32">
        <f ca="1">IFERROR(IF(MOD(AP217-ap_months_since_start,12)=0,ap_drawdown/100*(AQ217+AV217+BA217-BC217),CH216),0)</f>
        <v>239730.62538093867</v>
      </c>
    </row>
    <row r="218" spans="40:165" x14ac:dyDescent="0.25">
      <c r="AN218" s="32">
        <f t="shared" ca="1" si="276"/>
        <v>72.416666666666671</v>
      </c>
      <c r="AO218" s="53">
        <f t="shared" ca="1" si="309"/>
        <v>52018</v>
      </c>
      <c r="AP218" s="22">
        <v>211</v>
      </c>
      <c r="AQ218" s="32">
        <f t="shared" ca="1" si="310"/>
        <v>1476320.12867714</v>
      </c>
      <c r="AR218" s="23">
        <f t="array" aca="1" ref="AR218" ca="1">SUM(IF(lsc_start_date=AO218,lsc_amount,0))</f>
        <v>0</v>
      </c>
      <c r="AS218" s="24">
        <f t="shared" ca="1" si="283"/>
        <v>0</v>
      </c>
      <c r="AT218" s="24">
        <f t="shared" ca="1" si="284"/>
        <v>0</v>
      </c>
      <c r="AU218" s="24">
        <f t="shared" ca="1" si="285"/>
        <v>0</v>
      </c>
      <c r="AV218" s="25">
        <f t="shared" ca="1" si="286"/>
        <v>0</v>
      </c>
      <c r="AW218" s="23">
        <f t="array" aca="1" ref="AW218" ca="1">SUM(IF(rcs_start_date&lt;=AO218,1,0)*IF(rcs_end_date&gt;=AO218,1,0)*rcs_amount*(1+rcs_escalation/100)^(INT((AP218-rcs_months_since_start)/12))*IF(MOD((AP218-rcs_months_since_start),rcs_frequency)=0,1,0)*IF(rcs_frequency=13,0,1))+SUM(IF(rcs_start_date=AO218,rcs_amount,0)*IF(rcs_frequency=13,1,0))</f>
        <v>0</v>
      </c>
      <c r="AX218" s="24">
        <f t="shared" ca="1" si="287"/>
        <v>0</v>
      </c>
      <c r="AY218" s="24">
        <f t="shared" ca="1" si="288"/>
        <v>0</v>
      </c>
      <c r="AZ218" s="24">
        <f t="shared" ca="1" si="289"/>
        <v>0</v>
      </c>
      <c r="BA218" s="25">
        <f t="shared" ca="1" si="290"/>
        <v>0</v>
      </c>
      <c r="BB218" s="23">
        <f t="array" aca="1" ref="BB218" ca="1">SUM(IF(w_start_date&lt;=AO218,1,0)*IF(w_end_date&gt;=AO218,1,0)*w_amount*(1+w_escalation/100)^(INT((AP218-w_months_since_start)/12))*IF(MOD(AP218-w_months_since_start,w_frequency)=0,1,0)*IF(w_frequency=13,0,1))+SUM(IF(w_start_date=AO218,w_amount,0)*IF(w_frequency=13,1,0))</f>
        <v>0</v>
      </c>
      <c r="BC218" s="25">
        <f t="shared" ca="1" si="291"/>
        <v>0</v>
      </c>
      <c r="BD218" s="24" t="b">
        <f t="shared" ca="1" si="292"/>
        <v>1</v>
      </c>
      <c r="BE218" s="24" t="b">
        <f t="shared" ca="1" si="293"/>
        <v>1</v>
      </c>
      <c r="BF218" s="23">
        <f t="array" aca="1" ref="BF218" ca="1">SUM(IF(BD218,1,0)*IF(ap_start_date&lt;=AO218,1,0)*IF(ap_end_date&gt;=AO218,1,0)*ap_amount*(1+ap_escalation/100)^(INT((AP218-ap_months_since_start)/12))*IF(MOD(AP218-ap_months_since_start,ap_frequency)=0,1,0))</f>
        <v>44286.165647360016</v>
      </c>
      <c r="BG218" s="24">
        <f t="shared" ca="1" si="294"/>
        <v>531433.98776832025</v>
      </c>
      <c r="BH218" s="24">
        <f t="shared" ca="1" si="295"/>
        <v>38994.761593255826</v>
      </c>
      <c r="BI218">
        <f t="shared" ca="1" si="296"/>
        <v>0</v>
      </c>
      <c r="BJ218" s="24">
        <f t="shared" ca="1" si="297"/>
        <v>272963.33115279075</v>
      </c>
      <c r="BK218">
        <f t="shared" ca="1" si="298"/>
        <v>1</v>
      </c>
      <c r="BL218" s="25">
        <f t="shared" ca="1" si="299"/>
        <v>22746.944262732562</v>
      </c>
      <c r="BM218" s="32">
        <f t="shared" ca="1" si="277"/>
        <v>1464049.5563181485</v>
      </c>
      <c r="BN218" s="23">
        <f t="shared" ca="1" si="300"/>
        <v>0</v>
      </c>
      <c r="BO218" s="24">
        <f t="shared" ca="1" si="301"/>
        <v>0</v>
      </c>
      <c r="BP218" s="25">
        <f t="shared" ca="1" si="302"/>
        <v>0</v>
      </c>
      <c r="BQ218" s="34">
        <f t="shared" ca="1" si="303"/>
        <v>52047</v>
      </c>
      <c r="BR218" s="23">
        <f t="shared" ca="1" si="304"/>
        <v>1464049.5563181485</v>
      </c>
      <c r="BS218" s="24">
        <f t="shared" ca="1" si="305"/>
        <v>0</v>
      </c>
      <c r="BT218" s="24">
        <f t="shared" ca="1" si="322"/>
        <v>0</v>
      </c>
      <c r="BU218" s="24">
        <f t="shared" ca="1" si="306"/>
        <v>0</v>
      </c>
      <c r="BV218" s="24">
        <f t="shared" ca="1" si="323"/>
        <v>0</v>
      </c>
      <c r="BW218" s="24">
        <f t="shared" ca="1" si="307"/>
        <v>-22746.944262732562</v>
      </c>
      <c r="BX218" s="25">
        <f t="shared" ca="1" si="324"/>
        <v>-282339.19635115989</v>
      </c>
      <c r="BY218" s="23">
        <f t="shared" ca="1" si="278"/>
        <v>734603.33330037806</v>
      </c>
      <c r="BZ218" s="24">
        <f t="shared" ca="1" si="279"/>
        <v>0</v>
      </c>
      <c r="CA218" s="24">
        <f t="shared" ca="1" si="325"/>
        <v>0</v>
      </c>
      <c r="CB218" s="24">
        <f t="shared" ca="1" si="280"/>
        <v>0</v>
      </c>
      <c r="CC218" s="24">
        <f t="shared" ca="1" si="326"/>
        <v>0</v>
      </c>
      <c r="CD218" s="24">
        <f t="shared" ca="1" si="281"/>
        <v>-11450.900097791737</v>
      </c>
      <c r="CE218" s="25">
        <f t="shared" ca="1" si="327"/>
        <v>-144780.88825576764</v>
      </c>
      <c r="CF218" s="23">
        <f t="shared" ca="1" si="328"/>
        <v>524620.7315148802</v>
      </c>
      <c r="CG218" s="25">
        <f t="array" aca="1" ref="CG218" ca="1">SUM(BF207:BF218/(1+inflation/100)^(AP207:AP218/12))</f>
        <v>267980.53702225373</v>
      </c>
      <c r="CH218" s="32">
        <f ca="1">IFERROR(IF(MOD(AP218-ap_months_since_start,12)=0,ap_drawdown/100*(AQ218+AV218+BA218-BC218),CH217),0)</f>
        <v>239730.62538093867</v>
      </c>
    </row>
    <row r="219" spans="40:165" x14ac:dyDescent="0.25">
      <c r="AN219" s="32">
        <f t="shared" ca="1" si="276"/>
        <v>72.5</v>
      </c>
      <c r="AO219" s="53">
        <f t="shared" ca="1" si="309"/>
        <v>52048</v>
      </c>
      <c r="AP219" s="22">
        <v>212</v>
      </c>
      <c r="AQ219" s="32">
        <f t="shared" ca="1" si="310"/>
        <v>1464049.5563181485</v>
      </c>
      <c r="AR219" s="23">
        <f t="array" aca="1" ref="AR219" ca="1">SUM(IF(lsc_start_date=AO219,lsc_amount,0))</f>
        <v>0</v>
      </c>
      <c r="AS219" s="24">
        <f t="shared" ca="1" si="283"/>
        <v>0</v>
      </c>
      <c r="AT219" s="24">
        <f t="shared" ca="1" si="284"/>
        <v>0</v>
      </c>
      <c r="AU219" s="24">
        <f t="shared" ca="1" si="285"/>
        <v>0</v>
      </c>
      <c r="AV219" s="25">
        <f t="shared" ca="1" si="286"/>
        <v>0</v>
      </c>
      <c r="AW219" s="23">
        <f t="array" aca="1" ref="AW219" ca="1">SUM(IF(rcs_start_date&lt;=AO219,1,0)*IF(rcs_end_date&gt;=AO219,1,0)*rcs_amount*(1+rcs_escalation/100)^(INT((AP219-rcs_months_since_start)/12))*IF(MOD((AP219-rcs_months_since_start),rcs_frequency)=0,1,0)*IF(rcs_frequency=13,0,1))+SUM(IF(rcs_start_date=AO219,rcs_amount,0)*IF(rcs_frequency=13,1,0))</f>
        <v>0</v>
      </c>
      <c r="AX219" s="24">
        <f t="shared" ca="1" si="287"/>
        <v>0</v>
      </c>
      <c r="AY219" s="24">
        <f t="shared" ca="1" si="288"/>
        <v>0</v>
      </c>
      <c r="AZ219" s="24">
        <f t="shared" ca="1" si="289"/>
        <v>0</v>
      </c>
      <c r="BA219" s="25">
        <f t="shared" ca="1" si="290"/>
        <v>0</v>
      </c>
      <c r="BB219" s="23">
        <f t="array" aca="1" ref="BB219" ca="1">SUM(IF(w_start_date&lt;=AO219,1,0)*IF(w_end_date&gt;=AO219,1,0)*w_amount*(1+w_escalation/100)^(INT((AP219-w_months_since_start)/12))*IF(MOD(AP219-w_months_since_start,w_frequency)=0,1,0)*IF(w_frequency=13,0,1))+SUM(IF(w_start_date=AO219,w_amount,0)*IF(w_frequency=13,1,0))</f>
        <v>0</v>
      </c>
      <c r="BC219" s="25">
        <f t="shared" ca="1" si="291"/>
        <v>0</v>
      </c>
      <c r="BD219" s="24" t="b">
        <f t="shared" ca="1" si="292"/>
        <v>1</v>
      </c>
      <c r="BE219" s="24" t="b">
        <f t="shared" ca="1" si="293"/>
        <v>1</v>
      </c>
      <c r="BF219" s="23">
        <f t="array" aca="1" ref="BF219" ca="1">SUM(IF(BD219,1,0)*IF(ap_start_date&lt;=AO219,1,0)*IF(ap_end_date&gt;=AO219,1,0)*ap_amount*(1+ap_escalation/100)^(INT((AP219-ap_months_since_start)/12))*IF(MOD(AP219-ap_months_since_start,ap_frequency)=0,1,0))</f>
        <v>44286.165647360016</v>
      </c>
      <c r="BG219" s="24">
        <f t="shared" ca="1" si="294"/>
        <v>531433.98776832025</v>
      </c>
      <c r="BH219" s="24">
        <f t="shared" ca="1" si="295"/>
        <v>38994.761593255826</v>
      </c>
      <c r="BI219">
        <f t="shared" ca="1" si="296"/>
        <v>0</v>
      </c>
      <c r="BJ219" s="24">
        <f t="shared" ca="1" si="297"/>
        <v>272963.33115279075</v>
      </c>
      <c r="BK219">
        <f t="shared" ca="1" si="298"/>
        <v>1</v>
      </c>
      <c r="BL219" s="25">
        <f t="shared" ca="1" si="299"/>
        <v>22746.944262732562</v>
      </c>
      <c r="BM219" s="32">
        <f t="shared" ca="1" si="277"/>
        <v>1451690.5459768916</v>
      </c>
      <c r="BN219" s="23">
        <f t="shared" ca="1" si="300"/>
        <v>0</v>
      </c>
      <c r="BO219" s="24">
        <f t="shared" ca="1" si="301"/>
        <v>0</v>
      </c>
      <c r="BP219" s="25">
        <f t="shared" ca="1" si="302"/>
        <v>0</v>
      </c>
      <c r="BQ219" s="34">
        <f t="shared" ca="1" si="303"/>
        <v>52078</v>
      </c>
      <c r="BR219" s="23">
        <f t="shared" ca="1" si="304"/>
        <v>1451690.5459768916</v>
      </c>
      <c r="BS219" s="24">
        <f t="shared" ca="1" si="305"/>
        <v>0</v>
      </c>
      <c r="BT219" s="24">
        <f t="shared" ca="1" si="322"/>
        <v>0</v>
      </c>
      <c r="BU219" s="24">
        <f t="shared" ca="1" si="306"/>
        <v>0</v>
      </c>
      <c r="BV219" s="24">
        <f t="shared" ca="1" si="323"/>
        <v>0</v>
      </c>
      <c r="BW219" s="24">
        <f t="shared" ca="1" si="307"/>
        <v>-22746.944262732562</v>
      </c>
      <c r="BX219" s="25">
        <f t="shared" ca="1" si="324"/>
        <v>-279995.2300515676</v>
      </c>
      <c r="BY219" s="23">
        <f t="shared" ca="1" si="278"/>
        <v>726025.24311956798</v>
      </c>
      <c r="BZ219" s="24">
        <f t="shared" ca="1" si="279"/>
        <v>0</v>
      </c>
      <c r="CA219" s="24">
        <f t="shared" ca="1" si="325"/>
        <v>0</v>
      </c>
      <c r="CB219" s="24">
        <f t="shared" ca="1" si="280"/>
        <v>0</v>
      </c>
      <c r="CC219" s="24">
        <f t="shared" ca="1" si="326"/>
        <v>0</v>
      </c>
      <c r="CD219" s="24">
        <f t="shared" ca="1" si="281"/>
        <v>-11413.535153703535</v>
      </c>
      <c r="CE219" s="25">
        <f t="shared" ca="1" si="327"/>
        <v>-143101.19093432339</v>
      </c>
      <c r="CF219" s="23">
        <f t="shared" ca="1" si="328"/>
        <v>526324.0455782403</v>
      </c>
      <c r="CG219" s="25">
        <f t="array" aca="1" ref="CG219" ca="1">SUM(BF208:BF219/(1+inflation/100)^(AP208:AP219/12))</f>
        <v>267980.53702225373</v>
      </c>
      <c r="CH219" s="32">
        <f ca="1">IFERROR(IF(MOD(AP219-ap_months_since_start,12)=0,ap_drawdown/100*(AQ219+AV219+BA219-BC219),CH218),0)</f>
        <v>239730.62538093867</v>
      </c>
    </row>
    <row r="220" spans="40:165" x14ac:dyDescent="0.25">
      <c r="AN220" s="32">
        <f t="shared" ca="1" si="276"/>
        <v>72.583333333333329</v>
      </c>
      <c r="AO220" s="53">
        <f t="shared" ca="1" si="309"/>
        <v>52079</v>
      </c>
      <c r="AP220" s="22">
        <v>213</v>
      </c>
      <c r="AQ220" s="32">
        <f t="shared" ca="1" si="310"/>
        <v>1451690.5459768916</v>
      </c>
      <c r="AR220" s="23">
        <f t="array" aca="1" ref="AR220" ca="1">SUM(IF(lsc_start_date=AO220,lsc_amount,0))</f>
        <v>0</v>
      </c>
      <c r="AS220" s="24">
        <f t="shared" ca="1" si="283"/>
        <v>0</v>
      </c>
      <c r="AT220" s="24">
        <f t="shared" ca="1" si="284"/>
        <v>0</v>
      </c>
      <c r="AU220" s="24">
        <f t="shared" ca="1" si="285"/>
        <v>0</v>
      </c>
      <c r="AV220" s="25">
        <f t="shared" ca="1" si="286"/>
        <v>0</v>
      </c>
      <c r="AW220" s="23">
        <f t="array" aca="1" ref="AW220" ca="1">SUM(IF(rcs_start_date&lt;=AO220,1,0)*IF(rcs_end_date&gt;=AO220,1,0)*rcs_amount*(1+rcs_escalation/100)^(INT((AP220-rcs_months_since_start)/12))*IF(MOD((AP220-rcs_months_since_start),rcs_frequency)=0,1,0)*IF(rcs_frequency=13,0,1))+SUM(IF(rcs_start_date=AO220,rcs_amount,0)*IF(rcs_frequency=13,1,0))</f>
        <v>0</v>
      </c>
      <c r="AX220" s="24">
        <f t="shared" ca="1" si="287"/>
        <v>0</v>
      </c>
      <c r="AY220" s="24">
        <f t="shared" ca="1" si="288"/>
        <v>0</v>
      </c>
      <c r="AZ220" s="24">
        <f t="shared" ca="1" si="289"/>
        <v>0</v>
      </c>
      <c r="BA220" s="25">
        <f t="shared" ca="1" si="290"/>
        <v>0</v>
      </c>
      <c r="BB220" s="23">
        <f t="array" aca="1" ref="BB220" ca="1">SUM(IF(w_start_date&lt;=AO220,1,0)*IF(w_end_date&gt;=AO220,1,0)*w_amount*(1+w_escalation/100)^(INT((AP220-w_months_since_start)/12))*IF(MOD(AP220-w_months_since_start,w_frequency)=0,1,0)*IF(w_frequency=13,0,1))+SUM(IF(w_start_date=AO220,w_amount,0)*IF(w_frequency=13,1,0))</f>
        <v>0</v>
      </c>
      <c r="BC220" s="25">
        <f t="shared" ca="1" si="291"/>
        <v>0</v>
      </c>
      <c r="BD220" s="24" t="b">
        <f t="shared" ca="1" si="292"/>
        <v>1</v>
      </c>
      <c r="BE220" s="24" t="b">
        <f t="shared" ca="1" si="293"/>
        <v>1</v>
      </c>
      <c r="BF220" s="23">
        <f t="array" aca="1" ref="BF220" ca="1">SUM(IF(BD220,1,0)*IF(ap_start_date&lt;=AO220,1,0)*IF(ap_end_date&gt;=AO220,1,0)*ap_amount*(1+ap_escalation/100)^(INT((AP220-ap_months_since_start)/12))*IF(MOD(AP220-ap_months_since_start,ap_frequency)=0,1,0))</f>
        <v>44286.165647360016</v>
      </c>
      <c r="BG220" s="24">
        <f t="shared" ca="1" si="294"/>
        <v>531433.98776832025</v>
      </c>
      <c r="BH220" s="24">
        <f t="shared" ca="1" si="295"/>
        <v>38994.761593255826</v>
      </c>
      <c r="BI220">
        <f t="shared" ca="1" si="296"/>
        <v>0</v>
      </c>
      <c r="BJ220" s="24">
        <f t="shared" ca="1" si="297"/>
        <v>272963.33115279075</v>
      </c>
      <c r="BK220">
        <f t="shared" ca="1" si="298"/>
        <v>1</v>
      </c>
      <c r="BL220" s="25">
        <f t="shared" ca="1" si="299"/>
        <v>22746.944262732562</v>
      </c>
      <c r="BM220" s="32">
        <f t="shared" ca="1" si="277"/>
        <v>1439242.460252238</v>
      </c>
      <c r="BN220" s="23">
        <f t="shared" ca="1" si="300"/>
        <v>0</v>
      </c>
      <c r="BO220" s="24">
        <f t="shared" ca="1" si="301"/>
        <v>0</v>
      </c>
      <c r="BP220" s="25">
        <f t="shared" ca="1" si="302"/>
        <v>0</v>
      </c>
      <c r="BQ220" s="34">
        <f t="shared" ca="1" si="303"/>
        <v>52109</v>
      </c>
      <c r="BR220" s="23">
        <f t="shared" ca="1" si="304"/>
        <v>1439242.460252238</v>
      </c>
      <c r="BS220" s="24">
        <f t="shared" ca="1" si="305"/>
        <v>0</v>
      </c>
      <c r="BT220" s="24">
        <f t="shared" ca="1" si="322"/>
        <v>0</v>
      </c>
      <c r="BU220" s="24">
        <f t="shared" ca="1" si="306"/>
        <v>0</v>
      </c>
      <c r="BV220" s="24">
        <f t="shared" ca="1" si="323"/>
        <v>0</v>
      </c>
      <c r="BW220" s="24">
        <f t="shared" ca="1" si="307"/>
        <v>-22746.944262732562</v>
      </c>
      <c r="BX220" s="25">
        <f t="shared" ca="1" si="324"/>
        <v>-277651.26375197538</v>
      </c>
      <c r="BY220" s="23">
        <f t="shared" ca="1" si="278"/>
        <v>717450.90944925149</v>
      </c>
      <c r="BZ220" s="24">
        <f t="shared" ca="1" si="279"/>
        <v>0</v>
      </c>
      <c r="CA220" s="24">
        <f t="shared" ca="1" si="325"/>
        <v>0</v>
      </c>
      <c r="CB220" s="24">
        <f t="shared" ca="1" si="280"/>
        <v>0</v>
      </c>
      <c r="CC220" s="24">
        <f t="shared" ca="1" si="326"/>
        <v>0</v>
      </c>
      <c r="CD220" s="24">
        <f t="shared" ca="1" si="281"/>
        <v>-11376.292133571942</v>
      </c>
      <c r="CE220" s="25">
        <f t="shared" ca="1" si="327"/>
        <v>-141426.97456162242</v>
      </c>
      <c r="CF220" s="23">
        <f t="shared" ca="1" si="328"/>
        <v>528027.35964160028</v>
      </c>
      <c r="CG220" s="25">
        <f t="array" aca="1" ref="CG220" ca="1">SUM(BF209:BF220/(1+inflation/100)^(AP209:AP220/12))</f>
        <v>267980.53702225373</v>
      </c>
      <c r="CH220" s="32">
        <f ca="1">IFERROR(IF(MOD(AP220-ap_months_since_start,12)=0,ap_drawdown/100*(AQ220+AV220+BA220-BC220),CH219),0)</f>
        <v>239730.62538093867</v>
      </c>
    </row>
    <row r="221" spans="40:165" x14ac:dyDescent="0.25">
      <c r="AN221" s="32">
        <f t="shared" ca="1" si="276"/>
        <v>72.666666666666671</v>
      </c>
      <c r="AO221" s="53">
        <f t="shared" ca="1" si="309"/>
        <v>52110</v>
      </c>
      <c r="AP221" s="22">
        <v>214</v>
      </c>
      <c r="AQ221" s="32">
        <f t="shared" ca="1" si="310"/>
        <v>1439242.460252238</v>
      </c>
      <c r="AR221" s="23">
        <f t="array" aca="1" ref="AR221" ca="1">SUM(IF(lsc_start_date=AO221,lsc_amount,0))</f>
        <v>0</v>
      </c>
      <c r="AS221" s="24">
        <f t="shared" ca="1" si="283"/>
        <v>0</v>
      </c>
      <c r="AT221" s="24">
        <f t="shared" ca="1" si="284"/>
        <v>0</v>
      </c>
      <c r="AU221" s="24">
        <f t="shared" ca="1" si="285"/>
        <v>0</v>
      </c>
      <c r="AV221" s="25">
        <f t="shared" ca="1" si="286"/>
        <v>0</v>
      </c>
      <c r="AW221" s="23">
        <f t="array" aca="1" ref="AW221" ca="1">SUM(IF(rcs_start_date&lt;=AO221,1,0)*IF(rcs_end_date&gt;=AO221,1,0)*rcs_amount*(1+rcs_escalation/100)^(INT((AP221-rcs_months_since_start)/12))*IF(MOD((AP221-rcs_months_since_start),rcs_frequency)=0,1,0)*IF(rcs_frequency=13,0,1))+SUM(IF(rcs_start_date=AO221,rcs_amount,0)*IF(rcs_frequency=13,1,0))</f>
        <v>0</v>
      </c>
      <c r="AX221" s="24">
        <f t="shared" ca="1" si="287"/>
        <v>0</v>
      </c>
      <c r="AY221" s="24">
        <f t="shared" ca="1" si="288"/>
        <v>0</v>
      </c>
      <c r="AZ221" s="24">
        <f t="shared" ca="1" si="289"/>
        <v>0</v>
      </c>
      <c r="BA221" s="25">
        <f t="shared" ca="1" si="290"/>
        <v>0</v>
      </c>
      <c r="BB221" s="23">
        <f t="array" aca="1" ref="BB221" ca="1">SUM(IF(w_start_date&lt;=AO221,1,0)*IF(w_end_date&gt;=AO221,1,0)*w_amount*(1+w_escalation/100)^(INT((AP221-w_months_since_start)/12))*IF(MOD(AP221-w_months_since_start,w_frequency)=0,1,0)*IF(w_frequency=13,0,1))+SUM(IF(w_start_date=AO221,w_amount,0)*IF(w_frequency=13,1,0))</f>
        <v>0</v>
      </c>
      <c r="BC221" s="25">
        <f t="shared" ca="1" si="291"/>
        <v>0</v>
      </c>
      <c r="BD221" s="24" t="b">
        <f t="shared" ca="1" si="292"/>
        <v>1</v>
      </c>
      <c r="BE221" s="24" t="b">
        <f t="shared" ca="1" si="293"/>
        <v>1</v>
      </c>
      <c r="BF221" s="23">
        <f t="array" aca="1" ref="BF221" ca="1">SUM(IF(BD221,1,0)*IF(ap_start_date&lt;=AO221,1,0)*IF(ap_end_date&gt;=AO221,1,0)*ap_amount*(1+ap_escalation/100)^(INT((AP221-ap_months_since_start)/12))*IF(MOD(AP221-ap_months_since_start,ap_frequency)=0,1,0))</f>
        <v>44286.165647360016</v>
      </c>
      <c r="BG221" s="24">
        <f t="shared" ca="1" si="294"/>
        <v>531433.98776832025</v>
      </c>
      <c r="BH221" s="24">
        <f t="shared" ca="1" si="295"/>
        <v>38994.761593255826</v>
      </c>
      <c r="BI221">
        <f t="shared" ca="1" si="296"/>
        <v>0</v>
      </c>
      <c r="BJ221" s="24">
        <f t="shared" ca="1" si="297"/>
        <v>272963.33115279075</v>
      </c>
      <c r="BK221">
        <f t="shared" ca="1" si="298"/>
        <v>1</v>
      </c>
      <c r="BL221" s="25">
        <f t="shared" ca="1" si="299"/>
        <v>22746.944262732562</v>
      </c>
      <c r="BM221" s="32">
        <f t="shared" ca="1" si="277"/>
        <v>1426704.6571490997</v>
      </c>
      <c r="BN221" s="23">
        <f t="shared" ca="1" si="300"/>
        <v>0</v>
      </c>
      <c r="BO221" s="24">
        <f t="shared" ca="1" si="301"/>
        <v>0</v>
      </c>
      <c r="BP221" s="25">
        <f t="shared" ca="1" si="302"/>
        <v>0</v>
      </c>
      <c r="BQ221" s="34">
        <f t="shared" ca="1" si="303"/>
        <v>52139</v>
      </c>
      <c r="BR221" s="23">
        <f t="shared" ca="1" si="304"/>
        <v>1426704.6571490997</v>
      </c>
      <c r="BS221" s="24">
        <f t="shared" ca="1" si="305"/>
        <v>0</v>
      </c>
      <c r="BT221" s="24">
        <f t="shared" ca="1" si="322"/>
        <v>0</v>
      </c>
      <c r="BU221" s="24">
        <f t="shared" ca="1" si="306"/>
        <v>0</v>
      </c>
      <c r="BV221" s="24">
        <f t="shared" ca="1" si="323"/>
        <v>0</v>
      </c>
      <c r="BW221" s="24">
        <f t="shared" ca="1" si="307"/>
        <v>-22746.944262732562</v>
      </c>
      <c r="BX221" s="25">
        <f t="shared" ca="1" si="324"/>
        <v>-275307.29745238309</v>
      </c>
      <c r="BY221" s="23">
        <f t="shared" ca="1" si="278"/>
        <v>708880.22501517402</v>
      </c>
      <c r="BZ221" s="24">
        <f t="shared" ca="1" si="279"/>
        <v>0</v>
      </c>
      <c r="CA221" s="24">
        <f t="shared" ca="1" si="325"/>
        <v>0</v>
      </c>
      <c r="CB221" s="24">
        <f t="shared" ca="1" si="280"/>
        <v>0</v>
      </c>
      <c r="CC221" s="24">
        <f t="shared" ca="1" si="326"/>
        <v>0</v>
      </c>
      <c r="CD221" s="24">
        <f t="shared" ca="1" si="281"/>
        <v>-11339.170639552101</v>
      </c>
      <c r="CE221" s="25">
        <f t="shared" ca="1" si="327"/>
        <v>-139758.22125301458</v>
      </c>
      <c r="CF221" s="23">
        <f t="shared" ca="1" si="328"/>
        <v>529730.67370496027</v>
      </c>
      <c r="CG221" s="25">
        <f t="array" aca="1" ref="CG221" ca="1">SUM(BF210:BF221/(1+inflation/100)^(AP210:AP221/12))</f>
        <v>267980.53702225373</v>
      </c>
      <c r="CH221" s="32">
        <f ca="1">IFERROR(IF(MOD(AP221-ap_months_since_start,12)=0,ap_drawdown/100*(AQ221+AV221+BA221-BC221),CH220),0)</f>
        <v>239730.62538093867</v>
      </c>
    </row>
    <row r="222" spans="40:165" x14ac:dyDescent="0.25">
      <c r="AN222" s="32">
        <f t="shared" ca="1" si="276"/>
        <v>72.75</v>
      </c>
      <c r="AO222" s="53">
        <f t="shared" ca="1" si="309"/>
        <v>52140</v>
      </c>
      <c r="AP222" s="22">
        <v>215</v>
      </c>
      <c r="AQ222" s="32">
        <f t="shared" ca="1" si="310"/>
        <v>1426704.6571490997</v>
      </c>
      <c r="AR222" s="23">
        <f t="array" aca="1" ref="AR222" ca="1">SUM(IF(lsc_start_date=AO222,lsc_amount,0))</f>
        <v>0</v>
      </c>
      <c r="AS222" s="24">
        <f t="shared" ca="1" si="283"/>
        <v>0</v>
      </c>
      <c r="AT222" s="24">
        <f t="shared" ca="1" si="284"/>
        <v>0</v>
      </c>
      <c r="AU222" s="24">
        <f t="shared" ca="1" si="285"/>
        <v>0</v>
      </c>
      <c r="AV222" s="25">
        <f t="shared" ca="1" si="286"/>
        <v>0</v>
      </c>
      <c r="AW222" s="23">
        <f t="array" aca="1" ref="AW222" ca="1">SUM(IF(rcs_start_date&lt;=AO222,1,0)*IF(rcs_end_date&gt;=AO222,1,0)*rcs_amount*(1+rcs_escalation/100)^(INT((AP222-rcs_months_since_start)/12))*IF(MOD((AP222-rcs_months_since_start),rcs_frequency)=0,1,0)*IF(rcs_frequency=13,0,1))+SUM(IF(rcs_start_date=AO222,rcs_amount,0)*IF(rcs_frequency=13,1,0))</f>
        <v>0</v>
      </c>
      <c r="AX222" s="24">
        <f t="shared" ca="1" si="287"/>
        <v>0</v>
      </c>
      <c r="AY222" s="24">
        <f t="shared" ca="1" si="288"/>
        <v>0</v>
      </c>
      <c r="AZ222" s="24">
        <f t="shared" ca="1" si="289"/>
        <v>0</v>
      </c>
      <c r="BA222" s="25">
        <f t="shared" ca="1" si="290"/>
        <v>0</v>
      </c>
      <c r="BB222" s="23">
        <f t="array" aca="1" ref="BB222" ca="1">SUM(IF(w_start_date&lt;=AO222,1,0)*IF(w_end_date&gt;=AO222,1,0)*w_amount*(1+w_escalation/100)^(INT((AP222-w_months_since_start)/12))*IF(MOD(AP222-w_months_since_start,w_frequency)=0,1,0)*IF(w_frequency=13,0,1))+SUM(IF(w_start_date=AO222,w_amount,0)*IF(w_frequency=13,1,0))</f>
        <v>0</v>
      </c>
      <c r="BC222" s="25">
        <f t="shared" ca="1" si="291"/>
        <v>0</v>
      </c>
      <c r="BD222" s="24" t="b">
        <f t="shared" ca="1" si="292"/>
        <v>1</v>
      </c>
      <c r="BE222" s="24" t="b">
        <f t="shared" ca="1" si="293"/>
        <v>1</v>
      </c>
      <c r="BF222" s="23">
        <f t="array" aca="1" ref="BF222" ca="1">SUM(IF(BD222,1,0)*IF(ap_start_date&lt;=AO222,1,0)*IF(ap_end_date&gt;=AO222,1,0)*ap_amount*(1+ap_escalation/100)^(INT((AP222-ap_months_since_start)/12))*IF(MOD(AP222-ap_months_since_start,ap_frequency)=0,1,0))</f>
        <v>44286.165647360016</v>
      </c>
      <c r="BG222" s="24">
        <f t="shared" ca="1" si="294"/>
        <v>531433.98776832025</v>
      </c>
      <c r="BH222" s="24">
        <f t="shared" ca="1" si="295"/>
        <v>38994.761593255826</v>
      </c>
      <c r="BI222">
        <f t="shared" ca="1" si="296"/>
        <v>0</v>
      </c>
      <c r="BJ222" s="24">
        <f t="shared" ca="1" si="297"/>
        <v>272963.33115279075</v>
      </c>
      <c r="BK222">
        <f t="shared" ca="1" si="298"/>
        <v>1</v>
      </c>
      <c r="BL222" s="25">
        <f t="shared" ca="1" si="299"/>
        <v>22746.944262732562</v>
      </c>
      <c r="BM222" s="32">
        <f t="shared" ca="1" si="277"/>
        <v>1414076.490045323</v>
      </c>
      <c r="BN222" s="23">
        <f t="shared" ca="1" si="300"/>
        <v>0</v>
      </c>
      <c r="BO222" s="24">
        <f t="shared" ca="1" si="301"/>
        <v>0</v>
      </c>
      <c r="BP222" s="25">
        <f t="shared" ca="1" si="302"/>
        <v>0</v>
      </c>
      <c r="BQ222" s="34">
        <f t="shared" ca="1" si="303"/>
        <v>52170</v>
      </c>
      <c r="BR222" s="23">
        <f t="shared" ca="1" si="304"/>
        <v>1414076.490045323</v>
      </c>
      <c r="BS222" s="24">
        <f t="shared" ca="1" si="305"/>
        <v>0</v>
      </c>
      <c r="BT222" s="24">
        <f t="shared" ca="1" si="322"/>
        <v>0</v>
      </c>
      <c r="BU222" s="24">
        <f t="shared" ca="1" si="306"/>
        <v>0</v>
      </c>
      <c r="BV222" s="24">
        <f t="shared" ca="1" si="323"/>
        <v>0</v>
      </c>
      <c r="BW222" s="24">
        <f t="shared" ca="1" si="307"/>
        <v>-22746.944262732562</v>
      </c>
      <c r="BX222" s="25">
        <f t="shared" ca="1" si="324"/>
        <v>-272963.33115279081</v>
      </c>
      <c r="BY222" s="23">
        <f t="shared" ca="1" si="278"/>
        <v>700313.08252058807</v>
      </c>
      <c r="BZ222" s="24">
        <f t="shared" ca="1" si="279"/>
        <v>0</v>
      </c>
      <c r="CA222" s="24">
        <f t="shared" ca="1" si="325"/>
        <v>0</v>
      </c>
      <c r="CB222" s="24">
        <f t="shared" ca="1" si="280"/>
        <v>0</v>
      </c>
      <c r="CC222" s="24">
        <f t="shared" ca="1" si="326"/>
        <v>0</v>
      </c>
      <c r="CD222" s="24">
        <f t="shared" ca="1" si="281"/>
        <v>-11302.170275097327</v>
      </c>
      <c r="CE222" s="25">
        <f t="shared" ca="1" si="327"/>
        <v>-138094.91318220814</v>
      </c>
      <c r="CF222" s="23">
        <f t="shared" ca="1" si="328"/>
        <v>531433.98776832025</v>
      </c>
      <c r="CG222" s="25">
        <f t="array" aca="1" ref="CG222" ca="1">SUM(BF211:BF222/(1+inflation/100)^(AP211:AP222/12))</f>
        <v>267980.53702225379</v>
      </c>
      <c r="CH222" s="32">
        <f ca="1">IFERROR(IF(MOD(AP222-ap_months_since_start,12)=0,ap_drawdown/100*(AQ222+AV222+BA222-BC222),CH221),0)</f>
        <v>239730.62538093867</v>
      </c>
    </row>
    <row r="223" spans="40:165" x14ac:dyDescent="0.25">
      <c r="AN223" s="32">
        <f t="shared" ca="1" si="276"/>
        <v>72.833333333333329</v>
      </c>
      <c r="AO223" s="53">
        <f t="shared" ca="1" si="309"/>
        <v>52171</v>
      </c>
      <c r="AP223" s="22">
        <v>216</v>
      </c>
      <c r="AQ223" s="32">
        <f t="shared" ca="1" si="310"/>
        <v>1414076.490045323</v>
      </c>
      <c r="AR223" s="23">
        <f t="array" aca="1" ref="AR223" ca="1">SUM(IF(lsc_start_date=AO223,lsc_amount,0))</f>
        <v>0</v>
      </c>
      <c r="AS223" s="24">
        <f t="shared" ca="1" si="283"/>
        <v>0</v>
      </c>
      <c r="AT223" s="24">
        <f t="shared" ca="1" si="284"/>
        <v>0</v>
      </c>
      <c r="AU223" s="24">
        <f t="shared" ca="1" si="285"/>
        <v>0</v>
      </c>
      <c r="AV223" s="25">
        <f t="shared" ca="1" si="286"/>
        <v>0</v>
      </c>
      <c r="AW223" s="23">
        <f t="array" aca="1" ref="AW223" ca="1">SUM(IF(rcs_start_date&lt;=AO223,1,0)*IF(rcs_end_date&gt;=AO223,1,0)*rcs_amount*(1+rcs_escalation/100)^(INT((AP223-rcs_months_since_start)/12))*IF(MOD((AP223-rcs_months_since_start),rcs_frequency)=0,1,0)*IF(rcs_frequency=13,0,1))+SUM(IF(rcs_start_date=AO223,rcs_amount,0)*IF(rcs_frequency=13,1,0))</f>
        <v>0</v>
      </c>
      <c r="AX223" s="24">
        <f t="shared" ca="1" si="287"/>
        <v>0</v>
      </c>
      <c r="AY223" s="24">
        <f t="shared" ca="1" si="288"/>
        <v>0</v>
      </c>
      <c r="AZ223" s="24">
        <f t="shared" ca="1" si="289"/>
        <v>0</v>
      </c>
      <c r="BA223" s="25">
        <f t="shared" ca="1" si="290"/>
        <v>0</v>
      </c>
      <c r="BB223" s="23">
        <f t="array" aca="1" ref="BB223" ca="1">SUM(IF(w_start_date&lt;=AO223,1,0)*IF(w_end_date&gt;=AO223,1,0)*w_amount*(1+w_escalation/100)^(INT((AP223-w_months_since_start)/12))*IF(MOD(AP223-w_months_since_start,w_frequency)=0,1,0)*IF(w_frequency=13,0,1))+SUM(IF(w_start_date=AO223,w_amount,0)*IF(w_frequency=13,1,0))</f>
        <v>0</v>
      </c>
      <c r="BC223" s="25">
        <f t="shared" ca="1" si="291"/>
        <v>0</v>
      </c>
      <c r="BD223" s="24" t="b">
        <f t="shared" ca="1" si="292"/>
        <v>1</v>
      </c>
      <c r="BE223" s="24" t="b">
        <f t="shared" ca="1" si="293"/>
        <v>1</v>
      </c>
      <c r="BF223" s="23">
        <f t="array" aca="1" ref="BF223" ca="1">SUM(IF(BD223,1,0)*IF(ap_start_date&lt;=AO223,1,0)*IF(ap_end_date&gt;=AO223,1,0)*ap_amount*(1+ap_escalation/100)^(INT((AP223-ap_months_since_start)/12))*IF(MOD(AP223-ap_months_since_start,ap_frequency)=0,1,0))</f>
        <v>46057.61227325441</v>
      </c>
      <c r="BG223" s="24">
        <f t="shared" ca="1" si="294"/>
        <v>552691.34727905306</v>
      </c>
      <c r="BH223" s="24">
        <f t="shared" ca="1" si="295"/>
        <v>35351.912251133079</v>
      </c>
      <c r="BI223">
        <f t="shared" ca="1" si="296"/>
        <v>0</v>
      </c>
      <c r="BJ223" s="24">
        <f t="shared" ca="1" si="297"/>
        <v>247463.38575793151</v>
      </c>
      <c r="BK223">
        <f t="shared" ca="1" si="298"/>
        <v>1</v>
      </c>
      <c r="BL223" s="25">
        <f t="shared" ca="1" si="299"/>
        <v>20621.948813160954</v>
      </c>
      <c r="BM223" s="32">
        <f t="shared" ca="1" si="277"/>
        <v>1403497.6186371613</v>
      </c>
      <c r="BN223" s="23">
        <f t="shared" ca="1" si="300"/>
        <v>0</v>
      </c>
      <c r="BO223" s="24">
        <f t="shared" ca="1" si="301"/>
        <v>0</v>
      </c>
      <c r="BP223" s="25">
        <f t="shared" ca="1" si="302"/>
        <v>0</v>
      </c>
      <c r="BQ223" s="34">
        <f t="shared" ca="1" si="303"/>
        <v>52200</v>
      </c>
      <c r="BR223" s="23">
        <f t="shared" ca="1" si="304"/>
        <v>1403497.6186371613</v>
      </c>
      <c r="BS223" s="24">
        <f t="shared" ca="1" si="305"/>
        <v>0</v>
      </c>
      <c r="BT223" s="24">
        <f t="shared" ca="1" si="322"/>
        <v>0</v>
      </c>
      <c r="BU223" s="24">
        <f t="shared" ca="1" si="306"/>
        <v>0</v>
      </c>
      <c r="BV223" s="24">
        <f t="shared" ca="1" si="323"/>
        <v>0</v>
      </c>
      <c r="BW223" s="24">
        <f t="shared" ca="1" si="307"/>
        <v>-20621.948813160954</v>
      </c>
      <c r="BX223" s="25">
        <f t="shared" ca="1" si="324"/>
        <v>-270838.33570321917</v>
      </c>
      <c r="BY223" s="23">
        <f t="shared" ca="1" si="278"/>
        <v>692805.89233172056</v>
      </c>
      <c r="BZ223" s="24">
        <f t="shared" ca="1" si="279"/>
        <v>0</v>
      </c>
      <c r="CA223" s="24">
        <f t="shared" ca="1" si="325"/>
        <v>0</v>
      </c>
      <c r="CB223" s="24">
        <f t="shared" ca="1" si="280"/>
        <v>0</v>
      </c>
      <c r="CC223" s="24">
        <f t="shared" ca="1" si="326"/>
        <v>0</v>
      </c>
      <c r="CD223" s="24">
        <f t="shared" ca="1" si="281"/>
        <v>-10212.899120091906</v>
      </c>
      <c r="CE223" s="25">
        <f t="shared" ca="1" si="327"/>
        <v>-136591.91003154695</v>
      </c>
      <c r="CF223" s="23">
        <f t="shared" ca="1" si="328"/>
        <v>533205.43439421465</v>
      </c>
      <c r="CG223" s="25">
        <f t="array" aca="1" ref="CG223" ca="1">SUM(BF212:BF223/(1+inflation/100)^(AP212:AP223/12))</f>
        <v>267980.53702225379</v>
      </c>
      <c r="CH223" s="32">
        <f ca="1">IFERROR(IF(MOD(AP223-ap_months_since_start,12)=0,ap_drawdown/100*(AQ223+AV223+BA223-BC223),CH222),0)</f>
        <v>217335.24417397505</v>
      </c>
    </row>
    <row r="224" spans="40:165" x14ac:dyDescent="0.25">
      <c r="AN224" s="32">
        <f t="shared" ca="1" si="276"/>
        <v>72.916666666666671</v>
      </c>
      <c r="AO224" s="53">
        <f t="shared" ca="1" si="309"/>
        <v>52201</v>
      </c>
      <c r="AP224" s="22">
        <v>217</v>
      </c>
      <c r="AQ224" s="32">
        <f t="shared" ca="1" si="310"/>
        <v>1403497.6186371613</v>
      </c>
      <c r="AR224" s="23">
        <f t="array" aca="1" ref="AR224" ca="1">SUM(IF(lsc_start_date=AO224,lsc_amount,0))</f>
        <v>0</v>
      </c>
      <c r="AS224" s="24">
        <f t="shared" ca="1" si="283"/>
        <v>0</v>
      </c>
      <c r="AT224" s="24">
        <f t="shared" ca="1" si="284"/>
        <v>0</v>
      </c>
      <c r="AU224" s="24">
        <f t="shared" ca="1" si="285"/>
        <v>0</v>
      </c>
      <c r="AV224" s="25">
        <f t="shared" ca="1" si="286"/>
        <v>0</v>
      </c>
      <c r="AW224" s="23">
        <f t="array" aca="1" ref="AW224" ca="1">SUM(IF(rcs_start_date&lt;=AO224,1,0)*IF(rcs_end_date&gt;=AO224,1,0)*rcs_amount*(1+rcs_escalation/100)^(INT((AP224-rcs_months_since_start)/12))*IF(MOD((AP224-rcs_months_since_start),rcs_frequency)=0,1,0)*IF(rcs_frequency=13,0,1))+SUM(IF(rcs_start_date=AO224,rcs_amount,0)*IF(rcs_frequency=13,1,0))</f>
        <v>0</v>
      </c>
      <c r="AX224" s="24">
        <f t="shared" ca="1" si="287"/>
        <v>0</v>
      </c>
      <c r="AY224" s="24">
        <f t="shared" ca="1" si="288"/>
        <v>0</v>
      </c>
      <c r="AZ224" s="24">
        <f t="shared" ca="1" si="289"/>
        <v>0</v>
      </c>
      <c r="BA224" s="25">
        <f t="shared" ca="1" si="290"/>
        <v>0</v>
      </c>
      <c r="BB224" s="23">
        <f t="array" aca="1" ref="BB224" ca="1">SUM(IF(w_start_date&lt;=AO224,1,0)*IF(w_end_date&gt;=AO224,1,0)*w_amount*(1+w_escalation/100)^(INT((AP224-w_months_since_start)/12))*IF(MOD(AP224-w_months_since_start,w_frequency)=0,1,0)*IF(w_frequency=13,0,1))+SUM(IF(w_start_date=AO224,w_amount,0)*IF(w_frequency=13,1,0))</f>
        <v>0</v>
      </c>
      <c r="BC224" s="25">
        <f t="shared" ca="1" si="291"/>
        <v>0</v>
      </c>
      <c r="BD224" s="24" t="b">
        <f t="shared" ca="1" si="292"/>
        <v>1</v>
      </c>
      <c r="BE224" s="24" t="b">
        <f t="shared" ca="1" si="293"/>
        <v>1</v>
      </c>
      <c r="BF224" s="23">
        <f t="array" aca="1" ref="BF224" ca="1">SUM(IF(BD224,1,0)*IF(ap_start_date&lt;=AO224,1,0)*IF(ap_end_date&gt;=AO224,1,0)*ap_amount*(1+ap_escalation/100)^(INT((AP224-ap_months_since_start)/12))*IF(MOD(AP224-ap_months_since_start,ap_frequency)=0,1,0))</f>
        <v>46057.61227325441</v>
      </c>
      <c r="BG224" s="24">
        <f t="shared" ca="1" si="294"/>
        <v>552691.34727905306</v>
      </c>
      <c r="BH224" s="24">
        <f t="shared" ca="1" si="295"/>
        <v>35351.912251133079</v>
      </c>
      <c r="BI224">
        <f t="shared" ca="1" si="296"/>
        <v>0</v>
      </c>
      <c r="BJ224" s="24">
        <f t="shared" ca="1" si="297"/>
        <v>247463.38575793151</v>
      </c>
      <c r="BK224">
        <f t="shared" ca="1" si="298"/>
        <v>1</v>
      </c>
      <c r="BL224" s="25">
        <f t="shared" ca="1" si="299"/>
        <v>20621.948813160954</v>
      </c>
      <c r="BM224" s="32">
        <f t="shared" ca="1" si="277"/>
        <v>1392842.5018824411</v>
      </c>
      <c r="BN224" s="23">
        <f t="shared" ca="1" si="300"/>
        <v>0</v>
      </c>
      <c r="BO224" s="24">
        <f t="shared" ca="1" si="301"/>
        <v>0</v>
      </c>
      <c r="BP224" s="25">
        <f t="shared" ca="1" si="302"/>
        <v>0</v>
      </c>
      <c r="BQ224" s="34">
        <f t="shared" ca="1" si="303"/>
        <v>52231</v>
      </c>
      <c r="BR224" s="23">
        <f t="shared" ca="1" si="304"/>
        <v>1392842.5018824411</v>
      </c>
      <c r="BS224" s="24">
        <f t="shared" ca="1" si="305"/>
        <v>0</v>
      </c>
      <c r="BT224" s="24">
        <f t="shared" ca="1" si="322"/>
        <v>0</v>
      </c>
      <c r="BU224" s="24">
        <f t="shared" ca="1" si="306"/>
        <v>0</v>
      </c>
      <c r="BV224" s="24">
        <f t="shared" ca="1" si="323"/>
        <v>0</v>
      </c>
      <c r="BW224" s="24">
        <f t="shared" ca="1" si="307"/>
        <v>-20621.948813160954</v>
      </c>
      <c r="BX224" s="25">
        <f t="shared" ca="1" si="324"/>
        <v>-268713.34025364753</v>
      </c>
      <c r="BY224" s="23">
        <f t="shared" ca="1" si="278"/>
        <v>685302.7242776152</v>
      </c>
      <c r="BZ224" s="24">
        <f t="shared" ca="1" si="279"/>
        <v>0</v>
      </c>
      <c r="CA224" s="24">
        <f t="shared" ca="1" si="325"/>
        <v>0</v>
      </c>
      <c r="CB224" s="24">
        <f t="shared" ca="1" si="280"/>
        <v>0</v>
      </c>
      <c r="CC224" s="24">
        <f t="shared" ca="1" si="326"/>
        <v>0</v>
      </c>
      <c r="CD224" s="24">
        <f t="shared" ca="1" si="281"/>
        <v>-10179.573844232211</v>
      </c>
      <c r="CE224" s="25">
        <f t="shared" ca="1" si="327"/>
        <v>-135093.81126641086</v>
      </c>
      <c r="CF224" s="23">
        <f t="shared" ca="1" si="328"/>
        <v>534976.88102010905</v>
      </c>
      <c r="CG224" s="25">
        <f t="array" aca="1" ref="CG224" ca="1">SUM(BF213:BF224/(1+inflation/100)^(AP213:AP224/12))</f>
        <v>267980.53702225373</v>
      </c>
      <c r="CH224" s="32">
        <f ca="1">IFERROR(IF(MOD(AP224-ap_months_since_start,12)=0,ap_drawdown/100*(AQ224+AV224+BA224-BC224),CH223),0)</f>
        <v>217335.24417397505</v>
      </c>
    </row>
    <row r="225" spans="40:86" x14ac:dyDescent="0.25">
      <c r="AN225" s="32">
        <f t="shared" ca="1" si="276"/>
        <v>73</v>
      </c>
      <c r="AO225" s="53">
        <f t="shared" ca="1" si="309"/>
        <v>52232</v>
      </c>
      <c r="AP225" s="22">
        <v>218</v>
      </c>
      <c r="AQ225" s="32">
        <f t="shared" ca="1" si="310"/>
        <v>1392842.5018824411</v>
      </c>
      <c r="AR225" s="23">
        <f t="array" aca="1" ref="AR225" ca="1">SUM(IF(lsc_start_date=AO225,lsc_amount,0))</f>
        <v>0</v>
      </c>
      <c r="AS225" s="24">
        <f t="shared" ca="1" si="283"/>
        <v>0</v>
      </c>
      <c r="AT225" s="24">
        <f t="shared" ca="1" si="284"/>
        <v>0</v>
      </c>
      <c r="AU225" s="24">
        <f t="shared" ca="1" si="285"/>
        <v>0</v>
      </c>
      <c r="AV225" s="25">
        <f t="shared" ca="1" si="286"/>
        <v>0</v>
      </c>
      <c r="AW225" s="23">
        <f t="array" aca="1" ref="AW225" ca="1">SUM(IF(rcs_start_date&lt;=AO225,1,0)*IF(rcs_end_date&gt;=AO225,1,0)*rcs_amount*(1+rcs_escalation/100)^(INT((AP225-rcs_months_since_start)/12))*IF(MOD((AP225-rcs_months_since_start),rcs_frequency)=0,1,0)*IF(rcs_frequency=13,0,1))+SUM(IF(rcs_start_date=AO225,rcs_amount,0)*IF(rcs_frequency=13,1,0))</f>
        <v>0</v>
      </c>
      <c r="AX225" s="24">
        <f t="shared" ca="1" si="287"/>
        <v>0</v>
      </c>
      <c r="AY225" s="24">
        <f t="shared" ca="1" si="288"/>
        <v>0</v>
      </c>
      <c r="AZ225" s="24">
        <f t="shared" ca="1" si="289"/>
        <v>0</v>
      </c>
      <c r="BA225" s="25">
        <f t="shared" ca="1" si="290"/>
        <v>0</v>
      </c>
      <c r="BB225" s="23">
        <f t="array" aca="1" ref="BB225" ca="1">SUM(IF(w_start_date&lt;=AO225,1,0)*IF(w_end_date&gt;=AO225,1,0)*w_amount*(1+w_escalation/100)^(INT((AP225-w_months_since_start)/12))*IF(MOD(AP225-w_months_since_start,w_frequency)=0,1,0)*IF(w_frequency=13,0,1))+SUM(IF(w_start_date=AO225,w_amount,0)*IF(w_frequency=13,1,0))</f>
        <v>0</v>
      </c>
      <c r="BC225" s="25">
        <f t="shared" ca="1" si="291"/>
        <v>0</v>
      </c>
      <c r="BD225" s="24" t="b">
        <f t="shared" ca="1" si="292"/>
        <v>1</v>
      </c>
      <c r="BE225" s="24" t="b">
        <f t="shared" ca="1" si="293"/>
        <v>1</v>
      </c>
      <c r="BF225" s="23">
        <f t="array" aca="1" ref="BF225" ca="1">SUM(IF(BD225,1,0)*IF(ap_start_date&lt;=AO225,1,0)*IF(ap_end_date&gt;=AO225,1,0)*ap_amount*(1+ap_escalation/100)^(INT((AP225-ap_months_since_start)/12))*IF(MOD(AP225-ap_months_since_start,ap_frequency)=0,1,0))</f>
        <v>46057.61227325441</v>
      </c>
      <c r="BG225" s="24">
        <f t="shared" ca="1" si="294"/>
        <v>552691.34727905306</v>
      </c>
      <c r="BH225" s="24">
        <f t="shared" ca="1" si="295"/>
        <v>35351.912251133079</v>
      </c>
      <c r="BI225">
        <f t="shared" ca="1" si="296"/>
        <v>0</v>
      </c>
      <c r="BJ225" s="24">
        <f t="shared" ca="1" si="297"/>
        <v>247463.38575793151</v>
      </c>
      <c r="BK225">
        <f t="shared" ca="1" si="298"/>
        <v>1</v>
      </c>
      <c r="BL225" s="25">
        <f t="shared" ca="1" si="299"/>
        <v>20621.948813160954</v>
      </c>
      <c r="BM225" s="32">
        <f t="shared" ca="1" si="277"/>
        <v>1382110.5902562984</v>
      </c>
      <c r="BN225" s="23">
        <f t="shared" ca="1" si="300"/>
        <v>0</v>
      </c>
      <c r="BO225" s="24">
        <f t="shared" ca="1" si="301"/>
        <v>0</v>
      </c>
      <c r="BP225" s="25">
        <f t="shared" ca="1" si="302"/>
        <v>0</v>
      </c>
      <c r="BQ225" s="34">
        <f t="shared" ca="1" si="303"/>
        <v>52262</v>
      </c>
      <c r="BR225" s="23">
        <f t="shared" ca="1" si="304"/>
        <v>1382110.5902562984</v>
      </c>
      <c r="BS225" s="24">
        <f t="shared" ca="1" si="305"/>
        <v>0</v>
      </c>
      <c r="BT225" s="24">
        <f t="shared" ca="1" si="322"/>
        <v>0</v>
      </c>
      <c r="BU225" s="24">
        <f t="shared" ca="1" si="306"/>
        <v>0</v>
      </c>
      <c r="BV225" s="24">
        <f t="shared" ca="1" si="323"/>
        <v>0</v>
      </c>
      <c r="BW225" s="24">
        <f t="shared" ca="1" si="307"/>
        <v>-20621.948813160954</v>
      </c>
      <c r="BX225" s="25">
        <f t="shared" ca="1" si="324"/>
        <v>-266588.3448040759</v>
      </c>
      <c r="BY225" s="23">
        <f t="shared" ca="1" si="278"/>
        <v>677803.48495940957</v>
      </c>
      <c r="BZ225" s="24">
        <f t="shared" ca="1" si="279"/>
        <v>0</v>
      </c>
      <c r="CA225" s="24">
        <f t="shared" ca="1" si="325"/>
        <v>0</v>
      </c>
      <c r="CB225" s="24">
        <f t="shared" ca="1" si="280"/>
        <v>0</v>
      </c>
      <c r="CC225" s="24">
        <f t="shared" ca="1" si="326"/>
        <v>0</v>
      </c>
      <c r="CD225" s="24">
        <f t="shared" ca="1" si="281"/>
        <v>-10146.357310659901</v>
      </c>
      <c r="CE225" s="25">
        <f t="shared" ca="1" si="327"/>
        <v>-133600.60088350845</v>
      </c>
      <c r="CF225" s="23">
        <f t="shared" ca="1" si="328"/>
        <v>536748.32764600345</v>
      </c>
      <c r="CG225" s="25">
        <f t="array" aca="1" ref="CG225" ca="1">SUM(BF214:BF225/(1+inflation/100)^(AP214:AP225/12))</f>
        <v>267980.53702225373</v>
      </c>
      <c r="CH225" s="32">
        <f ca="1">IFERROR(IF(MOD(AP225-ap_months_since_start,12)=0,ap_drawdown/100*(AQ225+AV225+BA225-BC225),CH224),0)</f>
        <v>217335.24417397505</v>
      </c>
    </row>
    <row r="226" spans="40:86" x14ac:dyDescent="0.25">
      <c r="AN226" s="32">
        <f t="shared" ca="1" si="276"/>
        <v>73.083333333333329</v>
      </c>
      <c r="AO226" s="53">
        <f t="shared" ca="1" si="309"/>
        <v>52263</v>
      </c>
      <c r="AP226" s="22">
        <v>219</v>
      </c>
      <c r="AQ226" s="32">
        <f t="shared" ca="1" si="310"/>
        <v>1382110.5902562984</v>
      </c>
      <c r="AR226" s="23">
        <f t="array" aca="1" ref="AR226" ca="1">SUM(IF(lsc_start_date=AO226,lsc_amount,0))</f>
        <v>0</v>
      </c>
      <c r="AS226" s="24">
        <f t="shared" ca="1" si="283"/>
        <v>0</v>
      </c>
      <c r="AT226" s="24">
        <f t="shared" ca="1" si="284"/>
        <v>0</v>
      </c>
      <c r="AU226" s="24">
        <f t="shared" ca="1" si="285"/>
        <v>0</v>
      </c>
      <c r="AV226" s="25">
        <f t="shared" ca="1" si="286"/>
        <v>0</v>
      </c>
      <c r="AW226" s="23">
        <f t="array" aca="1" ref="AW226" ca="1">SUM(IF(rcs_start_date&lt;=AO226,1,0)*IF(rcs_end_date&gt;=AO226,1,0)*rcs_amount*(1+rcs_escalation/100)^(INT((AP226-rcs_months_since_start)/12))*IF(MOD((AP226-rcs_months_since_start),rcs_frequency)=0,1,0)*IF(rcs_frequency=13,0,1))+SUM(IF(rcs_start_date=AO226,rcs_amount,0)*IF(rcs_frequency=13,1,0))</f>
        <v>0</v>
      </c>
      <c r="AX226" s="24">
        <f t="shared" ca="1" si="287"/>
        <v>0</v>
      </c>
      <c r="AY226" s="24">
        <f t="shared" ca="1" si="288"/>
        <v>0</v>
      </c>
      <c r="AZ226" s="24">
        <f t="shared" ca="1" si="289"/>
        <v>0</v>
      </c>
      <c r="BA226" s="25">
        <f t="shared" ca="1" si="290"/>
        <v>0</v>
      </c>
      <c r="BB226" s="23">
        <f t="array" aca="1" ref="BB226" ca="1">SUM(IF(w_start_date&lt;=AO226,1,0)*IF(w_end_date&gt;=AO226,1,0)*w_amount*(1+w_escalation/100)^(INT((AP226-w_months_since_start)/12))*IF(MOD(AP226-w_months_since_start,w_frequency)=0,1,0)*IF(w_frequency=13,0,1))+SUM(IF(w_start_date=AO226,w_amount,0)*IF(w_frequency=13,1,0))</f>
        <v>0</v>
      </c>
      <c r="BC226" s="25">
        <f t="shared" ca="1" si="291"/>
        <v>0</v>
      </c>
      <c r="BD226" s="24" t="b">
        <f t="shared" ca="1" si="292"/>
        <v>1</v>
      </c>
      <c r="BE226" s="24" t="b">
        <f t="shared" ca="1" si="293"/>
        <v>1</v>
      </c>
      <c r="BF226" s="23">
        <f t="array" aca="1" ref="BF226" ca="1">SUM(IF(BD226,1,0)*IF(ap_start_date&lt;=AO226,1,0)*IF(ap_end_date&gt;=AO226,1,0)*ap_amount*(1+ap_escalation/100)^(INT((AP226-ap_months_since_start)/12))*IF(MOD(AP226-ap_months_since_start,ap_frequency)=0,1,0))</f>
        <v>46057.61227325441</v>
      </c>
      <c r="BG226" s="24">
        <f t="shared" ca="1" si="294"/>
        <v>552691.34727905306</v>
      </c>
      <c r="BH226" s="24">
        <f t="shared" ca="1" si="295"/>
        <v>35351.912251133079</v>
      </c>
      <c r="BI226">
        <f t="shared" ca="1" si="296"/>
        <v>0</v>
      </c>
      <c r="BJ226" s="24">
        <f t="shared" ca="1" si="297"/>
        <v>247463.38575793151</v>
      </c>
      <c r="BK226">
        <f t="shared" ca="1" si="298"/>
        <v>1</v>
      </c>
      <c r="BL226" s="25">
        <f t="shared" ca="1" si="299"/>
        <v>20621.948813160954</v>
      </c>
      <c r="BM226" s="32">
        <f t="shared" ca="1" si="277"/>
        <v>1371301.330273266</v>
      </c>
      <c r="BN226" s="23">
        <f t="shared" ca="1" si="300"/>
        <v>0</v>
      </c>
      <c r="BO226" s="24">
        <f t="shared" ca="1" si="301"/>
        <v>0</v>
      </c>
      <c r="BP226" s="25">
        <f t="shared" ca="1" si="302"/>
        <v>0</v>
      </c>
      <c r="BQ226" s="34">
        <f t="shared" ca="1" si="303"/>
        <v>52290</v>
      </c>
      <c r="BR226" s="23">
        <f t="shared" ca="1" si="304"/>
        <v>1371301.330273266</v>
      </c>
      <c r="BS226" s="24">
        <f t="shared" ca="1" si="305"/>
        <v>0</v>
      </c>
      <c r="BT226" s="24">
        <f t="shared" ca="1" si="322"/>
        <v>0</v>
      </c>
      <c r="BU226" s="24">
        <f t="shared" ca="1" si="306"/>
        <v>0</v>
      </c>
      <c r="BV226" s="24">
        <f t="shared" ca="1" si="323"/>
        <v>0</v>
      </c>
      <c r="BW226" s="24">
        <f t="shared" ca="1" si="307"/>
        <v>-20621.948813160954</v>
      </c>
      <c r="BX226" s="25">
        <f t="shared" ca="1" si="324"/>
        <v>-264463.34935450426</v>
      </c>
      <c r="BY226" s="23">
        <f t="shared" ca="1" si="278"/>
        <v>670308.08096827311</v>
      </c>
      <c r="BZ226" s="24">
        <f t="shared" ca="1" si="279"/>
        <v>0</v>
      </c>
      <c r="CA226" s="24">
        <f t="shared" ca="1" si="325"/>
        <v>0</v>
      </c>
      <c r="CB226" s="24">
        <f t="shared" ca="1" si="280"/>
        <v>0</v>
      </c>
      <c r="CC226" s="24">
        <f t="shared" ca="1" si="326"/>
        <v>0</v>
      </c>
      <c r="CD226" s="24">
        <f t="shared" ca="1" si="281"/>
        <v>-10113.249164542647</v>
      </c>
      <c r="CE226" s="25">
        <f t="shared" ca="1" si="327"/>
        <v>-132112.262931768</v>
      </c>
      <c r="CF226" s="23">
        <f t="shared" ca="1" si="328"/>
        <v>538519.77427189786</v>
      </c>
      <c r="CG226" s="25">
        <f t="array" aca="1" ref="CG226" ca="1">SUM(BF215:BF226/(1+inflation/100)^(AP215:AP226/12))</f>
        <v>267980.53702225373</v>
      </c>
      <c r="CH226" s="32">
        <f ca="1">IFERROR(IF(MOD(AP226-ap_months_since_start,12)=0,ap_drawdown/100*(AQ226+AV226+BA226-BC226),CH225),0)</f>
        <v>217335.24417397505</v>
      </c>
    </row>
    <row r="227" spans="40:86" x14ac:dyDescent="0.25">
      <c r="AN227" s="32">
        <f t="shared" ca="1" si="276"/>
        <v>73.166666666666671</v>
      </c>
      <c r="AO227" s="53">
        <f t="shared" ca="1" si="309"/>
        <v>52291</v>
      </c>
      <c r="AP227" s="22">
        <v>220</v>
      </c>
      <c r="AQ227" s="32">
        <f t="shared" ca="1" si="310"/>
        <v>1371301.330273266</v>
      </c>
      <c r="AR227" s="23">
        <f t="array" aca="1" ref="AR227" ca="1">SUM(IF(lsc_start_date=AO227,lsc_amount,0))</f>
        <v>0</v>
      </c>
      <c r="AS227" s="24">
        <f t="shared" ca="1" si="283"/>
        <v>0</v>
      </c>
      <c r="AT227" s="24">
        <f t="shared" ca="1" si="284"/>
        <v>0</v>
      </c>
      <c r="AU227" s="24">
        <f t="shared" ca="1" si="285"/>
        <v>0</v>
      </c>
      <c r="AV227" s="25">
        <f t="shared" ca="1" si="286"/>
        <v>0</v>
      </c>
      <c r="AW227" s="23">
        <f t="array" aca="1" ref="AW227" ca="1">SUM(IF(rcs_start_date&lt;=AO227,1,0)*IF(rcs_end_date&gt;=AO227,1,0)*rcs_amount*(1+rcs_escalation/100)^(INT((AP227-rcs_months_since_start)/12))*IF(MOD((AP227-rcs_months_since_start),rcs_frequency)=0,1,0)*IF(rcs_frequency=13,0,1))+SUM(IF(rcs_start_date=AO227,rcs_amount,0)*IF(rcs_frequency=13,1,0))</f>
        <v>0</v>
      </c>
      <c r="AX227" s="24">
        <f t="shared" ca="1" si="287"/>
        <v>0</v>
      </c>
      <c r="AY227" s="24">
        <f t="shared" ca="1" si="288"/>
        <v>0</v>
      </c>
      <c r="AZ227" s="24">
        <f t="shared" ca="1" si="289"/>
        <v>0</v>
      </c>
      <c r="BA227" s="25">
        <f t="shared" ca="1" si="290"/>
        <v>0</v>
      </c>
      <c r="BB227" s="23">
        <f t="array" aca="1" ref="BB227" ca="1">SUM(IF(w_start_date&lt;=AO227,1,0)*IF(w_end_date&gt;=AO227,1,0)*w_amount*(1+w_escalation/100)^(INT((AP227-w_months_since_start)/12))*IF(MOD(AP227-w_months_since_start,w_frequency)=0,1,0)*IF(w_frequency=13,0,1))+SUM(IF(w_start_date=AO227,w_amount,0)*IF(w_frequency=13,1,0))</f>
        <v>0</v>
      </c>
      <c r="BC227" s="25">
        <f t="shared" ca="1" si="291"/>
        <v>0</v>
      </c>
      <c r="BD227" s="24" t="b">
        <f t="shared" ca="1" si="292"/>
        <v>1</v>
      </c>
      <c r="BE227" s="24" t="b">
        <f t="shared" ca="1" si="293"/>
        <v>1</v>
      </c>
      <c r="BF227" s="23">
        <f t="array" aca="1" ref="BF227" ca="1">SUM(IF(BD227,1,0)*IF(ap_start_date&lt;=AO227,1,0)*IF(ap_end_date&gt;=AO227,1,0)*ap_amount*(1+ap_escalation/100)^(INT((AP227-ap_months_since_start)/12))*IF(MOD(AP227-ap_months_since_start,ap_frequency)=0,1,0))</f>
        <v>46057.61227325441</v>
      </c>
      <c r="BG227" s="24">
        <f t="shared" ca="1" si="294"/>
        <v>552691.34727905306</v>
      </c>
      <c r="BH227" s="24">
        <f t="shared" ca="1" si="295"/>
        <v>35351.912251133079</v>
      </c>
      <c r="BI227">
        <f t="shared" ca="1" si="296"/>
        <v>0</v>
      </c>
      <c r="BJ227" s="24">
        <f t="shared" ca="1" si="297"/>
        <v>247463.38575793151</v>
      </c>
      <c r="BK227">
        <f t="shared" ca="1" si="298"/>
        <v>1</v>
      </c>
      <c r="BL227" s="25">
        <f t="shared" ca="1" si="299"/>
        <v>20621.948813160954</v>
      </c>
      <c r="BM227" s="32">
        <f t="shared" ca="1" si="277"/>
        <v>1360414.1644587277</v>
      </c>
      <c r="BN227" s="23">
        <f t="shared" ca="1" si="300"/>
        <v>0</v>
      </c>
      <c r="BO227" s="24">
        <f t="shared" ca="1" si="301"/>
        <v>0</v>
      </c>
      <c r="BP227" s="25">
        <f t="shared" ca="1" si="302"/>
        <v>0</v>
      </c>
      <c r="BQ227" s="34">
        <f t="shared" ca="1" si="303"/>
        <v>52321</v>
      </c>
      <c r="BR227" s="23">
        <f t="shared" ca="1" si="304"/>
        <v>1360414.1644587277</v>
      </c>
      <c r="BS227" s="24">
        <f t="shared" ca="1" si="305"/>
        <v>0</v>
      </c>
      <c r="BT227" s="24">
        <f t="shared" ca="1" si="322"/>
        <v>0</v>
      </c>
      <c r="BU227" s="24">
        <f t="shared" ca="1" si="306"/>
        <v>0</v>
      </c>
      <c r="BV227" s="24">
        <f t="shared" ca="1" si="323"/>
        <v>0</v>
      </c>
      <c r="BW227" s="24">
        <f t="shared" ca="1" si="307"/>
        <v>-20621.948813160954</v>
      </c>
      <c r="BX227" s="25">
        <f t="shared" ca="1" si="324"/>
        <v>-262338.35390493262</v>
      </c>
      <c r="BY227" s="23">
        <f t="shared" ca="1" si="278"/>
        <v>662816.41888420261</v>
      </c>
      <c r="BZ227" s="24">
        <f t="shared" ca="1" si="279"/>
        <v>0</v>
      </c>
      <c r="CA227" s="24">
        <f t="shared" ca="1" si="325"/>
        <v>0</v>
      </c>
      <c r="CB227" s="24">
        <f t="shared" ca="1" si="280"/>
        <v>0</v>
      </c>
      <c r="CC227" s="24">
        <f t="shared" ca="1" si="326"/>
        <v>0</v>
      </c>
      <c r="CD227" s="24">
        <f t="shared" ca="1" si="281"/>
        <v>-10080.249052205971</v>
      </c>
      <c r="CE227" s="25">
        <f t="shared" ca="1" si="327"/>
        <v>-130628.78151216709</v>
      </c>
      <c r="CF227" s="23">
        <f t="shared" ca="1" si="328"/>
        <v>540291.22089779226</v>
      </c>
      <c r="CG227" s="25">
        <f t="array" aca="1" ref="CG227" ca="1">SUM(BF216:BF227/(1+inflation/100)^(AP216:AP227/12))</f>
        <v>267980.53702225373</v>
      </c>
      <c r="CH227" s="32">
        <f ca="1">IFERROR(IF(MOD(AP227-ap_months_since_start,12)=0,ap_drawdown/100*(AQ227+AV227+BA227-BC227),CH226),0)</f>
        <v>217335.24417397505</v>
      </c>
    </row>
    <row r="228" spans="40:86" x14ac:dyDescent="0.25">
      <c r="AN228" s="32">
        <f t="shared" ca="1" si="276"/>
        <v>73.25</v>
      </c>
      <c r="AO228" s="53">
        <f t="shared" ca="1" si="309"/>
        <v>52322</v>
      </c>
      <c r="AP228" s="22">
        <v>221</v>
      </c>
      <c r="AQ228" s="32">
        <f t="shared" ca="1" si="310"/>
        <v>1360414.1644587277</v>
      </c>
      <c r="AR228" s="23">
        <f t="array" aca="1" ref="AR228" ca="1">SUM(IF(lsc_start_date=AO228,lsc_amount,0))</f>
        <v>0</v>
      </c>
      <c r="AS228" s="24">
        <f t="shared" ca="1" si="283"/>
        <v>0</v>
      </c>
      <c r="AT228" s="24">
        <f t="shared" ca="1" si="284"/>
        <v>0</v>
      </c>
      <c r="AU228" s="24">
        <f t="shared" ca="1" si="285"/>
        <v>0</v>
      </c>
      <c r="AV228" s="25">
        <f t="shared" ca="1" si="286"/>
        <v>0</v>
      </c>
      <c r="AW228" s="23">
        <f t="array" aca="1" ref="AW228" ca="1">SUM(IF(rcs_start_date&lt;=AO228,1,0)*IF(rcs_end_date&gt;=AO228,1,0)*rcs_amount*(1+rcs_escalation/100)^(INT((AP228-rcs_months_since_start)/12))*IF(MOD((AP228-rcs_months_since_start),rcs_frequency)=0,1,0)*IF(rcs_frequency=13,0,1))+SUM(IF(rcs_start_date=AO228,rcs_amount,0)*IF(rcs_frequency=13,1,0))</f>
        <v>0</v>
      </c>
      <c r="AX228" s="24">
        <f t="shared" ca="1" si="287"/>
        <v>0</v>
      </c>
      <c r="AY228" s="24">
        <f t="shared" ca="1" si="288"/>
        <v>0</v>
      </c>
      <c r="AZ228" s="24">
        <f t="shared" ca="1" si="289"/>
        <v>0</v>
      </c>
      <c r="BA228" s="25">
        <f t="shared" ca="1" si="290"/>
        <v>0</v>
      </c>
      <c r="BB228" s="23">
        <f t="array" aca="1" ref="BB228" ca="1">SUM(IF(w_start_date&lt;=AO228,1,0)*IF(w_end_date&gt;=AO228,1,0)*w_amount*(1+w_escalation/100)^(INT((AP228-w_months_since_start)/12))*IF(MOD(AP228-w_months_since_start,w_frequency)=0,1,0)*IF(w_frequency=13,0,1))+SUM(IF(w_start_date=AO228,w_amount,0)*IF(w_frequency=13,1,0))</f>
        <v>0</v>
      </c>
      <c r="BC228" s="25">
        <f t="shared" ca="1" si="291"/>
        <v>0</v>
      </c>
      <c r="BD228" s="24" t="b">
        <f t="shared" ca="1" si="292"/>
        <v>1</v>
      </c>
      <c r="BE228" s="24" t="b">
        <f t="shared" ca="1" si="293"/>
        <v>1</v>
      </c>
      <c r="BF228" s="23">
        <f t="array" aca="1" ref="BF228" ca="1">SUM(IF(BD228,1,0)*IF(ap_start_date&lt;=AO228,1,0)*IF(ap_end_date&gt;=AO228,1,0)*ap_amount*(1+ap_escalation/100)^(INT((AP228-ap_months_since_start)/12))*IF(MOD(AP228-ap_months_since_start,ap_frequency)=0,1,0))</f>
        <v>46057.61227325441</v>
      </c>
      <c r="BG228" s="24">
        <f t="shared" ca="1" si="294"/>
        <v>552691.34727905306</v>
      </c>
      <c r="BH228" s="24">
        <f t="shared" ca="1" si="295"/>
        <v>35351.912251133079</v>
      </c>
      <c r="BI228">
        <f t="shared" ca="1" si="296"/>
        <v>0</v>
      </c>
      <c r="BJ228" s="24">
        <f t="shared" ca="1" si="297"/>
        <v>247463.38575793151</v>
      </c>
      <c r="BK228">
        <f t="shared" ca="1" si="298"/>
        <v>1</v>
      </c>
      <c r="BL228" s="25">
        <f t="shared" ca="1" si="299"/>
        <v>20621.948813160954</v>
      </c>
      <c r="BM228" s="32">
        <f t="shared" ca="1" si="277"/>
        <v>1349448.5313201675</v>
      </c>
      <c r="BN228" s="23">
        <f t="shared" ca="1" si="300"/>
        <v>0</v>
      </c>
      <c r="BO228" s="24">
        <f t="shared" ca="1" si="301"/>
        <v>0</v>
      </c>
      <c r="BP228" s="25">
        <f t="shared" ca="1" si="302"/>
        <v>0</v>
      </c>
      <c r="BQ228" s="34">
        <f t="shared" ca="1" si="303"/>
        <v>52351</v>
      </c>
      <c r="BR228" s="23">
        <f t="shared" ca="1" si="304"/>
        <v>1349448.5313201675</v>
      </c>
      <c r="BS228" s="24">
        <f t="shared" ca="1" si="305"/>
        <v>0</v>
      </c>
      <c r="BT228" s="24">
        <f t="shared" ca="1" si="322"/>
        <v>0</v>
      </c>
      <c r="BU228" s="24">
        <f t="shared" ca="1" si="306"/>
        <v>0</v>
      </c>
      <c r="BV228" s="24">
        <f t="shared" ca="1" si="323"/>
        <v>0</v>
      </c>
      <c r="BW228" s="24">
        <f t="shared" ca="1" si="307"/>
        <v>-20621.948813160954</v>
      </c>
      <c r="BX228" s="25">
        <f t="shared" ca="1" si="324"/>
        <v>-260213.35845536104</v>
      </c>
      <c r="BY228" s="23">
        <f t="shared" ca="1" si="278"/>
        <v>655328.40527482121</v>
      </c>
      <c r="BZ228" s="24">
        <f t="shared" ca="1" si="279"/>
        <v>0</v>
      </c>
      <c r="CA228" s="24">
        <f t="shared" ca="1" si="325"/>
        <v>0</v>
      </c>
      <c r="CB228" s="24">
        <f t="shared" ca="1" si="280"/>
        <v>0</v>
      </c>
      <c r="CC228" s="24">
        <f t="shared" ca="1" si="326"/>
        <v>0</v>
      </c>
      <c r="CD228" s="24">
        <f t="shared" ca="1" si="281"/>
        <v>-10047.356621129442</v>
      </c>
      <c r="CE228" s="25">
        <f t="shared" ca="1" si="327"/>
        <v>-129150.14077756258</v>
      </c>
      <c r="CF228" s="23">
        <f t="shared" ca="1" si="328"/>
        <v>542062.66752368666</v>
      </c>
      <c r="CG228" s="25">
        <f t="array" aca="1" ref="CG228" ca="1">SUM(BF217:BF228/(1+inflation/100)^(AP217:AP228/12))</f>
        <v>267980.53702225367</v>
      </c>
      <c r="CH228" s="32">
        <f ca="1">IFERROR(IF(MOD(AP228-ap_months_since_start,12)=0,ap_drawdown/100*(AQ228+AV228+BA228-BC228),CH227),0)</f>
        <v>217335.24417397505</v>
      </c>
    </row>
    <row r="229" spans="40:86" x14ac:dyDescent="0.25">
      <c r="AN229" s="32">
        <f t="shared" ca="1" si="276"/>
        <v>73.333333333333329</v>
      </c>
      <c r="AO229" s="53">
        <f t="shared" ca="1" si="309"/>
        <v>52352</v>
      </c>
      <c r="AP229" s="22">
        <v>222</v>
      </c>
      <c r="AQ229" s="32">
        <f t="shared" ca="1" si="310"/>
        <v>1349448.5313201675</v>
      </c>
      <c r="AR229" s="23">
        <f t="array" aca="1" ref="AR229" ca="1">SUM(IF(lsc_start_date=AO229,lsc_amount,0))</f>
        <v>0</v>
      </c>
      <c r="AS229" s="24">
        <f t="shared" ca="1" si="283"/>
        <v>0</v>
      </c>
      <c r="AT229" s="24">
        <f t="shared" ca="1" si="284"/>
        <v>0</v>
      </c>
      <c r="AU229" s="24">
        <f t="shared" ca="1" si="285"/>
        <v>0</v>
      </c>
      <c r="AV229" s="25">
        <f t="shared" ca="1" si="286"/>
        <v>0</v>
      </c>
      <c r="AW229" s="23">
        <f t="array" aca="1" ref="AW229" ca="1">SUM(IF(rcs_start_date&lt;=AO229,1,0)*IF(rcs_end_date&gt;=AO229,1,0)*rcs_amount*(1+rcs_escalation/100)^(INT((AP229-rcs_months_since_start)/12))*IF(MOD((AP229-rcs_months_since_start),rcs_frequency)=0,1,0)*IF(rcs_frequency=13,0,1))+SUM(IF(rcs_start_date=AO229,rcs_amount,0)*IF(rcs_frequency=13,1,0))</f>
        <v>0</v>
      </c>
      <c r="AX229" s="24">
        <f t="shared" ca="1" si="287"/>
        <v>0</v>
      </c>
      <c r="AY229" s="24">
        <f t="shared" ca="1" si="288"/>
        <v>0</v>
      </c>
      <c r="AZ229" s="24">
        <f t="shared" ca="1" si="289"/>
        <v>0</v>
      </c>
      <c r="BA229" s="25">
        <f t="shared" ca="1" si="290"/>
        <v>0</v>
      </c>
      <c r="BB229" s="23">
        <f t="array" aca="1" ref="BB229" ca="1">SUM(IF(w_start_date&lt;=AO229,1,0)*IF(w_end_date&gt;=AO229,1,0)*w_amount*(1+w_escalation/100)^(INT((AP229-w_months_since_start)/12))*IF(MOD(AP229-w_months_since_start,w_frequency)=0,1,0)*IF(w_frequency=13,0,1))+SUM(IF(w_start_date=AO229,w_amount,0)*IF(w_frequency=13,1,0))</f>
        <v>0</v>
      </c>
      <c r="BC229" s="25">
        <f t="shared" ca="1" si="291"/>
        <v>0</v>
      </c>
      <c r="BD229" s="24" t="b">
        <f t="shared" ca="1" si="292"/>
        <v>1</v>
      </c>
      <c r="BE229" s="24" t="b">
        <f t="shared" ca="1" si="293"/>
        <v>1</v>
      </c>
      <c r="BF229" s="23">
        <f t="array" aca="1" ref="BF229" ca="1">SUM(IF(BD229,1,0)*IF(ap_start_date&lt;=AO229,1,0)*IF(ap_end_date&gt;=AO229,1,0)*ap_amount*(1+ap_escalation/100)^(INT((AP229-ap_months_since_start)/12))*IF(MOD(AP229-ap_months_since_start,ap_frequency)=0,1,0))</f>
        <v>46057.61227325441</v>
      </c>
      <c r="BG229" s="24">
        <f t="shared" ca="1" si="294"/>
        <v>552691.34727905306</v>
      </c>
      <c r="BH229" s="24">
        <f t="shared" ca="1" si="295"/>
        <v>35351.912251133079</v>
      </c>
      <c r="BI229">
        <f t="shared" ca="1" si="296"/>
        <v>0</v>
      </c>
      <c r="BJ229" s="24">
        <f t="shared" ca="1" si="297"/>
        <v>247463.38575793151</v>
      </c>
      <c r="BK229">
        <f t="shared" ca="1" si="298"/>
        <v>1</v>
      </c>
      <c r="BL229" s="25">
        <f t="shared" ca="1" si="299"/>
        <v>20621.948813160954</v>
      </c>
      <c r="BM229" s="32">
        <f t="shared" ca="1" si="277"/>
        <v>1338403.8653182115</v>
      </c>
      <c r="BN229" s="23">
        <f t="shared" ca="1" si="300"/>
        <v>0</v>
      </c>
      <c r="BO229" s="24">
        <f t="shared" ca="1" si="301"/>
        <v>0</v>
      </c>
      <c r="BP229" s="25">
        <f t="shared" ca="1" si="302"/>
        <v>0</v>
      </c>
      <c r="BQ229" s="34">
        <f t="shared" ca="1" si="303"/>
        <v>52382</v>
      </c>
      <c r="BR229" s="23">
        <f t="shared" ca="1" si="304"/>
        <v>1338403.8653182115</v>
      </c>
      <c r="BS229" s="24">
        <f t="shared" ca="1" si="305"/>
        <v>0</v>
      </c>
      <c r="BT229" s="24">
        <f t="shared" ca="1" si="322"/>
        <v>0</v>
      </c>
      <c r="BU229" s="24">
        <f t="shared" ca="1" si="306"/>
        <v>0</v>
      </c>
      <c r="BV229" s="24">
        <f t="shared" ca="1" si="323"/>
        <v>0</v>
      </c>
      <c r="BW229" s="24">
        <f t="shared" ca="1" si="307"/>
        <v>-20621.948813160954</v>
      </c>
      <c r="BX229" s="25">
        <f t="shared" ca="1" si="324"/>
        <v>-258088.3630057894</v>
      </c>
      <c r="BY229" s="23">
        <f t="shared" ca="1" si="278"/>
        <v>647843.94669417583</v>
      </c>
      <c r="BZ229" s="24">
        <f t="shared" ca="1" si="279"/>
        <v>0</v>
      </c>
      <c r="CA229" s="24">
        <f t="shared" ca="1" si="325"/>
        <v>0</v>
      </c>
      <c r="CB229" s="24">
        <f t="shared" ca="1" si="280"/>
        <v>0</v>
      </c>
      <c r="CC229" s="24">
        <f t="shared" ca="1" si="326"/>
        <v>0</v>
      </c>
      <c r="CD229" s="24">
        <f t="shared" ca="1" si="281"/>
        <v>-10014.571519942927</v>
      </c>
      <c r="CE229" s="25">
        <f t="shared" ca="1" si="327"/>
        <v>-127676.32493252166</v>
      </c>
      <c r="CF229" s="23">
        <f t="shared" ca="1" si="328"/>
        <v>543834.11414958106</v>
      </c>
      <c r="CG229" s="25">
        <f t="array" aca="1" ref="CG229" ca="1">SUM(BF218:BF229/(1+inflation/100)^(AP218:AP229/12))</f>
        <v>267980.53702225367</v>
      </c>
      <c r="CH229" s="32">
        <f ca="1">IFERROR(IF(MOD(AP229-ap_months_since_start,12)=0,ap_drawdown/100*(AQ229+AV229+BA229-BC229),CH228),0)</f>
        <v>217335.24417397505</v>
      </c>
    </row>
    <row r="230" spans="40:86" x14ac:dyDescent="0.25">
      <c r="AN230" s="32">
        <f t="shared" ca="1" si="276"/>
        <v>73.416666666666671</v>
      </c>
      <c r="AO230" s="53">
        <f t="shared" ca="1" si="309"/>
        <v>52383</v>
      </c>
      <c r="AP230" s="22">
        <v>223</v>
      </c>
      <c r="AQ230" s="32">
        <f t="shared" ca="1" si="310"/>
        <v>1338403.8653182115</v>
      </c>
      <c r="AR230" s="23">
        <f t="array" aca="1" ref="AR230" ca="1">SUM(IF(lsc_start_date=AO230,lsc_amount,0))</f>
        <v>0</v>
      </c>
      <c r="AS230" s="24">
        <f t="shared" ca="1" si="283"/>
        <v>0</v>
      </c>
      <c r="AT230" s="24">
        <f t="shared" ca="1" si="284"/>
        <v>0</v>
      </c>
      <c r="AU230" s="24">
        <f t="shared" ca="1" si="285"/>
        <v>0</v>
      </c>
      <c r="AV230" s="25">
        <f t="shared" ca="1" si="286"/>
        <v>0</v>
      </c>
      <c r="AW230" s="23">
        <f t="array" aca="1" ref="AW230" ca="1">SUM(IF(rcs_start_date&lt;=AO230,1,0)*IF(rcs_end_date&gt;=AO230,1,0)*rcs_amount*(1+rcs_escalation/100)^(INT((AP230-rcs_months_since_start)/12))*IF(MOD((AP230-rcs_months_since_start),rcs_frequency)=0,1,0)*IF(rcs_frequency=13,0,1))+SUM(IF(rcs_start_date=AO230,rcs_amount,0)*IF(rcs_frequency=13,1,0))</f>
        <v>0</v>
      </c>
      <c r="AX230" s="24">
        <f t="shared" ca="1" si="287"/>
        <v>0</v>
      </c>
      <c r="AY230" s="24">
        <f t="shared" ca="1" si="288"/>
        <v>0</v>
      </c>
      <c r="AZ230" s="24">
        <f t="shared" ca="1" si="289"/>
        <v>0</v>
      </c>
      <c r="BA230" s="25">
        <f t="shared" ca="1" si="290"/>
        <v>0</v>
      </c>
      <c r="BB230" s="23">
        <f t="array" aca="1" ref="BB230" ca="1">SUM(IF(w_start_date&lt;=AO230,1,0)*IF(w_end_date&gt;=AO230,1,0)*w_amount*(1+w_escalation/100)^(INT((AP230-w_months_since_start)/12))*IF(MOD(AP230-w_months_since_start,w_frequency)=0,1,0)*IF(w_frequency=13,0,1))+SUM(IF(w_start_date=AO230,w_amount,0)*IF(w_frequency=13,1,0))</f>
        <v>0</v>
      </c>
      <c r="BC230" s="25">
        <f t="shared" ca="1" si="291"/>
        <v>0</v>
      </c>
      <c r="BD230" s="24" t="b">
        <f t="shared" ca="1" si="292"/>
        <v>1</v>
      </c>
      <c r="BE230" s="24" t="b">
        <f t="shared" ca="1" si="293"/>
        <v>1</v>
      </c>
      <c r="BF230" s="23">
        <f t="array" aca="1" ref="BF230" ca="1">SUM(IF(BD230,1,0)*IF(ap_start_date&lt;=AO230,1,0)*IF(ap_end_date&gt;=AO230,1,0)*ap_amount*(1+ap_escalation/100)^(INT((AP230-ap_months_since_start)/12))*IF(MOD(AP230-ap_months_since_start,ap_frequency)=0,1,0))</f>
        <v>46057.61227325441</v>
      </c>
      <c r="BG230" s="24">
        <f t="shared" ca="1" si="294"/>
        <v>552691.34727905306</v>
      </c>
      <c r="BH230" s="24">
        <f t="shared" ca="1" si="295"/>
        <v>35351.912251133079</v>
      </c>
      <c r="BI230">
        <f t="shared" ca="1" si="296"/>
        <v>0</v>
      </c>
      <c r="BJ230" s="24">
        <f t="shared" ca="1" si="297"/>
        <v>247463.38575793151</v>
      </c>
      <c r="BK230">
        <f t="shared" ca="1" si="298"/>
        <v>1</v>
      </c>
      <c r="BL230" s="25">
        <f t="shared" ca="1" si="299"/>
        <v>20621.948813160954</v>
      </c>
      <c r="BM230" s="32">
        <f t="shared" ca="1" si="277"/>
        <v>1327279.5968374608</v>
      </c>
      <c r="BN230" s="23">
        <f t="shared" ca="1" si="300"/>
        <v>0</v>
      </c>
      <c r="BO230" s="24">
        <f t="shared" ca="1" si="301"/>
        <v>0</v>
      </c>
      <c r="BP230" s="25">
        <f t="shared" ca="1" si="302"/>
        <v>0</v>
      </c>
      <c r="BQ230" s="34">
        <f t="shared" ca="1" si="303"/>
        <v>52412</v>
      </c>
      <c r="BR230" s="23">
        <f t="shared" ca="1" si="304"/>
        <v>1327279.5968374608</v>
      </c>
      <c r="BS230" s="24">
        <f t="shared" ca="1" si="305"/>
        <v>0</v>
      </c>
      <c r="BT230" s="24">
        <f t="shared" ca="1" si="322"/>
        <v>0</v>
      </c>
      <c r="BU230" s="24">
        <f t="shared" ca="1" si="306"/>
        <v>0</v>
      </c>
      <c r="BV230" s="24">
        <f t="shared" ca="1" si="323"/>
        <v>0</v>
      </c>
      <c r="BW230" s="24">
        <f t="shared" ca="1" si="307"/>
        <v>-20621.948813160954</v>
      </c>
      <c r="BX230" s="25">
        <f t="shared" ca="1" si="324"/>
        <v>-255963.36755621783</v>
      </c>
      <c r="BY230" s="23">
        <f t="shared" ca="1" si="278"/>
        <v>640362.94968153175</v>
      </c>
      <c r="BZ230" s="24">
        <f t="shared" ca="1" si="279"/>
        <v>0</v>
      </c>
      <c r="CA230" s="24">
        <f t="shared" ca="1" si="325"/>
        <v>0</v>
      </c>
      <c r="CB230" s="24">
        <f t="shared" ca="1" si="280"/>
        <v>0</v>
      </c>
      <c r="CC230" s="24">
        <f t="shared" ca="1" si="326"/>
        <v>0</v>
      </c>
      <c r="CD230" s="24">
        <f t="shared" ca="1" si="281"/>
        <v>-9981.8933984228406</v>
      </c>
      <c r="CE230" s="25">
        <f t="shared" ca="1" si="327"/>
        <v>-126207.31823315275</v>
      </c>
      <c r="CF230" s="23">
        <f t="shared" ca="1" si="328"/>
        <v>545605.56077547546</v>
      </c>
      <c r="CG230" s="25">
        <f t="array" aca="1" ref="CG230" ca="1">SUM(BF219:BF230/(1+inflation/100)^(AP219:AP230/12))</f>
        <v>267980.53702225367</v>
      </c>
      <c r="CH230" s="32">
        <f ca="1">IFERROR(IF(MOD(AP230-ap_months_since_start,12)=0,ap_drawdown/100*(AQ230+AV230+BA230-BC230),CH229),0)</f>
        <v>217335.24417397505</v>
      </c>
    </row>
    <row r="231" spans="40:86" x14ac:dyDescent="0.25">
      <c r="AN231" s="32">
        <f t="shared" ca="1" si="276"/>
        <v>73.5</v>
      </c>
      <c r="AO231" s="53">
        <f t="shared" ca="1" si="309"/>
        <v>52413</v>
      </c>
      <c r="AP231" s="22">
        <v>224</v>
      </c>
      <c r="AQ231" s="32">
        <f t="shared" ca="1" si="310"/>
        <v>1327279.5968374608</v>
      </c>
      <c r="AR231" s="23">
        <f t="array" aca="1" ref="AR231" ca="1">SUM(IF(lsc_start_date=AO231,lsc_amount,0))</f>
        <v>0</v>
      </c>
      <c r="AS231" s="24">
        <f t="shared" ca="1" si="283"/>
        <v>0</v>
      </c>
      <c r="AT231" s="24">
        <f t="shared" ca="1" si="284"/>
        <v>0</v>
      </c>
      <c r="AU231" s="24">
        <f t="shared" ca="1" si="285"/>
        <v>0</v>
      </c>
      <c r="AV231" s="25">
        <f t="shared" ca="1" si="286"/>
        <v>0</v>
      </c>
      <c r="AW231" s="23">
        <f t="array" aca="1" ref="AW231" ca="1">SUM(IF(rcs_start_date&lt;=AO231,1,0)*IF(rcs_end_date&gt;=AO231,1,0)*rcs_amount*(1+rcs_escalation/100)^(INT((AP231-rcs_months_since_start)/12))*IF(MOD((AP231-rcs_months_since_start),rcs_frequency)=0,1,0)*IF(rcs_frequency=13,0,1))+SUM(IF(rcs_start_date=AO231,rcs_amount,0)*IF(rcs_frequency=13,1,0))</f>
        <v>0</v>
      </c>
      <c r="AX231" s="24">
        <f t="shared" ca="1" si="287"/>
        <v>0</v>
      </c>
      <c r="AY231" s="24">
        <f t="shared" ca="1" si="288"/>
        <v>0</v>
      </c>
      <c r="AZ231" s="24">
        <f t="shared" ca="1" si="289"/>
        <v>0</v>
      </c>
      <c r="BA231" s="25">
        <f t="shared" ca="1" si="290"/>
        <v>0</v>
      </c>
      <c r="BB231" s="23">
        <f t="array" aca="1" ref="BB231" ca="1">SUM(IF(w_start_date&lt;=AO231,1,0)*IF(w_end_date&gt;=AO231,1,0)*w_amount*(1+w_escalation/100)^(INT((AP231-w_months_since_start)/12))*IF(MOD(AP231-w_months_since_start,w_frequency)=0,1,0)*IF(w_frequency=13,0,1))+SUM(IF(w_start_date=AO231,w_amount,0)*IF(w_frequency=13,1,0))</f>
        <v>0</v>
      </c>
      <c r="BC231" s="25">
        <f t="shared" ca="1" si="291"/>
        <v>0</v>
      </c>
      <c r="BD231" s="24" t="b">
        <f t="shared" ca="1" si="292"/>
        <v>1</v>
      </c>
      <c r="BE231" s="24" t="b">
        <f t="shared" ca="1" si="293"/>
        <v>1</v>
      </c>
      <c r="BF231" s="23">
        <f t="array" aca="1" ref="BF231" ca="1">SUM(IF(BD231,1,0)*IF(ap_start_date&lt;=AO231,1,0)*IF(ap_end_date&gt;=AO231,1,0)*ap_amount*(1+ap_escalation/100)^(INT((AP231-ap_months_since_start)/12))*IF(MOD(AP231-ap_months_since_start,ap_frequency)=0,1,0))</f>
        <v>46057.61227325441</v>
      </c>
      <c r="BG231" s="24">
        <f t="shared" ca="1" si="294"/>
        <v>552691.34727905306</v>
      </c>
      <c r="BH231" s="24">
        <f t="shared" ca="1" si="295"/>
        <v>35351.912251133079</v>
      </c>
      <c r="BI231">
        <f t="shared" ca="1" si="296"/>
        <v>0</v>
      </c>
      <c r="BJ231" s="24">
        <f t="shared" ca="1" si="297"/>
        <v>247463.38575793151</v>
      </c>
      <c r="BK231">
        <f t="shared" ca="1" si="298"/>
        <v>1</v>
      </c>
      <c r="BL231" s="25">
        <f t="shared" ca="1" si="299"/>
        <v>20621.948813160954</v>
      </c>
      <c r="BM231" s="32">
        <f t="shared" ca="1" si="277"/>
        <v>1316075.1521571139</v>
      </c>
      <c r="BN231" s="23">
        <f t="shared" ca="1" si="300"/>
        <v>0</v>
      </c>
      <c r="BO231" s="24">
        <f t="shared" ca="1" si="301"/>
        <v>0</v>
      </c>
      <c r="BP231" s="25">
        <f t="shared" ca="1" si="302"/>
        <v>0</v>
      </c>
      <c r="BQ231" s="34">
        <f t="shared" ca="1" si="303"/>
        <v>52443</v>
      </c>
      <c r="BR231" s="23">
        <f t="shared" ca="1" si="304"/>
        <v>1316075.1521571139</v>
      </c>
      <c r="BS231" s="24">
        <f t="shared" ca="1" si="305"/>
        <v>0</v>
      </c>
      <c r="BT231" s="24">
        <f t="shared" ca="1" si="322"/>
        <v>0</v>
      </c>
      <c r="BU231" s="24">
        <f t="shared" ca="1" si="306"/>
        <v>0</v>
      </c>
      <c r="BV231" s="24">
        <f t="shared" ca="1" si="323"/>
        <v>0</v>
      </c>
      <c r="BW231" s="24">
        <f t="shared" ca="1" si="307"/>
        <v>-20621.948813160954</v>
      </c>
      <c r="BX231" s="25">
        <f t="shared" ca="1" si="324"/>
        <v>-253838.37210664619</v>
      </c>
      <c r="BY231" s="23">
        <f t="shared" ca="1" si="278"/>
        <v>632885.32076016732</v>
      </c>
      <c r="BZ231" s="24">
        <f t="shared" ca="1" si="279"/>
        <v>0</v>
      </c>
      <c r="CA231" s="24">
        <f t="shared" ca="1" si="325"/>
        <v>0</v>
      </c>
      <c r="CB231" s="24">
        <f t="shared" ca="1" si="280"/>
        <v>0</v>
      </c>
      <c r="CC231" s="24">
        <f t="shared" ca="1" si="326"/>
        <v>0</v>
      </c>
      <c r="CD231" s="24">
        <f t="shared" ca="1" si="281"/>
        <v>-9949.3219074883946</v>
      </c>
      <c r="CE231" s="25">
        <f t="shared" ca="1" si="327"/>
        <v>-124743.10498693759</v>
      </c>
      <c r="CF231" s="23">
        <f t="shared" ca="1" si="328"/>
        <v>547377.00740136986</v>
      </c>
      <c r="CG231" s="25">
        <f t="array" aca="1" ref="CG231" ca="1">SUM(BF220:BF231/(1+inflation/100)^(AP220:AP231/12))</f>
        <v>267980.53702225367</v>
      </c>
      <c r="CH231" s="32">
        <f ca="1">IFERROR(IF(MOD(AP231-ap_months_since_start,12)=0,ap_drawdown/100*(AQ231+AV231+BA231-BC231),CH230),0)</f>
        <v>217335.24417397505</v>
      </c>
    </row>
    <row r="232" spans="40:86" x14ac:dyDescent="0.25">
      <c r="AN232" s="32">
        <f t="shared" ca="1" si="276"/>
        <v>73.583333333333329</v>
      </c>
      <c r="AO232" s="53">
        <f t="shared" ca="1" si="309"/>
        <v>52444</v>
      </c>
      <c r="AP232" s="22">
        <v>225</v>
      </c>
      <c r="AQ232" s="32">
        <f t="shared" ca="1" si="310"/>
        <v>1316075.1521571139</v>
      </c>
      <c r="AR232" s="23">
        <f t="array" aca="1" ref="AR232" ca="1">SUM(IF(lsc_start_date=AO232,lsc_amount,0))</f>
        <v>0</v>
      </c>
      <c r="AS232" s="24">
        <f t="shared" ca="1" si="283"/>
        <v>0</v>
      </c>
      <c r="AT232" s="24">
        <f t="shared" ca="1" si="284"/>
        <v>0</v>
      </c>
      <c r="AU232" s="24">
        <f t="shared" ca="1" si="285"/>
        <v>0</v>
      </c>
      <c r="AV232" s="25">
        <f t="shared" ca="1" si="286"/>
        <v>0</v>
      </c>
      <c r="AW232" s="23">
        <f t="array" aca="1" ref="AW232" ca="1">SUM(IF(rcs_start_date&lt;=AO232,1,0)*IF(rcs_end_date&gt;=AO232,1,0)*rcs_amount*(1+rcs_escalation/100)^(INT((AP232-rcs_months_since_start)/12))*IF(MOD((AP232-rcs_months_since_start),rcs_frequency)=0,1,0)*IF(rcs_frequency=13,0,1))+SUM(IF(rcs_start_date=AO232,rcs_amount,0)*IF(rcs_frequency=13,1,0))</f>
        <v>0</v>
      </c>
      <c r="AX232" s="24">
        <f t="shared" ca="1" si="287"/>
        <v>0</v>
      </c>
      <c r="AY232" s="24">
        <f t="shared" ca="1" si="288"/>
        <v>0</v>
      </c>
      <c r="AZ232" s="24">
        <f t="shared" ca="1" si="289"/>
        <v>0</v>
      </c>
      <c r="BA232" s="25">
        <f t="shared" ca="1" si="290"/>
        <v>0</v>
      </c>
      <c r="BB232" s="23">
        <f t="array" aca="1" ref="BB232" ca="1">SUM(IF(w_start_date&lt;=AO232,1,0)*IF(w_end_date&gt;=AO232,1,0)*w_amount*(1+w_escalation/100)^(INT((AP232-w_months_since_start)/12))*IF(MOD(AP232-w_months_since_start,w_frequency)=0,1,0)*IF(w_frequency=13,0,1))+SUM(IF(w_start_date=AO232,w_amount,0)*IF(w_frequency=13,1,0))</f>
        <v>0</v>
      </c>
      <c r="BC232" s="25">
        <f t="shared" ca="1" si="291"/>
        <v>0</v>
      </c>
      <c r="BD232" s="24" t="b">
        <f t="shared" ca="1" si="292"/>
        <v>1</v>
      </c>
      <c r="BE232" s="24" t="b">
        <f t="shared" ca="1" si="293"/>
        <v>1</v>
      </c>
      <c r="BF232" s="23">
        <f t="array" aca="1" ref="BF232" ca="1">SUM(IF(BD232,1,0)*IF(ap_start_date&lt;=AO232,1,0)*IF(ap_end_date&gt;=AO232,1,0)*ap_amount*(1+ap_escalation/100)^(INT((AP232-ap_months_since_start)/12))*IF(MOD(AP232-ap_months_since_start,ap_frequency)=0,1,0))</f>
        <v>46057.61227325441</v>
      </c>
      <c r="BG232" s="24">
        <f t="shared" ca="1" si="294"/>
        <v>552691.34727905306</v>
      </c>
      <c r="BH232" s="24">
        <f t="shared" ca="1" si="295"/>
        <v>35351.912251133079</v>
      </c>
      <c r="BI232">
        <f t="shared" ca="1" si="296"/>
        <v>0</v>
      </c>
      <c r="BJ232" s="24">
        <f t="shared" ca="1" si="297"/>
        <v>247463.38575793151</v>
      </c>
      <c r="BK232">
        <f t="shared" ca="1" si="298"/>
        <v>1</v>
      </c>
      <c r="BL232" s="25">
        <f t="shared" ca="1" si="299"/>
        <v>20621.948813160954</v>
      </c>
      <c r="BM232" s="32">
        <f t="shared" ca="1" si="277"/>
        <v>1304789.9534213778</v>
      </c>
      <c r="BN232" s="23">
        <f t="shared" ca="1" si="300"/>
        <v>0</v>
      </c>
      <c r="BO232" s="24">
        <f t="shared" ca="1" si="301"/>
        <v>0</v>
      </c>
      <c r="BP232" s="25">
        <f t="shared" ca="1" si="302"/>
        <v>0</v>
      </c>
      <c r="BQ232" s="34">
        <f t="shared" ca="1" si="303"/>
        <v>52474</v>
      </c>
      <c r="BR232" s="23">
        <f t="shared" ca="1" si="304"/>
        <v>1304789.9534213778</v>
      </c>
      <c r="BS232" s="24">
        <f t="shared" ca="1" si="305"/>
        <v>0</v>
      </c>
      <c r="BT232" s="24">
        <f t="shared" ca="1" si="322"/>
        <v>0</v>
      </c>
      <c r="BU232" s="24">
        <f t="shared" ca="1" si="306"/>
        <v>0</v>
      </c>
      <c r="BV232" s="24">
        <f t="shared" ca="1" si="323"/>
        <v>0</v>
      </c>
      <c r="BW232" s="24">
        <f t="shared" ca="1" si="307"/>
        <v>-20621.948813160954</v>
      </c>
      <c r="BX232" s="25">
        <f t="shared" ca="1" si="324"/>
        <v>-251713.37665707461</v>
      </c>
      <c r="BY232" s="23">
        <f t="shared" ca="1" si="278"/>
        <v>625410.96643616853</v>
      </c>
      <c r="BZ232" s="24">
        <f t="shared" ca="1" si="279"/>
        <v>0</v>
      </c>
      <c r="CA232" s="24">
        <f t="shared" ca="1" si="325"/>
        <v>0</v>
      </c>
      <c r="CB232" s="24">
        <f t="shared" ca="1" si="280"/>
        <v>0</v>
      </c>
      <c r="CC232" s="24">
        <f t="shared" ca="1" si="326"/>
        <v>0</v>
      </c>
      <c r="CD232" s="24">
        <f t="shared" ca="1" si="281"/>
        <v>-9916.8566991978641</v>
      </c>
      <c r="CE232" s="25">
        <f t="shared" ca="1" si="327"/>
        <v>-123283.66955256352</v>
      </c>
      <c r="CF232" s="23">
        <f t="shared" ca="1" si="328"/>
        <v>549148.45402726426</v>
      </c>
      <c r="CG232" s="25">
        <f t="array" aca="1" ref="CG232" ca="1">SUM(BF221:BF232/(1+inflation/100)^(AP221:AP232/12))</f>
        <v>267980.53702225367</v>
      </c>
      <c r="CH232" s="32">
        <f ca="1">IFERROR(IF(MOD(AP232-ap_months_since_start,12)=0,ap_drawdown/100*(AQ232+AV232+BA232-BC232),CH231),0)</f>
        <v>217335.24417397505</v>
      </c>
    </row>
    <row r="233" spans="40:86" x14ac:dyDescent="0.25">
      <c r="AN233" s="32">
        <f t="shared" ca="1" si="276"/>
        <v>73.666666666666671</v>
      </c>
      <c r="AO233" s="53">
        <f t="shared" ca="1" si="309"/>
        <v>52475</v>
      </c>
      <c r="AP233" s="22">
        <v>226</v>
      </c>
      <c r="AQ233" s="32">
        <f t="shared" ca="1" si="310"/>
        <v>1304789.9534213778</v>
      </c>
      <c r="AR233" s="23">
        <f t="array" aca="1" ref="AR233" ca="1">SUM(IF(lsc_start_date=AO233,lsc_amount,0))</f>
        <v>0</v>
      </c>
      <c r="AS233" s="24">
        <f t="shared" ca="1" si="283"/>
        <v>0</v>
      </c>
      <c r="AT233" s="24">
        <f t="shared" ca="1" si="284"/>
        <v>0</v>
      </c>
      <c r="AU233" s="24">
        <f t="shared" ca="1" si="285"/>
        <v>0</v>
      </c>
      <c r="AV233" s="25">
        <f t="shared" ca="1" si="286"/>
        <v>0</v>
      </c>
      <c r="AW233" s="23">
        <f t="array" aca="1" ref="AW233" ca="1">SUM(IF(rcs_start_date&lt;=AO233,1,0)*IF(rcs_end_date&gt;=AO233,1,0)*rcs_amount*(1+rcs_escalation/100)^(INT((AP233-rcs_months_since_start)/12))*IF(MOD((AP233-rcs_months_since_start),rcs_frequency)=0,1,0)*IF(rcs_frequency=13,0,1))+SUM(IF(rcs_start_date=AO233,rcs_amount,0)*IF(rcs_frequency=13,1,0))</f>
        <v>0</v>
      </c>
      <c r="AX233" s="24">
        <f t="shared" ca="1" si="287"/>
        <v>0</v>
      </c>
      <c r="AY233" s="24">
        <f t="shared" ca="1" si="288"/>
        <v>0</v>
      </c>
      <c r="AZ233" s="24">
        <f t="shared" ca="1" si="289"/>
        <v>0</v>
      </c>
      <c r="BA233" s="25">
        <f t="shared" ca="1" si="290"/>
        <v>0</v>
      </c>
      <c r="BB233" s="23">
        <f t="array" aca="1" ref="BB233" ca="1">SUM(IF(w_start_date&lt;=AO233,1,0)*IF(w_end_date&gt;=AO233,1,0)*w_amount*(1+w_escalation/100)^(INT((AP233-w_months_since_start)/12))*IF(MOD(AP233-w_months_since_start,w_frequency)=0,1,0)*IF(w_frequency=13,0,1))+SUM(IF(w_start_date=AO233,w_amount,0)*IF(w_frequency=13,1,0))</f>
        <v>0</v>
      </c>
      <c r="BC233" s="25">
        <f t="shared" ca="1" si="291"/>
        <v>0</v>
      </c>
      <c r="BD233" s="24" t="b">
        <f t="shared" ca="1" si="292"/>
        <v>1</v>
      </c>
      <c r="BE233" s="24" t="b">
        <f t="shared" ca="1" si="293"/>
        <v>1</v>
      </c>
      <c r="BF233" s="23">
        <f t="array" aca="1" ref="BF233" ca="1">SUM(IF(BD233,1,0)*IF(ap_start_date&lt;=AO233,1,0)*IF(ap_end_date&gt;=AO233,1,0)*ap_amount*(1+ap_escalation/100)^(INT((AP233-ap_months_since_start)/12))*IF(MOD(AP233-ap_months_since_start,ap_frequency)=0,1,0))</f>
        <v>46057.61227325441</v>
      </c>
      <c r="BG233" s="24">
        <f t="shared" ca="1" si="294"/>
        <v>552691.34727905306</v>
      </c>
      <c r="BH233" s="24">
        <f t="shared" ca="1" si="295"/>
        <v>35351.912251133079</v>
      </c>
      <c r="BI233">
        <f t="shared" ca="1" si="296"/>
        <v>0</v>
      </c>
      <c r="BJ233" s="24">
        <f t="shared" ca="1" si="297"/>
        <v>247463.38575793151</v>
      </c>
      <c r="BK233">
        <f t="shared" ca="1" si="298"/>
        <v>1</v>
      </c>
      <c r="BL233" s="25">
        <f t="shared" ca="1" si="299"/>
        <v>20621.948813160954</v>
      </c>
      <c r="BM233" s="32">
        <f t="shared" ca="1" si="277"/>
        <v>1293423.4186096664</v>
      </c>
      <c r="BN233" s="23">
        <f t="shared" ca="1" si="300"/>
        <v>0</v>
      </c>
      <c r="BO233" s="24">
        <f t="shared" ca="1" si="301"/>
        <v>0</v>
      </c>
      <c r="BP233" s="25">
        <f t="shared" ca="1" si="302"/>
        <v>0</v>
      </c>
      <c r="BQ233" s="34">
        <f t="shared" ca="1" si="303"/>
        <v>52504</v>
      </c>
      <c r="BR233" s="23">
        <f t="shared" ca="1" si="304"/>
        <v>1293423.4186096664</v>
      </c>
      <c r="BS233" s="24">
        <f t="shared" ca="1" si="305"/>
        <v>0</v>
      </c>
      <c r="BT233" s="24">
        <f t="shared" ca="1" si="322"/>
        <v>0</v>
      </c>
      <c r="BU233" s="24">
        <f t="shared" ca="1" si="306"/>
        <v>0</v>
      </c>
      <c r="BV233" s="24">
        <f t="shared" ca="1" si="323"/>
        <v>0</v>
      </c>
      <c r="BW233" s="24">
        <f t="shared" ca="1" si="307"/>
        <v>-20621.948813160954</v>
      </c>
      <c r="BX233" s="25">
        <f t="shared" ca="1" si="324"/>
        <v>-249588.38120750297</v>
      </c>
      <c r="BY233" s="23">
        <f t="shared" ca="1" si="278"/>
        <v>617939.79319722112</v>
      </c>
      <c r="BZ233" s="24">
        <f t="shared" ca="1" si="279"/>
        <v>0</v>
      </c>
      <c r="CA233" s="24">
        <f t="shared" ca="1" si="325"/>
        <v>0</v>
      </c>
      <c r="CB233" s="24">
        <f t="shared" ca="1" si="280"/>
        <v>0</v>
      </c>
      <c r="CC233" s="24">
        <f t="shared" ca="1" si="326"/>
        <v>0</v>
      </c>
      <c r="CD233" s="24">
        <f t="shared" ca="1" si="281"/>
        <v>-9884.4974267448888</v>
      </c>
      <c r="CE233" s="25">
        <f t="shared" ca="1" si="327"/>
        <v>-121828.9963397563</v>
      </c>
      <c r="CF233" s="23">
        <f t="shared" ca="1" si="328"/>
        <v>550919.90065315866</v>
      </c>
      <c r="CG233" s="25">
        <f t="array" aca="1" ref="CG233" ca="1">SUM(BF222:BF233/(1+inflation/100)^(AP222:AP233/12))</f>
        <v>267980.53702225373</v>
      </c>
      <c r="CH233" s="32">
        <f ca="1">IFERROR(IF(MOD(AP233-ap_months_since_start,12)=0,ap_drawdown/100*(AQ233+AV233+BA233-BC233),CH232),0)</f>
        <v>217335.24417397505</v>
      </c>
    </row>
    <row r="234" spans="40:86" x14ac:dyDescent="0.25">
      <c r="AN234" s="32">
        <f t="shared" ca="1" si="276"/>
        <v>73.75</v>
      </c>
      <c r="AO234" s="53">
        <f t="shared" ca="1" si="309"/>
        <v>52505</v>
      </c>
      <c r="AP234" s="22">
        <v>227</v>
      </c>
      <c r="AQ234" s="32">
        <f t="shared" ca="1" si="310"/>
        <v>1293423.4186096664</v>
      </c>
      <c r="AR234" s="23">
        <f t="array" aca="1" ref="AR234" ca="1">SUM(IF(lsc_start_date=AO234,lsc_amount,0))</f>
        <v>0</v>
      </c>
      <c r="AS234" s="24">
        <f t="shared" ca="1" si="283"/>
        <v>0</v>
      </c>
      <c r="AT234" s="24">
        <f t="shared" ca="1" si="284"/>
        <v>0</v>
      </c>
      <c r="AU234" s="24">
        <f t="shared" ca="1" si="285"/>
        <v>0</v>
      </c>
      <c r="AV234" s="25">
        <f t="shared" ca="1" si="286"/>
        <v>0</v>
      </c>
      <c r="AW234" s="23">
        <f t="array" aca="1" ref="AW234" ca="1">SUM(IF(rcs_start_date&lt;=AO234,1,0)*IF(rcs_end_date&gt;=AO234,1,0)*rcs_amount*(1+rcs_escalation/100)^(INT((AP234-rcs_months_since_start)/12))*IF(MOD((AP234-rcs_months_since_start),rcs_frequency)=0,1,0)*IF(rcs_frequency=13,0,1))+SUM(IF(rcs_start_date=AO234,rcs_amount,0)*IF(rcs_frequency=13,1,0))</f>
        <v>0</v>
      </c>
      <c r="AX234" s="24">
        <f t="shared" ca="1" si="287"/>
        <v>0</v>
      </c>
      <c r="AY234" s="24">
        <f t="shared" ca="1" si="288"/>
        <v>0</v>
      </c>
      <c r="AZ234" s="24">
        <f t="shared" ca="1" si="289"/>
        <v>0</v>
      </c>
      <c r="BA234" s="25">
        <f t="shared" ca="1" si="290"/>
        <v>0</v>
      </c>
      <c r="BB234" s="23">
        <f t="array" aca="1" ref="BB234" ca="1">SUM(IF(w_start_date&lt;=AO234,1,0)*IF(w_end_date&gt;=AO234,1,0)*w_amount*(1+w_escalation/100)^(INT((AP234-w_months_since_start)/12))*IF(MOD(AP234-w_months_since_start,w_frequency)=0,1,0)*IF(w_frequency=13,0,1))+SUM(IF(w_start_date=AO234,w_amount,0)*IF(w_frequency=13,1,0))</f>
        <v>0</v>
      </c>
      <c r="BC234" s="25">
        <f t="shared" ca="1" si="291"/>
        <v>0</v>
      </c>
      <c r="BD234" s="24" t="b">
        <f t="shared" ca="1" si="292"/>
        <v>1</v>
      </c>
      <c r="BE234" s="24" t="b">
        <f t="shared" ca="1" si="293"/>
        <v>1</v>
      </c>
      <c r="BF234" s="23">
        <f t="array" aca="1" ref="BF234" ca="1">SUM(IF(BD234,1,0)*IF(ap_start_date&lt;=AO234,1,0)*IF(ap_end_date&gt;=AO234,1,0)*ap_amount*(1+ap_escalation/100)^(INT((AP234-ap_months_since_start)/12))*IF(MOD(AP234-ap_months_since_start,ap_frequency)=0,1,0))</f>
        <v>46057.61227325441</v>
      </c>
      <c r="BG234" s="24">
        <f t="shared" ca="1" si="294"/>
        <v>552691.34727905306</v>
      </c>
      <c r="BH234" s="24">
        <f t="shared" ca="1" si="295"/>
        <v>35351.912251133079</v>
      </c>
      <c r="BI234">
        <f t="shared" ca="1" si="296"/>
        <v>0</v>
      </c>
      <c r="BJ234" s="24">
        <f t="shared" ca="1" si="297"/>
        <v>247463.38575793151</v>
      </c>
      <c r="BK234">
        <f t="shared" ca="1" si="298"/>
        <v>1</v>
      </c>
      <c r="BL234" s="25">
        <f t="shared" ca="1" si="299"/>
        <v>20621.948813160954</v>
      </c>
      <c r="BM234" s="32">
        <f t="shared" ca="1" si="277"/>
        <v>1281974.961506583</v>
      </c>
      <c r="BN234" s="23">
        <f t="shared" ca="1" si="300"/>
        <v>0</v>
      </c>
      <c r="BO234" s="24">
        <f t="shared" ca="1" si="301"/>
        <v>0</v>
      </c>
      <c r="BP234" s="25">
        <f t="shared" ca="1" si="302"/>
        <v>0</v>
      </c>
      <c r="BQ234" s="34">
        <f t="shared" ca="1" si="303"/>
        <v>52535</v>
      </c>
      <c r="BR234" s="23">
        <f t="shared" ca="1" si="304"/>
        <v>1281974.961506583</v>
      </c>
      <c r="BS234" s="24">
        <f t="shared" ca="1" si="305"/>
        <v>0</v>
      </c>
      <c r="BT234" s="24">
        <f t="shared" ca="1" si="322"/>
        <v>0</v>
      </c>
      <c r="BU234" s="24">
        <f t="shared" ca="1" si="306"/>
        <v>0</v>
      </c>
      <c r="BV234" s="24">
        <f t="shared" ca="1" si="323"/>
        <v>0</v>
      </c>
      <c r="BW234" s="24">
        <f t="shared" ca="1" si="307"/>
        <v>-20621.948813160954</v>
      </c>
      <c r="BX234" s="25">
        <f t="shared" ca="1" si="324"/>
        <v>-247463.38575793139</v>
      </c>
      <c r="BY234" s="23">
        <f t="shared" ca="1" si="278"/>
        <v>610471.70751140278</v>
      </c>
      <c r="BZ234" s="24">
        <f t="shared" ca="1" si="279"/>
        <v>0</v>
      </c>
      <c r="CA234" s="24">
        <f t="shared" ca="1" si="325"/>
        <v>0</v>
      </c>
      <c r="CB234" s="24">
        <f t="shared" ca="1" si="280"/>
        <v>0</v>
      </c>
      <c r="CC234" s="24">
        <f t="shared" ca="1" si="326"/>
        <v>0</v>
      </c>
      <c r="CD234" s="24">
        <f t="shared" ca="1" si="281"/>
        <v>-9852.2437444547468</v>
      </c>
      <c r="CE234" s="25">
        <f t="shared" ca="1" si="327"/>
        <v>-120379.06980911372</v>
      </c>
      <c r="CF234" s="23">
        <f t="shared" ca="1" si="328"/>
        <v>552691.34727905306</v>
      </c>
      <c r="CG234" s="25">
        <f t="array" aca="1" ref="CG234" ca="1">SUM(BF223:BF234/(1+inflation/100)^(AP223:AP234/12))</f>
        <v>267980.53702225367</v>
      </c>
      <c r="CH234" s="32">
        <f ca="1">IFERROR(IF(MOD(AP234-ap_months_since_start,12)=0,ap_drawdown/100*(AQ234+AV234+BA234-BC234),CH233),0)</f>
        <v>217335.24417397505</v>
      </c>
    </row>
    <row r="235" spans="40:86" x14ac:dyDescent="0.25">
      <c r="AN235" s="32">
        <f t="shared" ca="1" si="276"/>
        <v>73.833333333333329</v>
      </c>
      <c r="AO235" s="53">
        <f t="shared" ca="1" si="309"/>
        <v>52536</v>
      </c>
      <c r="AP235" s="22">
        <v>228</v>
      </c>
      <c r="AQ235" s="32">
        <f t="shared" ca="1" si="310"/>
        <v>1281974.961506583</v>
      </c>
      <c r="AR235" s="23">
        <f t="array" aca="1" ref="AR235" ca="1">SUM(IF(lsc_start_date=AO235,lsc_amount,0))</f>
        <v>0</v>
      </c>
      <c r="AS235" s="24">
        <f t="shared" ca="1" si="283"/>
        <v>0</v>
      </c>
      <c r="AT235" s="24">
        <f t="shared" ca="1" si="284"/>
        <v>0</v>
      </c>
      <c r="AU235" s="24">
        <f t="shared" ca="1" si="285"/>
        <v>0</v>
      </c>
      <c r="AV235" s="25">
        <f t="shared" ca="1" si="286"/>
        <v>0</v>
      </c>
      <c r="AW235" s="23">
        <f t="array" aca="1" ref="AW235" ca="1">SUM(IF(rcs_start_date&lt;=AO235,1,0)*IF(rcs_end_date&gt;=AO235,1,0)*rcs_amount*(1+rcs_escalation/100)^(INT((AP235-rcs_months_since_start)/12))*IF(MOD((AP235-rcs_months_since_start),rcs_frequency)=0,1,0)*IF(rcs_frequency=13,0,1))+SUM(IF(rcs_start_date=AO235,rcs_amount,0)*IF(rcs_frequency=13,1,0))</f>
        <v>0</v>
      </c>
      <c r="AX235" s="24">
        <f t="shared" ca="1" si="287"/>
        <v>0</v>
      </c>
      <c r="AY235" s="24">
        <f t="shared" ca="1" si="288"/>
        <v>0</v>
      </c>
      <c r="AZ235" s="24">
        <f t="shared" ca="1" si="289"/>
        <v>0</v>
      </c>
      <c r="BA235" s="25">
        <f t="shared" ca="1" si="290"/>
        <v>0</v>
      </c>
      <c r="BB235" s="23">
        <f t="array" aca="1" ref="BB235" ca="1">SUM(IF(w_start_date&lt;=AO235,1,0)*IF(w_end_date&gt;=AO235,1,0)*w_amount*(1+w_escalation/100)^(INT((AP235-w_months_since_start)/12))*IF(MOD(AP235-w_months_since_start,w_frequency)=0,1,0)*IF(w_frequency=13,0,1))+SUM(IF(w_start_date=AO235,w_amount,0)*IF(w_frequency=13,1,0))</f>
        <v>0</v>
      </c>
      <c r="BC235" s="25">
        <f t="shared" ca="1" si="291"/>
        <v>0</v>
      </c>
      <c r="BD235" s="24" t="b">
        <f t="shared" ca="1" si="292"/>
        <v>1</v>
      </c>
      <c r="BE235" s="24" t="b">
        <f t="shared" ca="1" si="293"/>
        <v>1</v>
      </c>
      <c r="BF235" s="23">
        <f t="array" aca="1" ref="BF235" ca="1">SUM(IF(BD235,1,0)*IF(ap_start_date&lt;=AO235,1,0)*IF(ap_end_date&gt;=AO235,1,0)*ap_amount*(1+ap_escalation/100)^(INT((AP235-ap_months_since_start)/12))*IF(MOD(AP235-ap_months_since_start,ap_frequency)=0,1,0))</f>
        <v>47899.916764184592</v>
      </c>
      <c r="BG235" s="24">
        <f t="shared" ca="1" si="294"/>
        <v>574799.00117021508</v>
      </c>
      <c r="BH235" s="24">
        <f t="shared" ca="1" si="295"/>
        <v>32049.374037664576</v>
      </c>
      <c r="BI235">
        <f t="shared" ca="1" si="296"/>
        <v>0</v>
      </c>
      <c r="BJ235" s="24">
        <f t="shared" ca="1" si="297"/>
        <v>224345.61826365202</v>
      </c>
      <c r="BK235">
        <f t="shared" ca="1" si="298"/>
        <v>1</v>
      </c>
      <c r="BL235" s="25">
        <f t="shared" ca="1" si="299"/>
        <v>18695.468188637671</v>
      </c>
      <c r="BM235" s="32">
        <f t="shared" ca="1" si="277"/>
        <v>1272384.3570649333</v>
      </c>
      <c r="BN235" s="23">
        <f t="shared" ca="1" si="300"/>
        <v>0</v>
      </c>
      <c r="BO235" s="24">
        <f t="shared" ca="1" si="301"/>
        <v>0</v>
      </c>
      <c r="BP235" s="25">
        <f t="shared" ca="1" si="302"/>
        <v>0</v>
      </c>
      <c r="BQ235" s="34">
        <f t="shared" ca="1" si="303"/>
        <v>52565</v>
      </c>
      <c r="BR235" s="23">
        <f t="shared" ca="1" si="304"/>
        <v>1272384.3570649333</v>
      </c>
      <c r="BS235" s="24">
        <f t="shared" ca="1" si="305"/>
        <v>0</v>
      </c>
      <c r="BT235" s="24">
        <f t="shared" ca="1" si="322"/>
        <v>0</v>
      </c>
      <c r="BU235" s="24">
        <f t="shared" ca="1" si="306"/>
        <v>0</v>
      </c>
      <c r="BV235" s="24">
        <f t="shared" ca="1" si="323"/>
        <v>0</v>
      </c>
      <c r="BW235" s="24">
        <f t="shared" ca="1" si="307"/>
        <v>-18695.468188637671</v>
      </c>
      <c r="BX235" s="25">
        <f t="shared" ca="1" si="324"/>
        <v>-245536.90513340812</v>
      </c>
      <c r="BY235" s="23">
        <f t="shared" ca="1" si="278"/>
        <v>603927.5955597657</v>
      </c>
      <c r="BZ235" s="24">
        <f t="shared" ca="1" si="279"/>
        <v>0</v>
      </c>
      <c r="CA235" s="24">
        <f t="shared" ca="1" si="325"/>
        <v>0</v>
      </c>
      <c r="CB235" s="24">
        <f t="shared" ca="1" si="280"/>
        <v>0</v>
      </c>
      <c r="CC235" s="24">
        <f t="shared" ca="1" si="326"/>
        <v>0</v>
      </c>
      <c r="CD235" s="24">
        <f t="shared" ca="1" si="281"/>
        <v>-8902.7124012079566</v>
      </c>
      <c r="CE235" s="25">
        <f t="shared" ca="1" si="327"/>
        <v>-119068.88309022978</v>
      </c>
      <c r="CF235" s="23">
        <f t="shared" ca="1" si="328"/>
        <v>554533.65176998323</v>
      </c>
      <c r="CG235" s="25">
        <f t="array" aca="1" ref="CG235" ca="1">SUM(BF224:BF235/(1+inflation/100)^(AP224:AP235/12))</f>
        <v>267980.53702225373</v>
      </c>
      <c r="CH235" s="32">
        <f ca="1">IFERROR(IF(MOD(AP235-ap_months_since_start,12)=0,ap_drawdown/100*(AQ235+AV235+BA235-BC235),CH234),0)</f>
        <v>197032.01576813246</v>
      </c>
    </row>
    <row r="236" spans="40:86" x14ac:dyDescent="0.25">
      <c r="AN236" s="32">
        <f t="shared" ca="1" si="276"/>
        <v>73.916666666666671</v>
      </c>
      <c r="AO236" s="53">
        <f t="shared" ca="1" si="309"/>
        <v>52566</v>
      </c>
      <c r="AP236" s="22">
        <v>229</v>
      </c>
      <c r="AQ236" s="32">
        <f t="shared" ca="1" si="310"/>
        <v>1272384.3570649333</v>
      </c>
      <c r="AR236" s="23">
        <f t="array" aca="1" ref="AR236" ca="1">SUM(IF(lsc_start_date=AO236,lsc_amount,0))</f>
        <v>0</v>
      </c>
      <c r="AS236" s="24">
        <f t="shared" ca="1" si="283"/>
        <v>0</v>
      </c>
      <c r="AT236" s="24">
        <f t="shared" ca="1" si="284"/>
        <v>0</v>
      </c>
      <c r="AU236" s="24">
        <f t="shared" ca="1" si="285"/>
        <v>0</v>
      </c>
      <c r="AV236" s="25">
        <f t="shared" ca="1" si="286"/>
        <v>0</v>
      </c>
      <c r="AW236" s="23">
        <f t="array" aca="1" ref="AW236" ca="1">SUM(IF(rcs_start_date&lt;=AO236,1,0)*IF(rcs_end_date&gt;=AO236,1,0)*rcs_amount*(1+rcs_escalation/100)^(INT((AP236-rcs_months_since_start)/12))*IF(MOD((AP236-rcs_months_since_start),rcs_frequency)=0,1,0)*IF(rcs_frequency=13,0,1))+SUM(IF(rcs_start_date=AO236,rcs_amount,0)*IF(rcs_frequency=13,1,0))</f>
        <v>0</v>
      </c>
      <c r="AX236" s="24">
        <f t="shared" ca="1" si="287"/>
        <v>0</v>
      </c>
      <c r="AY236" s="24">
        <f t="shared" ca="1" si="288"/>
        <v>0</v>
      </c>
      <c r="AZ236" s="24">
        <f t="shared" ca="1" si="289"/>
        <v>0</v>
      </c>
      <c r="BA236" s="25">
        <f t="shared" ca="1" si="290"/>
        <v>0</v>
      </c>
      <c r="BB236" s="23">
        <f t="array" aca="1" ref="BB236" ca="1">SUM(IF(w_start_date&lt;=AO236,1,0)*IF(w_end_date&gt;=AO236,1,0)*w_amount*(1+w_escalation/100)^(INT((AP236-w_months_since_start)/12))*IF(MOD(AP236-w_months_since_start,w_frequency)=0,1,0)*IF(w_frequency=13,0,1))+SUM(IF(w_start_date=AO236,w_amount,0)*IF(w_frequency=13,1,0))</f>
        <v>0</v>
      </c>
      <c r="BC236" s="25">
        <f t="shared" ca="1" si="291"/>
        <v>0</v>
      </c>
      <c r="BD236" s="24" t="b">
        <f t="shared" ca="1" si="292"/>
        <v>1</v>
      </c>
      <c r="BE236" s="24" t="b">
        <f t="shared" ca="1" si="293"/>
        <v>1</v>
      </c>
      <c r="BF236" s="23">
        <f t="array" aca="1" ref="BF236" ca="1">SUM(IF(BD236,1,0)*IF(ap_start_date&lt;=AO236,1,0)*IF(ap_end_date&gt;=AO236,1,0)*ap_amount*(1+ap_escalation/100)^(INT((AP236-ap_months_since_start)/12))*IF(MOD(AP236-ap_months_since_start,ap_frequency)=0,1,0))</f>
        <v>47899.916764184592</v>
      </c>
      <c r="BG236" s="24">
        <f t="shared" ca="1" si="294"/>
        <v>574799.00117021508</v>
      </c>
      <c r="BH236" s="24">
        <f t="shared" ca="1" si="295"/>
        <v>32049.374037664576</v>
      </c>
      <c r="BI236">
        <f t="shared" ca="1" si="296"/>
        <v>0</v>
      </c>
      <c r="BJ236" s="24">
        <f t="shared" ca="1" si="297"/>
        <v>224345.61826365202</v>
      </c>
      <c r="BK236">
        <f t="shared" ca="1" si="298"/>
        <v>1</v>
      </c>
      <c r="BL236" s="25">
        <f t="shared" ca="1" si="299"/>
        <v>18695.468188637671</v>
      </c>
      <c r="BM236" s="32">
        <f t="shared" ca="1" si="277"/>
        <v>1262724.6300362754</v>
      </c>
      <c r="BN236" s="23">
        <f t="shared" ca="1" si="300"/>
        <v>0</v>
      </c>
      <c r="BO236" s="24">
        <f t="shared" ca="1" si="301"/>
        <v>0</v>
      </c>
      <c r="BP236" s="25">
        <f t="shared" ca="1" si="302"/>
        <v>0</v>
      </c>
      <c r="BQ236" s="34">
        <f t="shared" ca="1" si="303"/>
        <v>52596</v>
      </c>
      <c r="BR236" s="23">
        <f t="shared" ca="1" si="304"/>
        <v>1262724.6300362754</v>
      </c>
      <c r="BS236" s="24">
        <f t="shared" ca="1" si="305"/>
        <v>0</v>
      </c>
      <c r="BT236" s="24">
        <f t="shared" ca="1" si="322"/>
        <v>0</v>
      </c>
      <c r="BU236" s="24">
        <f t="shared" ca="1" si="306"/>
        <v>0</v>
      </c>
      <c r="BV236" s="24">
        <f t="shared" ca="1" si="323"/>
        <v>0</v>
      </c>
      <c r="BW236" s="24">
        <f t="shared" ca="1" si="307"/>
        <v>-18695.468188637671</v>
      </c>
      <c r="BX236" s="25">
        <f t="shared" ca="1" si="324"/>
        <v>-243610.42450888484</v>
      </c>
      <c r="BY236" s="23">
        <f t="shared" ca="1" si="278"/>
        <v>597386.98975350452</v>
      </c>
      <c r="BZ236" s="24">
        <f t="shared" ca="1" si="279"/>
        <v>0</v>
      </c>
      <c r="CA236" s="24">
        <f t="shared" ca="1" si="325"/>
        <v>0</v>
      </c>
      <c r="CB236" s="24">
        <f t="shared" ca="1" si="280"/>
        <v>0</v>
      </c>
      <c r="CC236" s="24">
        <f t="shared" ca="1" si="326"/>
        <v>0</v>
      </c>
      <c r="CD236" s="24">
        <f t="shared" ca="1" si="281"/>
        <v>-8873.6623397923777</v>
      </c>
      <c r="CE236" s="25">
        <f t="shared" ca="1" si="327"/>
        <v>-117762.97158578994</v>
      </c>
      <c r="CF236" s="23">
        <f t="shared" ca="1" si="328"/>
        <v>556375.9562609134</v>
      </c>
      <c r="CG236" s="25">
        <f t="array" aca="1" ref="CG236" ca="1">SUM(BF225:BF236/(1+inflation/100)^(AP225:AP236/12))</f>
        <v>267980.53702225373</v>
      </c>
      <c r="CH236" s="32">
        <f ca="1">IFERROR(IF(MOD(AP236-ap_months_since_start,12)=0,ap_drawdown/100*(AQ236+AV236+BA236-BC236),CH235),0)</f>
        <v>197032.01576813246</v>
      </c>
    </row>
    <row r="237" spans="40:86" x14ac:dyDescent="0.25">
      <c r="AN237" s="32">
        <f t="shared" ca="1" si="276"/>
        <v>74</v>
      </c>
      <c r="AO237" s="53">
        <f t="shared" ca="1" si="309"/>
        <v>52597</v>
      </c>
      <c r="AP237" s="22">
        <v>230</v>
      </c>
      <c r="AQ237" s="32">
        <f t="shared" ca="1" si="310"/>
        <v>1262724.6300362754</v>
      </c>
      <c r="AR237" s="23">
        <f t="array" aca="1" ref="AR237" ca="1">SUM(IF(lsc_start_date=AO237,lsc_amount,0))</f>
        <v>0</v>
      </c>
      <c r="AS237" s="24">
        <f t="shared" ca="1" si="283"/>
        <v>0</v>
      </c>
      <c r="AT237" s="24">
        <f t="shared" ca="1" si="284"/>
        <v>0</v>
      </c>
      <c r="AU237" s="24">
        <f t="shared" ca="1" si="285"/>
        <v>0</v>
      </c>
      <c r="AV237" s="25">
        <f t="shared" ca="1" si="286"/>
        <v>0</v>
      </c>
      <c r="AW237" s="23">
        <f t="array" aca="1" ref="AW237" ca="1">SUM(IF(rcs_start_date&lt;=AO237,1,0)*IF(rcs_end_date&gt;=AO237,1,0)*rcs_amount*(1+rcs_escalation/100)^(INT((AP237-rcs_months_since_start)/12))*IF(MOD((AP237-rcs_months_since_start),rcs_frequency)=0,1,0)*IF(rcs_frequency=13,0,1))+SUM(IF(rcs_start_date=AO237,rcs_amount,0)*IF(rcs_frequency=13,1,0))</f>
        <v>0</v>
      </c>
      <c r="AX237" s="24">
        <f t="shared" ca="1" si="287"/>
        <v>0</v>
      </c>
      <c r="AY237" s="24">
        <f t="shared" ca="1" si="288"/>
        <v>0</v>
      </c>
      <c r="AZ237" s="24">
        <f t="shared" ca="1" si="289"/>
        <v>0</v>
      </c>
      <c r="BA237" s="25">
        <f t="shared" ca="1" si="290"/>
        <v>0</v>
      </c>
      <c r="BB237" s="23">
        <f t="array" aca="1" ref="BB237" ca="1">SUM(IF(w_start_date&lt;=AO237,1,0)*IF(w_end_date&gt;=AO237,1,0)*w_amount*(1+w_escalation/100)^(INT((AP237-w_months_since_start)/12))*IF(MOD(AP237-w_months_since_start,w_frequency)=0,1,0)*IF(w_frequency=13,0,1))+SUM(IF(w_start_date=AO237,w_amount,0)*IF(w_frequency=13,1,0))</f>
        <v>0</v>
      </c>
      <c r="BC237" s="25">
        <f t="shared" ca="1" si="291"/>
        <v>0</v>
      </c>
      <c r="BD237" s="24" t="b">
        <f t="shared" ca="1" si="292"/>
        <v>1</v>
      </c>
      <c r="BE237" s="24" t="b">
        <f t="shared" ca="1" si="293"/>
        <v>1</v>
      </c>
      <c r="BF237" s="23">
        <f t="array" aca="1" ref="BF237" ca="1">SUM(IF(BD237,1,0)*IF(ap_start_date&lt;=AO237,1,0)*IF(ap_end_date&gt;=AO237,1,0)*ap_amount*(1+ap_escalation/100)^(INT((AP237-ap_months_since_start)/12))*IF(MOD(AP237-ap_months_since_start,ap_frequency)=0,1,0))</f>
        <v>47899.916764184592</v>
      </c>
      <c r="BG237" s="24">
        <f t="shared" ca="1" si="294"/>
        <v>574799.00117021508</v>
      </c>
      <c r="BH237" s="24">
        <f t="shared" ca="1" si="295"/>
        <v>32049.374037664576</v>
      </c>
      <c r="BI237">
        <f t="shared" ca="1" si="296"/>
        <v>0</v>
      </c>
      <c r="BJ237" s="24">
        <f t="shared" ca="1" si="297"/>
        <v>224345.61826365202</v>
      </c>
      <c r="BK237">
        <f t="shared" ca="1" si="298"/>
        <v>1</v>
      </c>
      <c r="BL237" s="25">
        <f t="shared" ca="1" si="299"/>
        <v>18695.468188637671</v>
      </c>
      <c r="BM237" s="32">
        <f t="shared" ca="1" si="277"/>
        <v>1252995.2822317763</v>
      </c>
      <c r="BN237" s="23">
        <f t="shared" ca="1" si="300"/>
        <v>0</v>
      </c>
      <c r="BO237" s="24">
        <f t="shared" ca="1" si="301"/>
        <v>0</v>
      </c>
      <c r="BP237" s="25">
        <f t="shared" ca="1" si="302"/>
        <v>0</v>
      </c>
      <c r="BQ237" s="34">
        <f t="shared" ca="1" si="303"/>
        <v>52627</v>
      </c>
      <c r="BR237" s="23">
        <f t="shared" ca="1" si="304"/>
        <v>1252995.2822317763</v>
      </c>
      <c r="BS237" s="24">
        <f t="shared" ca="1" si="305"/>
        <v>0</v>
      </c>
      <c r="BT237" s="24">
        <f t="shared" ca="1" si="322"/>
        <v>0</v>
      </c>
      <c r="BU237" s="24">
        <f t="shared" ca="1" si="306"/>
        <v>0</v>
      </c>
      <c r="BV237" s="24">
        <f t="shared" ca="1" si="323"/>
        <v>0</v>
      </c>
      <c r="BW237" s="24">
        <f t="shared" ca="1" si="307"/>
        <v>-18695.468188637671</v>
      </c>
      <c r="BX237" s="25">
        <f t="shared" ca="1" si="324"/>
        <v>-241683.94388436156</v>
      </c>
      <c r="BY237" s="23">
        <f t="shared" ca="1" si="278"/>
        <v>590849.80867565877</v>
      </c>
      <c r="BZ237" s="24">
        <f t="shared" ca="1" si="279"/>
        <v>0</v>
      </c>
      <c r="CA237" s="24">
        <f t="shared" ca="1" si="325"/>
        <v>0</v>
      </c>
      <c r="CB237" s="24">
        <f t="shared" ca="1" si="280"/>
        <v>0</v>
      </c>
      <c r="CC237" s="24">
        <f t="shared" ca="1" si="326"/>
        <v>0</v>
      </c>
      <c r="CD237" s="24">
        <f t="shared" ca="1" si="281"/>
        <v>-8844.7070703941354</v>
      </c>
      <c r="CE237" s="25">
        <f t="shared" ca="1" si="327"/>
        <v>-116461.32134552419</v>
      </c>
      <c r="CF237" s="23">
        <f t="shared" ca="1" si="328"/>
        <v>558218.26075184357</v>
      </c>
      <c r="CG237" s="25">
        <f t="array" aca="1" ref="CG237" ca="1">SUM(BF226:BF237/(1+inflation/100)^(AP226:AP237/12))</f>
        <v>267980.53702225379</v>
      </c>
      <c r="CH237" s="32">
        <f ca="1">IFERROR(IF(MOD(AP237-ap_months_since_start,12)=0,ap_drawdown/100*(AQ237+AV237+BA237-BC237),CH236),0)</f>
        <v>197032.01576813246</v>
      </c>
    </row>
    <row r="238" spans="40:86" x14ac:dyDescent="0.25">
      <c r="AN238" s="32">
        <f t="shared" ca="1" si="276"/>
        <v>74.083333333333329</v>
      </c>
      <c r="AO238" s="53">
        <f t="shared" ca="1" si="309"/>
        <v>52628</v>
      </c>
      <c r="AP238" s="22">
        <v>231</v>
      </c>
      <c r="AQ238" s="32">
        <f t="shared" ca="1" si="310"/>
        <v>1252995.2822317763</v>
      </c>
      <c r="AR238" s="23">
        <f t="array" aca="1" ref="AR238" ca="1">SUM(IF(lsc_start_date=AO238,lsc_amount,0))</f>
        <v>0</v>
      </c>
      <c r="AS238" s="24">
        <f t="shared" ca="1" si="283"/>
        <v>0</v>
      </c>
      <c r="AT238" s="24">
        <f t="shared" ca="1" si="284"/>
        <v>0</v>
      </c>
      <c r="AU238" s="24">
        <f t="shared" ca="1" si="285"/>
        <v>0</v>
      </c>
      <c r="AV238" s="25">
        <f t="shared" ca="1" si="286"/>
        <v>0</v>
      </c>
      <c r="AW238" s="23">
        <f t="array" aca="1" ref="AW238" ca="1">SUM(IF(rcs_start_date&lt;=AO238,1,0)*IF(rcs_end_date&gt;=AO238,1,0)*rcs_amount*(1+rcs_escalation/100)^(INT((AP238-rcs_months_since_start)/12))*IF(MOD((AP238-rcs_months_since_start),rcs_frequency)=0,1,0)*IF(rcs_frequency=13,0,1))+SUM(IF(rcs_start_date=AO238,rcs_amount,0)*IF(rcs_frequency=13,1,0))</f>
        <v>0</v>
      </c>
      <c r="AX238" s="24">
        <f t="shared" ca="1" si="287"/>
        <v>0</v>
      </c>
      <c r="AY238" s="24">
        <f t="shared" ca="1" si="288"/>
        <v>0</v>
      </c>
      <c r="AZ238" s="24">
        <f t="shared" ca="1" si="289"/>
        <v>0</v>
      </c>
      <c r="BA238" s="25">
        <f t="shared" ca="1" si="290"/>
        <v>0</v>
      </c>
      <c r="BB238" s="23">
        <f t="array" aca="1" ref="BB238" ca="1">SUM(IF(w_start_date&lt;=AO238,1,0)*IF(w_end_date&gt;=AO238,1,0)*w_amount*(1+w_escalation/100)^(INT((AP238-w_months_since_start)/12))*IF(MOD(AP238-w_months_since_start,w_frequency)=0,1,0)*IF(w_frequency=13,0,1))+SUM(IF(w_start_date=AO238,w_amount,0)*IF(w_frequency=13,1,0))</f>
        <v>0</v>
      </c>
      <c r="BC238" s="25">
        <f t="shared" ca="1" si="291"/>
        <v>0</v>
      </c>
      <c r="BD238" s="24" t="b">
        <f t="shared" ca="1" si="292"/>
        <v>1</v>
      </c>
      <c r="BE238" s="24" t="b">
        <f t="shared" ca="1" si="293"/>
        <v>1</v>
      </c>
      <c r="BF238" s="23">
        <f t="array" aca="1" ref="BF238" ca="1">SUM(IF(BD238,1,0)*IF(ap_start_date&lt;=AO238,1,0)*IF(ap_end_date&gt;=AO238,1,0)*ap_amount*(1+ap_escalation/100)^(INT((AP238-ap_months_since_start)/12))*IF(MOD(AP238-ap_months_since_start,ap_frequency)=0,1,0))</f>
        <v>47899.916764184592</v>
      </c>
      <c r="BG238" s="24">
        <f t="shared" ca="1" si="294"/>
        <v>574799.00117021508</v>
      </c>
      <c r="BH238" s="24">
        <f t="shared" ca="1" si="295"/>
        <v>32049.374037664576</v>
      </c>
      <c r="BI238">
        <f t="shared" ca="1" si="296"/>
        <v>0</v>
      </c>
      <c r="BJ238" s="24">
        <f t="shared" ca="1" si="297"/>
        <v>224345.61826365202</v>
      </c>
      <c r="BK238">
        <f t="shared" ca="1" si="298"/>
        <v>1</v>
      </c>
      <c r="BL238" s="25">
        <f t="shared" ca="1" si="299"/>
        <v>18695.468188637671</v>
      </c>
      <c r="BM238" s="32">
        <f t="shared" ca="1" si="277"/>
        <v>1243195.811871995</v>
      </c>
      <c r="BN238" s="23">
        <f t="shared" ca="1" si="300"/>
        <v>0</v>
      </c>
      <c r="BO238" s="24">
        <f t="shared" ca="1" si="301"/>
        <v>0</v>
      </c>
      <c r="BP238" s="25">
        <f t="shared" ca="1" si="302"/>
        <v>0</v>
      </c>
      <c r="BQ238" s="34">
        <f t="shared" ca="1" si="303"/>
        <v>52656</v>
      </c>
      <c r="BR238" s="23">
        <f t="shared" ca="1" si="304"/>
        <v>1243195.811871995</v>
      </c>
      <c r="BS238" s="24">
        <f t="shared" ca="1" si="305"/>
        <v>0</v>
      </c>
      <c r="BT238" s="24">
        <f t="shared" ca="1" si="322"/>
        <v>0</v>
      </c>
      <c r="BU238" s="24">
        <f t="shared" ca="1" si="306"/>
        <v>0</v>
      </c>
      <c r="BV238" s="24">
        <f t="shared" ca="1" si="323"/>
        <v>0</v>
      </c>
      <c r="BW238" s="24">
        <f t="shared" ca="1" si="307"/>
        <v>-18695.468188637671</v>
      </c>
      <c r="BX238" s="25">
        <f t="shared" ca="1" si="324"/>
        <v>-239757.46325983829</v>
      </c>
      <c r="BY238" s="23">
        <f t="shared" ca="1" si="278"/>
        <v>584315.97090057691</v>
      </c>
      <c r="BZ238" s="24">
        <f t="shared" ca="1" si="279"/>
        <v>0</v>
      </c>
      <c r="CA238" s="24">
        <f t="shared" ca="1" si="325"/>
        <v>0</v>
      </c>
      <c r="CB238" s="24">
        <f t="shared" ca="1" si="280"/>
        <v>0</v>
      </c>
      <c r="CC238" s="24">
        <f t="shared" ca="1" si="326"/>
        <v>0</v>
      </c>
      <c r="CD238" s="24">
        <f t="shared" ca="1" si="281"/>
        <v>-8815.8462837014322</v>
      </c>
      <c r="CE238" s="25">
        <f t="shared" ca="1" si="327"/>
        <v>-115163.91846468301</v>
      </c>
      <c r="CF238" s="23">
        <f t="shared" ca="1" si="328"/>
        <v>560060.56524277374</v>
      </c>
      <c r="CG238" s="25">
        <f t="array" aca="1" ref="CG238" ca="1">SUM(BF227:BF238/(1+inflation/100)^(AP227:AP238/12))</f>
        <v>267980.53702225373</v>
      </c>
      <c r="CH238" s="32">
        <f ca="1">IFERROR(IF(MOD(AP238-ap_months_since_start,12)=0,ap_drawdown/100*(AQ238+AV238+BA238-BC238),CH237),0)</f>
        <v>197032.01576813246</v>
      </c>
    </row>
    <row r="239" spans="40:86" x14ac:dyDescent="0.25">
      <c r="AN239" s="32">
        <f t="shared" ca="1" si="276"/>
        <v>74.166666666666671</v>
      </c>
      <c r="AO239" s="53">
        <f t="shared" ca="1" si="309"/>
        <v>52657</v>
      </c>
      <c r="AP239" s="22">
        <v>232</v>
      </c>
      <c r="AQ239" s="32">
        <f t="shared" ca="1" si="310"/>
        <v>1243195.811871995</v>
      </c>
      <c r="AR239" s="23">
        <f t="array" aca="1" ref="AR239" ca="1">SUM(IF(lsc_start_date=AO239,lsc_amount,0))</f>
        <v>0</v>
      </c>
      <c r="AS239" s="24">
        <f t="shared" ca="1" si="283"/>
        <v>0</v>
      </c>
      <c r="AT239" s="24">
        <f t="shared" ca="1" si="284"/>
        <v>0</v>
      </c>
      <c r="AU239" s="24">
        <f t="shared" ca="1" si="285"/>
        <v>0</v>
      </c>
      <c r="AV239" s="25">
        <f t="shared" ca="1" si="286"/>
        <v>0</v>
      </c>
      <c r="AW239" s="23">
        <f t="array" aca="1" ref="AW239" ca="1">SUM(IF(rcs_start_date&lt;=AO239,1,0)*IF(rcs_end_date&gt;=AO239,1,0)*rcs_amount*(1+rcs_escalation/100)^(INT((AP239-rcs_months_since_start)/12))*IF(MOD((AP239-rcs_months_since_start),rcs_frequency)=0,1,0)*IF(rcs_frequency=13,0,1))+SUM(IF(rcs_start_date=AO239,rcs_amount,0)*IF(rcs_frequency=13,1,0))</f>
        <v>0</v>
      </c>
      <c r="AX239" s="24">
        <f t="shared" ca="1" si="287"/>
        <v>0</v>
      </c>
      <c r="AY239" s="24">
        <f t="shared" ca="1" si="288"/>
        <v>0</v>
      </c>
      <c r="AZ239" s="24">
        <f t="shared" ca="1" si="289"/>
        <v>0</v>
      </c>
      <c r="BA239" s="25">
        <f t="shared" ca="1" si="290"/>
        <v>0</v>
      </c>
      <c r="BB239" s="23">
        <f t="array" aca="1" ref="BB239" ca="1">SUM(IF(w_start_date&lt;=AO239,1,0)*IF(w_end_date&gt;=AO239,1,0)*w_amount*(1+w_escalation/100)^(INT((AP239-w_months_since_start)/12))*IF(MOD(AP239-w_months_since_start,w_frequency)=0,1,0)*IF(w_frequency=13,0,1))+SUM(IF(w_start_date=AO239,w_amount,0)*IF(w_frequency=13,1,0))</f>
        <v>0</v>
      </c>
      <c r="BC239" s="25">
        <f t="shared" ca="1" si="291"/>
        <v>0</v>
      </c>
      <c r="BD239" s="24" t="b">
        <f t="shared" ca="1" si="292"/>
        <v>1</v>
      </c>
      <c r="BE239" s="24" t="b">
        <f t="shared" ca="1" si="293"/>
        <v>1</v>
      </c>
      <c r="BF239" s="23">
        <f t="array" aca="1" ref="BF239" ca="1">SUM(IF(BD239,1,0)*IF(ap_start_date&lt;=AO239,1,0)*IF(ap_end_date&gt;=AO239,1,0)*ap_amount*(1+ap_escalation/100)^(INT((AP239-ap_months_since_start)/12))*IF(MOD(AP239-ap_months_since_start,ap_frequency)=0,1,0))</f>
        <v>47899.916764184592</v>
      </c>
      <c r="BG239" s="24">
        <f t="shared" ca="1" si="294"/>
        <v>574799.00117021508</v>
      </c>
      <c r="BH239" s="24">
        <f t="shared" ca="1" si="295"/>
        <v>32049.374037664576</v>
      </c>
      <c r="BI239">
        <f t="shared" ca="1" si="296"/>
        <v>0</v>
      </c>
      <c r="BJ239" s="24">
        <f t="shared" ca="1" si="297"/>
        <v>224345.61826365202</v>
      </c>
      <c r="BK239">
        <f t="shared" ca="1" si="298"/>
        <v>1</v>
      </c>
      <c r="BL239" s="25">
        <f t="shared" ca="1" si="299"/>
        <v>18695.468188637671</v>
      </c>
      <c r="BM239" s="32">
        <f t="shared" ca="1" si="277"/>
        <v>1233325.7135610038</v>
      </c>
      <c r="BN239" s="23">
        <f t="shared" ca="1" si="300"/>
        <v>0</v>
      </c>
      <c r="BO239" s="24">
        <f t="shared" ca="1" si="301"/>
        <v>0</v>
      </c>
      <c r="BP239" s="25">
        <f t="shared" ca="1" si="302"/>
        <v>0</v>
      </c>
      <c r="BQ239" s="34">
        <f t="shared" ca="1" si="303"/>
        <v>52687</v>
      </c>
      <c r="BR239" s="23">
        <f t="shared" ca="1" si="304"/>
        <v>1233325.7135610038</v>
      </c>
      <c r="BS239" s="24">
        <f t="shared" ca="1" si="305"/>
        <v>0</v>
      </c>
      <c r="BT239" s="24">
        <f t="shared" ca="1" si="322"/>
        <v>0</v>
      </c>
      <c r="BU239" s="24">
        <f t="shared" ca="1" si="306"/>
        <v>0</v>
      </c>
      <c r="BV239" s="24">
        <f t="shared" ca="1" si="323"/>
        <v>0</v>
      </c>
      <c r="BW239" s="24">
        <f t="shared" ca="1" si="307"/>
        <v>-18695.468188637671</v>
      </c>
      <c r="BX239" s="25">
        <f t="shared" ca="1" si="324"/>
        <v>-237830.98263531501</v>
      </c>
      <c r="BY239" s="23">
        <f t="shared" ca="1" si="278"/>
        <v>577785.39499286981</v>
      </c>
      <c r="BZ239" s="24">
        <f t="shared" ca="1" si="279"/>
        <v>0</v>
      </c>
      <c r="CA239" s="24">
        <f t="shared" ca="1" si="325"/>
        <v>0</v>
      </c>
      <c r="CB239" s="24">
        <f t="shared" ca="1" si="280"/>
        <v>0</v>
      </c>
      <c r="CC239" s="24">
        <f t="shared" ca="1" si="326"/>
        <v>0</v>
      </c>
      <c r="CD239" s="24">
        <f t="shared" ca="1" si="281"/>
        <v>-8787.0796714117787</v>
      </c>
      <c r="CE239" s="25">
        <f t="shared" ca="1" si="327"/>
        <v>-113870.74908388882</v>
      </c>
      <c r="CF239" s="23">
        <f t="shared" ca="1" si="328"/>
        <v>561902.8697337039</v>
      </c>
      <c r="CG239" s="25">
        <f t="array" aca="1" ref="CG239" ca="1">SUM(BF228:BF239/(1+inflation/100)^(AP228:AP239/12))</f>
        <v>267980.53702225373</v>
      </c>
      <c r="CH239" s="32">
        <f ca="1">IFERROR(IF(MOD(AP239-ap_months_since_start,12)=0,ap_drawdown/100*(AQ239+AV239+BA239-BC239),CH238),0)</f>
        <v>197032.01576813246</v>
      </c>
    </row>
    <row r="240" spans="40:86" x14ac:dyDescent="0.25">
      <c r="AN240" s="32">
        <f t="shared" ca="1" si="276"/>
        <v>74.25</v>
      </c>
      <c r="AO240" s="53">
        <f t="shared" ca="1" si="309"/>
        <v>52688</v>
      </c>
      <c r="AP240" s="22">
        <v>233</v>
      </c>
      <c r="AQ240" s="32">
        <f t="shared" ca="1" si="310"/>
        <v>1233325.7135610038</v>
      </c>
      <c r="AR240" s="23">
        <f t="array" aca="1" ref="AR240" ca="1">SUM(IF(lsc_start_date=AO240,lsc_amount,0))</f>
        <v>0</v>
      </c>
      <c r="AS240" s="24">
        <f t="shared" ca="1" si="283"/>
        <v>0</v>
      </c>
      <c r="AT240" s="24">
        <f t="shared" ca="1" si="284"/>
        <v>0</v>
      </c>
      <c r="AU240" s="24">
        <f t="shared" ca="1" si="285"/>
        <v>0</v>
      </c>
      <c r="AV240" s="25">
        <f t="shared" ca="1" si="286"/>
        <v>0</v>
      </c>
      <c r="AW240" s="23">
        <f t="array" aca="1" ref="AW240" ca="1">SUM(IF(rcs_start_date&lt;=AO240,1,0)*IF(rcs_end_date&gt;=AO240,1,0)*rcs_amount*(1+rcs_escalation/100)^(INT((AP240-rcs_months_since_start)/12))*IF(MOD((AP240-rcs_months_since_start),rcs_frequency)=0,1,0)*IF(rcs_frequency=13,0,1))+SUM(IF(rcs_start_date=AO240,rcs_amount,0)*IF(rcs_frequency=13,1,0))</f>
        <v>0</v>
      </c>
      <c r="AX240" s="24">
        <f t="shared" ca="1" si="287"/>
        <v>0</v>
      </c>
      <c r="AY240" s="24">
        <f t="shared" ca="1" si="288"/>
        <v>0</v>
      </c>
      <c r="AZ240" s="24">
        <f t="shared" ca="1" si="289"/>
        <v>0</v>
      </c>
      <c r="BA240" s="25">
        <f t="shared" ca="1" si="290"/>
        <v>0</v>
      </c>
      <c r="BB240" s="23">
        <f t="array" aca="1" ref="BB240" ca="1">SUM(IF(w_start_date&lt;=AO240,1,0)*IF(w_end_date&gt;=AO240,1,0)*w_amount*(1+w_escalation/100)^(INT((AP240-w_months_since_start)/12))*IF(MOD(AP240-w_months_since_start,w_frequency)=0,1,0)*IF(w_frequency=13,0,1))+SUM(IF(w_start_date=AO240,w_amount,0)*IF(w_frequency=13,1,0))</f>
        <v>0</v>
      </c>
      <c r="BC240" s="25">
        <f t="shared" ca="1" si="291"/>
        <v>0</v>
      </c>
      <c r="BD240" s="24" t="b">
        <f t="shared" ca="1" si="292"/>
        <v>1</v>
      </c>
      <c r="BE240" s="24" t="b">
        <f t="shared" ca="1" si="293"/>
        <v>1</v>
      </c>
      <c r="BF240" s="23">
        <f t="array" aca="1" ref="BF240" ca="1">SUM(IF(BD240,1,0)*IF(ap_start_date&lt;=AO240,1,0)*IF(ap_end_date&gt;=AO240,1,0)*ap_amount*(1+ap_escalation/100)^(INT((AP240-ap_months_since_start)/12))*IF(MOD(AP240-ap_months_since_start,ap_frequency)=0,1,0))</f>
        <v>47899.916764184592</v>
      </c>
      <c r="BG240" s="24">
        <f t="shared" ca="1" si="294"/>
        <v>574799.00117021508</v>
      </c>
      <c r="BH240" s="24">
        <f t="shared" ca="1" si="295"/>
        <v>32049.374037664576</v>
      </c>
      <c r="BI240">
        <f t="shared" ca="1" si="296"/>
        <v>0</v>
      </c>
      <c r="BJ240" s="24">
        <f t="shared" ca="1" si="297"/>
        <v>224345.61826365202</v>
      </c>
      <c r="BK240">
        <f t="shared" ca="1" si="298"/>
        <v>1</v>
      </c>
      <c r="BL240" s="25">
        <f t="shared" ca="1" si="299"/>
        <v>18695.468188637671</v>
      </c>
      <c r="BM240" s="32">
        <f t="shared" ca="1" si="277"/>
        <v>1223384.4782603232</v>
      </c>
      <c r="BN240" s="23">
        <f t="shared" ca="1" si="300"/>
        <v>0</v>
      </c>
      <c r="BO240" s="24">
        <f t="shared" ca="1" si="301"/>
        <v>0</v>
      </c>
      <c r="BP240" s="25">
        <f t="shared" ca="1" si="302"/>
        <v>0</v>
      </c>
      <c r="BQ240" s="34">
        <f t="shared" ca="1" si="303"/>
        <v>52717</v>
      </c>
      <c r="BR240" s="23">
        <f t="shared" ca="1" si="304"/>
        <v>1223384.4782603232</v>
      </c>
      <c r="BS240" s="24">
        <f t="shared" ca="1" si="305"/>
        <v>0</v>
      </c>
      <c r="BT240" s="24">
        <f t="shared" ca="1" si="322"/>
        <v>0</v>
      </c>
      <c r="BU240" s="24">
        <f t="shared" ca="1" si="306"/>
        <v>0</v>
      </c>
      <c r="BV240" s="24">
        <f t="shared" ca="1" si="323"/>
        <v>0</v>
      </c>
      <c r="BW240" s="24">
        <f t="shared" ca="1" si="307"/>
        <v>-18695.468188637671</v>
      </c>
      <c r="BX240" s="25">
        <f t="shared" ca="1" si="324"/>
        <v>-235904.50201079171</v>
      </c>
      <c r="BY240" s="23">
        <f t="shared" ca="1" si="278"/>
        <v>571257.99950636143</v>
      </c>
      <c r="BZ240" s="24">
        <f t="shared" ca="1" si="279"/>
        <v>0</v>
      </c>
      <c r="CA240" s="24">
        <f t="shared" ca="1" si="325"/>
        <v>0</v>
      </c>
      <c r="CB240" s="24">
        <f t="shared" ca="1" si="280"/>
        <v>0</v>
      </c>
      <c r="CC240" s="24">
        <f t="shared" ca="1" si="326"/>
        <v>0</v>
      </c>
      <c r="CD240" s="24">
        <f t="shared" ca="1" si="281"/>
        <v>-8758.4069262286994</v>
      </c>
      <c r="CE240" s="25">
        <f t="shared" ca="1" si="327"/>
        <v>-112581.79938898805</v>
      </c>
      <c r="CF240" s="23">
        <f t="shared" ca="1" si="328"/>
        <v>563745.17422463407</v>
      </c>
      <c r="CG240" s="25">
        <f t="array" aca="1" ref="CG240" ca="1">SUM(BF229:BF240/(1+inflation/100)^(AP229:AP240/12))</f>
        <v>267980.53702225373</v>
      </c>
      <c r="CH240" s="32">
        <f ca="1">IFERROR(IF(MOD(AP240-ap_months_since_start,12)=0,ap_drawdown/100*(AQ240+AV240+BA240-BC240),CH239),0)</f>
        <v>197032.01576813246</v>
      </c>
    </row>
    <row r="241" spans="40:86" x14ac:dyDescent="0.25">
      <c r="AN241" s="32">
        <f t="shared" ca="1" si="276"/>
        <v>74.333333333333329</v>
      </c>
      <c r="AO241" s="53">
        <f t="shared" ca="1" si="309"/>
        <v>52718</v>
      </c>
      <c r="AP241" s="22">
        <v>234</v>
      </c>
      <c r="AQ241" s="32">
        <f t="shared" ca="1" si="310"/>
        <v>1223384.4782603232</v>
      </c>
      <c r="AR241" s="23">
        <f t="array" aca="1" ref="AR241" ca="1">SUM(IF(lsc_start_date=AO241,lsc_amount,0))</f>
        <v>0</v>
      </c>
      <c r="AS241" s="24">
        <f t="shared" ca="1" si="283"/>
        <v>0</v>
      </c>
      <c r="AT241" s="24">
        <f t="shared" ca="1" si="284"/>
        <v>0</v>
      </c>
      <c r="AU241" s="24">
        <f t="shared" ca="1" si="285"/>
        <v>0</v>
      </c>
      <c r="AV241" s="25">
        <f t="shared" ca="1" si="286"/>
        <v>0</v>
      </c>
      <c r="AW241" s="23">
        <f t="array" aca="1" ref="AW241" ca="1">SUM(IF(rcs_start_date&lt;=AO241,1,0)*IF(rcs_end_date&gt;=AO241,1,0)*rcs_amount*(1+rcs_escalation/100)^(INT((AP241-rcs_months_since_start)/12))*IF(MOD((AP241-rcs_months_since_start),rcs_frequency)=0,1,0)*IF(rcs_frequency=13,0,1))+SUM(IF(rcs_start_date=AO241,rcs_amount,0)*IF(rcs_frequency=13,1,0))</f>
        <v>0</v>
      </c>
      <c r="AX241" s="24">
        <f t="shared" ca="1" si="287"/>
        <v>0</v>
      </c>
      <c r="AY241" s="24">
        <f t="shared" ca="1" si="288"/>
        <v>0</v>
      </c>
      <c r="AZ241" s="24">
        <f t="shared" ca="1" si="289"/>
        <v>0</v>
      </c>
      <c r="BA241" s="25">
        <f t="shared" ca="1" si="290"/>
        <v>0</v>
      </c>
      <c r="BB241" s="23">
        <f t="array" aca="1" ref="BB241" ca="1">SUM(IF(w_start_date&lt;=AO241,1,0)*IF(w_end_date&gt;=AO241,1,0)*w_amount*(1+w_escalation/100)^(INT((AP241-w_months_since_start)/12))*IF(MOD(AP241-w_months_since_start,w_frequency)=0,1,0)*IF(w_frequency=13,0,1))+SUM(IF(w_start_date=AO241,w_amount,0)*IF(w_frequency=13,1,0))</f>
        <v>0</v>
      </c>
      <c r="BC241" s="25">
        <f t="shared" ca="1" si="291"/>
        <v>0</v>
      </c>
      <c r="BD241" s="24" t="b">
        <f t="shared" ca="1" si="292"/>
        <v>1</v>
      </c>
      <c r="BE241" s="24" t="b">
        <f t="shared" ca="1" si="293"/>
        <v>1</v>
      </c>
      <c r="BF241" s="23">
        <f t="array" aca="1" ref="BF241" ca="1">SUM(IF(BD241,1,0)*IF(ap_start_date&lt;=AO241,1,0)*IF(ap_end_date&gt;=AO241,1,0)*ap_amount*(1+ap_escalation/100)^(INT((AP241-ap_months_since_start)/12))*IF(MOD(AP241-ap_months_since_start,ap_frequency)=0,1,0))</f>
        <v>47899.916764184592</v>
      </c>
      <c r="BG241" s="24">
        <f t="shared" ca="1" si="294"/>
        <v>574799.00117021508</v>
      </c>
      <c r="BH241" s="24">
        <f t="shared" ca="1" si="295"/>
        <v>32049.374037664576</v>
      </c>
      <c r="BI241">
        <f t="shared" ca="1" si="296"/>
        <v>0</v>
      </c>
      <c r="BJ241" s="24">
        <f t="shared" ca="1" si="297"/>
        <v>224345.61826365202</v>
      </c>
      <c r="BK241">
        <f t="shared" ca="1" si="298"/>
        <v>1</v>
      </c>
      <c r="BL241" s="25">
        <f t="shared" ca="1" si="299"/>
        <v>18695.468188637671</v>
      </c>
      <c r="BM241" s="32">
        <f t="shared" ca="1" si="277"/>
        <v>1213371.5932626689</v>
      </c>
      <c r="BN241" s="23">
        <f t="shared" ca="1" si="300"/>
        <v>0</v>
      </c>
      <c r="BO241" s="24">
        <f t="shared" ca="1" si="301"/>
        <v>0</v>
      </c>
      <c r="BP241" s="25">
        <f t="shared" ca="1" si="302"/>
        <v>0</v>
      </c>
      <c r="BQ241" s="34">
        <f t="shared" ca="1" si="303"/>
        <v>52748</v>
      </c>
      <c r="BR241" s="23">
        <f t="shared" ca="1" si="304"/>
        <v>1213371.5932626689</v>
      </c>
      <c r="BS241" s="24">
        <f t="shared" ca="1" si="305"/>
        <v>0</v>
      </c>
      <c r="BT241" s="24">
        <f t="shared" ca="1" si="322"/>
        <v>0</v>
      </c>
      <c r="BU241" s="24">
        <f t="shared" ca="1" si="306"/>
        <v>0</v>
      </c>
      <c r="BV241" s="24">
        <f t="shared" ca="1" si="323"/>
        <v>0</v>
      </c>
      <c r="BW241" s="24">
        <f t="shared" ca="1" si="307"/>
        <v>-18695.468188637671</v>
      </c>
      <c r="BX241" s="25">
        <f t="shared" ca="1" si="324"/>
        <v>-233978.02138626843</v>
      </c>
      <c r="BY241" s="23">
        <f t="shared" ca="1" si="278"/>
        <v>564733.70298304106</v>
      </c>
      <c r="BZ241" s="24">
        <f t="shared" ca="1" si="279"/>
        <v>0</v>
      </c>
      <c r="CA241" s="24">
        <f t="shared" ca="1" si="325"/>
        <v>0</v>
      </c>
      <c r="CB241" s="24">
        <f t="shared" ca="1" si="280"/>
        <v>0</v>
      </c>
      <c r="CC241" s="24">
        <f t="shared" ca="1" si="326"/>
        <v>0</v>
      </c>
      <c r="CD241" s="24">
        <f t="shared" ca="1" si="281"/>
        <v>-8729.8277418584348</v>
      </c>
      <c r="CE241" s="25">
        <f t="shared" ca="1" si="327"/>
        <v>-111297.05561090355</v>
      </c>
      <c r="CF241" s="23">
        <f t="shared" ca="1" si="328"/>
        <v>565587.47871556424</v>
      </c>
      <c r="CG241" s="25">
        <f t="array" aca="1" ref="CG241" ca="1">SUM(BF230:BF241/(1+inflation/100)^(AP230:AP241/12))</f>
        <v>267980.53702225373</v>
      </c>
      <c r="CH241" s="32">
        <f ca="1">IFERROR(IF(MOD(AP241-ap_months_since_start,12)=0,ap_drawdown/100*(AQ241+AV241+BA241-BC241),CH240),0)</f>
        <v>197032.01576813246</v>
      </c>
    </row>
    <row r="242" spans="40:86" x14ac:dyDescent="0.25">
      <c r="AN242" s="32">
        <f t="shared" ca="1" si="276"/>
        <v>74.416666666666671</v>
      </c>
      <c r="AO242" s="53">
        <f t="shared" ca="1" si="309"/>
        <v>52749</v>
      </c>
      <c r="AP242" s="22">
        <v>235</v>
      </c>
      <c r="AQ242" s="32">
        <f t="shared" ca="1" si="310"/>
        <v>1213371.5932626689</v>
      </c>
      <c r="AR242" s="23">
        <f t="array" aca="1" ref="AR242" ca="1">SUM(IF(lsc_start_date=AO242,lsc_amount,0))</f>
        <v>0</v>
      </c>
      <c r="AS242" s="24">
        <f t="shared" ca="1" si="283"/>
        <v>0</v>
      </c>
      <c r="AT242" s="24">
        <f t="shared" ca="1" si="284"/>
        <v>0</v>
      </c>
      <c r="AU242" s="24">
        <f t="shared" ca="1" si="285"/>
        <v>0</v>
      </c>
      <c r="AV242" s="25">
        <f t="shared" ca="1" si="286"/>
        <v>0</v>
      </c>
      <c r="AW242" s="23">
        <f t="array" aca="1" ref="AW242" ca="1">SUM(IF(rcs_start_date&lt;=AO242,1,0)*IF(rcs_end_date&gt;=AO242,1,0)*rcs_amount*(1+rcs_escalation/100)^(INT((AP242-rcs_months_since_start)/12))*IF(MOD((AP242-rcs_months_since_start),rcs_frequency)=0,1,0)*IF(rcs_frequency=13,0,1))+SUM(IF(rcs_start_date=AO242,rcs_amount,0)*IF(rcs_frequency=13,1,0))</f>
        <v>0</v>
      </c>
      <c r="AX242" s="24">
        <f t="shared" ca="1" si="287"/>
        <v>0</v>
      </c>
      <c r="AY242" s="24">
        <f t="shared" ca="1" si="288"/>
        <v>0</v>
      </c>
      <c r="AZ242" s="24">
        <f t="shared" ca="1" si="289"/>
        <v>0</v>
      </c>
      <c r="BA242" s="25">
        <f t="shared" ca="1" si="290"/>
        <v>0</v>
      </c>
      <c r="BB242" s="23">
        <f t="array" aca="1" ref="BB242" ca="1">SUM(IF(w_start_date&lt;=AO242,1,0)*IF(w_end_date&gt;=AO242,1,0)*w_amount*(1+w_escalation/100)^(INT((AP242-w_months_since_start)/12))*IF(MOD(AP242-w_months_since_start,w_frequency)=0,1,0)*IF(w_frequency=13,0,1))+SUM(IF(w_start_date=AO242,w_amount,0)*IF(w_frequency=13,1,0))</f>
        <v>0</v>
      </c>
      <c r="BC242" s="25">
        <f t="shared" ca="1" si="291"/>
        <v>0</v>
      </c>
      <c r="BD242" s="24" t="b">
        <f t="shared" ca="1" si="292"/>
        <v>1</v>
      </c>
      <c r="BE242" s="24" t="b">
        <f t="shared" ca="1" si="293"/>
        <v>1</v>
      </c>
      <c r="BF242" s="23">
        <f t="array" aca="1" ref="BF242" ca="1">SUM(IF(BD242,1,0)*IF(ap_start_date&lt;=AO242,1,0)*IF(ap_end_date&gt;=AO242,1,0)*ap_amount*(1+ap_escalation/100)^(INT((AP242-ap_months_since_start)/12))*IF(MOD(AP242-ap_months_since_start,ap_frequency)=0,1,0))</f>
        <v>47899.916764184592</v>
      </c>
      <c r="BG242" s="24">
        <f t="shared" ca="1" si="294"/>
        <v>574799.00117021508</v>
      </c>
      <c r="BH242" s="24">
        <f t="shared" ca="1" si="295"/>
        <v>32049.374037664576</v>
      </c>
      <c r="BI242">
        <f t="shared" ca="1" si="296"/>
        <v>0</v>
      </c>
      <c r="BJ242" s="24">
        <f t="shared" ca="1" si="297"/>
        <v>224345.61826365202</v>
      </c>
      <c r="BK242">
        <f t="shared" ca="1" si="298"/>
        <v>1</v>
      </c>
      <c r="BL242" s="25">
        <f t="shared" ca="1" si="299"/>
        <v>18695.468188637671</v>
      </c>
      <c r="BM242" s="32">
        <f t="shared" ca="1" si="277"/>
        <v>1203286.5421655092</v>
      </c>
      <c r="BN242" s="23">
        <f t="shared" ca="1" si="300"/>
        <v>0</v>
      </c>
      <c r="BO242" s="24">
        <f t="shared" ca="1" si="301"/>
        <v>0</v>
      </c>
      <c r="BP242" s="25">
        <f t="shared" ca="1" si="302"/>
        <v>0</v>
      </c>
      <c r="BQ242" s="34">
        <f t="shared" ca="1" si="303"/>
        <v>52778</v>
      </c>
      <c r="BR242" s="23">
        <f t="shared" ca="1" si="304"/>
        <v>1203286.5421655092</v>
      </c>
      <c r="BS242" s="24">
        <f t="shared" ca="1" si="305"/>
        <v>0</v>
      </c>
      <c r="BT242" s="24">
        <f t="shared" ca="1" si="322"/>
        <v>0</v>
      </c>
      <c r="BU242" s="24">
        <f t="shared" ca="1" si="306"/>
        <v>0</v>
      </c>
      <c r="BV242" s="24">
        <f t="shared" ca="1" si="323"/>
        <v>0</v>
      </c>
      <c r="BW242" s="24">
        <f t="shared" ca="1" si="307"/>
        <v>-18695.468188637671</v>
      </c>
      <c r="BX242" s="25">
        <f t="shared" ca="1" si="324"/>
        <v>-232051.54076174513</v>
      </c>
      <c r="BY242" s="23">
        <f t="shared" ca="1" si="278"/>
        <v>558212.42395201244</v>
      </c>
      <c r="BZ242" s="24">
        <f t="shared" ca="1" si="279"/>
        <v>0</v>
      </c>
      <c r="CA242" s="24">
        <f t="shared" ca="1" si="325"/>
        <v>0</v>
      </c>
      <c r="CB242" s="24">
        <f t="shared" ca="1" si="280"/>
        <v>0</v>
      </c>
      <c r="CC242" s="24">
        <f t="shared" ca="1" si="326"/>
        <v>0</v>
      </c>
      <c r="CD242" s="24">
        <f t="shared" ca="1" si="281"/>
        <v>-8701.3418130066839</v>
      </c>
      <c r="CE242" s="25">
        <f t="shared" ca="1" si="327"/>
        <v>-110016.50402548739</v>
      </c>
      <c r="CF242" s="23">
        <f t="shared" ca="1" si="328"/>
        <v>567429.78320649441</v>
      </c>
      <c r="CG242" s="25">
        <f t="array" aca="1" ref="CG242" ca="1">SUM(BF231:BF242/(1+inflation/100)^(AP231:AP242/12))</f>
        <v>267980.53702225367</v>
      </c>
      <c r="CH242" s="32">
        <f ca="1">IFERROR(IF(MOD(AP242-ap_months_since_start,12)=0,ap_drawdown/100*(AQ242+AV242+BA242-BC242),CH241),0)</f>
        <v>197032.01576813246</v>
      </c>
    </row>
    <row r="243" spans="40:86" x14ac:dyDescent="0.25">
      <c r="AN243" s="32">
        <f t="shared" ca="1" si="276"/>
        <v>74.5</v>
      </c>
      <c r="AO243" s="53">
        <f t="shared" ca="1" si="309"/>
        <v>52779</v>
      </c>
      <c r="AP243" s="22">
        <v>236</v>
      </c>
      <c r="AQ243" s="32">
        <f t="shared" ca="1" si="310"/>
        <v>1203286.5421655092</v>
      </c>
      <c r="AR243" s="23">
        <f t="array" aca="1" ref="AR243" ca="1">SUM(IF(lsc_start_date=AO243,lsc_amount,0))</f>
        <v>0</v>
      </c>
      <c r="AS243" s="24">
        <f t="shared" ca="1" si="283"/>
        <v>0</v>
      </c>
      <c r="AT243" s="24">
        <f t="shared" ca="1" si="284"/>
        <v>0</v>
      </c>
      <c r="AU243" s="24">
        <f t="shared" ca="1" si="285"/>
        <v>0</v>
      </c>
      <c r="AV243" s="25">
        <f t="shared" ca="1" si="286"/>
        <v>0</v>
      </c>
      <c r="AW243" s="23">
        <f t="array" aca="1" ref="AW243" ca="1">SUM(IF(rcs_start_date&lt;=AO243,1,0)*IF(rcs_end_date&gt;=AO243,1,0)*rcs_amount*(1+rcs_escalation/100)^(INT((AP243-rcs_months_since_start)/12))*IF(MOD((AP243-rcs_months_since_start),rcs_frequency)=0,1,0)*IF(rcs_frequency=13,0,1))+SUM(IF(rcs_start_date=AO243,rcs_amount,0)*IF(rcs_frequency=13,1,0))</f>
        <v>0</v>
      </c>
      <c r="AX243" s="24">
        <f t="shared" ca="1" si="287"/>
        <v>0</v>
      </c>
      <c r="AY243" s="24">
        <f t="shared" ca="1" si="288"/>
        <v>0</v>
      </c>
      <c r="AZ243" s="24">
        <f t="shared" ca="1" si="289"/>
        <v>0</v>
      </c>
      <c r="BA243" s="25">
        <f t="shared" ca="1" si="290"/>
        <v>0</v>
      </c>
      <c r="BB243" s="23">
        <f t="array" aca="1" ref="BB243" ca="1">SUM(IF(w_start_date&lt;=AO243,1,0)*IF(w_end_date&gt;=AO243,1,0)*w_amount*(1+w_escalation/100)^(INT((AP243-w_months_since_start)/12))*IF(MOD(AP243-w_months_since_start,w_frequency)=0,1,0)*IF(w_frequency=13,0,1))+SUM(IF(w_start_date=AO243,w_amount,0)*IF(w_frequency=13,1,0))</f>
        <v>0</v>
      </c>
      <c r="BC243" s="25">
        <f t="shared" ca="1" si="291"/>
        <v>0</v>
      </c>
      <c r="BD243" s="24" t="b">
        <f t="shared" ca="1" si="292"/>
        <v>1</v>
      </c>
      <c r="BE243" s="24" t="b">
        <f t="shared" ca="1" si="293"/>
        <v>1</v>
      </c>
      <c r="BF243" s="23">
        <f t="array" aca="1" ref="BF243" ca="1">SUM(IF(BD243,1,0)*IF(ap_start_date&lt;=AO243,1,0)*IF(ap_end_date&gt;=AO243,1,0)*ap_amount*(1+ap_escalation/100)^(INT((AP243-ap_months_since_start)/12))*IF(MOD(AP243-ap_months_since_start,ap_frequency)=0,1,0))</f>
        <v>47899.916764184592</v>
      </c>
      <c r="BG243" s="24">
        <f t="shared" ca="1" si="294"/>
        <v>574799.00117021508</v>
      </c>
      <c r="BH243" s="24">
        <f t="shared" ca="1" si="295"/>
        <v>32049.374037664576</v>
      </c>
      <c r="BI243">
        <f t="shared" ca="1" si="296"/>
        <v>0</v>
      </c>
      <c r="BJ243" s="24">
        <f t="shared" ca="1" si="297"/>
        <v>224345.61826365202</v>
      </c>
      <c r="BK243">
        <f t="shared" ca="1" si="298"/>
        <v>1</v>
      </c>
      <c r="BL243" s="25">
        <f t="shared" ca="1" si="299"/>
        <v>18695.468188637671</v>
      </c>
      <c r="BM243" s="32">
        <f t="shared" ca="1" si="277"/>
        <v>1193128.8048444325</v>
      </c>
      <c r="BN243" s="23">
        <f t="shared" ca="1" si="300"/>
        <v>0</v>
      </c>
      <c r="BO243" s="24">
        <f t="shared" ca="1" si="301"/>
        <v>0</v>
      </c>
      <c r="BP243" s="25">
        <f t="shared" ca="1" si="302"/>
        <v>0</v>
      </c>
      <c r="BQ243" s="34">
        <f t="shared" ca="1" si="303"/>
        <v>52809</v>
      </c>
      <c r="BR243" s="23">
        <f t="shared" ca="1" si="304"/>
        <v>1193128.8048444325</v>
      </c>
      <c r="BS243" s="24">
        <f t="shared" ca="1" si="305"/>
        <v>0</v>
      </c>
      <c r="BT243" s="24">
        <f t="shared" ca="1" si="322"/>
        <v>0</v>
      </c>
      <c r="BU243" s="24">
        <f t="shared" ca="1" si="306"/>
        <v>0</v>
      </c>
      <c r="BV243" s="24">
        <f t="shared" ca="1" si="323"/>
        <v>0</v>
      </c>
      <c r="BW243" s="24">
        <f t="shared" ca="1" si="307"/>
        <v>-18695.468188637671</v>
      </c>
      <c r="BX243" s="25">
        <f t="shared" ca="1" si="324"/>
        <v>-230125.06013722185</v>
      </c>
      <c r="BY243" s="23">
        <f t="shared" ca="1" si="278"/>
        <v>551694.0809284437</v>
      </c>
      <c r="BZ243" s="24">
        <f t="shared" ca="1" si="279"/>
        <v>0</v>
      </c>
      <c r="CA243" s="24">
        <f t="shared" ca="1" si="325"/>
        <v>0</v>
      </c>
      <c r="CB243" s="24">
        <f t="shared" ca="1" si="280"/>
        <v>0</v>
      </c>
      <c r="CC243" s="24">
        <f t="shared" ca="1" si="326"/>
        <v>0</v>
      </c>
      <c r="CD243" s="24">
        <f t="shared" ca="1" si="281"/>
        <v>-8672.9488353753404</v>
      </c>
      <c r="CE243" s="25">
        <f t="shared" ca="1" si="327"/>
        <v>-108740.13095337433</v>
      </c>
      <c r="CF243" s="23">
        <f t="shared" ca="1" si="328"/>
        <v>569272.08769742458</v>
      </c>
      <c r="CG243" s="25">
        <f t="array" aca="1" ref="CG243" ca="1">SUM(BF232:BF243/(1+inflation/100)^(AP232:AP243/12))</f>
        <v>267980.53702225367</v>
      </c>
      <c r="CH243" s="32">
        <f ca="1">IFERROR(IF(MOD(AP243-ap_months_since_start,12)=0,ap_drawdown/100*(AQ243+AV243+BA243-BC243),CH242),0)</f>
        <v>197032.01576813246</v>
      </c>
    </row>
    <row r="244" spans="40:86" x14ac:dyDescent="0.25">
      <c r="AN244" s="32">
        <f t="shared" ca="1" si="276"/>
        <v>74.583333333333329</v>
      </c>
      <c r="AO244" s="53">
        <f t="shared" ca="1" si="309"/>
        <v>52810</v>
      </c>
      <c r="AP244" s="22">
        <v>237</v>
      </c>
      <c r="AQ244" s="32">
        <f t="shared" ca="1" si="310"/>
        <v>1193128.8048444325</v>
      </c>
      <c r="AR244" s="23">
        <f t="array" aca="1" ref="AR244" ca="1">SUM(IF(lsc_start_date=AO244,lsc_amount,0))</f>
        <v>0</v>
      </c>
      <c r="AS244" s="24">
        <f t="shared" ca="1" si="283"/>
        <v>0</v>
      </c>
      <c r="AT244" s="24">
        <f t="shared" ca="1" si="284"/>
        <v>0</v>
      </c>
      <c r="AU244" s="24">
        <f t="shared" ca="1" si="285"/>
        <v>0</v>
      </c>
      <c r="AV244" s="25">
        <f t="shared" ca="1" si="286"/>
        <v>0</v>
      </c>
      <c r="AW244" s="23">
        <f t="array" aca="1" ref="AW244" ca="1">SUM(IF(rcs_start_date&lt;=AO244,1,0)*IF(rcs_end_date&gt;=AO244,1,0)*rcs_amount*(1+rcs_escalation/100)^(INT((AP244-rcs_months_since_start)/12))*IF(MOD((AP244-rcs_months_since_start),rcs_frequency)=0,1,0)*IF(rcs_frequency=13,0,1))+SUM(IF(rcs_start_date=AO244,rcs_amount,0)*IF(rcs_frequency=13,1,0))</f>
        <v>0</v>
      </c>
      <c r="AX244" s="24">
        <f t="shared" ca="1" si="287"/>
        <v>0</v>
      </c>
      <c r="AY244" s="24">
        <f t="shared" ca="1" si="288"/>
        <v>0</v>
      </c>
      <c r="AZ244" s="24">
        <f t="shared" ca="1" si="289"/>
        <v>0</v>
      </c>
      <c r="BA244" s="25">
        <f t="shared" ca="1" si="290"/>
        <v>0</v>
      </c>
      <c r="BB244" s="23">
        <f t="array" aca="1" ref="BB244" ca="1">SUM(IF(w_start_date&lt;=AO244,1,0)*IF(w_end_date&gt;=AO244,1,0)*w_amount*(1+w_escalation/100)^(INT((AP244-w_months_since_start)/12))*IF(MOD(AP244-w_months_since_start,w_frequency)=0,1,0)*IF(w_frequency=13,0,1))+SUM(IF(w_start_date=AO244,w_amount,0)*IF(w_frequency=13,1,0))</f>
        <v>0</v>
      </c>
      <c r="BC244" s="25">
        <f t="shared" ca="1" si="291"/>
        <v>0</v>
      </c>
      <c r="BD244" s="24" t="b">
        <f t="shared" ca="1" si="292"/>
        <v>1</v>
      </c>
      <c r="BE244" s="24" t="b">
        <f t="shared" ca="1" si="293"/>
        <v>1</v>
      </c>
      <c r="BF244" s="23">
        <f t="array" aca="1" ref="BF244" ca="1">SUM(IF(BD244,1,0)*IF(ap_start_date&lt;=AO244,1,0)*IF(ap_end_date&gt;=AO244,1,0)*ap_amount*(1+ap_escalation/100)^(INT((AP244-ap_months_since_start)/12))*IF(MOD(AP244-ap_months_since_start,ap_frequency)=0,1,0))</f>
        <v>47899.916764184592</v>
      </c>
      <c r="BG244" s="24">
        <f t="shared" ca="1" si="294"/>
        <v>574799.00117021508</v>
      </c>
      <c r="BH244" s="24">
        <f t="shared" ca="1" si="295"/>
        <v>32049.374037664576</v>
      </c>
      <c r="BI244">
        <f t="shared" ca="1" si="296"/>
        <v>0</v>
      </c>
      <c r="BJ244" s="24">
        <f t="shared" ca="1" si="297"/>
        <v>224345.61826365202</v>
      </c>
      <c r="BK244">
        <f t="shared" ca="1" si="298"/>
        <v>1</v>
      </c>
      <c r="BL244" s="25">
        <f t="shared" ca="1" si="299"/>
        <v>18695.468188637671</v>
      </c>
      <c r="BM244" s="32">
        <f t="shared" ca="1" si="277"/>
        <v>1182897.8574263225</v>
      </c>
      <c r="BN244" s="23">
        <f t="shared" ca="1" si="300"/>
        <v>0</v>
      </c>
      <c r="BO244" s="24">
        <f t="shared" ca="1" si="301"/>
        <v>0</v>
      </c>
      <c r="BP244" s="25">
        <f t="shared" ca="1" si="302"/>
        <v>0</v>
      </c>
      <c r="BQ244" s="34">
        <f t="shared" ca="1" si="303"/>
        <v>52840</v>
      </c>
      <c r="BR244" s="23">
        <f t="shared" ca="1" si="304"/>
        <v>1182897.8574263225</v>
      </c>
      <c r="BS244" s="24">
        <f t="shared" ca="1" si="305"/>
        <v>0</v>
      </c>
      <c r="BT244" s="24">
        <f t="shared" ca="1" si="322"/>
        <v>0</v>
      </c>
      <c r="BU244" s="24">
        <f t="shared" ca="1" si="306"/>
        <v>0</v>
      </c>
      <c r="BV244" s="24">
        <f t="shared" ca="1" si="323"/>
        <v>0</v>
      </c>
      <c r="BW244" s="24">
        <f t="shared" ca="1" si="307"/>
        <v>-18695.468188637671</v>
      </c>
      <c r="BX244" s="25">
        <f t="shared" ca="1" si="324"/>
        <v>-228198.57951269858</v>
      </c>
      <c r="BY244" s="23">
        <f t="shared" ca="1" si="278"/>
        <v>545178.59241251601</v>
      </c>
      <c r="BZ244" s="24">
        <f t="shared" ca="1" si="279"/>
        <v>0</v>
      </c>
      <c r="CA244" s="24">
        <f t="shared" ca="1" si="325"/>
        <v>0</v>
      </c>
      <c r="CB244" s="24">
        <f t="shared" ca="1" si="280"/>
        <v>0</v>
      </c>
      <c r="CC244" s="24">
        <f t="shared" ca="1" si="326"/>
        <v>0</v>
      </c>
      <c r="CD244" s="24">
        <f t="shared" ca="1" si="281"/>
        <v>-8644.6485056592392</v>
      </c>
      <c r="CE244" s="25">
        <f t="shared" ca="1" si="327"/>
        <v>-107467.9227598357</v>
      </c>
      <c r="CF244" s="23">
        <f t="shared" ca="1" si="328"/>
        <v>571114.39218835474</v>
      </c>
      <c r="CG244" s="25">
        <f t="array" aca="1" ref="CG244" ca="1">SUM(BF233:BF244/(1+inflation/100)^(AP233:AP244/12))</f>
        <v>267980.53702225373</v>
      </c>
      <c r="CH244" s="32">
        <f ca="1">IFERROR(IF(MOD(AP244-ap_months_since_start,12)=0,ap_drawdown/100*(AQ244+AV244+BA244-BC244),CH243),0)</f>
        <v>197032.01576813246</v>
      </c>
    </row>
    <row r="245" spans="40:86" x14ac:dyDescent="0.25">
      <c r="AN245" s="32">
        <f t="shared" ca="1" si="276"/>
        <v>74.666666666666671</v>
      </c>
      <c r="AO245" s="53">
        <f t="shared" ca="1" si="309"/>
        <v>52841</v>
      </c>
      <c r="AP245" s="22">
        <v>238</v>
      </c>
      <c r="AQ245" s="32">
        <f t="shared" ca="1" si="310"/>
        <v>1182897.8574263225</v>
      </c>
      <c r="AR245" s="23">
        <f t="array" aca="1" ref="AR245" ca="1">SUM(IF(lsc_start_date=AO245,lsc_amount,0))</f>
        <v>0</v>
      </c>
      <c r="AS245" s="24">
        <f t="shared" ca="1" si="283"/>
        <v>0</v>
      </c>
      <c r="AT245" s="24">
        <f t="shared" ca="1" si="284"/>
        <v>0</v>
      </c>
      <c r="AU245" s="24">
        <f t="shared" ca="1" si="285"/>
        <v>0</v>
      </c>
      <c r="AV245" s="25">
        <f t="shared" ca="1" si="286"/>
        <v>0</v>
      </c>
      <c r="AW245" s="23">
        <f t="array" aca="1" ref="AW245" ca="1">SUM(IF(rcs_start_date&lt;=AO245,1,0)*IF(rcs_end_date&gt;=AO245,1,0)*rcs_amount*(1+rcs_escalation/100)^(INT((AP245-rcs_months_since_start)/12))*IF(MOD((AP245-rcs_months_since_start),rcs_frequency)=0,1,0)*IF(rcs_frequency=13,0,1))+SUM(IF(rcs_start_date=AO245,rcs_amount,0)*IF(rcs_frequency=13,1,0))</f>
        <v>0</v>
      </c>
      <c r="AX245" s="24">
        <f t="shared" ca="1" si="287"/>
        <v>0</v>
      </c>
      <c r="AY245" s="24">
        <f t="shared" ca="1" si="288"/>
        <v>0</v>
      </c>
      <c r="AZ245" s="24">
        <f t="shared" ca="1" si="289"/>
        <v>0</v>
      </c>
      <c r="BA245" s="25">
        <f t="shared" ca="1" si="290"/>
        <v>0</v>
      </c>
      <c r="BB245" s="23">
        <f t="array" aca="1" ref="BB245" ca="1">SUM(IF(w_start_date&lt;=AO245,1,0)*IF(w_end_date&gt;=AO245,1,0)*w_amount*(1+w_escalation/100)^(INT((AP245-w_months_since_start)/12))*IF(MOD(AP245-w_months_since_start,w_frequency)=0,1,0)*IF(w_frequency=13,0,1))+SUM(IF(w_start_date=AO245,w_amount,0)*IF(w_frequency=13,1,0))</f>
        <v>0</v>
      </c>
      <c r="BC245" s="25">
        <f t="shared" ca="1" si="291"/>
        <v>0</v>
      </c>
      <c r="BD245" s="24" t="b">
        <f t="shared" ca="1" si="292"/>
        <v>1</v>
      </c>
      <c r="BE245" s="24" t="b">
        <f t="shared" ca="1" si="293"/>
        <v>1</v>
      </c>
      <c r="BF245" s="23">
        <f t="array" aca="1" ref="BF245" ca="1">SUM(IF(BD245,1,0)*IF(ap_start_date&lt;=AO245,1,0)*IF(ap_end_date&gt;=AO245,1,0)*ap_amount*(1+ap_escalation/100)^(INT((AP245-ap_months_since_start)/12))*IF(MOD(AP245-ap_months_since_start,ap_frequency)=0,1,0))</f>
        <v>47899.916764184592</v>
      </c>
      <c r="BG245" s="24">
        <f t="shared" ca="1" si="294"/>
        <v>574799.00117021508</v>
      </c>
      <c r="BH245" s="24">
        <f t="shared" ca="1" si="295"/>
        <v>32049.374037664576</v>
      </c>
      <c r="BI245">
        <f t="shared" ca="1" si="296"/>
        <v>0</v>
      </c>
      <c r="BJ245" s="24">
        <f t="shared" ca="1" si="297"/>
        <v>224345.61826365202</v>
      </c>
      <c r="BK245">
        <f t="shared" ca="1" si="298"/>
        <v>1</v>
      </c>
      <c r="BL245" s="25">
        <f t="shared" ca="1" si="299"/>
        <v>18695.468188637671</v>
      </c>
      <c r="BM245" s="32">
        <f t="shared" ca="1" si="277"/>
        <v>1172593.1722623396</v>
      </c>
      <c r="BN245" s="23">
        <f t="shared" ca="1" si="300"/>
        <v>0</v>
      </c>
      <c r="BO245" s="24">
        <f t="shared" ca="1" si="301"/>
        <v>0</v>
      </c>
      <c r="BP245" s="25">
        <f t="shared" ca="1" si="302"/>
        <v>0</v>
      </c>
      <c r="BQ245" s="34">
        <f t="shared" ca="1" si="303"/>
        <v>52870</v>
      </c>
      <c r="BR245" s="23">
        <f t="shared" ca="1" si="304"/>
        <v>1172593.1722623396</v>
      </c>
      <c r="BS245" s="24">
        <f t="shared" ca="1" si="305"/>
        <v>0</v>
      </c>
      <c r="BT245" s="24">
        <f t="shared" ca="1" si="322"/>
        <v>0</v>
      </c>
      <c r="BU245" s="24">
        <f t="shared" ca="1" si="306"/>
        <v>0</v>
      </c>
      <c r="BV245" s="24">
        <f t="shared" ca="1" si="323"/>
        <v>0</v>
      </c>
      <c r="BW245" s="24">
        <f t="shared" ca="1" si="307"/>
        <v>-18695.468188637671</v>
      </c>
      <c r="BX245" s="25">
        <f t="shared" ca="1" si="324"/>
        <v>-226272.09888817527</v>
      </c>
      <c r="BY245" s="23">
        <f t="shared" ca="1" si="278"/>
        <v>538665.87688837096</v>
      </c>
      <c r="BZ245" s="24">
        <f t="shared" ca="1" si="279"/>
        <v>0</v>
      </c>
      <c r="CA245" s="24">
        <f t="shared" ca="1" si="325"/>
        <v>0</v>
      </c>
      <c r="CB245" s="24">
        <f t="shared" ca="1" si="280"/>
        <v>0</v>
      </c>
      <c r="CC245" s="24">
        <f t="shared" ca="1" si="326"/>
        <v>0</v>
      </c>
      <c r="CD245" s="24">
        <f t="shared" ca="1" si="281"/>
        <v>-8616.4405215429106</v>
      </c>
      <c r="CE245" s="25">
        <f t="shared" ca="1" si="327"/>
        <v>-106199.86585463374</v>
      </c>
      <c r="CF245" s="23">
        <f t="shared" ca="1" si="328"/>
        <v>572956.69667928491</v>
      </c>
      <c r="CG245" s="25">
        <f t="array" aca="1" ref="CG245" ca="1">SUM(BF234:BF245/(1+inflation/100)^(AP234:AP245/12))</f>
        <v>267980.53702225373</v>
      </c>
      <c r="CH245" s="32">
        <f ca="1">IFERROR(IF(MOD(AP245-ap_months_since_start,12)=0,ap_drawdown/100*(AQ245+AV245+BA245-BC245),CH244),0)</f>
        <v>197032.01576813246</v>
      </c>
    </row>
    <row r="246" spans="40:86" x14ac:dyDescent="0.25">
      <c r="AN246" s="32">
        <f t="shared" ca="1" si="276"/>
        <v>74.75</v>
      </c>
      <c r="AO246" s="53">
        <f t="shared" ca="1" si="309"/>
        <v>52871</v>
      </c>
      <c r="AP246" s="22">
        <v>239</v>
      </c>
      <c r="AQ246" s="32">
        <f t="shared" ca="1" si="310"/>
        <v>1172593.1722623396</v>
      </c>
      <c r="AR246" s="23">
        <f t="array" aca="1" ref="AR246" ca="1">SUM(IF(lsc_start_date=AO246,lsc_amount,0))</f>
        <v>0</v>
      </c>
      <c r="AS246" s="24">
        <f t="shared" ca="1" si="283"/>
        <v>0</v>
      </c>
      <c r="AT246" s="24">
        <f t="shared" ca="1" si="284"/>
        <v>0</v>
      </c>
      <c r="AU246" s="24">
        <f t="shared" ca="1" si="285"/>
        <v>0</v>
      </c>
      <c r="AV246" s="25">
        <f t="shared" ca="1" si="286"/>
        <v>0</v>
      </c>
      <c r="AW246" s="23">
        <f t="array" aca="1" ref="AW246" ca="1">SUM(IF(rcs_start_date&lt;=AO246,1,0)*IF(rcs_end_date&gt;=AO246,1,0)*rcs_amount*(1+rcs_escalation/100)^(INT((AP246-rcs_months_since_start)/12))*IF(MOD((AP246-rcs_months_since_start),rcs_frequency)=0,1,0)*IF(rcs_frequency=13,0,1))+SUM(IF(rcs_start_date=AO246,rcs_amount,0)*IF(rcs_frequency=13,1,0))</f>
        <v>0</v>
      </c>
      <c r="AX246" s="24">
        <f t="shared" ca="1" si="287"/>
        <v>0</v>
      </c>
      <c r="AY246" s="24">
        <f t="shared" ca="1" si="288"/>
        <v>0</v>
      </c>
      <c r="AZ246" s="24">
        <f t="shared" ca="1" si="289"/>
        <v>0</v>
      </c>
      <c r="BA246" s="25">
        <f t="shared" ca="1" si="290"/>
        <v>0</v>
      </c>
      <c r="BB246" s="23">
        <f t="array" aca="1" ref="BB246" ca="1">SUM(IF(w_start_date&lt;=AO246,1,0)*IF(w_end_date&gt;=AO246,1,0)*w_amount*(1+w_escalation/100)^(INT((AP246-w_months_since_start)/12))*IF(MOD(AP246-w_months_since_start,w_frequency)=0,1,0)*IF(w_frequency=13,0,1))+SUM(IF(w_start_date=AO246,w_amount,0)*IF(w_frequency=13,1,0))</f>
        <v>0</v>
      </c>
      <c r="BC246" s="25">
        <f t="shared" ca="1" si="291"/>
        <v>0</v>
      </c>
      <c r="BD246" s="24" t="b">
        <f t="shared" ca="1" si="292"/>
        <v>1</v>
      </c>
      <c r="BE246" s="24" t="b">
        <f t="shared" ca="1" si="293"/>
        <v>1</v>
      </c>
      <c r="BF246" s="23">
        <f t="array" aca="1" ref="BF246" ca="1">SUM(IF(BD246,1,0)*IF(ap_start_date&lt;=AO246,1,0)*IF(ap_end_date&gt;=AO246,1,0)*ap_amount*(1+ap_escalation/100)^(INT((AP246-ap_months_since_start)/12))*IF(MOD(AP246-ap_months_since_start,ap_frequency)=0,1,0))</f>
        <v>47899.916764184592</v>
      </c>
      <c r="BG246" s="24">
        <f t="shared" ca="1" si="294"/>
        <v>574799.00117021508</v>
      </c>
      <c r="BH246" s="24">
        <f t="shared" ca="1" si="295"/>
        <v>32049.374037664576</v>
      </c>
      <c r="BI246">
        <f t="shared" ca="1" si="296"/>
        <v>0</v>
      </c>
      <c r="BJ246" s="24">
        <f t="shared" ca="1" si="297"/>
        <v>224345.61826365202</v>
      </c>
      <c r="BK246">
        <f t="shared" ca="1" si="298"/>
        <v>1</v>
      </c>
      <c r="BL246" s="25">
        <f t="shared" ca="1" si="299"/>
        <v>18695.468188637671</v>
      </c>
      <c r="BM246" s="32">
        <f t="shared" ca="1" si="277"/>
        <v>1162214.217900709</v>
      </c>
      <c r="BN246" s="23">
        <f t="shared" ca="1" si="300"/>
        <v>0</v>
      </c>
      <c r="BO246" s="24">
        <f t="shared" ca="1" si="301"/>
        <v>0</v>
      </c>
      <c r="BP246" s="25">
        <f t="shared" ca="1" si="302"/>
        <v>0</v>
      </c>
      <c r="BQ246" s="34">
        <f t="shared" ca="1" si="303"/>
        <v>52901</v>
      </c>
      <c r="BR246" s="23">
        <f t="shared" ca="1" si="304"/>
        <v>1162214.217900709</v>
      </c>
      <c r="BS246" s="24">
        <f t="shared" ca="1" si="305"/>
        <v>0</v>
      </c>
      <c r="BT246" s="24">
        <f t="shared" ca="1" si="322"/>
        <v>0</v>
      </c>
      <c r="BU246" s="24">
        <f t="shared" ca="1" si="306"/>
        <v>0</v>
      </c>
      <c r="BV246" s="24">
        <f t="shared" ca="1" si="323"/>
        <v>0</v>
      </c>
      <c r="BW246" s="24">
        <f t="shared" ca="1" si="307"/>
        <v>-18695.468188637671</v>
      </c>
      <c r="BX246" s="25">
        <f t="shared" ca="1" si="324"/>
        <v>-224345.618263652</v>
      </c>
      <c r="BY246" s="23">
        <f t="shared" ca="1" si="278"/>
        <v>532155.85282305721</v>
      </c>
      <c r="BZ246" s="24">
        <f t="shared" ca="1" si="279"/>
        <v>0</v>
      </c>
      <c r="CA246" s="24">
        <f t="shared" ca="1" si="325"/>
        <v>0</v>
      </c>
      <c r="CB246" s="24">
        <f t="shared" ca="1" si="280"/>
        <v>0</v>
      </c>
      <c r="CC246" s="24">
        <f t="shared" ca="1" si="326"/>
        <v>0</v>
      </c>
      <c r="CD246" s="24">
        <f t="shared" ca="1" si="281"/>
        <v>-8588.324581697374</v>
      </c>
      <c r="CE246" s="25">
        <f t="shared" ca="1" si="327"/>
        <v>-104935.94669187636</v>
      </c>
      <c r="CF246" s="23">
        <f t="shared" ca="1" si="328"/>
        <v>574799.00117021508</v>
      </c>
      <c r="CG246" s="25">
        <f t="array" aca="1" ref="CG246" ca="1">SUM(BF235:BF246/(1+inflation/100)^(AP235:AP246/12))</f>
        <v>267980.53702225373</v>
      </c>
      <c r="CH246" s="32">
        <f ca="1">IFERROR(IF(MOD(AP246-ap_months_since_start,12)=0,ap_drawdown/100*(AQ246+AV246+BA246-BC246),CH245),0)</f>
        <v>197032.01576813246</v>
      </c>
    </row>
    <row r="247" spans="40:86" x14ac:dyDescent="0.25">
      <c r="AN247" s="32">
        <f t="shared" ca="1" si="276"/>
        <v>74.833333333333329</v>
      </c>
      <c r="AO247" s="53">
        <f t="shared" ca="1" si="309"/>
        <v>52902</v>
      </c>
      <c r="AP247" s="22">
        <v>240</v>
      </c>
      <c r="AQ247" s="32">
        <f t="shared" ca="1" si="310"/>
        <v>1162214.217900709</v>
      </c>
      <c r="AR247" s="23">
        <f t="array" aca="1" ref="AR247" ca="1">SUM(IF(lsc_start_date=AO247,lsc_amount,0))</f>
        <v>0</v>
      </c>
      <c r="AS247" s="24">
        <f t="shared" ca="1" si="283"/>
        <v>0</v>
      </c>
      <c r="AT247" s="24">
        <f t="shared" ca="1" si="284"/>
        <v>0</v>
      </c>
      <c r="AU247" s="24">
        <f t="shared" ca="1" si="285"/>
        <v>0</v>
      </c>
      <c r="AV247" s="25">
        <f t="shared" ca="1" si="286"/>
        <v>0</v>
      </c>
      <c r="AW247" s="23">
        <f t="array" aca="1" ref="AW247" ca="1">SUM(IF(rcs_start_date&lt;=AO247,1,0)*IF(rcs_end_date&gt;=AO247,1,0)*rcs_amount*(1+rcs_escalation/100)^(INT((AP247-rcs_months_since_start)/12))*IF(MOD((AP247-rcs_months_since_start),rcs_frequency)=0,1,0)*IF(rcs_frequency=13,0,1))+SUM(IF(rcs_start_date=AO247,rcs_amount,0)*IF(rcs_frequency=13,1,0))</f>
        <v>0</v>
      </c>
      <c r="AX247" s="24">
        <f t="shared" ca="1" si="287"/>
        <v>0</v>
      </c>
      <c r="AY247" s="24">
        <f t="shared" ca="1" si="288"/>
        <v>0</v>
      </c>
      <c r="AZ247" s="24">
        <f t="shared" ca="1" si="289"/>
        <v>0</v>
      </c>
      <c r="BA247" s="25">
        <f t="shared" ca="1" si="290"/>
        <v>0</v>
      </c>
      <c r="BB247" s="23">
        <f t="array" aca="1" ref="BB247" ca="1">SUM(IF(w_start_date&lt;=AO247,1,0)*IF(w_end_date&gt;=AO247,1,0)*w_amount*(1+w_escalation/100)^(INT((AP247-w_months_since_start)/12))*IF(MOD(AP247-w_months_since_start,w_frequency)=0,1,0)*IF(w_frequency=13,0,1))+SUM(IF(w_start_date=AO247,w_amount,0)*IF(w_frequency=13,1,0))</f>
        <v>0</v>
      </c>
      <c r="BC247" s="25">
        <f t="shared" ca="1" si="291"/>
        <v>0</v>
      </c>
      <c r="BD247" s="24" t="b">
        <f t="shared" ca="1" si="292"/>
        <v>1</v>
      </c>
      <c r="BE247" s="24" t="b">
        <f t="shared" ca="1" si="293"/>
        <v>1</v>
      </c>
      <c r="BF247" s="23">
        <f t="array" aca="1" ref="BF247" ca="1">SUM(IF(BD247,1,0)*IF(ap_start_date&lt;=AO247,1,0)*IF(ap_end_date&gt;=AO247,1,0)*ap_amount*(1+ap_escalation/100)^(INT((AP247-ap_months_since_start)/12))*IF(MOD(AP247-ap_months_since_start,ap_frequency)=0,1,0))</f>
        <v>49815.913434751979</v>
      </c>
      <c r="BG247" s="24">
        <f t="shared" ca="1" si="294"/>
        <v>597790.96121702378</v>
      </c>
      <c r="BH247" s="24">
        <f t="shared" ca="1" si="295"/>
        <v>29055.355447517726</v>
      </c>
      <c r="BI247">
        <f t="shared" ca="1" si="296"/>
        <v>0</v>
      </c>
      <c r="BJ247" s="24">
        <f t="shared" ca="1" si="297"/>
        <v>203387.48813262407</v>
      </c>
      <c r="BK247">
        <f t="shared" ca="1" si="298"/>
        <v>1</v>
      </c>
      <c r="BL247" s="25">
        <f t="shared" ca="1" si="299"/>
        <v>16948.957344385337</v>
      </c>
      <c r="BM247" s="32">
        <f t="shared" ca="1" si="277"/>
        <v>1153519.5575718926</v>
      </c>
      <c r="BN247" s="23">
        <f t="shared" ca="1" si="300"/>
        <v>0</v>
      </c>
      <c r="BO247" s="24">
        <f t="shared" ca="1" si="301"/>
        <v>0</v>
      </c>
      <c r="BP247" s="25">
        <f t="shared" ca="1" si="302"/>
        <v>0</v>
      </c>
      <c r="BQ247" s="34">
        <f t="shared" ca="1" si="303"/>
        <v>52931</v>
      </c>
      <c r="BR247" s="23">
        <f t="shared" ca="1" si="304"/>
        <v>1153519.5575718926</v>
      </c>
      <c r="BS247" s="24">
        <f t="shared" ca="1" si="305"/>
        <v>0</v>
      </c>
      <c r="BT247" s="24">
        <f t="shared" ca="1" si="322"/>
        <v>0</v>
      </c>
      <c r="BU247" s="24">
        <f t="shared" ca="1" si="306"/>
        <v>0</v>
      </c>
      <c r="BV247" s="24">
        <f t="shared" ca="1" si="323"/>
        <v>0</v>
      </c>
      <c r="BW247" s="24">
        <f t="shared" ca="1" si="307"/>
        <v>-16948.957344385337</v>
      </c>
      <c r="BX247" s="25">
        <f t="shared" ca="1" si="324"/>
        <v>-222599.10741939966</v>
      </c>
      <c r="BY247" s="23">
        <f t="shared" ca="1" si="278"/>
        <v>526451.26826370158</v>
      </c>
      <c r="BZ247" s="24">
        <f t="shared" ca="1" si="279"/>
        <v>0</v>
      </c>
      <c r="CA247" s="24">
        <f t="shared" ca="1" si="325"/>
        <v>0</v>
      </c>
      <c r="CB247" s="24">
        <f t="shared" ca="1" si="280"/>
        <v>0</v>
      </c>
      <c r="CC247" s="24">
        <f t="shared" ca="1" si="326"/>
        <v>0</v>
      </c>
      <c r="CD247" s="24">
        <f t="shared" ca="1" si="281"/>
        <v>-7760.6061870029162</v>
      </c>
      <c r="CE247" s="25">
        <f t="shared" ca="1" si="327"/>
        <v>-103793.84047767133</v>
      </c>
      <c r="CF247" s="23">
        <f t="shared" ca="1" si="328"/>
        <v>576714.99784078251</v>
      </c>
      <c r="CG247" s="25">
        <f t="array" aca="1" ref="CG247" ca="1">SUM(BF236:BF247/(1+inflation/100)^(AP236:AP247/12))</f>
        <v>267980.53702225379</v>
      </c>
      <c r="CH247" s="32">
        <f ca="1">IFERROR(IF(MOD(AP247-ap_months_since_start,12)=0,ap_drawdown/100*(AQ247+AV247+BA247-BC247),CH246),0)</f>
        <v>178625.49346380847</v>
      </c>
    </row>
    <row r="248" spans="40:86" x14ac:dyDescent="0.25">
      <c r="AN248" s="32">
        <f t="shared" ca="1" si="276"/>
        <v>74.916666666666671</v>
      </c>
      <c r="AO248" s="53">
        <f t="shared" ca="1" si="309"/>
        <v>52932</v>
      </c>
      <c r="AP248" s="22">
        <v>241</v>
      </c>
      <c r="AQ248" s="32">
        <f t="shared" ca="1" si="310"/>
        <v>1153519.5575718926</v>
      </c>
      <c r="AR248" s="23">
        <f t="array" aca="1" ref="AR248" ca="1">SUM(IF(lsc_start_date=AO248,lsc_amount,0))</f>
        <v>0</v>
      </c>
      <c r="AS248" s="24">
        <f t="shared" ca="1" si="283"/>
        <v>0</v>
      </c>
      <c r="AT248" s="24">
        <f t="shared" ca="1" si="284"/>
        <v>0</v>
      </c>
      <c r="AU248" s="24">
        <f t="shared" ca="1" si="285"/>
        <v>0</v>
      </c>
      <c r="AV248" s="25">
        <f t="shared" ca="1" si="286"/>
        <v>0</v>
      </c>
      <c r="AW248" s="23">
        <f t="array" aca="1" ref="AW248" ca="1">SUM(IF(rcs_start_date&lt;=AO248,1,0)*IF(rcs_end_date&gt;=AO248,1,0)*rcs_amount*(1+rcs_escalation/100)^(INT((AP248-rcs_months_since_start)/12))*IF(MOD((AP248-rcs_months_since_start),rcs_frequency)=0,1,0)*IF(rcs_frequency=13,0,1))+SUM(IF(rcs_start_date=AO248,rcs_amount,0)*IF(rcs_frequency=13,1,0))</f>
        <v>0</v>
      </c>
      <c r="AX248" s="24">
        <f t="shared" ca="1" si="287"/>
        <v>0</v>
      </c>
      <c r="AY248" s="24">
        <f t="shared" ca="1" si="288"/>
        <v>0</v>
      </c>
      <c r="AZ248" s="24">
        <f t="shared" ca="1" si="289"/>
        <v>0</v>
      </c>
      <c r="BA248" s="25">
        <f t="shared" ca="1" si="290"/>
        <v>0</v>
      </c>
      <c r="BB248" s="23">
        <f t="array" aca="1" ref="BB248" ca="1">SUM(IF(w_start_date&lt;=AO248,1,0)*IF(w_end_date&gt;=AO248,1,0)*w_amount*(1+w_escalation/100)^(INT((AP248-w_months_since_start)/12))*IF(MOD(AP248-w_months_since_start,w_frequency)=0,1,0)*IF(w_frequency=13,0,1))+SUM(IF(w_start_date=AO248,w_amount,0)*IF(w_frequency=13,1,0))</f>
        <v>0</v>
      </c>
      <c r="BC248" s="25">
        <f t="shared" ca="1" si="291"/>
        <v>0</v>
      </c>
      <c r="BD248" s="24" t="b">
        <f t="shared" ca="1" si="292"/>
        <v>1</v>
      </c>
      <c r="BE248" s="24" t="b">
        <f t="shared" ca="1" si="293"/>
        <v>1</v>
      </c>
      <c r="BF248" s="23">
        <f t="array" aca="1" ref="BF248" ca="1">SUM(IF(BD248,1,0)*IF(ap_start_date&lt;=AO248,1,0)*IF(ap_end_date&gt;=AO248,1,0)*ap_amount*(1+ap_escalation/100)^(INT((AP248-ap_months_since_start)/12))*IF(MOD(AP248-ap_months_since_start,ap_frequency)=0,1,0))</f>
        <v>49815.913434751979</v>
      </c>
      <c r="BG248" s="24">
        <f t="shared" ca="1" si="294"/>
        <v>597790.96121702378</v>
      </c>
      <c r="BH248" s="24">
        <f t="shared" ca="1" si="295"/>
        <v>29055.355447517726</v>
      </c>
      <c r="BI248">
        <f t="shared" ca="1" si="296"/>
        <v>0</v>
      </c>
      <c r="BJ248" s="24">
        <f t="shared" ca="1" si="297"/>
        <v>203387.48813262407</v>
      </c>
      <c r="BK248">
        <f t="shared" ca="1" si="298"/>
        <v>1</v>
      </c>
      <c r="BL248" s="25">
        <f t="shared" ca="1" si="299"/>
        <v>16948.957344385337</v>
      </c>
      <c r="BM248" s="32">
        <f t="shared" ca="1" si="277"/>
        <v>1144762.2320149625</v>
      </c>
      <c r="BN248" s="23">
        <f t="shared" ca="1" si="300"/>
        <v>0</v>
      </c>
      <c r="BO248" s="24">
        <f t="shared" ca="1" si="301"/>
        <v>0</v>
      </c>
      <c r="BP248" s="25">
        <f t="shared" ca="1" si="302"/>
        <v>0</v>
      </c>
      <c r="BQ248" s="34">
        <f t="shared" ca="1" si="303"/>
        <v>52962</v>
      </c>
      <c r="BR248" s="23">
        <f t="shared" ca="1" si="304"/>
        <v>1144762.2320149625</v>
      </c>
      <c r="BS248" s="24">
        <f t="shared" ca="1" si="305"/>
        <v>0</v>
      </c>
      <c r="BT248" s="24">
        <f t="shared" ca="1" si="322"/>
        <v>0</v>
      </c>
      <c r="BU248" s="24">
        <f t="shared" ca="1" si="306"/>
        <v>0</v>
      </c>
      <c r="BV248" s="24">
        <f t="shared" ca="1" si="323"/>
        <v>0</v>
      </c>
      <c r="BW248" s="24">
        <f t="shared" ca="1" si="307"/>
        <v>-16948.957344385337</v>
      </c>
      <c r="BX248" s="25">
        <f t="shared" ca="1" si="324"/>
        <v>-220852.59657514733</v>
      </c>
      <c r="BY248" s="23">
        <f t="shared" ca="1" si="278"/>
        <v>520749.740055295</v>
      </c>
      <c r="BZ248" s="24">
        <f t="shared" ca="1" si="279"/>
        <v>0</v>
      </c>
      <c r="CA248" s="24">
        <f t="shared" ca="1" si="325"/>
        <v>0</v>
      </c>
      <c r="CB248" s="24">
        <f t="shared" ca="1" si="280"/>
        <v>0</v>
      </c>
      <c r="CC248" s="24">
        <f t="shared" ca="1" si="326"/>
        <v>0</v>
      </c>
      <c r="CD248" s="24">
        <f t="shared" ca="1" si="281"/>
        <v>-7735.2828836999843</v>
      </c>
      <c r="CE248" s="25">
        <f t="shared" ca="1" si="327"/>
        <v>-102655.46102157894</v>
      </c>
      <c r="CF248" s="23">
        <f t="shared" ca="1" si="328"/>
        <v>578630.99451134994</v>
      </c>
      <c r="CG248" s="25">
        <f t="array" aca="1" ref="CG248" ca="1">SUM(BF237:BF248/(1+inflation/100)^(AP237:AP248/12))</f>
        <v>267980.53702225373</v>
      </c>
      <c r="CH248" s="32">
        <f ca="1">IFERROR(IF(MOD(AP248-ap_months_since_start,12)=0,ap_drawdown/100*(AQ248+AV248+BA248-BC248),CH247),0)</f>
        <v>178625.49346380847</v>
      </c>
    </row>
    <row r="249" spans="40:86" x14ac:dyDescent="0.25">
      <c r="AN249" s="32">
        <f t="shared" ca="1" si="276"/>
        <v>75</v>
      </c>
      <c r="AO249" s="53">
        <f t="shared" ca="1" si="309"/>
        <v>52963</v>
      </c>
      <c r="AP249" s="22">
        <v>242</v>
      </c>
      <c r="AQ249" s="32">
        <f t="shared" ca="1" si="310"/>
        <v>1144762.2320149625</v>
      </c>
      <c r="AR249" s="23">
        <f t="array" aca="1" ref="AR249" ca="1">SUM(IF(lsc_start_date=AO249,lsc_amount,0))</f>
        <v>0</v>
      </c>
      <c r="AS249" s="24">
        <f t="shared" ca="1" si="283"/>
        <v>0</v>
      </c>
      <c r="AT249" s="24">
        <f t="shared" ca="1" si="284"/>
        <v>0</v>
      </c>
      <c r="AU249" s="24">
        <f t="shared" ca="1" si="285"/>
        <v>0</v>
      </c>
      <c r="AV249" s="25">
        <f t="shared" ca="1" si="286"/>
        <v>0</v>
      </c>
      <c r="AW249" s="23">
        <f t="array" aca="1" ref="AW249" ca="1">SUM(IF(rcs_start_date&lt;=AO249,1,0)*IF(rcs_end_date&gt;=AO249,1,0)*rcs_amount*(1+rcs_escalation/100)^(INT((AP249-rcs_months_since_start)/12))*IF(MOD((AP249-rcs_months_since_start),rcs_frequency)=0,1,0)*IF(rcs_frequency=13,0,1))+SUM(IF(rcs_start_date=AO249,rcs_amount,0)*IF(rcs_frequency=13,1,0))</f>
        <v>0</v>
      </c>
      <c r="AX249" s="24">
        <f t="shared" ca="1" si="287"/>
        <v>0</v>
      </c>
      <c r="AY249" s="24">
        <f t="shared" ca="1" si="288"/>
        <v>0</v>
      </c>
      <c r="AZ249" s="24">
        <f t="shared" ca="1" si="289"/>
        <v>0</v>
      </c>
      <c r="BA249" s="25">
        <f t="shared" ca="1" si="290"/>
        <v>0</v>
      </c>
      <c r="BB249" s="23">
        <f t="array" aca="1" ref="BB249" ca="1">SUM(IF(w_start_date&lt;=AO249,1,0)*IF(w_end_date&gt;=AO249,1,0)*w_amount*(1+w_escalation/100)^(INT((AP249-w_months_since_start)/12))*IF(MOD(AP249-w_months_since_start,w_frequency)=0,1,0)*IF(w_frequency=13,0,1))+SUM(IF(w_start_date=AO249,w_amount,0)*IF(w_frequency=13,1,0))</f>
        <v>0</v>
      </c>
      <c r="BC249" s="25">
        <f t="shared" ca="1" si="291"/>
        <v>0</v>
      </c>
      <c r="BD249" s="24" t="b">
        <f t="shared" ca="1" si="292"/>
        <v>1</v>
      </c>
      <c r="BE249" s="24" t="b">
        <f t="shared" ca="1" si="293"/>
        <v>1</v>
      </c>
      <c r="BF249" s="23">
        <f t="array" aca="1" ref="BF249" ca="1">SUM(IF(BD249,1,0)*IF(ap_start_date&lt;=AO249,1,0)*IF(ap_end_date&gt;=AO249,1,0)*ap_amount*(1+ap_escalation/100)^(INT((AP249-ap_months_since_start)/12))*IF(MOD(AP249-ap_months_since_start,ap_frequency)=0,1,0))</f>
        <v>49815.913434751979</v>
      </c>
      <c r="BG249" s="24">
        <f t="shared" ca="1" si="294"/>
        <v>597790.96121702378</v>
      </c>
      <c r="BH249" s="24">
        <f t="shared" ca="1" si="295"/>
        <v>29055.355447517726</v>
      </c>
      <c r="BI249">
        <f t="shared" ca="1" si="296"/>
        <v>0</v>
      </c>
      <c r="BJ249" s="24">
        <f t="shared" ca="1" si="297"/>
        <v>203387.48813262407</v>
      </c>
      <c r="BK249">
        <f t="shared" ca="1" si="298"/>
        <v>1</v>
      </c>
      <c r="BL249" s="25">
        <f t="shared" ca="1" si="299"/>
        <v>16948.957344385337</v>
      </c>
      <c r="BM249" s="32">
        <f t="shared" ca="1" si="277"/>
        <v>1135941.7895813589</v>
      </c>
      <c r="BN249" s="23">
        <f t="shared" ca="1" si="300"/>
        <v>0</v>
      </c>
      <c r="BO249" s="24">
        <f t="shared" ca="1" si="301"/>
        <v>0</v>
      </c>
      <c r="BP249" s="25">
        <f t="shared" ca="1" si="302"/>
        <v>0</v>
      </c>
      <c r="BQ249" s="34">
        <f t="shared" ca="1" si="303"/>
        <v>52993</v>
      </c>
      <c r="BR249" s="23">
        <f t="shared" ca="1" si="304"/>
        <v>1135941.7895813589</v>
      </c>
      <c r="BS249" s="24">
        <f t="shared" ca="1" si="305"/>
        <v>0</v>
      </c>
      <c r="BT249" s="24">
        <f t="shared" ca="1" si="322"/>
        <v>0</v>
      </c>
      <c r="BU249" s="24">
        <f t="shared" ca="1" si="306"/>
        <v>0</v>
      </c>
      <c r="BV249" s="24">
        <f t="shared" ca="1" si="323"/>
        <v>0</v>
      </c>
      <c r="BW249" s="24">
        <f t="shared" ca="1" si="307"/>
        <v>-16948.957344385337</v>
      </c>
      <c r="BX249" s="25">
        <f t="shared" ca="1" si="324"/>
        <v>-219106.08573089499</v>
      </c>
      <c r="BY249" s="23">
        <f t="shared" ca="1" si="278"/>
        <v>515051.19722565071</v>
      </c>
      <c r="BZ249" s="24">
        <f t="shared" ca="1" si="279"/>
        <v>0</v>
      </c>
      <c r="CA249" s="24">
        <f t="shared" ca="1" si="325"/>
        <v>0</v>
      </c>
      <c r="CB249" s="24">
        <f t="shared" ca="1" si="280"/>
        <v>0</v>
      </c>
      <c r="CC249" s="24">
        <f t="shared" ca="1" si="326"/>
        <v>0</v>
      </c>
      <c r="CD249" s="24">
        <f t="shared" ca="1" si="281"/>
        <v>-7710.0422117888202</v>
      </c>
      <c r="CE249" s="25">
        <f t="shared" ca="1" si="327"/>
        <v>-101520.79616297364</v>
      </c>
      <c r="CF249" s="23">
        <f t="shared" ca="1" si="328"/>
        <v>580546.99118191737</v>
      </c>
      <c r="CG249" s="25">
        <f t="array" aca="1" ref="CG249" ca="1">SUM(BF238:BF249/(1+inflation/100)^(AP238:AP249/12))</f>
        <v>267980.53702225379</v>
      </c>
      <c r="CH249" s="32">
        <f ca="1">IFERROR(IF(MOD(AP249-ap_months_since_start,12)=0,ap_drawdown/100*(AQ249+AV249+BA249-BC249),CH248),0)</f>
        <v>178625.49346380847</v>
      </c>
    </row>
    <row r="250" spans="40:86" x14ac:dyDescent="0.25">
      <c r="AN250" s="32">
        <f t="shared" ca="1" si="276"/>
        <v>75.083333333333329</v>
      </c>
      <c r="AO250" s="53">
        <f t="shared" ca="1" si="309"/>
        <v>52994</v>
      </c>
      <c r="AP250" s="22">
        <v>243</v>
      </c>
      <c r="AQ250" s="32">
        <f t="shared" ca="1" si="310"/>
        <v>1135941.7895813589</v>
      </c>
      <c r="AR250" s="23">
        <f t="array" aca="1" ref="AR250" ca="1">SUM(IF(lsc_start_date=AO250,lsc_amount,0))</f>
        <v>0</v>
      </c>
      <c r="AS250" s="24">
        <f t="shared" ca="1" si="283"/>
        <v>0</v>
      </c>
      <c r="AT250" s="24">
        <f t="shared" ca="1" si="284"/>
        <v>0</v>
      </c>
      <c r="AU250" s="24">
        <f t="shared" ca="1" si="285"/>
        <v>0</v>
      </c>
      <c r="AV250" s="25">
        <f t="shared" ca="1" si="286"/>
        <v>0</v>
      </c>
      <c r="AW250" s="23">
        <f t="array" aca="1" ref="AW250" ca="1">SUM(IF(rcs_start_date&lt;=AO250,1,0)*IF(rcs_end_date&gt;=AO250,1,0)*rcs_amount*(1+rcs_escalation/100)^(INT((AP250-rcs_months_since_start)/12))*IF(MOD((AP250-rcs_months_since_start),rcs_frequency)=0,1,0)*IF(rcs_frequency=13,0,1))+SUM(IF(rcs_start_date=AO250,rcs_amount,0)*IF(rcs_frequency=13,1,0))</f>
        <v>0</v>
      </c>
      <c r="AX250" s="24">
        <f t="shared" ca="1" si="287"/>
        <v>0</v>
      </c>
      <c r="AY250" s="24">
        <f t="shared" ca="1" si="288"/>
        <v>0</v>
      </c>
      <c r="AZ250" s="24">
        <f t="shared" ca="1" si="289"/>
        <v>0</v>
      </c>
      <c r="BA250" s="25">
        <f t="shared" ca="1" si="290"/>
        <v>0</v>
      </c>
      <c r="BB250" s="23">
        <f t="array" aca="1" ref="BB250" ca="1">SUM(IF(w_start_date&lt;=AO250,1,0)*IF(w_end_date&gt;=AO250,1,0)*w_amount*(1+w_escalation/100)^(INT((AP250-w_months_since_start)/12))*IF(MOD(AP250-w_months_since_start,w_frequency)=0,1,0)*IF(w_frequency=13,0,1))+SUM(IF(w_start_date=AO250,w_amount,0)*IF(w_frequency=13,1,0))</f>
        <v>0</v>
      </c>
      <c r="BC250" s="25">
        <f t="shared" ca="1" si="291"/>
        <v>0</v>
      </c>
      <c r="BD250" s="24" t="b">
        <f t="shared" ca="1" si="292"/>
        <v>1</v>
      </c>
      <c r="BE250" s="24" t="b">
        <f t="shared" ca="1" si="293"/>
        <v>1</v>
      </c>
      <c r="BF250" s="23">
        <f t="array" aca="1" ref="BF250" ca="1">SUM(IF(BD250,1,0)*IF(ap_start_date&lt;=AO250,1,0)*IF(ap_end_date&gt;=AO250,1,0)*ap_amount*(1+ap_escalation/100)^(INT((AP250-ap_months_since_start)/12))*IF(MOD(AP250-ap_months_since_start,ap_frequency)=0,1,0))</f>
        <v>49815.913434751979</v>
      </c>
      <c r="BG250" s="24">
        <f t="shared" ca="1" si="294"/>
        <v>597790.96121702378</v>
      </c>
      <c r="BH250" s="24">
        <f t="shared" ca="1" si="295"/>
        <v>29055.355447517726</v>
      </c>
      <c r="BI250">
        <f t="shared" ca="1" si="296"/>
        <v>0</v>
      </c>
      <c r="BJ250" s="24">
        <f t="shared" ca="1" si="297"/>
        <v>203387.48813262407</v>
      </c>
      <c r="BK250">
        <f t="shared" ca="1" si="298"/>
        <v>1</v>
      </c>
      <c r="BL250" s="25">
        <f t="shared" ca="1" si="299"/>
        <v>16948.957344385337</v>
      </c>
      <c r="BM250" s="32">
        <f t="shared" ca="1" si="277"/>
        <v>1127057.775367345</v>
      </c>
      <c r="BN250" s="23">
        <f t="shared" ca="1" si="300"/>
        <v>0</v>
      </c>
      <c r="BO250" s="24">
        <f t="shared" ca="1" si="301"/>
        <v>0</v>
      </c>
      <c r="BP250" s="25">
        <f t="shared" ca="1" si="302"/>
        <v>0</v>
      </c>
      <c r="BQ250" s="34">
        <f t="shared" ca="1" si="303"/>
        <v>53021</v>
      </c>
      <c r="BR250" s="23">
        <f t="shared" ca="1" si="304"/>
        <v>1127057.775367345</v>
      </c>
      <c r="BS250" s="24">
        <f t="shared" ca="1" si="305"/>
        <v>0</v>
      </c>
      <c r="BT250" s="24">
        <f t="shared" ca="1" si="322"/>
        <v>0</v>
      </c>
      <c r="BU250" s="24">
        <f t="shared" ca="1" si="306"/>
        <v>0</v>
      </c>
      <c r="BV250" s="24">
        <f t="shared" ca="1" si="323"/>
        <v>0</v>
      </c>
      <c r="BW250" s="24">
        <f t="shared" ca="1" si="307"/>
        <v>-16948.957344385337</v>
      </c>
      <c r="BX250" s="25">
        <f t="shared" ca="1" si="324"/>
        <v>-217359.57488664266</v>
      </c>
      <c r="BY250" s="23">
        <f t="shared" ca="1" si="278"/>
        <v>509355.56879500597</v>
      </c>
      <c r="BZ250" s="24">
        <f t="shared" ca="1" si="279"/>
        <v>0</v>
      </c>
      <c r="CA250" s="24">
        <f t="shared" ca="1" si="325"/>
        <v>0</v>
      </c>
      <c r="CB250" s="24">
        <f t="shared" ca="1" si="280"/>
        <v>0</v>
      </c>
      <c r="CC250" s="24">
        <f t="shared" ca="1" si="326"/>
        <v>0</v>
      </c>
      <c r="CD250" s="24">
        <f t="shared" ca="1" si="281"/>
        <v>-7684.8839016384472</v>
      </c>
      <c r="CE250" s="25">
        <f t="shared" ca="1" si="327"/>
        <v>-100389.83378091065</v>
      </c>
      <c r="CF250" s="23">
        <f t="shared" ca="1" si="328"/>
        <v>582462.98785248469</v>
      </c>
      <c r="CG250" s="25">
        <f t="array" aca="1" ref="CG250" ca="1">SUM(BF239:BF250/(1+inflation/100)^(AP239:AP250/12))</f>
        <v>267980.53702225379</v>
      </c>
      <c r="CH250" s="32">
        <f ca="1">IFERROR(IF(MOD(AP250-ap_months_since_start,12)=0,ap_drawdown/100*(AQ250+AV250+BA250-BC250),CH249),0)</f>
        <v>178625.49346380847</v>
      </c>
    </row>
    <row r="251" spans="40:86" x14ac:dyDescent="0.25">
      <c r="AN251" s="32">
        <f t="shared" ca="1" si="276"/>
        <v>75.166666666666671</v>
      </c>
      <c r="AO251" s="53">
        <f t="shared" ca="1" si="309"/>
        <v>53022</v>
      </c>
      <c r="AP251" s="22">
        <v>244</v>
      </c>
      <c r="AQ251" s="32">
        <f t="shared" ca="1" si="310"/>
        <v>1127057.775367345</v>
      </c>
      <c r="AR251" s="23">
        <f t="array" aca="1" ref="AR251" ca="1">SUM(IF(lsc_start_date=AO251,lsc_amount,0))</f>
        <v>0</v>
      </c>
      <c r="AS251" s="24">
        <f t="shared" ca="1" si="283"/>
        <v>0</v>
      </c>
      <c r="AT251" s="24">
        <f t="shared" ca="1" si="284"/>
        <v>0</v>
      </c>
      <c r="AU251" s="24">
        <f t="shared" ca="1" si="285"/>
        <v>0</v>
      </c>
      <c r="AV251" s="25">
        <f t="shared" ca="1" si="286"/>
        <v>0</v>
      </c>
      <c r="AW251" s="23">
        <f t="array" aca="1" ref="AW251" ca="1">SUM(IF(rcs_start_date&lt;=AO251,1,0)*IF(rcs_end_date&gt;=AO251,1,0)*rcs_amount*(1+rcs_escalation/100)^(INT((AP251-rcs_months_since_start)/12))*IF(MOD((AP251-rcs_months_since_start),rcs_frequency)=0,1,0)*IF(rcs_frequency=13,0,1))+SUM(IF(rcs_start_date=AO251,rcs_amount,0)*IF(rcs_frequency=13,1,0))</f>
        <v>0</v>
      </c>
      <c r="AX251" s="24">
        <f t="shared" ca="1" si="287"/>
        <v>0</v>
      </c>
      <c r="AY251" s="24">
        <f t="shared" ca="1" si="288"/>
        <v>0</v>
      </c>
      <c r="AZ251" s="24">
        <f t="shared" ca="1" si="289"/>
        <v>0</v>
      </c>
      <c r="BA251" s="25">
        <f t="shared" ca="1" si="290"/>
        <v>0</v>
      </c>
      <c r="BB251" s="23">
        <f t="array" aca="1" ref="BB251" ca="1">SUM(IF(w_start_date&lt;=AO251,1,0)*IF(w_end_date&gt;=AO251,1,0)*w_amount*(1+w_escalation/100)^(INT((AP251-w_months_since_start)/12))*IF(MOD(AP251-w_months_since_start,w_frequency)=0,1,0)*IF(w_frequency=13,0,1))+SUM(IF(w_start_date=AO251,w_amount,0)*IF(w_frequency=13,1,0))</f>
        <v>0</v>
      </c>
      <c r="BC251" s="25">
        <f t="shared" ca="1" si="291"/>
        <v>0</v>
      </c>
      <c r="BD251" s="24" t="b">
        <f t="shared" ca="1" si="292"/>
        <v>1</v>
      </c>
      <c r="BE251" s="24" t="b">
        <f t="shared" ca="1" si="293"/>
        <v>1</v>
      </c>
      <c r="BF251" s="23">
        <f t="array" aca="1" ref="BF251" ca="1">SUM(IF(BD251,1,0)*IF(ap_start_date&lt;=AO251,1,0)*IF(ap_end_date&gt;=AO251,1,0)*ap_amount*(1+ap_escalation/100)^(INT((AP251-ap_months_since_start)/12))*IF(MOD(AP251-ap_months_since_start,ap_frequency)=0,1,0))</f>
        <v>49815.913434751979</v>
      </c>
      <c r="BG251" s="24">
        <f t="shared" ca="1" si="294"/>
        <v>597790.96121702378</v>
      </c>
      <c r="BH251" s="24">
        <f t="shared" ca="1" si="295"/>
        <v>29055.355447517726</v>
      </c>
      <c r="BI251">
        <f t="shared" ca="1" si="296"/>
        <v>0</v>
      </c>
      <c r="BJ251" s="24">
        <f t="shared" ca="1" si="297"/>
        <v>203387.48813262407</v>
      </c>
      <c r="BK251">
        <f t="shared" ca="1" si="298"/>
        <v>1</v>
      </c>
      <c r="BL251" s="25">
        <f t="shared" ca="1" si="299"/>
        <v>16948.957344385337</v>
      </c>
      <c r="BM251" s="32">
        <f t="shared" ca="1" si="277"/>
        <v>1118109.7311905455</v>
      </c>
      <c r="BN251" s="23">
        <f t="shared" ca="1" si="300"/>
        <v>0</v>
      </c>
      <c r="BO251" s="24">
        <f t="shared" ca="1" si="301"/>
        <v>0</v>
      </c>
      <c r="BP251" s="25">
        <f t="shared" ca="1" si="302"/>
        <v>0</v>
      </c>
      <c r="BQ251" s="34">
        <f t="shared" ca="1" si="303"/>
        <v>53052</v>
      </c>
      <c r="BR251" s="23">
        <f t="shared" ca="1" si="304"/>
        <v>1118109.7311905455</v>
      </c>
      <c r="BS251" s="24">
        <f t="shared" ca="1" si="305"/>
        <v>0</v>
      </c>
      <c r="BT251" s="24">
        <f t="shared" ca="1" si="322"/>
        <v>0</v>
      </c>
      <c r="BU251" s="24">
        <f t="shared" ca="1" si="306"/>
        <v>0</v>
      </c>
      <c r="BV251" s="24">
        <f t="shared" ca="1" si="323"/>
        <v>0</v>
      </c>
      <c r="BW251" s="24">
        <f t="shared" ca="1" si="307"/>
        <v>-16948.957344385337</v>
      </c>
      <c r="BX251" s="25">
        <f t="shared" ca="1" si="324"/>
        <v>-215613.06404239032</v>
      </c>
      <c r="BY251" s="23">
        <f t="shared" ca="1" si="278"/>
        <v>503662.78377510951</v>
      </c>
      <c r="BZ251" s="24">
        <f t="shared" ca="1" si="279"/>
        <v>0</v>
      </c>
      <c r="CA251" s="24">
        <f t="shared" ca="1" si="325"/>
        <v>0</v>
      </c>
      <c r="CB251" s="24">
        <f t="shared" ca="1" si="280"/>
        <v>0</v>
      </c>
      <c r="CC251" s="24">
        <f t="shared" ca="1" si="326"/>
        <v>0</v>
      </c>
      <c r="CD251" s="24">
        <f t="shared" ca="1" si="281"/>
        <v>-7659.807684497714</v>
      </c>
      <c r="CE251" s="25">
        <f t="shared" ca="1" si="327"/>
        <v>-99262.561793996574</v>
      </c>
      <c r="CF251" s="23">
        <f t="shared" ca="1" si="328"/>
        <v>584378.98452305212</v>
      </c>
      <c r="CG251" s="25">
        <f t="array" aca="1" ref="CG251" ca="1">SUM(BF240:BF251/(1+inflation/100)^(AP240:AP251/12))</f>
        <v>267980.53702225379</v>
      </c>
      <c r="CH251" s="32">
        <f ca="1">IFERROR(IF(MOD(AP251-ap_months_since_start,12)=0,ap_drawdown/100*(AQ251+AV251+BA251-BC251),CH250),0)</f>
        <v>178625.49346380847</v>
      </c>
    </row>
    <row r="252" spans="40:86" x14ac:dyDescent="0.25">
      <c r="AN252" s="32">
        <f t="shared" ca="1" si="276"/>
        <v>75.25</v>
      </c>
      <c r="AO252" s="53">
        <f t="shared" ca="1" si="309"/>
        <v>53053</v>
      </c>
      <c r="AP252" s="22">
        <v>245</v>
      </c>
      <c r="AQ252" s="32">
        <f t="shared" ca="1" si="310"/>
        <v>1118109.7311905455</v>
      </c>
      <c r="AR252" s="23">
        <f t="array" aca="1" ref="AR252" ca="1">SUM(IF(lsc_start_date=AO252,lsc_amount,0))</f>
        <v>0</v>
      </c>
      <c r="AS252" s="24">
        <f t="shared" ca="1" si="283"/>
        <v>0</v>
      </c>
      <c r="AT252" s="24">
        <f t="shared" ca="1" si="284"/>
        <v>0</v>
      </c>
      <c r="AU252" s="24">
        <f t="shared" ca="1" si="285"/>
        <v>0</v>
      </c>
      <c r="AV252" s="25">
        <f t="shared" ca="1" si="286"/>
        <v>0</v>
      </c>
      <c r="AW252" s="23">
        <f t="array" aca="1" ref="AW252" ca="1">SUM(IF(rcs_start_date&lt;=AO252,1,0)*IF(rcs_end_date&gt;=AO252,1,0)*rcs_amount*(1+rcs_escalation/100)^(INT((AP252-rcs_months_since_start)/12))*IF(MOD((AP252-rcs_months_since_start),rcs_frequency)=0,1,0)*IF(rcs_frequency=13,0,1))+SUM(IF(rcs_start_date=AO252,rcs_amount,0)*IF(rcs_frequency=13,1,0))</f>
        <v>0</v>
      </c>
      <c r="AX252" s="24">
        <f t="shared" ca="1" si="287"/>
        <v>0</v>
      </c>
      <c r="AY252" s="24">
        <f t="shared" ca="1" si="288"/>
        <v>0</v>
      </c>
      <c r="AZ252" s="24">
        <f t="shared" ca="1" si="289"/>
        <v>0</v>
      </c>
      <c r="BA252" s="25">
        <f t="shared" ca="1" si="290"/>
        <v>0</v>
      </c>
      <c r="BB252" s="23">
        <f t="array" aca="1" ref="BB252" ca="1">SUM(IF(w_start_date&lt;=AO252,1,0)*IF(w_end_date&gt;=AO252,1,0)*w_amount*(1+w_escalation/100)^(INT((AP252-w_months_since_start)/12))*IF(MOD(AP252-w_months_since_start,w_frequency)=0,1,0)*IF(w_frequency=13,0,1))+SUM(IF(w_start_date=AO252,w_amount,0)*IF(w_frequency=13,1,0))</f>
        <v>0</v>
      </c>
      <c r="BC252" s="25">
        <f t="shared" ca="1" si="291"/>
        <v>0</v>
      </c>
      <c r="BD252" s="24" t="b">
        <f t="shared" ca="1" si="292"/>
        <v>1</v>
      </c>
      <c r="BE252" s="24" t="b">
        <f t="shared" ca="1" si="293"/>
        <v>1</v>
      </c>
      <c r="BF252" s="23">
        <f t="array" aca="1" ref="BF252" ca="1">SUM(IF(BD252,1,0)*IF(ap_start_date&lt;=AO252,1,0)*IF(ap_end_date&gt;=AO252,1,0)*ap_amount*(1+ap_escalation/100)^(INT((AP252-ap_months_since_start)/12))*IF(MOD(AP252-ap_months_since_start,ap_frequency)=0,1,0))</f>
        <v>49815.913434751979</v>
      </c>
      <c r="BG252" s="24">
        <f t="shared" ca="1" si="294"/>
        <v>597790.96121702378</v>
      </c>
      <c r="BH252" s="24">
        <f t="shared" ca="1" si="295"/>
        <v>29055.355447517726</v>
      </c>
      <c r="BI252">
        <f t="shared" ca="1" si="296"/>
        <v>0</v>
      </c>
      <c r="BJ252" s="24">
        <f t="shared" ca="1" si="297"/>
        <v>203387.48813262407</v>
      </c>
      <c r="BK252">
        <f t="shared" ca="1" si="298"/>
        <v>1</v>
      </c>
      <c r="BL252" s="25">
        <f t="shared" ca="1" si="299"/>
        <v>16948.957344385337</v>
      </c>
      <c r="BM252" s="32">
        <f t="shared" ca="1" si="277"/>
        <v>1109097.1955663168</v>
      </c>
      <c r="BN252" s="23">
        <f t="shared" ca="1" si="300"/>
        <v>0</v>
      </c>
      <c r="BO252" s="24">
        <f t="shared" ca="1" si="301"/>
        <v>0</v>
      </c>
      <c r="BP252" s="25">
        <f t="shared" ca="1" si="302"/>
        <v>0</v>
      </c>
      <c r="BQ252" s="34">
        <f t="shared" ca="1" si="303"/>
        <v>53082</v>
      </c>
      <c r="BR252" s="23">
        <f t="shared" ca="1" si="304"/>
        <v>1109097.1955663168</v>
      </c>
      <c r="BS252" s="24">
        <f t="shared" ca="1" si="305"/>
        <v>0</v>
      </c>
      <c r="BT252" s="24">
        <f t="shared" ca="1" si="322"/>
        <v>0</v>
      </c>
      <c r="BU252" s="24">
        <f t="shared" ca="1" si="306"/>
        <v>0</v>
      </c>
      <c r="BV252" s="24">
        <f t="shared" ca="1" si="323"/>
        <v>0</v>
      </c>
      <c r="BW252" s="24">
        <f t="shared" ca="1" si="307"/>
        <v>-16948.957344385337</v>
      </c>
      <c r="BX252" s="25">
        <f t="shared" ca="1" si="324"/>
        <v>-213866.55319813799</v>
      </c>
      <c r="BY252" s="23">
        <f t="shared" ca="1" si="278"/>
        <v>497972.77116830682</v>
      </c>
      <c r="BZ252" s="24">
        <f t="shared" ca="1" si="279"/>
        <v>0</v>
      </c>
      <c r="CA252" s="24">
        <f t="shared" ca="1" si="325"/>
        <v>0</v>
      </c>
      <c r="CB252" s="24">
        <f t="shared" ca="1" si="280"/>
        <v>0</v>
      </c>
      <c r="CC252" s="24">
        <f t="shared" ca="1" si="326"/>
        <v>0</v>
      </c>
      <c r="CD252" s="24">
        <f t="shared" ca="1" si="281"/>
        <v>-7634.8132924924221</v>
      </c>
      <c r="CE252" s="25">
        <f t="shared" ca="1" si="327"/>
        <v>-98138.968160260294</v>
      </c>
      <c r="CF252" s="23">
        <f t="shared" ca="1" si="328"/>
        <v>586294.98119361943</v>
      </c>
      <c r="CG252" s="25">
        <f t="array" aca="1" ref="CG252" ca="1">SUM(BF241:BF252/(1+inflation/100)^(AP241:AP252/12))</f>
        <v>267980.53702225373</v>
      </c>
      <c r="CH252" s="32">
        <f ca="1">IFERROR(IF(MOD(AP252-ap_months_since_start,12)=0,ap_drawdown/100*(AQ252+AV252+BA252-BC252),CH251),0)</f>
        <v>178625.49346380847</v>
      </c>
    </row>
    <row r="253" spans="40:86" x14ac:dyDescent="0.25">
      <c r="AN253" s="32">
        <f t="shared" ca="1" si="276"/>
        <v>75.333333333333329</v>
      </c>
      <c r="AO253" s="53">
        <f t="shared" ca="1" si="309"/>
        <v>53083</v>
      </c>
      <c r="AP253" s="22">
        <v>246</v>
      </c>
      <c r="AQ253" s="32">
        <f t="shared" ca="1" si="310"/>
        <v>1109097.1955663168</v>
      </c>
      <c r="AR253" s="23">
        <f t="array" aca="1" ref="AR253" ca="1">SUM(IF(lsc_start_date=AO253,lsc_amount,0))</f>
        <v>0</v>
      </c>
      <c r="AS253" s="24">
        <f t="shared" ca="1" si="283"/>
        <v>0</v>
      </c>
      <c r="AT253" s="24">
        <f t="shared" ca="1" si="284"/>
        <v>0</v>
      </c>
      <c r="AU253" s="24">
        <f t="shared" ca="1" si="285"/>
        <v>0</v>
      </c>
      <c r="AV253" s="25">
        <f t="shared" ca="1" si="286"/>
        <v>0</v>
      </c>
      <c r="AW253" s="23">
        <f t="array" aca="1" ref="AW253" ca="1">SUM(IF(rcs_start_date&lt;=AO253,1,0)*IF(rcs_end_date&gt;=AO253,1,0)*rcs_amount*(1+rcs_escalation/100)^(INT((AP253-rcs_months_since_start)/12))*IF(MOD((AP253-rcs_months_since_start),rcs_frequency)=0,1,0)*IF(rcs_frequency=13,0,1))+SUM(IF(rcs_start_date=AO253,rcs_amount,0)*IF(rcs_frequency=13,1,0))</f>
        <v>0</v>
      </c>
      <c r="AX253" s="24">
        <f t="shared" ca="1" si="287"/>
        <v>0</v>
      </c>
      <c r="AY253" s="24">
        <f t="shared" ca="1" si="288"/>
        <v>0</v>
      </c>
      <c r="AZ253" s="24">
        <f t="shared" ca="1" si="289"/>
        <v>0</v>
      </c>
      <c r="BA253" s="25">
        <f t="shared" ca="1" si="290"/>
        <v>0</v>
      </c>
      <c r="BB253" s="23">
        <f t="array" aca="1" ref="BB253" ca="1">SUM(IF(w_start_date&lt;=AO253,1,0)*IF(w_end_date&gt;=AO253,1,0)*w_amount*(1+w_escalation/100)^(INT((AP253-w_months_since_start)/12))*IF(MOD(AP253-w_months_since_start,w_frequency)=0,1,0)*IF(w_frequency=13,0,1))+SUM(IF(w_start_date=AO253,w_amount,0)*IF(w_frequency=13,1,0))</f>
        <v>0</v>
      </c>
      <c r="BC253" s="25">
        <f t="shared" ca="1" si="291"/>
        <v>0</v>
      </c>
      <c r="BD253" s="24" t="b">
        <f t="shared" ca="1" si="292"/>
        <v>1</v>
      </c>
      <c r="BE253" s="24" t="b">
        <f t="shared" ca="1" si="293"/>
        <v>1</v>
      </c>
      <c r="BF253" s="23">
        <f t="array" aca="1" ref="BF253" ca="1">SUM(IF(BD253,1,0)*IF(ap_start_date&lt;=AO253,1,0)*IF(ap_end_date&gt;=AO253,1,0)*ap_amount*(1+ap_escalation/100)^(INT((AP253-ap_months_since_start)/12))*IF(MOD(AP253-ap_months_since_start,ap_frequency)=0,1,0))</f>
        <v>49815.913434751979</v>
      </c>
      <c r="BG253" s="24">
        <f t="shared" ca="1" si="294"/>
        <v>597790.96121702378</v>
      </c>
      <c r="BH253" s="24">
        <f t="shared" ca="1" si="295"/>
        <v>29055.355447517726</v>
      </c>
      <c r="BI253">
        <f t="shared" ca="1" si="296"/>
        <v>0</v>
      </c>
      <c r="BJ253" s="24">
        <f t="shared" ca="1" si="297"/>
        <v>203387.48813262407</v>
      </c>
      <c r="BK253">
        <f t="shared" ca="1" si="298"/>
        <v>1</v>
      </c>
      <c r="BL253" s="25">
        <f t="shared" ca="1" si="299"/>
        <v>16948.957344385337</v>
      </c>
      <c r="BM253" s="32">
        <f t="shared" ca="1" si="277"/>
        <v>1100019.703683946</v>
      </c>
      <c r="BN253" s="23">
        <f t="shared" ca="1" si="300"/>
        <v>0</v>
      </c>
      <c r="BO253" s="24">
        <f t="shared" ca="1" si="301"/>
        <v>0</v>
      </c>
      <c r="BP253" s="25">
        <f t="shared" ca="1" si="302"/>
        <v>0</v>
      </c>
      <c r="BQ253" s="34">
        <f t="shared" ca="1" si="303"/>
        <v>53113</v>
      </c>
      <c r="BR253" s="23">
        <f t="shared" ca="1" si="304"/>
        <v>1100019.703683946</v>
      </c>
      <c r="BS253" s="24">
        <f t="shared" ca="1" si="305"/>
        <v>0</v>
      </c>
      <c r="BT253" s="24">
        <f t="shared" ca="1" si="322"/>
        <v>0</v>
      </c>
      <c r="BU253" s="24">
        <f t="shared" ca="1" si="306"/>
        <v>0</v>
      </c>
      <c r="BV253" s="24">
        <f t="shared" ca="1" si="323"/>
        <v>0</v>
      </c>
      <c r="BW253" s="24">
        <f t="shared" ca="1" si="307"/>
        <v>-16948.957344385337</v>
      </c>
      <c r="BX253" s="25">
        <f t="shared" ca="1" si="324"/>
        <v>-212120.04235388566</v>
      </c>
      <c r="BY253" s="23">
        <f t="shared" ca="1" si="278"/>
        <v>492285.4599666273</v>
      </c>
      <c r="BZ253" s="24">
        <f t="shared" ca="1" si="279"/>
        <v>0</v>
      </c>
      <c r="CA253" s="24">
        <f t="shared" ca="1" si="325"/>
        <v>0</v>
      </c>
      <c r="CB253" s="24">
        <f t="shared" ca="1" si="280"/>
        <v>0</v>
      </c>
      <c r="CC253" s="24">
        <f t="shared" ca="1" si="326"/>
        <v>0</v>
      </c>
      <c r="CD253" s="24">
        <f t="shared" ca="1" si="281"/>
        <v>-7609.9004586224546</v>
      </c>
      <c r="CE253" s="25">
        <f t="shared" ca="1" si="327"/>
        <v>-97019.040877024323</v>
      </c>
      <c r="CF253" s="23">
        <f t="shared" ca="1" si="328"/>
        <v>588210.97786418686</v>
      </c>
      <c r="CG253" s="25">
        <f t="array" aca="1" ref="CG253" ca="1">SUM(BF242:BF253/(1+inflation/100)^(AP242:AP253/12))</f>
        <v>267980.53702225373</v>
      </c>
      <c r="CH253" s="32">
        <f ca="1">IFERROR(IF(MOD(AP253-ap_months_since_start,12)=0,ap_drawdown/100*(AQ253+AV253+BA253-BC253),CH252),0)</f>
        <v>178625.49346380847</v>
      </c>
    </row>
    <row r="254" spans="40:86" x14ac:dyDescent="0.25">
      <c r="AN254" s="32">
        <f t="shared" ca="1" si="276"/>
        <v>75.416666666666671</v>
      </c>
      <c r="AO254" s="53">
        <f t="shared" ca="1" si="309"/>
        <v>53114</v>
      </c>
      <c r="AP254" s="22">
        <v>247</v>
      </c>
      <c r="AQ254" s="32">
        <f t="shared" ca="1" si="310"/>
        <v>1100019.703683946</v>
      </c>
      <c r="AR254" s="23">
        <f t="array" aca="1" ref="AR254" ca="1">SUM(IF(lsc_start_date=AO254,lsc_amount,0))</f>
        <v>0</v>
      </c>
      <c r="AS254" s="24">
        <f t="shared" ca="1" si="283"/>
        <v>0</v>
      </c>
      <c r="AT254" s="24">
        <f t="shared" ca="1" si="284"/>
        <v>0</v>
      </c>
      <c r="AU254" s="24">
        <f t="shared" ca="1" si="285"/>
        <v>0</v>
      </c>
      <c r="AV254" s="25">
        <f t="shared" ca="1" si="286"/>
        <v>0</v>
      </c>
      <c r="AW254" s="23">
        <f t="array" aca="1" ref="AW254" ca="1">SUM(IF(rcs_start_date&lt;=AO254,1,0)*IF(rcs_end_date&gt;=AO254,1,0)*rcs_amount*(1+rcs_escalation/100)^(INT((AP254-rcs_months_since_start)/12))*IF(MOD((AP254-rcs_months_since_start),rcs_frequency)=0,1,0)*IF(rcs_frequency=13,0,1))+SUM(IF(rcs_start_date=AO254,rcs_amount,0)*IF(rcs_frequency=13,1,0))</f>
        <v>0</v>
      </c>
      <c r="AX254" s="24">
        <f t="shared" ca="1" si="287"/>
        <v>0</v>
      </c>
      <c r="AY254" s="24">
        <f t="shared" ca="1" si="288"/>
        <v>0</v>
      </c>
      <c r="AZ254" s="24">
        <f t="shared" ca="1" si="289"/>
        <v>0</v>
      </c>
      <c r="BA254" s="25">
        <f t="shared" ca="1" si="290"/>
        <v>0</v>
      </c>
      <c r="BB254" s="23">
        <f t="array" aca="1" ref="BB254" ca="1">SUM(IF(w_start_date&lt;=AO254,1,0)*IF(w_end_date&gt;=AO254,1,0)*w_amount*(1+w_escalation/100)^(INT((AP254-w_months_since_start)/12))*IF(MOD(AP254-w_months_since_start,w_frequency)=0,1,0)*IF(w_frequency=13,0,1))+SUM(IF(w_start_date=AO254,w_amount,0)*IF(w_frequency=13,1,0))</f>
        <v>0</v>
      </c>
      <c r="BC254" s="25">
        <f t="shared" ca="1" si="291"/>
        <v>0</v>
      </c>
      <c r="BD254" s="24" t="b">
        <f t="shared" ca="1" si="292"/>
        <v>1</v>
      </c>
      <c r="BE254" s="24" t="b">
        <f t="shared" ca="1" si="293"/>
        <v>1</v>
      </c>
      <c r="BF254" s="23">
        <f t="array" aca="1" ref="BF254" ca="1">SUM(IF(BD254,1,0)*IF(ap_start_date&lt;=AO254,1,0)*IF(ap_end_date&gt;=AO254,1,0)*ap_amount*(1+ap_escalation/100)^(INT((AP254-ap_months_since_start)/12))*IF(MOD(AP254-ap_months_since_start,ap_frequency)=0,1,0))</f>
        <v>49815.913434751979</v>
      </c>
      <c r="BG254" s="24">
        <f t="shared" ca="1" si="294"/>
        <v>597790.96121702378</v>
      </c>
      <c r="BH254" s="24">
        <f t="shared" ca="1" si="295"/>
        <v>29055.355447517726</v>
      </c>
      <c r="BI254">
        <f t="shared" ca="1" si="296"/>
        <v>0</v>
      </c>
      <c r="BJ254" s="24">
        <f t="shared" ca="1" si="297"/>
        <v>203387.48813262407</v>
      </c>
      <c r="BK254">
        <f t="shared" ca="1" si="298"/>
        <v>1</v>
      </c>
      <c r="BL254" s="25">
        <f t="shared" ca="1" si="299"/>
        <v>16948.957344385337</v>
      </c>
      <c r="BM254" s="32">
        <f t="shared" ca="1" si="277"/>
        <v>1090876.7873826795</v>
      </c>
      <c r="BN254" s="23">
        <f t="shared" ca="1" si="300"/>
        <v>0</v>
      </c>
      <c r="BO254" s="24">
        <f t="shared" ca="1" si="301"/>
        <v>0</v>
      </c>
      <c r="BP254" s="25">
        <f t="shared" ca="1" si="302"/>
        <v>0</v>
      </c>
      <c r="BQ254" s="34">
        <f t="shared" ca="1" si="303"/>
        <v>53143</v>
      </c>
      <c r="BR254" s="23">
        <f t="shared" ca="1" si="304"/>
        <v>1090876.7873826795</v>
      </c>
      <c r="BS254" s="24">
        <f t="shared" ca="1" si="305"/>
        <v>0</v>
      </c>
      <c r="BT254" s="24">
        <f t="shared" ca="1" si="322"/>
        <v>0</v>
      </c>
      <c r="BU254" s="24">
        <f t="shared" ca="1" si="306"/>
        <v>0</v>
      </c>
      <c r="BV254" s="24">
        <f t="shared" ca="1" si="323"/>
        <v>0</v>
      </c>
      <c r="BW254" s="24">
        <f t="shared" ca="1" si="307"/>
        <v>-16948.957344385337</v>
      </c>
      <c r="BX254" s="25">
        <f t="shared" ca="1" si="324"/>
        <v>-210373.53150963332</v>
      </c>
      <c r="BY254" s="23">
        <f t="shared" ca="1" si="278"/>
        <v>486600.77915086754</v>
      </c>
      <c r="BZ254" s="24">
        <f t="shared" ca="1" si="279"/>
        <v>0</v>
      </c>
      <c r="CA254" s="24">
        <f t="shared" ca="1" si="325"/>
        <v>0</v>
      </c>
      <c r="CB254" s="24">
        <f t="shared" ca="1" si="280"/>
        <v>0</v>
      </c>
      <c r="CC254" s="24">
        <f t="shared" ca="1" si="326"/>
        <v>0</v>
      </c>
      <c r="CD254" s="24">
        <f t="shared" ca="1" si="281"/>
        <v>-7585.0689167589417</v>
      </c>
      <c r="CE254" s="25">
        <f t="shared" ca="1" si="327"/>
        <v>-95902.767980776567</v>
      </c>
      <c r="CF254" s="23">
        <f t="shared" ca="1" si="328"/>
        <v>590126.97453475429</v>
      </c>
      <c r="CG254" s="25">
        <f t="array" aca="1" ref="CG254" ca="1">SUM(BF243:BF254/(1+inflation/100)^(AP243:AP254/12))</f>
        <v>267980.53702225367</v>
      </c>
      <c r="CH254" s="32">
        <f ca="1">IFERROR(IF(MOD(AP254-ap_months_since_start,12)=0,ap_drawdown/100*(AQ254+AV254+BA254-BC254),CH253),0)</f>
        <v>178625.49346380847</v>
      </c>
    </row>
    <row r="255" spans="40:86" x14ac:dyDescent="0.25">
      <c r="AN255" s="32">
        <f t="shared" ca="1" si="276"/>
        <v>75.5</v>
      </c>
      <c r="AO255" s="53">
        <f t="shared" ca="1" si="309"/>
        <v>53144</v>
      </c>
      <c r="AP255" s="22">
        <v>248</v>
      </c>
      <c r="AQ255" s="32">
        <f t="shared" ca="1" si="310"/>
        <v>1090876.7873826795</v>
      </c>
      <c r="AR255" s="23">
        <f t="array" aca="1" ref="AR255" ca="1">SUM(IF(lsc_start_date=AO255,lsc_amount,0))</f>
        <v>0</v>
      </c>
      <c r="AS255" s="24">
        <f t="shared" ca="1" si="283"/>
        <v>0</v>
      </c>
      <c r="AT255" s="24">
        <f t="shared" ca="1" si="284"/>
        <v>0</v>
      </c>
      <c r="AU255" s="24">
        <f t="shared" ca="1" si="285"/>
        <v>0</v>
      </c>
      <c r="AV255" s="25">
        <f t="shared" ca="1" si="286"/>
        <v>0</v>
      </c>
      <c r="AW255" s="23">
        <f t="array" aca="1" ref="AW255" ca="1">SUM(IF(rcs_start_date&lt;=AO255,1,0)*IF(rcs_end_date&gt;=AO255,1,0)*rcs_amount*(1+rcs_escalation/100)^(INT((AP255-rcs_months_since_start)/12))*IF(MOD((AP255-rcs_months_since_start),rcs_frequency)=0,1,0)*IF(rcs_frequency=13,0,1))+SUM(IF(rcs_start_date=AO255,rcs_amount,0)*IF(rcs_frequency=13,1,0))</f>
        <v>0</v>
      </c>
      <c r="AX255" s="24">
        <f t="shared" ca="1" si="287"/>
        <v>0</v>
      </c>
      <c r="AY255" s="24">
        <f t="shared" ca="1" si="288"/>
        <v>0</v>
      </c>
      <c r="AZ255" s="24">
        <f t="shared" ca="1" si="289"/>
        <v>0</v>
      </c>
      <c r="BA255" s="25">
        <f t="shared" ca="1" si="290"/>
        <v>0</v>
      </c>
      <c r="BB255" s="23">
        <f t="array" aca="1" ref="BB255" ca="1">SUM(IF(w_start_date&lt;=AO255,1,0)*IF(w_end_date&gt;=AO255,1,0)*w_amount*(1+w_escalation/100)^(INT((AP255-w_months_since_start)/12))*IF(MOD(AP255-w_months_since_start,w_frequency)=0,1,0)*IF(w_frequency=13,0,1))+SUM(IF(w_start_date=AO255,w_amount,0)*IF(w_frequency=13,1,0))</f>
        <v>0</v>
      </c>
      <c r="BC255" s="25">
        <f t="shared" ca="1" si="291"/>
        <v>0</v>
      </c>
      <c r="BD255" s="24" t="b">
        <f t="shared" ca="1" si="292"/>
        <v>1</v>
      </c>
      <c r="BE255" s="24" t="b">
        <f t="shared" ca="1" si="293"/>
        <v>1</v>
      </c>
      <c r="BF255" s="23">
        <f t="array" aca="1" ref="BF255" ca="1">SUM(IF(BD255,1,0)*IF(ap_start_date&lt;=AO255,1,0)*IF(ap_end_date&gt;=AO255,1,0)*ap_amount*(1+ap_escalation/100)^(INT((AP255-ap_months_since_start)/12))*IF(MOD(AP255-ap_months_since_start,ap_frequency)=0,1,0))</f>
        <v>49815.913434751979</v>
      </c>
      <c r="BG255" s="24">
        <f t="shared" ca="1" si="294"/>
        <v>597790.96121702378</v>
      </c>
      <c r="BH255" s="24">
        <f t="shared" ca="1" si="295"/>
        <v>29055.355447517726</v>
      </c>
      <c r="BI255">
        <f t="shared" ca="1" si="296"/>
        <v>0</v>
      </c>
      <c r="BJ255" s="24">
        <f t="shared" ca="1" si="297"/>
        <v>203387.48813262407</v>
      </c>
      <c r="BK255">
        <f t="shared" ca="1" si="298"/>
        <v>1</v>
      </c>
      <c r="BL255" s="25">
        <f t="shared" ca="1" si="299"/>
        <v>16948.957344385337</v>
      </c>
      <c r="BM255" s="32">
        <f t="shared" ca="1" si="277"/>
        <v>1081667.9751275773</v>
      </c>
      <c r="BN255" s="23">
        <f t="shared" ca="1" si="300"/>
        <v>0</v>
      </c>
      <c r="BO255" s="24">
        <f t="shared" ca="1" si="301"/>
        <v>0</v>
      </c>
      <c r="BP255" s="25">
        <f t="shared" ca="1" si="302"/>
        <v>0</v>
      </c>
      <c r="BQ255" s="34">
        <f t="shared" ca="1" si="303"/>
        <v>53174</v>
      </c>
      <c r="BR255" s="23">
        <f t="shared" ca="1" si="304"/>
        <v>1081667.9751275773</v>
      </c>
      <c r="BS255" s="24">
        <f t="shared" ca="1" si="305"/>
        <v>0</v>
      </c>
      <c r="BT255" s="24">
        <f t="shared" ca="1" si="322"/>
        <v>0</v>
      </c>
      <c r="BU255" s="24">
        <f t="shared" ca="1" si="306"/>
        <v>0</v>
      </c>
      <c r="BV255" s="24">
        <f t="shared" ca="1" si="323"/>
        <v>0</v>
      </c>
      <c r="BW255" s="24">
        <f t="shared" ca="1" si="307"/>
        <v>-16948.957344385337</v>
      </c>
      <c r="BX255" s="25">
        <f t="shared" ca="1" si="324"/>
        <v>-208627.02066538099</v>
      </c>
      <c r="BY255" s="23">
        <f t="shared" ca="1" si="278"/>
        <v>480918.6576896765</v>
      </c>
      <c r="BZ255" s="24">
        <f t="shared" ca="1" si="279"/>
        <v>0</v>
      </c>
      <c r="CA255" s="24">
        <f t="shared" ca="1" si="325"/>
        <v>0</v>
      </c>
      <c r="CB255" s="24">
        <f t="shared" ca="1" si="280"/>
        <v>0</v>
      </c>
      <c r="CC255" s="24">
        <f t="shared" ca="1" si="326"/>
        <v>0</v>
      </c>
      <c r="CD255" s="24">
        <f t="shared" ca="1" si="281"/>
        <v>-7560.3184016413989</v>
      </c>
      <c r="CE255" s="25">
        <f t="shared" ca="1" si="327"/>
        <v>-94790.137547042628</v>
      </c>
      <c r="CF255" s="23">
        <f t="shared" ca="1" si="328"/>
        <v>592042.97120532161</v>
      </c>
      <c r="CG255" s="25">
        <f t="array" aca="1" ref="CG255" ca="1">SUM(BF244:BF255/(1+inflation/100)^(AP244:AP255/12))</f>
        <v>267980.53702225367</v>
      </c>
      <c r="CH255" s="32">
        <f ca="1">IFERROR(IF(MOD(AP255-ap_months_since_start,12)=0,ap_drawdown/100*(AQ255+AV255+BA255-BC255),CH254),0)</f>
        <v>178625.49346380847</v>
      </c>
    </row>
    <row r="256" spans="40:86" x14ac:dyDescent="0.25">
      <c r="AN256" s="32">
        <f t="shared" ca="1" si="276"/>
        <v>75.583333333333329</v>
      </c>
      <c r="AO256" s="53">
        <f t="shared" ca="1" si="309"/>
        <v>53175</v>
      </c>
      <c r="AP256" s="22">
        <v>249</v>
      </c>
      <c r="AQ256" s="32">
        <f t="shared" ca="1" si="310"/>
        <v>1081667.9751275773</v>
      </c>
      <c r="AR256" s="23">
        <f t="array" aca="1" ref="AR256" ca="1">SUM(IF(lsc_start_date=AO256,lsc_amount,0))</f>
        <v>0</v>
      </c>
      <c r="AS256" s="24">
        <f t="shared" ca="1" si="283"/>
        <v>0</v>
      </c>
      <c r="AT256" s="24">
        <f t="shared" ca="1" si="284"/>
        <v>0</v>
      </c>
      <c r="AU256" s="24">
        <f t="shared" ca="1" si="285"/>
        <v>0</v>
      </c>
      <c r="AV256" s="25">
        <f t="shared" ca="1" si="286"/>
        <v>0</v>
      </c>
      <c r="AW256" s="23">
        <f t="array" aca="1" ref="AW256" ca="1">SUM(IF(rcs_start_date&lt;=AO256,1,0)*IF(rcs_end_date&gt;=AO256,1,0)*rcs_amount*(1+rcs_escalation/100)^(INT((AP256-rcs_months_since_start)/12))*IF(MOD((AP256-rcs_months_since_start),rcs_frequency)=0,1,0)*IF(rcs_frequency=13,0,1))+SUM(IF(rcs_start_date=AO256,rcs_amount,0)*IF(rcs_frequency=13,1,0))</f>
        <v>0</v>
      </c>
      <c r="AX256" s="24">
        <f t="shared" ca="1" si="287"/>
        <v>0</v>
      </c>
      <c r="AY256" s="24">
        <f t="shared" ca="1" si="288"/>
        <v>0</v>
      </c>
      <c r="AZ256" s="24">
        <f t="shared" ca="1" si="289"/>
        <v>0</v>
      </c>
      <c r="BA256" s="25">
        <f t="shared" ca="1" si="290"/>
        <v>0</v>
      </c>
      <c r="BB256" s="23">
        <f t="array" aca="1" ref="BB256" ca="1">SUM(IF(w_start_date&lt;=AO256,1,0)*IF(w_end_date&gt;=AO256,1,0)*w_amount*(1+w_escalation/100)^(INT((AP256-w_months_since_start)/12))*IF(MOD(AP256-w_months_since_start,w_frequency)=0,1,0)*IF(w_frequency=13,0,1))+SUM(IF(w_start_date=AO256,w_amount,0)*IF(w_frequency=13,1,0))</f>
        <v>0</v>
      </c>
      <c r="BC256" s="25">
        <f t="shared" ca="1" si="291"/>
        <v>0</v>
      </c>
      <c r="BD256" s="24" t="b">
        <f t="shared" ca="1" si="292"/>
        <v>1</v>
      </c>
      <c r="BE256" s="24" t="b">
        <f t="shared" ca="1" si="293"/>
        <v>1</v>
      </c>
      <c r="BF256" s="23">
        <f t="array" aca="1" ref="BF256" ca="1">SUM(IF(BD256,1,0)*IF(ap_start_date&lt;=AO256,1,0)*IF(ap_end_date&gt;=AO256,1,0)*ap_amount*(1+ap_escalation/100)^(INT((AP256-ap_months_since_start)/12))*IF(MOD(AP256-ap_months_since_start,ap_frequency)=0,1,0))</f>
        <v>49815.913434751979</v>
      </c>
      <c r="BG256" s="24">
        <f t="shared" ca="1" si="294"/>
        <v>597790.96121702378</v>
      </c>
      <c r="BH256" s="24">
        <f t="shared" ca="1" si="295"/>
        <v>29055.355447517726</v>
      </c>
      <c r="BI256">
        <f t="shared" ca="1" si="296"/>
        <v>0</v>
      </c>
      <c r="BJ256" s="24">
        <f t="shared" ca="1" si="297"/>
        <v>203387.48813262407</v>
      </c>
      <c r="BK256">
        <f t="shared" ca="1" si="298"/>
        <v>1</v>
      </c>
      <c r="BL256" s="25">
        <f t="shared" ca="1" si="299"/>
        <v>16948.957344385337</v>
      </c>
      <c r="BM256" s="32">
        <f t="shared" ca="1" si="277"/>
        <v>1072392.7919851949</v>
      </c>
      <c r="BN256" s="23">
        <f t="shared" ca="1" si="300"/>
        <v>0</v>
      </c>
      <c r="BO256" s="24">
        <f t="shared" ca="1" si="301"/>
        <v>0</v>
      </c>
      <c r="BP256" s="25">
        <f t="shared" ca="1" si="302"/>
        <v>0</v>
      </c>
      <c r="BQ256" s="34">
        <f t="shared" ca="1" si="303"/>
        <v>53205</v>
      </c>
      <c r="BR256" s="23">
        <f t="shared" ca="1" si="304"/>
        <v>1072392.7919851949</v>
      </c>
      <c r="BS256" s="24">
        <f t="shared" ca="1" si="305"/>
        <v>0</v>
      </c>
      <c r="BT256" s="24">
        <f t="shared" ca="1" si="322"/>
        <v>0</v>
      </c>
      <c r="BU256" s="24">
        <f t="shared" ca="1" si="306"/>
        <v>0</v>
      </c>
      <c r="BV256" s="24">
        <f t="shared" ca="1" si="323"/>
        <v>0</v>
      </c>
      <c r="BW256" s="24">
        <f t="shared" ca="1" si="307"/>
        <v>-16948.957344385337</v>
      </c>
      <c r="BX256" s="25">
        <f t="shared" ca="1" si="324"/>
        <v>-206880.50982112865</v>
      </c>
      <c r="BY256" s="23">
        <f t="shared" ca="1" si="278"/>
        <v>475239.02453863883</v>
      </c>
      <c r="BZ256" s="24">
        <f t="shared" ca="1" si="279"/>
        <v>0</v>
      </c>
      <c r="CA256" s="24">
        <f t="shared" ca="1" si="325"/>
        <v>0</v>
      </c>
      <c r="CB256" s="24">
        <f t="shared" ca="1" si="280"/>
        <v>0</v>
      </c>
      <c r="CC256" s="24">
        <f t="shared" ca="1" si="326"/>
        <v>0</v>
      </c>
      <c r="CD256" s="24">
        <f t="shared" ca="1" si="281"/>
        <v>-7535.6486488749033</v>
      </c>
      <c r="CE256" s="25">
        <f t="shared" ca="1" si="327"/>
        <v>-93681.137690258285</v>
      </c>
      <c r="CF256" s="23">
        <f t="shared" ca="1" si="328"/>
        <v>593958.96787588904</v>
      </c>
      <c r="CG256" s="25">
        <f t="array" aca="1" ref="CG256" ca="1">SUM(BF245:BF256/(1+inflation/100)^(AP245:AP256/12))</f>
        <v>267980.53702225373</v>
      </c>
      <c r="CH256" s="32">
        <f ca="1">IFERROR(IF(MOD(AP256-ap_months_since_start,12)=0,ap_drawdown/100*(AQ256+AV256+BA256-BC256),CH255),0)</f>
        <v>178625.49346380847</v>
      </c>
    </row>
    <row r="257" spans="40:86" x14ac:dyDescent="0.25">
      <c r="AN257" s="32">
        <f t="shared" ca="1" si="276"/>
        <v>75.666666666666671</v>
      </c>
      <c r="AO257" s="53">
        <f t="shared" ca="1" si="309"/>
        <v>53206</v>
      </c>
      <c r="AP257" s="22">
        <v>250</v>
      </c>
      <c r="AQ257" s="32">
        <f t="shared" ca="1" si="310"/>
        <v>1072392.7919851949</v>
      </c>
      <c r="AR257" s="23">
        <f t="array" aca="1" ref="AR257" ca="1">SUM(IF(lsc_start_date=AO257,lsc_amount,0))</f>
        <v>0</v>
      </c>
      <c r="AS257" s="24">
        <f t="shared" ca="1" si="283"/>
        <v>0</v>
      </c>
      <c r="AT257" s="24">
        <f t="shared" ca="1" si="284"/>
        <v>0</v>
      </c>
      <c r="AU257" s="24">
        <f t="shared" ca="1" si="285"/>
        <v>0</v>
      </c>
      <c r="AV257" s="25">
        <f t="shared" ca="1" si="286"/>
        <v>0</v>
      </c>
      <c r="AW257" s="23">
        <f t="array" aca="1" ref="AW257" ca="1">SUM(IF(rcs_start_date&lt;=AO257,1,0)*IF(rcs_end_date&gt;=AO257,1,0)*rcs_amount*(1+rcs_escalation/100)^(INT((AP257-rcs_months_since_start)/12))*IF(MOD((AP257-rcs_months_since_start),rcs_frequency)=0,1,0)*IF(rcs_frequency=13,0,1))+SUM(IF(rcs_start_date=AO257,rcs_amount,0)*IF(rcs_frequency=13,1,0))</f>
        <v>0</v>
      </c>
      <c r="AX257" s="24">
        <f t="shared" ca="1" si="287"/>
        <v>0</v>
      </c>
      <c r="AY257" s="24">
        <f t="shared" ca="1" si="288"/>
        <v>0</v>
      </c>
      <c r="AZ257" s="24">
        <f t="shared" ca="1" si="289"/>
        <v>0</v>
      </c>
      <c r="BA257" s="25">
        <f t="shared" ca="1" si="290"/>
        <v>0</v>
      </c>
      <c r="BB257" s="23">
        <f t="array" aca="1" ref="BB257" ca="1">SUM(IF(w_start_date&lt;=AO257,1,0)*IF(w_end_date&gt;=AO257,1,0)*w_amount*(1+w_escalation/100)^(INT((AP257-w_months_since_start)/12))*IF(MOD(AP257-w_months_since_start,w_frequency)=0,1,0)*IF(w_frequency=13,0,1))+SUM(IF(w_start_date=AO257,w_amount,0)*IF(w_frequency=13,1,0))</f>
        <v>0</v>
      </c>
      <c r="BC257" s="25">
        <f t="shared" ca="1" si="291"/>
        <v>0</v>
      </c>
      <c r="BD257" s="24" t="b">
        <f t="shared" ca="1" si="292"/>
        <v>1</v>
      </c>
      <c r="BE257" s="24" t="b">
        <f t="shared" ca="1" si="293"/>
        <v>1</v>
      </c>
      <c r="BF257" s="23">
        <f t="array" aca="1" ref="BF257" ca="1">SUM(IF(BD257,1,0)*IF(ap_start_date&lt;=AO257,1,0)*IF(ap_end_date&gt;=AO257,1,0)*ap_amount*(1+ap_escalation/100)^(INT((AP257-ap_months_since_start)/12))*IF(MOD(AP257-ap_months_since_start,ap_frequency)=0,1,0))</f>
        <v>49815.913434751979</v>
      </c>
      <c r="BG257" s="24">
        <f t="shared" ca="1" si="294"/>
        <v>597790.96121702378</v>
      </c>
      <c r="BH257" s="24">
        <f t="shared" ca="1" si="295"/>
        <v>29055.355447517726</v>
      </c>
      <c r="BI257">
        <f t="shared" ca="1" si="296"/>
        <v>0</v>
      </c>
      <c r="BJ257" s="24">
        <f t="shared" ca="1" si="297"/>
        <v>203387.48813262407</v>
      </c>
      <c r="BK257">
        <f t="shared" ca="1" si="298"/>
        <v>1</v>
      </c>
      <c r="BL257" s="25">
        <f t="shared" ca="1" si="299"/>
        <v>16948.957344385337</v>
      </c>
      <c r="BM257" s="32">
        <f t="shared" ca="1" si="277"/>
        <v>1063050.7595990889</v>
      </c>
      <c r="BN257" s="23">
        <f t="shared" ca="1" si="300"/>
        <v>0</v>
      </c>
      <c r="BO257" s="24">
        <f t="shared" ca="1" si="301"/>
        <v>0</v>
      </c>
      <c r="BP257" s="25">
        <f t="shared" ca="1" si="302"/>
        <v>0</v>
      </c>
      <c r="BQ257" s="34">
        <f t="shared" ca="1" si="303"/>
        <v>53235</v>
      </c>
      <c r="BR257" s="23">
        <f t="shared" ca="1" si="304"/>
        <v>1063050.7595990889</v>
      </c>
      <c r="BS257" s="24">
        <f t="shared" ca="1" si="305"/>
        <v>0</v>
      </c>
      <c r="BT257" s="24">
        <f t="shared" ca="1" si="322"/>
        <v>0</v>
      </c>
      <c r="BU257" s="24">
        <f t="shared" ca="1" si="306"/>
        <v>0</v>
      </c>
      <c r="BV257" s="24">
        <f t="shared" ca="1" si="323"/>
        <v>0</v>
      </c>
      <c r="BW257" s="24">
        <f t="shared" ca="1" si="307"/>
        <v>-16948.957344385337</v>
      </c>
      <c r="BX257" s="25">
        <f t="shared" ca="1" si="324"/>
        <v>-205133.99897687632</v>
      </c>
      <c r="BY257" s="23">
        <f t="shared" ca="1" si="278"/>
        <v>469561.80863935698</v>
      </c>
      <c r="BZ257" s="24">
        <f t="shared" ca="1" si="279"/>
        <v>0</v>
      </c>
      <c r="CA257" s="24">
        <f t="shared" ca="1" si="325"/>
        <v>0</v>
      </c>
      <c r="CB257" s="24">
        <f t="shared" ca="1" si="280"/>
        <v>0</v>
      </c>
      <c r="CC257" s="24">
        <f t="shared" ca="1" si="326"/>
        <v>0</v>
      </c>
      <c r="CD257" s="24">
        <f t="shared" ca="1" si="281"/>
        <v>-7511.0593949272716</v>
      </c>
      <c r="CE257" s="25">
        <f t="shared" ca="1" si="327"/>
        <v>-92575.756563642644</v>
      </c>
      <c r="CF257" s="23">
        <f t="shared" ca="1" si="328"/>
        <v>595874.96454645635</v>
      </c>
      <c r="CG257" s="25">
        <f t="array" aca="1" ref="CG257" ca="1">SUM(BF246:BF257/(1+inflation/100)^(AP246:AP257/12))</f>
        <v>267980.53702225373</v>
      </c>
      <c r="CH257" s="32">
        <f ca="1">IFERROR(IF(MOD(AP257-ap_months_since_start,12)=0,ap_drawdown/100*(AQ257+AV257+BA257-BC257),CH256),0)</f>
        <v>178625.49346380847</v>
      </c>
    </row>
    <row r="258" spans="40:86" x14ac:dyDescent="0.25">
      <c r="AN258" s="32">
        <f t="shared" ca="1" si="276"/>
        <v>75.75</v>
      </c>
      <c r="AO258" s="53">
        <f t="shared" ca="1" si="309"/>
        <v>53236</v>
      </c>
      <c r="AP258" s="22">
        <v>251</v>
      </c>
      <c r="AQ258" s="32">
        <f t="shared" ca="1" si="310"/>
        <v>1063050.7595990889</v>
      </c>
      <c r="AR258" s="23">
        <f t="array" aca="1" ref="AR258" ca="1">SUM(IF(lsc_start_date=AO258,lsc_amount,0))</f>
        <v>0</v>
      </c>
      <c r="AS258" s="24">
        <f t="shared" ca="1" si="283"/>
        <v>0</v>
      </c>
      <c r="AT258" s="24">
        <f t="shared" ca="1" si="284"/>
        <v>0</v>
      </c>
      <c r="AU258" s="24">
        <f t="shared" ca="1" si="285"/>
        <v>0</v>
      </c>
      <c r="AV258" s="25">
        <f t="shared" ca="1" si="286"/>
        <v>0</v>
      </c>
      <c r="AW258" s="23">
        <f t="array" aca="1" ref="AW258" ca="1">SUM(IF(rcs_start_date&lt;=AO258,1,0)*IF(rcs_end_date&gt;=AO258,1,0)*rcs_amount*(1+rcs_escalation/100)^(INT((AP258-rcs_months_since_start)/12))*IF(MOD((AP258-rcs_months_since_start),rcs_frequency)=0,1,0)*IF(rcs_frequency=13,0,1))+SUM(IF(rcs_start_date=AO258,rcs_amount,0)*IF(rcs_frequency=13,1,0))</f>
        <v>0</v>
      </c>
      <c r="AX258" s="24">
        <f t="shared" ca="1" si="287"/>
        <v>0</v>
      </c>
      <c r="AY258" s="24">
        <f t="shared" ca="1" si="288"/>
        <v>0</v>
      </c>
      <c r="AZ258" s="24">
        <f t="shared" ca="1" si="289"/>
        <v>0</v>
      </c>
      <c r="BA258" s="25">
        <f t="shared" ca="1" si="290"/>
        <v>0</v>
      </c>
      <c r="BB258" s="23">
        <f t="array" aca="1" ref="BB258" ca="1">SUM(IF(w_start_date&lt;=AO258,1,0)*IF(w_end_date&gt;=AO258,1,0)*w_amount*(1+w_escalation/100)^(INT((AP258-w_months_since_start)/12))*IF(MOD(AP258-w_months_since_start,w_frequency)=0,1,0)*IF(w_frequency=13,0,1))+SUM(IF(w_start_date=AO258,w_amount,0)*IF(w_frequency=13,1,0))</f>
        <v>0</v>
      </c>
      <c r="BC258" s="25">
        <f t="shared" ca="1" si="291"/>
        <v>0</v>
      </c>
      <c r="BD258" s="24" t="b">
        <f t="shared" ca="1" si="292"/>
        <v>1</v>
      </c>
      <c r="BE258" s="24" t="b">
        <f t="shared" ca="1" si="293"/>
        <v>1</v>
      </c>
      <c r="BF258" s="23">
        <f t="array" aca="1" ref="BF258" ca="1">SUM(IF(BD258,1,0)*IF(ap_start_date&lt;=AO258,1,0)*IF(ap_end_date&gt;=AO258,1,0)*ap_amount*(1+ap_escalation/100)^(INT((AP258-ap_months_since_start)/12))*IF(MOD(AP258-ap_months_since_start,ap_frequency)=0,1,0))</f>
        <v>49815.913434751979</v>
      </c>
      <c r="BG258" s="24">
        <f t="shared" ca="1" si="294"/>
        <v>597790.96121702378</v>
      </c>
      <c r="BH258" s="24">
        <f t="shared" ca="1" si="295"/>
        <v>29055.355447517726</v>
      </c>
      <c r="BI258">
        <f t="shared" ca="1" si="296"/>
        <v>0</v>
      </c>
      <c r="BJ258" s="24">
        <f t="shared" ca="1" si="297"/>
        <v>203387.48813262407</v>
      </c>
      <c r="BK258">
        <f t="shared" ca="1" si="298"/>
        <v>1</v>
      </c>
      <c r="BL258" s="25">
        <f t="shared" ca="1" si="299"/>
        <v>16948.957344385337</v>
      </c>
      <c r="BM258" s="32">
        <f t="shared" ca="1" si="277"/>
        <v>1053641.3961651465</v>
      </c>
      <c r="BN258" s="23">
        <f t="shared" ca="1" si="300"/>
        <v>0</v>
      </c>
      <c r="BO258" s="24">
        <f t="shared" ca="1" si="301"/>
        <v>0</v>
      </c>
      <c r="BP258" s="25">
        <f t="shared" ca="1" si="302"/>
        <v>0</v>
      </c>
      <c r="BQ258" s="34">
        <f t="shared" ca="1" si="303"/>
        <v>53266</v>
      </c>
      <c r="BR258" s="23">
        <f t="shared" ca="1" si="304"/>
        <v>1053641.3961651465</v>
      </c>
      <c r="BS258" s="24">
        <f t="shared" ca="1" si="305"/>
        <v>0</v>
      </c>
      <c r="BT258" s="24">
        <f t="shared" ca="1" si="322"/>
        <v>0</v>
      </c>
      <c r="BU258" s="24">
        <f t="shared" ca="1" si="306"/>
        <v>0</v>
      </c>
      <c r="BV258" s="24">
        <f t="shared" ca="1" si="323"/>
        <v>0</v>
      </c>
      <c r="BW258" s="24">
        <f t="shared" ca="1" si="307"/>
        <v>-16948.957344385337</v>
      </c>
      <c r="BX258" s="25">
        <f t="shared" ca="1" si="324"/>
        <v>-203387.48813262398</v>
      </c>
      <c r="BY258" s="23">
        <f t="shared" ca="1" si="278"/>
        <v>463886.93891853391</v>
      </c>
      <c r="BZ258" s="24">
        <f t="shared" ca="1" si="279"/>
        <v>0</v>
      </c>
      <c r="CA258" s="24">
        <f t="shared" ca="1" si="325"/>
        <v>0</v>
      </c>
      <c r="CB258" s="24">
        <f t="shared" ca="1" si="280"/>
        <v>0</v>
      </c>
      <c r="CC258" s="24">
        <f t="shared" ca="1" si="326"/>
        <v>0</v>
      </c>
      <c r="CD258" s="24">
        <f t="shared" ca="1" si="281"/>
        <v>-7486.5503771262374</v>
      </c>
      <c r="CE258" s="25">
        <f t="shared" ca="1" si="327"/>
        <v>-91473.982359071524</v>
      </c>
      <c r="CF258" s="23">
        <f t="shared" ca="1" si="328"/>
        <v>597790.96121702378</v>
      </c>
      <c r="CG258" s="25">
        <f t="array" aca="1" ref="CG258" ca="1">SUM(BF247:BF258/(1+inflation/100)^(AP247:AP258/12))</f>
        <v>267980.53702225373</v>
      </c>
      <c r="CH258" s="32">
        <f ca="1">IFERROR(IF(MOD(AP258-ap_months_since_start,12)=0,ap_drawdown/100*(AQ258+AV258+BA258-BC258),CH257),0)</f>
        <v>178625.49346380847</v>
      </c>
    </row>
    <row r="259" spans="40:86" x14ac:dyDescent="0.25">
      <c r="AN259" s="32">
        <f t="shared" ca="1" si="276"/>
        <v>75.833333333333329</v>
      </c>
      <c r="AO259" s="53">
        <f t="shared" ca="1" si="309"/>
        <v>53267</v>
      </c>
      <c r="AP259" s="22">
        <v>252</v>
      </c>
      <c r="AQ259" s="32">
        <f t="shared" ca="1" si="310"/>
        <v>1053641.3961651465</v>
      </c>
      <c r="AR259" s="23">
        <f t="array" aca="1" ref="AR259" ca="1">SUM(IF(lsc_start_date=AO259,lsc_amount,0))</f>
        <v>0</v>
      </c>
      <c r="AS259" s="24">
        <f t="shared" ca="1" si="283"/>
        <v>0</v>
      </c>
      <c r="AT259" s="24">
        <f t="shared" ca="1" si="284"/>
        <v>0</v>
      </c>
      <c r="AU259" s="24">
        <f t="shared" ca="1" si="285"/>
        <v>0</v>
      </c>
      <c r="AV259" s="25">
        <f t="shared" ca="1" si="286"/>
        <v>0</v>
      </c>
      <c r="AW259" s="23">
        <f t="array" aca="1" ref="AW259" ca="1">SUM(IF(rcs_start_date&lt;=AO259,1,0)*IF(rcs_end_date&gt;=AO259,1,0)*rcs_amount*(1+rcs_escalation/100)^(INT((AP259-rcs_months_since_start)/12))*IF(MOD((AP259-rcs_months_since_start),rcs_frequency)=0,1,0)*IF(rcs_frequency=13,0,1))+SUM(IF(rcs_start_date=AO259,rcs_amount,0)*IF(rcs_frequency=13,1,0))</f>
        <v>0</v>
      </c>
      <c r="AX259" s="24">
        <f t="shared" ca="1" si="287"/>
        <v>0</v>
      </c>
      <c r="AY259" s="24">
        <f t="shared" ca="1" si="288"/>
        <v>0</v>
      </c>
      <c r="AZ259" s="24">
        <f t="shared" ca="1" si="289"/>
        <v>0</v>
      </c>
      <c r="BA259" s="25">
        <f t="shared" ca="1" si="290"/>
        <v>0</v>
      </c>
      <c r="BB259" s="23">
        <f t="array" aca="1" ref="BB259" ca="1">SUM(IF(w_start_date&lt;=AO259,1,0)*IF(w_end_date&gt;=AO259,1,0)*w_amount*(1+w_escalation/100)^(INT((AP259-w_months_since_start)/12))*IF(MOD(AP259-w_months_since_start,w_frequency)=0,1,0)*IF(w_frequency=13,0,1))+SUM(IF(w_start_date=AO259,w_amount,0)*IF(w_frequency=13,1,0))</f>
        <v>0</v>
      </c>
      <c r="BC259" s="25">
        <f t="shared" ca="1" si="291"/>
        <v>0</v>
      </c>
      <c r="BD259" s="24" t="b">
        <f t="shared" ca="1" si="292"/>
        <v>1</v>
      </c>
      <c r="BE259" s="24" t="b">
        <f t="shared" ca="1" si="293"/>
        <v>1</v>
      </c>
      <c r="BF259" s="23">
        <f t="array" aca="1" ref="BF259" ca="1">SUM(IF(BD259,1,0)*IF(ap_start_date&lt;=AO259,1,0)*IF(ap_end_date&gt;=AO259,1,0)*ap_amount*(1+ap_escalation/100)^(INT((AP259-ap_months_since_start)/12))*IF(MOD(AP259-ap_months_since_start,ap_frequency)=0,1,0))</f>
        <v>51808.549972142064</v>
      </c>
      <c r="BG259" s="24">
        <f t="shared" ca="1" si="294"/>
        <v>621702.59966570488</v>
      </c>
      <c r="BH259" s="24">
        <f t="shared" ca="1" si="295"/>
        <v>26341.034904128664</v>
      </c>
      <c r="BI259">
        <f t="shared" ca="1" si="296"/>
        <v>0</v>
      </c>
      <c r="BJ259" s="24">
        <f t="shared" ca="1" si="297"/>
        <v>184387.24432890062</v>
      </c>
      <c r="BK259">
        <f t="shared" ca="1" si="298"/>
        <v>1</v>
      </c>
      <c r="BL259" s="25">
        <f t="shared" ca="1" si="299"/>
        <v>15365.603694075047</v>
      </c>
      <c r="BM259" s="32">
        <f t="shared" ca="1" si="277"/>
        <v>1045758.9817987286</v>
      </c>
      <c r="BN259" s="23">
        <f t="shared" ca="1" si="300"/>
        <v>0</v>
      </c>
      <c r="BO259" s="24">
        <f t="shared" ca="1" si="301"/>
        <v>0</v>
      </c>
      <c r="BP259" s="25">
        <f t="shared" ca="1" si="302"/>
        <v>0</v>
      </c>
      <c r="BQ259" s="34">
        <f t="shared" ca="1" si="303"/>
        <v>53296</v>
      </c>
      <c r="BR259" s="23">
        <f t="shared" ca="1" si="304"/>
        <v>1045758.9817987286</v>
      </c>
      <c r="BS259" s="24">
        <f t="shared" ca="1" si="305"/>
        <v>0</v>
      </c>
      <c r="BT259" s="24">
        <f t="shared" ca="1" si="322"/>
        <v>0</v>
      </c>
      <c r="BU259" s="24">
        <f t="shared" ca="1" si="306"/>
        <v>0</v>
      </c>
      <c r="BV259" s="24">
        <f t="shared" ca="1" si="323"/>
        <v>0</v>
      </c>
      <c r="BW259" s="24">
        <f t="shared" ca="1" si="307"/>
        <v>-15365.603694075047</v>
      </c>
      <c r="BX259" s="25">
        <f t="shared" ca="1" si="324"/>
        <v>-201804.1344823137</v>
      </c>
      <c r="BY259" s="23">
        <f t="shared" ca="1" si="278"/>
        <v>458914.18092855212</v>
      </c>
      <c r="BZ259" s="24">
        <f t="shared" ca="1" si="279"/>
        <v>0</v>
      </c>
      <c r="CA259" s="24">
        <f t="shared" ca="1" si="325"/>
        <v>0</v>
      </c>
      <c r="CB259" s="24">
        <f t="shared" ca="1" si="280"/>
        <v>0</v>
      </c>
      <c r="CC259" s="24">
        <f t="shared" ca="1" si="326"/>
        <v>0</v>
      </c>
      <c r="CD259" s="24">
        <f t="shared" ca="1" si="281"/>
        <v>-6765.0178592286175</v>
      </c>
      <c r="CE259" s="25">
        <f t="shared" ca="1" si="327"/>
        <v>-90478.394031297241</v>
      </c>
      <c r="CF259" s="23">
        <f t="shared" ca="1" si="328"/>
        <v>599783.59775441384</v>
      </c>
      <c r="CG259" s="25">
        <f t="array" aca="1" ref="CG259" ca="1">SUM(BF248:BF259/(1+inflation/100)^(AP248:AP259/12))</f>
        <v>267980.53702225373</v>
      </c>
      <c r="CH259" s="32">
        <f ca="1">IFERROR(IF(MOD(AP259-ap_months_since_start,12)=0,ap_drawdown/100*(AQ259+AV259+BA259-BC259),CH258),0)</f>
        <v>161938.48898514715</v>
      </c>
    </row>
    <row r="260" spans="40:86" x14ac:dyDescent="0.25">
      <c r="AN260" s="32">
        <f t="shared" ca="1" si="276"/>
        <v>75.916666666666671</v>
      </c>
      <c r="AO260" s="53">
        <f t="shared" ca="1" si="309"/>
        <v>53297</v>
      </c>
      <c r="AP260" s="22">
        <v>253</v>
      </c>
      <c r="AQ260" s="32">
        <f t="shared" ca="1" si="310"/>
        <v>1045758.9817987286</v>
      </c>
      <c r="AR260" s="23">
        <f t="array" aca="1" ref="AR260" ca="1">SUM(IF(lsc_start_date=AO260,lsc_amount,0))</f>
        <v>0</v>
      </c>
      <c r="AS260" s="24">
        <f t="shared" ca="1" si="283"/>
        <v>0</v>
      </c>
      <c r="AT260" s="24">
        <f t="shared" ca="1" si="284"/>
        <v>0</v>
      </c>
      <c r="AU260" s="24">
        <f t="shared" ca="1" si="285"/>
        <v>0</v>
      </c>
      <c r="AV260" s="25">
        <f t="shared" ca="1" si="286"/>
        <v>0</v>
      </c>
      <c r="AW260" s="23">
        <f t="array" aca="1" ref="AW260" ca="1">SUM(IF(rcs_start_date&lt;=AO260,1,0)*IF(rcs_end_date&gt;=AO260,1,0)*rcs_amount*(1+rcs_escalation/100)^(INT((AP260-rcs_months_since_start)/12))*IF(MOD((AP260-rcs_months_since_start),rcs_frequency)=0,1,0)*IF(rcs_frequency=13,0,1))+SUM(IF(rcs_start_date=AO260,rcs_amount,0)*IF(rcs_frequency=13,1,0))</f>
        <v>0</v>
      </c>
      <c r="AX260" s="24">
        <f t="shared" ca="1" si="287"/>
        <v>0</v>
      </c>
      <c r="AY260" s="24">
        <f t="shared" ca="1" si="288"/>
        <v>0</v>
      </c>
      <c r="AZ260" s="24">
        <f t="shared" ca="1" si="289"/>
        <v>0</v>
      </c>
      <c r="BA260" s="25">
        <f t="shared" ca="1" si="290"/>
        <v>0</v>
      </c>
      <c r="BB260" s="23">
        <f t="array" aca="1" ref="BB260" ca="1">SUM(IF(w_start_date&lt;=AO260,1,0)*IF(w_end_date&gt;=AO260,1,0)*w_amount*(1+w_escalation/100)^(INT((AP260-w_months_since_start)/12))*IF(MOD(AP260-w_months_since_start,w_frequency)=0,1,0)*IF(w_frequency=13,0,1))+SUM(IF(w_start_date=AO260,w_amount,0)*IF(w_frequency=13,1,0))</f>
        <v>0</v>
      </c>
      <c r="BC260" s="25">
        <f t="shared" ca="1" si="291"/>
        <v>0</v>
      </c>
      <c r="BD260" s="24" t="b">
        <f t="shared" ca="1" si="292"/>
        <v>1</v>
      </c>
      <c r="BE260" s="24" t="b">
        <f t="shared" ca="1" si="293"/>
        <v>1</v>
      </c>
      <c r="BF260" s="23">
        <f t="array" aca="1" ref="BF260" ca="1">SUM(IF(BD260,1,0)*IF(ap_start_date&lt;=AO260,1,0)*IF(ap_end_date&gt;=AO260,1,0)*ap_amount*(1+ap_escalation/100)^(INT((AP260-ap_months_since_start)/12))*IF(MOD(AP260-ap_months_since_start,ap_frequency)=0,1,0))</f>
        <v>51808.549972142064</v>
      </c>
      <c r="BG260" s="24">
        <f t="shared" ca="1" si="294"/>
        <v>621702.59966570488</v>
      </c>
      <c r="BH260" s="24">
        <f t="shared" ca="1" si="295"/>
        <v>26341.034904128664</v>
      </c>
      <c r="BI260">
        <f t="shared" ca="1" si="296"/>
        <v>0</v>
      </c>
      <c r="BJ260" s="24">
        <f t="shared" ca="1" si="297"/>
        <v>184387.24432890062</v>
      </c>
      <c r="BK260">
        <f t="shared" ca="1" si="298"/>
        <v>1</v>
      </c>
      <c r="BL260" s="25">
        <f t="shared" ca="1" si="299"/>
        <v>15365.603694075047</v>
      </c>
      <c r="BM260" s="32">
        <f t="shared" ca="1" si="277"/>
        <v>1037819.7563234601</v>
      </c>
      <c r="BN260" s="23">
        <f t="shared" ca="1" si="300"/>
        <v>0</v>
      </c>
      <c r="BO260" s="24">
        <f t="shared" ca="1" si="301"/>
        <v>0</v>
      </c>
      <c r="BP260" s="25">
        <f t="shared" ca="1" si="302"/>
        <v>0</v>
      </c>
      <c r="BQ260" s="34">
        <f t="shared" ca="1" si="303"/>
        <v>53327</v>
      </c>
      <c r="BR260" s="23">
        <f t="shared" ca="1" si="304"/>
        <v>1037819.7563234601</v>
      </c>
      <c r="BS260" s="24">
        <f t="shared" ca="1" si="305"/>
        <v>0</v>
      </c>
      <c r="BT260" s="24">
        <f t="shared" ca="1" si="322"/>
        <v>0</v>
      </c>
      <c r="BU260" s="24">
        <f t="shared" ca="1" si="306"/>
        <v>0</v>
      </c>
      <c r="BV260" s="24">
        <f t="shared" ca="1" si="323"/>
        <v>0</v>
      </c>
      <c r="BW260" s="24">
        <f t="shared" ca="1" si="307"/>
        <v>-15365.603694075047</v>
      </c>
      <c r="BX260" s="25">
        <f t="shared" ca="1" si="324"/>
        <v>-200220.78083200342</v>
      </c>
      <c r="BY260" s="23">
        <f t="shared" ca="1" si="278"/>
        <v>453944.08719806996</v>
      </c>
      <c r="BZ260" s="24">
        <f t="shared" ca="1" si="279"/>
        <v>0</v>
      </c>
      <c r="CA260" s="24">
        <f t="shared" ca="1" si="325"/>
        <v>0</v>
      </c>
      <c r="CB260" s="24">
        <f t="shared" ca="1" si="280"/>
        <v>0</v>
      </c>
      <c r="CC260" s="24">
        <f t="shared" ca="1" si="326"/>
        <v>0</v>
      </c>
      <c r="CD260" s="24">
        <f t="shared" ca="1" si="281"/>
        <v>-6742.9432177675017</v>
      </c>
      <c r="CE260" s="25">
        <f t="shared" ca="1" si="327"/>
        <v>-89486.054365364762</v>
      </c>
      <c r="CF260" s="23">
        <f t="shared" ca="1" si="328"/>
        <v>601776.23429180391</v>
      </c>
      <c r="CG260" s="25">
        <f t="array" aca="1" ref="CG260" ca="1">SUM(BF249:BF260/(1+inflation/100)^(AP249:AP260/12))</f>
        <v>267980.53702225373</v>
      </c>
      <c r="CH260" s="32">
        <f ca="1">IFERROR(IF(MOD(AP260-ap_months_since_start,12)=0,ap_drawdown/100*(AQ260+AV260+BA260-BC260),CH259),0)</f>
        <v>161938.48898514715</v>
      </c>
    </row>
    <row r="261" spans="40:86" x14ac:dyDescent="0.25">
      <c r="AN261" s="32">
        <f t="shared" ca="1" si="276"/>
        <v>76</v>
      </c>
      <c r="AO261" s="53">
        <f t="shared" ca="1" si="309"/>
        <v>53328</v>
      </c>
      <c r="AP261" s="22">
        <v>254</v>
      </c>
      <c r="AQ261" s="32">
        <f t="shared" ca="1" si="310"/>
        <v>1037819.7563234601</v>
      </c>
      <c r="AR261" s="23">
        <f t="array" aca="1" ref="AR261" ca="1">SUM(IF(lsc_start_date=AO261,lsc_amount,0))</f>
        <v>0</v>
      </c>
      <c r="AS261" s="24">
        <f t="shared" ca="1" si="283"/>
        <v>0</v>
      </c>
      <c r="AT261" s="24">
        <f t="shared" ca="1" si="284"/>
        <v>0</v>
      </c>
      <c r="AU261" s="24">
        <f t="shared" ca="1" si="285"/>
        <v>0</v>
      </c>
      <c r="AV261" s="25">
        <f t="shared" ca="1" si="286"/>
        <v>0</v>
      </c>
      <c r="AW261" s="23">
        <f t="array" aca="1" ref="AW261" ca="1">SUM(IF(rcs_start_date&lt;=AO261,1,0)*IF(rcs_end_date&gt;=AO261,1,0)*rcs_amount*(1+rcs_escalation/100)^(INT((AP261-rcs_months_since_start)/12))*IF(MOD((AP261-rcs_months_since_start),rcs_frequency)=0,1,0)*IF(rcs_frequency=13,0,1))+SUM(IF(rcs_start_date=AO261,rcs_amount,0)*IF(rcs_frequency=13,1,0))</f>
        <v>0</v>
      </c>
      <c r="AX261" s="24">
        <f t="shared" ca="1" si="287"/>
        <v>0</v>
      </c>
      <c r="AY261" s="24">
        <f t="shared" ca="1" si="288"/>
        <v>0</v>
      </c>
      <c r="AZ261" s="24">
        <f t="shared" ca="1" si="289"/>
        <v>0</v>
      </c>
      <c r="BA261" s="25">
        <f t="shared" ca="1" si="290"/>
        <v>0</v>
      </c>
      <c r="BB261" s="23">
        <f t="array" aca="1" ref="BB261" ca="1">SUM(IF(w_start_date&lt;=AO261,1,0)*IF(w_end_date&gt;=AO261,1,0)*w_amount*(1+w_escalation/100)^(INT((AP261-w_months_since_start)/12))*IF(MOD(AP261-w_months_since_start,w_frequency)=0,1,0)*IF(w_frequency=13,0,1))+SUM(IF(w_start_date=AO261,w_amount,0)*IF(w_frequency=13,1,0))</f>
        <v>0</v>
      </c>
      <c r="BC261" s="25">
        <f t="shared" ca="1" si="291"/>
        <v>0</v>
      </c>
      <c r="BD261" s="24" t="b">
        <f t="shared" ca="1" si="292"/>
        <v>1</v>
      </c>
      <c r="BE261" s="24" t="b">
        <f t="shared" ca="1" si="293"/>
        <v>1</v>
      </c>
      <c r="BF261" s="23">
        <f t="array" aca="1" ref="BF261" ca="1">SUM(IF(BD261,1,0)*IF(ap_start_date&lt;=AO261,1,0)*IF(ap_end_date&gt;=AO261,1,0)*ap_amount*(1+ap_escalation/100)^(INT((AP261-ap_months_since_start)/12))*IF(MOD(AP261-ap_months_since_start,ap_frequency)=0,1,0))</f>
        <v>51808.549972142064</v>
      </c>
      <c r="BG261" s="24">
        <f t="shared" ca="1" si="294"/>
        <v>621702.59966570488</v>
      </c>
      <c r="BH261" s="24">
        <f t="shared" ca="1" si="295"/>
        <v>26341.034904128664</v>
      </c>
      <c r="BI261">
        <f t="shared" ca="1" si="296"/>
        <v>0</v>
      </c>
      <c r="BJ261" s="24">
        <f t="shared" ca="1" si="297"/>
        <v>184387.24432890062</v>
      </c>
      <c r="BK261">
        <f t="shared" ca="1" si="298"/>
        <v>1</v>
      </c>
      <c r="BL261" s="25">
        <f t="shared" ca="1" si="299"/>
        <v>15365.603694075047</v>
      </c>
      <c r="BM261" s="32">
        <f t="shared" ca="1" si="277"/>
        <v>1029823.3102833116</v>
      </c>
      <c r="BN261" s="23">
        <f t="shared" ca="1" si="300"/>
        <v>0</v>
      </c>
      <c r="BO261" s="24">
        <f t="shared" ca="1" si="301"/>
        <v>0</v>
      </c>
      <c r="BP261" s="25">
        <f t="shared" ca="1" si="302"/>
        <v>0</v>
      </c>
      <c r="BQ261" s="34">
        <f t="shared" ca="1" si="303"/>
        <v>53358</v>
      </c>
      <c r="BR261" s="23">
        <f t="shared" ca="1" si="304"/>
        <v>1029823.3102833116</v>
      </c>
      <c r="BS261" s="24">
        <f t="shared" ca="1" si="305"/>
        <v>0</v>
      </c>
      <c r="BT261" s="24">
        <f t="shared" ca="1" si="322"/>
        <v>0</v>
      </c>
      <c r="BU261" s="24">
        <f t="shared" ca="1" si="306"/>
        <v>0</v>
      </c>
      <c r="BV261" s="24">
        <f t="shared" ca="1" si="323"/>
        <v>0</v>
      </c>
      <c r="BW261" s="24">
        <f t="shared" ca="1" si="307"/>
        <v>-15365.603694075047</v>
      </c>
      <c r="BX261" s="25">
        <f t="shared" ca="1" si="324"/>
        <v>-198637.42718169314</v>
      </c>
      <c r="BY261" s="23">
        <f t="shared" ca="1" si="278"/>
        <v>448976.59585974034</v>
      </c>
      <c r="BZ261" s="24">
        <f t="shared" ca="1" si="279"/>
        <v>0</v>
      </c>
      <c r="CA261" s="24">
        <f t="shared" ca="1" si="325"/>
        <v>0</v>
      </c>
      <c r="CB261" s="24">
        <f t="shared" ca="1" si="280"/>
        <v>0</v>
      </c>
      <c r="CC261" s="24">
        <f t="shared" ca="1" si="326"/>
        <v>0</v>
      </c>
      <c r="CD261" s="24">
        <f t="shared" ca="1" si="281"/>
        <v>-6720.9406071281537</v>
      </c>
      <c r="CE261" s="25">
        <f t="shared" ca="1" si="327"/>
        <v>-88496.952760704095</v>
      </c>
      <c r="CF261" s="23">
        <f t="shared" ca="1" si="328"/>
        <v>603768.87082919409</v>
      </c>
      <c r="CG261" s="25">
        <f t="array" aca="1" ref="CG261" ca="1">SUM(BF250:BF261/(1+inflation/100)^(AP250:AP261/12))</f>
        <v>267980.53702225379</v>
      </c>
      <c r="CH261" s="32">
        <f ca="1">IFERROR(IF(MOD(AP261-ap_months_since_start,12)=0,ap_drawdown/100*(AQ261+AV261+BA261-BC261),CH260),0)</f>
        <v>161938.48898514715</v>
      </c>
    </row>
    <row r="262" spans="40:86" x14ac:dyDescent="0.25">
      <c r="AN262" s="32">
        <f t="shared" ca="1" si="276"/>
        <v>76.083333333333329</v>
      </c>
      <c r="AO262" s="53">
        <f t="shared" ca="1" si="309"/>
        <v>53359</v>
      </c>
      <c r="AP262" s="22">
        <v>255</v>
      </c>
      <c r="AQ262" s="32">
        <f t="shared" ca="1" si="310"/>
        <v>1029823.3102833116</v>
      </c>
      <c r="AR262" s="23">
        <f t="array" aca="1" ref="AR262" ca="1">SUM(IF(lsc_start_date=AO262,lsc_amount,0))</f>
        <v>0</v>
      </c>
      <c r="AS262" s="24">
        <f t="shared" ca="1" si="283"/>
        <v>0</v>
      </c>
      <c r="AT262" s="24">
        <f t="shared" ca="1" si="284"/>
        <v>0</v>
      </c>
      <c r="AU262" s="24">
        <f t="shared" ca="1" si="285"/>
        <v>0</v>
      </c>
      <c r="AV262" s="25">
        <f t="shared" ca="1" si="286"/>
        <v>0</v>
      </c>
      <c r="AW262" s="23">
        <f t="array" aca="1" ref="AW262" ca="1">SUM(IF(rcs_start_date&lt;=AO262,1,0)*IF(rcs_end_date&gt;=AO262,1,0)*rcs_amount*(1+rcs_escalation/100)^(INT((AP262-rcs_months_since_start)/12))*IF(MOD((AP262-rcs_months_since_start),rcs_frequency)=0,1,0)*IF(rcs_frequency=13,0,1))+SUM(IF(rcs_start_date=AO262,rcs_amount,0)*IF(rcs_frequency=13,1,0))</f>
        <v>0</v>
      </c>
      <c r="AX262" s="24">
        <f t="shared" ca="1" si="287"/>
        <v>0</v>
      </c>
      <c r="AY262" s="24">
        <f t="shared" ca="1" si="288"/>
        <v>0</v>
      </c>
      <c r="AZ262" s="24">
        <f t="shared" ca="1" si="289"/>
        <v>0</v>
      </c>
      <c r="BA262" s="25">
        <f t="shared" ca="1" si="290"/>
        <v>0</v>
      </c>
      <c r="BB262" s="23">
        <f t="array" aca="1" ref="BB262" ca="1">SUM(IF(w_start_date&lt;=AO262,1,0)*IF(w_end_date&gt;=AO262,1,0)*w_amount*(1+w_escalation/100)^(INT((AP262-w_months_since_start)/12))*IF(MOD(AP262-w_months_since_start,w_frequency)=0,1,0)*IF(w_frequency=13,0,1))+SUM(IF(w_start_date=AO262,w_amount,0)*IF(w_frequency=13,1,0))</f>
        <v>0</v>
      </c>
      <c r="BC262" s="25">
        <f t="shared" ca="1" si="291"/>
        <v>0</v>
      </c>
      <c r="BD262" s="24" t="b">
        <f t="shared" ca="1" si="292"/>
        <v>1</v>
      </c>
      <c r="BE262" s="24" t="b">
        <f t="shared" ca="1" si="293"/>
        <v>1</v>
      </c>
      <c r="BF262" s="23">
        <f t="array" aca="1" ref="BF262" ca="1">SUM(IF(BD262,1,0)*IF(ap_start_date&lt;=AO262,1,0)*IF(ap_end_date&gt;=AO262,1,0)*ap_amount*(1+ap_escalation/100)^(INT((AP262-ap_months_since_start)/12))*IF(MOD(AP262-ap_months_since_start,ap_frequency)=0,1,0))</f>
        <v>51808.549972142064</v>
      </c>
      <c r="BG262" s="24">
        <f t="shared" ca="1" si="294"/>
        <v>621702.59966570488</v>
      </c>
      <c r="BH262" s="24">
        <f t="shared" ca="1" si="295"/>
        <v>26341.034904128664</v>
      </c>
      <c r="BI262">
        <f t="shared" ca="1" si="296"/>
        <v>0</v>
      </c>
      <c r="BJ262" s="24">
        <f t="shared" ca="1" si="297"/>
        <v>184387.24432890062</v>
      </c>
      <c r="BK262">
        <f t="shared" ca="1" si="298"/>
        <v>1</v>
      </c>
      <c r="BL262" s="25">
        <f t="shared" ca="1" si="299"/>
        <v>15365.603694075047</v>
      </c>
      <c r="BM262" s="32">
        <f t="shared" ca="1" si="277"/>
        <v>1021769.2312711718</v>
      </c>
      <c r="BN262" s="23">
        <f t="shared" ca="1" si="300"/>
        <v>0</v>
      </c>
      <c r="BO262" s="24">
        <f t="shared" ca="1" si="301"/>
        <v>0</v>
      </c>
      <c r="BP262" s="25">
        <f t="shared" ca="1" si="302"/>
        <v>0</v>
      </c>
      <c r="BQ262" s="34">
        <f t="shared" ca="1" si="303"/>
        <v>53386</v>
      </c>
      <c r="BR262" s="23">
        <f t="shared" ca="1" si="304"/>
        <v>1021769.2312711718</v>
      </c>
      <c r="BS262" s="24">
        <f t="shared" ca="1" si="305"/>
        <v>0</v>
      </c>
      <c r="BT262" s="24">
        <f t="shared" ca="1" si="322"/>
        <v>0</v>
      </c>
      <c r="BU262" s="24">
        <f t="shared" ca="1" si="306"/>
        <v>0</v>
      </c>
      <c r="BV262" s="24">
        <f t="shared" ca="1" si="323"/>
        <v>0</v>
      </c>
      <c r="BW262" s="24">
        <f t="shared" ca="1" si="307"/>
        <v>-15365.603694075047</v>
      </c>
      <c r="BX262" s="25">
        <f t="shared" ca="1" si="324"/>
        <v>-197054.07353138286</v>
      </c>
      <c r="BY262" s="23">
        <f t="shared" ca="1" si="278"/>
        <v>444011.64503961353</v>
      </c>
      <c r="BZ262" s="24">
        <f t="shared" ca="1" si="279"/>
        <v>0</v>
      </c>
      <c r="CA262" s="24">
        <f t="shared" ca="1" si="325"/>
        <v>0</v>
      </c>
      <c r="CB262" s="24">
        <f t="shared" ca="1" si="280"/>
        <v>0</v>
      </c>
      <c r="CC262" s="24">
        <f t="shared" ca="1" si="326"/>
        <v>0</v>
      </c>
      <c r="CD262" s="24">
        <f t="shared" ca="1" si="281"/>
        <v>-6699.0097922698587</v>
      </c>
      <c r="CE262" s="25">
        <f t="shared" ca="1" si="327"/>
        <v>-87511.078651335483</v>
      </c>
      <c r="CF262" s="23">
        <f t="shared" ca="1" si="328"/>
        <v>605761.50736658415</v>
      </c>
      <c r="CG262" s="25">
        <f t="array" aca="1" ref="CG262" ca="1">SUM(BF251:BF262/(1+inflation/100)^(AP251:AP262/12))</f>
        <v>267980.53702225379</v>
      </c>
      <c r="CH262" s="32">
        <f ca="1">IFERROR(IF(MOD(AP262-ap_months_since_start,12)=0,ap_drawdown/100*(AQ262+AV262+BA262-BC262),CH261),0)</f>
        <v>161938.48898514715</v>
      </c>
    </row>
    <row r="263" spans="40:86" x14ac:dyDescent="0.25">
      <c r="AN263" s="32">
        <f t="shared" ca="1" si="276"/>
        <v>76.166666666666671</v>
      </c>
      <c r="AO263" s="53">
        <f t="shared" ca="1" si="309"/>
        <v>53387</v>
      </c>
      <c r="AP263" s="22">
        <v>256</v>
      </c>
      <c r="AQ263" s="32">
        <f t="shared" ca="1" si="310"/>
        <v>1021769.2312711718</v>
      </c>
      <c r="AR263" s="23">
        <f t="array" aca="1" ref="AR263" ca="1">SUM(IF(lsc_start_date=AO263,lsc_amount,0))</f>
        <v>0</v>
      </c>
      <c r="AS263" s="24">
        <f t="shared" ca="1" si="283"/>
        <v>0</v>
      </c>
      <c r="AT263" s="24">
        <f t="shared" ca="1" si="284"/>
        <v>0</v>
      </c>
      <c r="AU263" s="24">
        <f t="shared" ca="1" si="285"/>
        <v>0</v>
      </c>
      <c r="AV263" s="25">
        <f t="shared" ca="1" si="286"/>
        <v>0</v>
      </c>
      <c r="AW263" s="23">
        <f t="array" aca="1" ref="AW263" ca="1">SUM(IF(rcs_start_date&lt;=AO263,1,0)*IF(rcs_end_date&gt;=AO263,1,0)*rcs_amount*(1+rcs_escalation/100)^(INT((AP263-rcs_months_since_start)/12))*IF(MOD((AP263-rcs_months_since_start),rcs_frequency)=0,1,0)*IF(rcs_frequency=13,0,1))+SUM(IF(rcs_start_date=AO263,rcs_amount,0)*IF(rcs_frequency=13,1,0))</f>
        <v>0</v>
      </c>
      <c r="AX263" s="24">
        <f t="shared" ca="1" si="287"/>
        <v>0</v>
      </c>
      <c r="AY263" s="24">
        <f t="shared" ca="1" si="288"/>
        <v>0</v>
      </c>
      <c r="AZ263" s="24">
        <f t="shared" ca="1" si="289"/>
        <v>0</v>
      </c>
      <c r="BA263" s="25">
        <f t="shared" ca="1" si="290"/>
        <v>0</v>
      </c>
      <c r="BB263" s="23">
        <f t="array" aca="1" ref="BB263" ca="1">SUM(IF(w_start_date&lt;=AO263,1,0)*IF(w_end_date&gt;=AO263,1,0)*w_amount*(1+w_escalation/100)^(INT((AP263-w_months_since_start)/12))*IF(MOD(AP263-w_months_since_start,w_frequency)=0,1,0)*IF(w_frequency=13,0,1))+SUM(IF(w_start_date=AO263,w_amount,0)*IF(w_frequency=13,1,0))</f>
        <v>0</v>
      </c>
      <c r="BC263" s="25">
        <f t="shared" ca="1" si="291"/>
        <v>0</v>
      </c>
      <c r="BD263" s="24" t="b">
        <f t="shared" ca="1" si="292"/>
        <v>1</v>
      </c>
      <c r="BE263" s="24" t="b">
        <f t="shared" ca="1" si="293"/>
        <v>1</v>
      </c>
      <c r="BF263" s="23">
        <f t="array" aca="1" ref="BF263" ca="1">SUM(IF(BD263,1,0)*IF(ap_start_date&lt;=AO263,1,0)*IF(ap_end_date&gt;=AO263,1,0)*ap_amount*(1+ap_escalation/100)^(INT((AP263-ap_months_since_start)/12))*IF(MOD(AP263-ap_months_since_start,ap_frequency)=0,1,0))</f>
        <v>51808.549972142064</v>
      </c>
      <c r="BG263" s="24">
        <f t="shared" ca="1" si="294"/>
        <v>621702.59966570488</v>
      </c>
      <c r="BH263" s="24">
        <f t="shared" ca="1" si="295"/>
        <v>26341.034904128664</v>
      </c>
      <c r="BI263">
        <f t="shared" ca="1" si="296"/>
        <v>0</v>
      </c>
      <c r="BJ263" s="24">
        <f t="shared" ca="1" si="297"/>
        <v>184387.24432890062</v>
      </c>
      <c r="BK263">
        <f t="shared" ca="1" si="298"/>
        <v>1</v>
      </c>
      <c r="BL263" s="25">
        <f t="shared" ca="1" si="299"/>
        <v>15365.603694075047</v>
      </c>
      <c r="BM263" s="32">
        <f t="shared" ca="1" si="277"/>
        <v>1013657.1039075778</v>
      </c>
      <c r="BN263" s="23">
        <f t="shared" ca="1" si="300"/>
        <v>0</v>
      </c>
      <c r="BO263" s="24">
        <f t="shared" ca="1" si="301"/>
        <v>0</v>
      </c>
      <c r="BP263" s="25">
        <f t="shared" ca="1" si="302"/>
        <v>0</v>
      </c>
      <c r="BQ263" s="34">
        <f t="shared" ca="1" si="303"/>
        <v>53417</v>
      </c>
      <c r="BR263" s="23">
        <f t="shared" ca="1" si="304"/>
        <v>1013657.1039075778</v>
      </c>
      <c r="BS263" s="24">
        <f t="shared" ca="1" si="305"/>
        <v>0</v>
      </c>
      <c r="BT263" s="24">
        <f t="shared" ca="1" si="322"/>
        <v>0</v>
      </c>
      <c r="BU263" s="24">
        <f t="shared" ca="1" si="306"/>
        <v>0</v>
      </c>
      <c r="BV263" s="24">
        <f t="shared" ca="1" si="323"/>
        <v>0</v>
      </c>
      <c r="BW263" s="24">
        <f t="shared" ca="1" si="307"/>
        <v>-15365.603694075047</v>
      </c>
      <c r="BX263" s="25">
        <f t="shared" ca="1" si="324"/>
        <v>-195470.71988107258</v>
      </c>
      <c r="BY263" s="23">
        <f t="shared" ca="1" si="278"/>
        <v>439049.17285633914</v>
      </c>
      <c r="BZ263" s="24">
        <f t="shared" ca="1" si="279"/>
        <v>0</v>
      </c>
      <c r="CA263" s="24">
        <f t="shared" ca="1" si="325"/>
        <v>0</v>
      </c>
      <c r="CB263" s="24">
        <f t="shared" ca="1" si="280"/>
        <v>0</v>
      </c>
      <c r="CC263" s="24">
        <f t="shared" ca="1" si="326"/>
        <v>0</v>
      </c>
      <c r="CD263" s="24">
        <f t="shared" ca="1" si="281"/>
        <v>-6677.1505389188696</v>
      </c>
      <c r="CE263" s="25">
        <f t="shared" ca="1" si="327"/>
        <v>-86528.421505756633</v>
      </c>
      <c r="CF263" s="23">
        <f t="shared" ca="1" si="328"/>
        <v>607754.14390397433</v>
      </c>
      <c r="CG263" s="25">
        <f t="array" aca="1" ref="CG263" ca="1">SUM(BF252:BF263/(1+inflation/100)^(AP252:AP263/12))</f>
        <v>267980.53702225379</v>
      </c>
      <c r="CH263" s="32">
        <f ca="1">IFERROR(IF(MOD(AP263-ap_months_since_start,12)=0,ap_drawdown/100*(AQ263+AV263+BA263-BC263),CH262),0)</f>
        <v>161938.48898514715</v>
      </c>
    </row>
    <row r="264" spans="40:86" x14ac:dyDescent="0.25">
      <c r="AN264" s="32">
        <f t="shared" ref="AN264:AN327" ca="1" si="329">IF(AND(Date_of_birth&lt;&gt;"",Date_of_birth&lt;&gt;"Please enter date of birth"),YEARFRAC(Date_of_birth,AO264),AP264/12)</f>
        <v>76.25</v>
      </c>
      <c r="AO264" s="53">
        <f t="shared" ca="1" si="309"/>
        <v>53418</v>
      </c>
      <c r="AP264" s="22">
        <v>257</v>
      </c>
      <c r="AQ264" s="32">
        <f t="shared" ca="1" si="310"/>
        <v>1013657.1039075778</v>
      </c>
      <c r="AR264" s="23">
        <f t="array" aca="1" ref="AR264" ca="1">SUM(IF(lsc_start_date=AO264,lsc_amount,0))</f>
        <v>0</v>
      </c>
      <c r="AS264" s="24">
        <f t="shared" ca="1" si="283"/>
        <v>0</v>
      </c>
      <c r="AT264" s="24">
        <f t="shared" ca="1" si="284"/>
        <v>0</v>
      </c>
      <c r="AU264" s="24">
        <f t="shared" ca="1" si="285"/>
        <v>0</v>
      </c>
      <c r="AV264" s="25">
        <f t="shared" ca="1" si="286"/>
        <v>0</v>
      </c>
      <c r="AW264" s="23">
        <f t="array" aca="1" ref="AW264" ca="1">SUM(IF(rcs_start_date&lt;=AO264,1,0)*IF(rcs_end_date&gt;=AO264,1,0)*rcs_amount*(1+rcs_escalation/100)^(INT((AP264-rcs_months_since_start)/12))*IF(MOD((AP264-rcs_months_since_start),rcs_frequency)=0,1,0)*IF(rcs_frequency=13,0,1))+SUM(IF(rcs_start_date=AO264,rcs_amount,0)*IF(rcs_frequency=13,1,0))</f>
        <v>0</v>
      </c>
      <c r="AX264" s="24">
        <f t="shared" ca="1" si="287"/>
        <v>0</v>
      </c>
      <c r="AY264" s="24">
        <f t="shared" ca="1" si="288"/>
        <v>0</v>
      </c>
      <c r="AZ264" s="24">
        <f t="shared" ca="1" si="289"/>
        <v>0</v>
      </c>
      <c r="BA264" s="25">
        <f t="shared" ca="1" si="290"/>
        <v>0</v>
      </c>
      <c r="BB264" s="23">
        <f t="array" aca="1" ref="BB264" ca="1">SUM(IF(w_start_date&lt;=AO264,1,0)*IF(w_end_date&gt;=AO264,1,0)*w_amount*(1+w_escalation/100)^(INT((AP264-w_months_since_start)/12))*IF(MOD(AP264-w_months_since_start,w_frequency)=0,1,0)*IF(w_frequency=13,0,1))+SUM(IF(w_start_date=AO264,w_amount,0)*IF(w_frequency=13,1,0))</f>
        <v>0</v>
      </c>
      <c r="BC264" s="25">
        <f t="shared" ca="1" si="291"/>
        <v>0</v>
      </c>
      <c r="BD264" s="24" t="b">
        <f t="shared" ca="1" si="292"/>
        <v>1</v>
      </c>
      <c r="BE264" s="24" t="b">
        <f t="shared" ca="1" si="293"/>
        <v>1</v>
      </c>
      <c r="BF264" s="23">
        <f t="array" aca="1" ref="BF264" ca="1">SUM(IF(BD264,1,0)*IF(ap_start_date&lt;=AO264,1,0)*IF(ap_end_date&gt;=AO264,1,0)*ap_amount*(1+ap_escalation/100)^(INT((AP264-ap_months_since_start)/12))*IF(MOD(AP264-ap_months_since_start,ap_frequency)=0,1,0))</f>
        <v>51808.549972142064</v>
      </c>
      <c r="BG264" s="24">
        <f t="shared" ca="1" si="294"/>
        <v>621702.59966570488</v>
      </c>
      <c r="BH264" s="24">
        <f t="shared" ca="1" si="295"/>
        <v>26341.034904128664</v>
      </c>
      <c r="BI264">
        <f t="shared" ca="1" si="296"/>
        <v>0</v>
      </c>
      <c r="BJ264" s="24">
        <f t="shared" ca="1" si="297"/>
        <v>184387.24432890062</v>
      </c>
      <c r="BK264">
        <f t="shared" ca="1" si="298"/>
        <v>1</v>
      </c>
      <c r="BL264" s="25">
        <f t="shared" ca="1" si="299"/>
        <v>15365.603694075047</v>
      </c>
      <c r="BM264" s="32">
        <f t="shared" ref="BM264:BM327" ca="1" si="330">(AQ264+AV264+BA264-BC264-BL264)*(1+NomRetn/100)^(1/12)</f>
        <v>1005486.5098192927</v>
      </c>
      <c r="BN264" s="23">
        <f t="shared" ca="1" si="300"/>
        <v>0</v>
      </c>
      <c r="BO264" s="24">
        <f t="shared" ca="1" si="301"/>
        <v>0</v>
      </c>
      <c r="BP264" s="25">
        <f t="shared" ca="1" si="302"/>
        <v>0</v>
      </c>
      <c r="BQ264" s="34">
        <f t="shared" ca="1" si="303"/>
        <v>53447</v>
      </c>
      <c r="BR264" s="23">
        <f t="shared" ca="1" si="304"/>
        <v>1005486.5098192927</v>
      </c>
      <c r="BS264" s="24">
        <f t="shared" ca="1" si="305"/>
        <v>0</v>
      </c>
      <c r="BT264" s="24">
        <f t="shared" ca="1" si="322"/>
        <v>0</v>
      </c>
      <c r="BU264" s="24">
        <f t="shared" ca="1" si="306"/>
        <v>0</v>
      </c>
      <c r="BV264" s="24">
        <f t="shared" ca="1" si="323"/>
        <v>0</v>
      </c>
      <c r="BW264" s="24">
        <f t="shared" ca="1" si="307"/>
        <v>-15365.603694075047</v>
      </c>
      <c r="BX264" s="25">
        <f t="shared" ca="1" si="324"/>
        <v>-193887.3662307623</v>
      </c>
      <c r="BY264" s="23">
        <f t="shared" ref="BY264:BY327" ca="1" si="331">BR264*(1+inflation/100)^(-$AP264/12)</f>
        <v>434089.11742037046</v>
      </c>
      <c r="BZ264" s="24">
        <f t="shared" ref="BZ264:BZ327" ca="1" si="332">BS264*(1+inflation/100)^(-(AP264-1)/12)</f>
        <v>0</v>
      </c>
      <c r="CA264" s="24">
        <f t="shared" ca="1" si="325"/>
        <v>0</v>
      </c>
      <c r="CB264" s="24">
        <f t="shared" ref="CB264:CB327" ca="1" si="333">BU264*(1+inflation/100)^(-($AP264-1)/12)</f>
        <v>0</v>
      </c>
      <c r="CC264" s="24">
        <f t="shared" ca="1" si="326"/>
        <v>0</v>
      </c>
      <c r="CD264" s="24">
        <f t="shared" ref="CD264:CD327" ca="1" si="334">BW264*(1+inflation/100)^(-($AP264-1)/12)</f>
        <v>-6655.3626135658806</v>
      </c>
      <c r="CE264" s="25">
        <f t="shared" ca="1" si="327"/>
        <v>-85548.970826830089</v>
      </c>
      <c r="CF264" s="23">
        <f t="shared" ca="1" si="328"/>
        <v>609746.78044136439</v>
      </c>
      <c r="CG264" s="25">
        <f t="array" aca="1" ref="CG264" ca="1">SUM(BF253:BF264/(1+inflation/100)^(AP253:AP264/12))</f>
        <v>267980.53702225373</v>
      </c>
      <c r="CH264" s="32">
        <f ca="1">IFERROR(IF(MOD(AP264-ap_months_since_start,12)=0,ap_drawdown/100*(AQ264+AV264+BA264-BC264),CH263),0)</f>
        <v>161938.48898514715</v>
      </c>
    </row>
    <row r="265" spans="40:86" x14ac:dyDescent="0.25">
      <c r="AN265" s="32">
        <f t="shared" ca="1" si="329"/>
        <v>76.333333333333329</v>
      </c>
      <c r="AO265" s="53">
        <f t="shared" ca="1" si="309"/>
        <v>53448</v>
      </c>
      <c r="AP265" s="22">
        <v>258</v>
      </c>
      <c r="AQ265" s="32">
        <f t="shared" ca="1" si="310"/>
        <v>1005486.5098192927</v>
      </c>
      <c r="AR265" s="23">
        <f t="array" aca="1" ref="AR265" ca="1">SUM(IF(lsc_start_date=AO265,lsc_amount,0))</f>
        <v>0</v>
      </c>
      <c r="AS265" s="24">
        <f t="shared" ref="AS265:AS328" ca="1" si="335">AR265*$D$34/100</f>
        <v>0</v>
      </c>
      <c r="AT265" s="24">
        <f t="shared" ref="AT265:AT328" ca="1" si="336">AR265*$D$33/100</f>
        <v>0</v>
      </c>
      <c r="AU265" s="24">
        <f t="shared" ref="AU265:AU328" ca="1" si="337">AR265*$D$35/100</f>
        <v>0</v>
      </c>
      <c r="AV265" s="25">
        <f t="shared" ref="AV265:AV328" ca="1" si="338">AR265-AS265-AT265-AU265</f>
        <v>0</v>
      </c>
      <c r="AW265" s="23">
        <f t="array" aca="1" ref="AW265" ca="1">SUM(IF(rcs_start_date&lt;=AO265,1,0)*IF(rcs_end_date&gt;=AO265,1,0)*rcs_amount*(1+rcs_escalation/100)^(INT((AP265-rcs_months_since_start)/12))*IF(MOD((AP265-rcs_months_since_start),rcs_frequency)=0,1,0)*IF(rcs_frequency=13,0,1))+SUM(IF(rcs_start_date=AO265,rcs_amount,0)*IF(rcs_frequency=13,1,0))</f>
        <v>0</v>
      </c>
      <c r="AX265" s="24">
        <f t="shared" ref="AX265:AX328" ca="1" si="339">AW265*$D$34/100</f>
        <v>0</v>
      </c>
      <c r="AY265" s="24">
        <f t="shared" ref="AY265:AY328" ca="1" si="340">AW265*$D$33/100</f>
        <v>0</v>
      </c>
      <c r="AZ265" s="24">
        <f t="shared" ref="AZ265:AZ328" ca="1" si="341">AW265*$D$35/100</f>
        <v>0</v>
      </c>
      <c r="BA265" s="25">
        <f t="shared" ref="BA265:BA328" ca="1" si="342">AW265-AX265-AY265-AZ265</f>
        <v>0</v>
      </c>
      <c r="BB265" s="23">
        <f t="array" aca="1" ref="BB265" ca="1">SUM(IF(w_start_date&lt;=AO265,1,0)*IF(w_end_date&gt;=AO265,1,0)*w_amount*(1+w_escalation/100)^(INT((AP265-w_months_since_start)/12))*IF(MOD(AP265-w_months_since_start,w_frequency)=0,1,0)*IF(w_frequency=13,0,1))+SUM(IF(w_start_date=AO265,w_amount,0)*IF(w_frequency=13,1,0))</f>
        <v>0</v>
      </c>
      <c r="BC265" s="25">
        <f t="shared" ref="BC265:BC328" ca="1" si="343">IF(BB265&gt;AQ265+AV265+BA265,AQ265+AV265+BA265,BB265)</f>
        <v>0</v>
      </c>
      <c r="BD265" s="24" t="b">
        <f t="shared" ref="BD265:BD328" ca="1" si="344">AND($DV$11&lt;=AO265,$DV$11&lt;&gt;0)</f>
        <v>1</v>
      </c>
      <c r="BE265" s="24" t="b">
        <f t="shared" ref="BE265:BE328" ca="1" si="345">$DW$11&lt;&gt;""</f>
        <v>1</v>
      </c>
      <c r="BF265" s="23">
        <f t="array" aca="1" ref="BF265" ca="1">SUM(IF(BD265,1,0)*IF(ap_start_date&lt;=AO265,1,0)*IF(ap_end_date&gt;=AO265,1,0)*ap_amount*(1+ap_escalation/100)^(INT((AP265-ap_months_since_start)/12))*IF(MOD(AP265-ap_months_since_start,ap_frequency)=0,1,0))</f>
        <v>51808.549972142064</v>
      </c>
      <c r="BG265" s="24">
        <f t="shared" ref="BG265:BG328" ca="1" si="346">IF(MOD(YEAR(AO265)*12+MONTH(AO265)-YEAR(Earliest_annuity_payment)*12-MONTH(Earliest_annuity_payment),12)=0,SUM(BF265:BF276),BG264)</f>
        <v>621702.59966570488</v>
      </c>
      <c r="BH265" s="24">
        <f t="shared" ref="BH265:BH328" ca="1" si="347">IF(AO265&gt;=Earliest_annuity_payment,IF(MOD(YEAR(AO265)*12+MONTH(AO265)-YEAR(Earliest_annuity_payment)*12-MONTH(Earliest_annuity_payment),12)=0,(AQ265+AV265+BA265-BC265)*Annuity_min,BH264),0)</f>
        <v>26341.034904128664</v>
      </c>
      <c r="BI265">
        <f t="shared" ref="BI265:BI328" ca="1" si="348">IF(AND(BH265&gt;BG265,BD265),1,0)</f>
        <v>0</v>
      </c>
      <c r="BJ265" s="24">
        <f t="shared" ref="BJ265:BJ328" ca="1" si="349">IF(AO265&gt;=Earliest_annuity_payment,IF(MOD(YEAR(AO265)*12+MONTH(AO265)-YEAR(Earliest_annuity_payment)*12-MONTH(Earliest_annuity_payment),12)=0,(AQ265+AV265+BA265-BC265)*Annuity_cap,BJ264),0)</f>
        <v>184387.24432890062</v>
      </c>
      <c r="BK265">
        <f t="shared" ref="BK265:BK328" ca="1" si="350">IF(BJ265&lt;BG265,1,0)</f>
        <v>1</v>
      </c>
      <c r="BL265" s="25">
        <f t="shared" ref="BL265:BL328" ca="1" si="351">IF(BJ265&lt;BG265,BF265/BG265*BJ265,IF(AND(BH265&gt;BG265,BG265&lt;&gt;0),BF265/BG265*BH265,BF265))</f>
        <v>15365.603694075047</v>
      </c>
      <c r="BM265" s="32">
        <f t="shared" ca="1" si="330"/>
        <v>997257.02761772834</v>
      </c>
      <c r="BN265" s="23">
        <f t="shared" ref="BN265:BN328" ca="1" si="352">BM265*$E$34/1200</f>
        <v>0</v>
      </c>
      <c r="BO265" s="24">
        <f t="shared" ref="BO265:BO328" ca="1" si="353">BM265*$E$33/1200</f>
        <v>0</v>
      </c>
      <c r="BP265" s="25">
        <f t="shared" ref="BP265:BP328" ca="1" si="354">BM265*$E$35/1200</f>
        <v>0</v>
      </c>
      <c r="BQ265" s="34">
        <f t="shared" ref="BQ265:BQ328" ca="1" si="355">EOMONTH(AO265,0)</f>
        <v>53478</v>
      </c>
      <c r="BR265" s="23">
        <f t="shared" ref="BR265:BR328" ca="1" si="356">BM265-BN265-BO265-BP265</f>
        <v>997257.02761772834</v>
      </c>
      <c r="BS265" s="24">
        <f t="shared" ref="BS265:BS328" ca="1" si="357">AV265+BA265</f>
        <v>0</v>
      </c>
      <c r="BT265" s="24">
        <f t="shared" ca="1" si="322"/>
        <v>0</v>
      </c>
      <c r="BU265" s="24">
        <f t="shared" ref="BU265:BU328" ca="1" si="358">-BC265</f>
        <v>0</v>
      </c>
      <c r="BV265" s="24">
        <f t="shared" ca="1" si="323"/>
        <v>0</v>
      </c>
      <c r="BW265" s="24">
        <f t="shared" ref="BW265:BW328" ca="1" si="359">-BL265</f>
        <v>-15365.603694075047</v>
      </c>
      <c r="BX265" s="25">
        <f t="shared" ca="1" si="324"/>
        <v>-192304.01258045202</v>
      </c>
      <c r="BY265" s="23">
        <f t="shared" ca="1" si="331"/>
        <v>429131.41683316778</v>
      </c>
      <c r="BZ265" s="24">
        <f t="shared" ca="1" si="332"/>
        <v>0</v>
      </c>
      <c r="CA265" s="24">
        <f t="shared" ca="1" si="325"/>
        <v>0</v>
      </c>
      <c r="CB265" s="24">
        <f t="shared" ca="1" si="333"/>
        <v>0</v>
      </c>
      <c r="CC265" s="24">
        <f t="shared" ca="1" si="326"/>
        <v>0</v>
      </c>
      <c r="CD265" s="24">
        <f t="shared" ca="1" si="334"/>
        <v>-6633.6457834635394</v>
      </c>
      <c r="CE265" s="25">
        <f t="shared" ca="1" si="327"/>
        <v>-84572.716151671179</v>
      </c>
      <c r="CF265" s="23">
        <f t="shared" ca="1" si="328"/>
        <v>611739.41697875445</v>
      </c>
      <c r="CG265" s="25">
        <f t="array" aca="1" ref="CG265" ca="1">SUM(BF254:BF265/(1+inflation/100)^(AP254:AP265/12))</f>
        <v>267980.53702225373</v>
      </c>
      <c r="CH265" s="32">
        <f ca="1">IFERROR(IF(MOD(AP265-ap_months_since_start,12)=0,ap_drawdown/100*(AQ265+AV265+BA265-BC265),CH264),0)</f>
        <v>161938.48898514715</v>
      </c>
    </row>
    <row r="266" spans="40:86" x14ac:dyDescent="0.25">
      <c r="AN266" s="32">
        <f t="shared" ca="1" si="329"/>
        <v>76.416666666666671</v>
      </c>
      <c r="AO266" s="53">
        <f t="shared" ref="AO266:AO329" ca="1" si="360">DATE(YEAR(AO265),MONTH(AO265)+1,1)</f>
        <v>53479</v>
      </c>
      <c r="AP266" s="22">
        <v>259</v>
      </c>
      <c r="AQ266" s="32">
        <f t="shared" ref="AQ266:AQ329" ca="1" si="361">IF(BR265&lt;0,0,BR265)</f>
        <v>997257.02761772834</v>
      </c>
      <c r="AR266" s="23">
        <f t="array" aca="1" ref="AR266" ca="1">SUM(IF(lsc_start_date=AO266,lsc_amount,0))</f>
        <v>0</v>
      </c>
      <c r="AS266" s="24">
        <f t="shared" ca="1" si="335"/>
        <v>0</v>
      </c>
      <c r="AT266" s="24">
        <f t="shared" ca="1" si="336"/>
        <v>0</v>
      </c>
      <c r="AU266" s="24">
        <f t="shared" ca="1" si="337"/>
        <v>0</v>
      </c>
      <c r="AV266" s="25">
        <f t="shared" ca="1" si="338"/>
        <v>0</v>
      </c>
      <c r="AW266" s="23">
        <f t="array" aca="1" ref="AW266" ca="1">SUM(IF(rcs_start_date&lt;=AO266,1,0)*IF(rcs_end_date&gt;=AO266,1,0)*rcs_amount*(1+rcs_escalation/100)^(INT((AP266-rcs_months_since_start)/12))*IF(MOD((AP266-rcs_months_since_start),rcs_frequency)=0,1,0)*IF(rcs_frequency=13,0,1))+SUM(IF(rcs_start_date=AO266,rcs_amount,0)*IF(rcs_frequency=13,1,0))</f>
        <v>0</v>
      </c>
      <c r="AX266" s="24">
        <f t="shared" ca="1" si="339"/>
        <v>0</v>
      </c>
      <c r="AY266" s="24">
        <f t="shared" ca="1" si="340"/>
        <v>0</v>
      </c>
      <c r="AZ266" s="24">
        <f t="shared" ca="1" si="341"/>
        <v>0</v>
      </c>
      <c r="BA266" s="25">
        <f t="shared" ca="1" si="342"/>
        <v>0</v>
      </c>
      <c r="BB266" s="23">
        <f t="array" aca="1" ref="BB266" ca="1">SUM(IF(w_start_date&lt;=AO266,1,0)*IF(w_end_date&gt;=AO266,1,0)*w_amount*(1+w_escalation/100)^(INT((AP266-w_months_since_start)/12))*IF(MOD(AP266-w_months_since_start,w_frequency)=0,1,0)*IF(w_frequency=13,0,1))+SUM(IF(w_start_date=AO266,w_amount,0)*IF(w_frequency=13,1,0))</f>
        <v>0</v>
      </c>
      <c r="BC266" s="25">
        <f t="shared" ca="1" si="343"/>
        <v>0</v>
      </c>
      <c r="BD266" s="24" t="b">
        <f t="shared" ca="1" si="344"/>
        <v>1</v>
      </c>
      <c r="BE266" s="24" t="b">
        <f t="shared" ca="1" si="345"/>
        <v>1</v>
      </c>
      <c r="BF266" s="23">
        <f t="array" aca="1" ref="BF266" ca="1">SUM(IF(BD266,1,0)*IF(ap_start_date&lt;=AO266,1,0)*IF(ap_end_date&gt;=AO266,1,0)*ap_amount*(1+ap_escalation/100)^(INT((AP266-ap_months_since_start)/12))*IF(MOD(AP266-ap_months_since_start,ap_frequency)=0,1,0))</f>
        <v>51808.549972142064</v>
      </c>
      <c r="BG266" s="24">
        <f t="shared" ca="1" si="346"/>
        <v>621702.59966570488</v>
      </c>
      <c r="BH266" s="24">
        <f t="shared" ca="1" si="347"/>
        <v>26341.034904128664</v>
      </c>
      <c r="BI266">
        <f t="shared" ca="1" si="348"/>
        <v>0</v>
      </c>
      <c r="BJ266" s="24">
        <f t="shared" ca="1" si="349"/>
        <v>184387.24432890062</v>
      </c>
      <c r="BK266">
        <f t="shared" ca="1" si="350"/>
        <v>1</v>
      </c>
      <c r="BL266" s="25">
        <f t="shared" ca="1" si="351"/>
        <v>15365.603694075047</v>
      </c>
      <c r="BM266" s="32">
        <f t="shared" ca="1" si="330"/>
        <v>988968.23287721293</v>
      </c>
      <c r="BN266" s="23">
        <f t="shared" ca="1" si="352"/>
        <v>0</v>
      </c>
      <c r="BO266" s="24">
        <f t="shared" ca="1" si="353"/>
        <v>0</v>
      </c>
      <c r="BP266" s="25">
        <f t="shared" ca="1" si="354"/>
        <v>0</v>
      </c>
      <c r="BQ266" s="34">
        <f t="shared" ca="1" si="355"/>
        <v>53508</v>
      </c>
      <c r="BR266" s="23">
        <f t="shared" ca="1" si="356"/>
        <v>988968.23287721293</v>
      </c>
      <c r="BS266" s="24">
        <f t="shared" ca="1" si="357"/>
        <v>0</v>
      </c>
      <c r="BT266" s="24">
        <f t="shared" ca="1" si="322"/>
        <v>0</v>
      </c>
      <c r="BU266" s="24">
        <f t="shared" ca="1" si="358"/>
        <v>0</v>
      </c>
      <c r="BV266" s="24">
        <f t="shared" ca="1" si="323"/>
        <v>0</v>
      </c>
      <c r="BW266" s="24">
        <f t="shared" ca="1" si="359"/>
        <v>-15365.603694075047</v>
      </c>
      <c r="BX266" s="25">
        <f t="shared" ca="1" si="324"/>
        <v>-190720.65893014174</v>
      </c>
      <c r="BY266" s="23">
        <f t="shared" ca="1" si="331"/>
        <v>424176.00918639981</v>
      </c>
      <c r="BZ266" s="24">
        <f t="shared" ca="1" si="332"/>
        <v>0</v>
      </c>
      <c r="CA266" s="24">
        <f t="shared" ca="1" si="325"/>
        <v>0</v>
      </c>
      <c r="CB266" s="24">
        <f t="shared" ca="1" si="333"/>
        <v>0</v>
      </c>
      <c r="CC266" s="24">
        <f t="shared" ca="1" si="326"/>
        <v>0</v>
      </c>
      <c r="CD266" s="24">
        <f t="shared" ca="1" si="334"/>
        <v>-6611.9998166239666</v>
      </c>
      <c r="CE266" s="25">
        <f t="shared" ca="1" si="327"/>
        <v>-83599.647051536202</v>
      </c>
      <c r="CF266" s="23">
        <f t="shared" ca="1" si="328"/>
        <v>613732.05351614463</v>
      </c>
      <c r="CG266" s="25">
        <f t="array" aca="1" ref="CG266" ca="1">SUM(BF255:BF266/(1+inflation/100)^(AP255:AP266/12))</f>
        <v>267980.53702225373</v>
      </c>
      <c r="CH266" s="32">
        <f ca="1">IFERROR(IF(MOD(AP266-ap_months_since_start,12)=0,ap_drawdown/100*(AQ266+AV266+BA266-BC266),CH265),0)</f>
        <v>161938.48898514715</v>
      </c>
    </row>
    <row r="267" spans="40:86" x14ac:dyDescent="0.25">
      <c r="AN267" s="32">
        <f t="shared" ca="1" si="329"/>
        <v>76.5</v>
      </c>
      <c r="AO267" s="53">
        <f t="shared" ca="1" si="360"/>
        <v>53509</v>
      </c>
      <c r="AP267" s="22">
        <v>260</v>
      </c>
      <c r="AQ267" s="32">
        <f t="shared" ca="1" si="361"/>
        <v>988968.23287721293</v>
      </c>
      <c r="AR267" s="23">
        <f t="array" aca="1" ref="AR267" ca="1">SUM(IF(lsc_start_date=AO267,lsc_amount,0))</f>
        <v>0</v>
      </c>
      <c r="AS267" s="24">
        <f t="shared" ca="1" si="335"/>
        <v>0</v>
      </c>
      <c r="AT267" s="24">
        <f t="shared" ca="1" si="336"/>
        <v>0</v>
      </c>
      <c r="AU267" s="24">
        <f t="shared" ca="1" si="337"/>
        <v>0</v>
      </c>
      <c r="AV267" s="25">
        <f t="shared" ca="1" si="338"/>
        <v>0</v>
      </c>
      <c r="AW267" s="23">
        <f t="array" aca="1" ref="AW267" ca="1">SUM(IF(rcs_start_date&lt;=AO267,1,0)*IF(rcs_end_date&gt;=AO267,1,0)*rcs_amount*(1+rcs_escalation/100)^(INT((AP267-rcs_months_since_start)/12))*IF(MOD((AP267-rcs_months_since_start),rcs_frequency)=0,1,0)*IF(rcs_frequency=13,0,1))+SUM(IF(rcs_start_date=AO267,rcs_amount,0)*IF(rcs_frequency=13,1,0))</f>
        <v>0</v>
      </c>
      <c r="AX267" s="24">
        <f t="shared" ca="1" si="339"/>
        <v>0</v>
      </c>
      <c r="AY267" s="24">
        <f t="shared" ca="1" si="340"/>
        <v>0</v>
      </c>
      <c r="AZ267" s="24">
        <f t="shared" ca="1" si="341"/>
        <v>0</v>
      </c>
      <c r="BA267" s="25">
        <f t="shared" ca="1" si="342"/>
        <v>0</v>
      </c>
      <c r="BB267" s="23">
        <f t="array" aca="1" ref="BB267" ca="1">SUM(IF(w_start_date&lt;=AO267,1,0)*IF(w_end_date&gt;=AO267,1,0)*w_amount*(1+w_escalation/100)^(INT((AP267-w_months_since_start)/12))*IF(MOD(AP267-w_months_since_start,w_frequency)=0,1,0)*IF(w_frequency=13,0,1))+SUM(IF(w_start_date=AO267,w_amount,0)*IF(w_frequency=13,1,0))</f>
        <v>0</v>
      </c>
      <c r="BC267" s="25">
        <f t="shared" ca="1" si="343"/>
        <v>0</v>
      </c>
      <c r="BD267" s="24" t="b">
        <f t="shared" ca="1" si="344"/>
        <v>1</v>
      </c>
      <c r="BE267" s="24" t="b">
        <f t="shared" ca="1" si="345"/>
        <v>1</v>
      </c>
      <c r="BF267" s="23">
        <f t="array" aca="1" ref="BF267" ca="1">SUM(IF(BD267,1,0)*IF(ap_start_date&lt;=AO267,1,0)*IF(ap_end_date&gt;=AO267,1,0)*ap_amount*(1+ap_escalation/100)^(INT((AP267-ap_months_since_start)/12))*IF(MOD(AP267-ap_months_since_start,ap_frequency)=0,1,0))</f>
        <v>51808.549972142064</v>
      </c>
      <c r="BG267" s="24">
        <f t="shared" ca="1" si="346"/>
        <v>621702.59966570488</v>
      </c>
      <c r="BH267" s="24">
        <f t="shared" ca="1" si="347"/>
        <v>26341.034904128664</v>
      </c>
      <c r="BI267">
        <f t="shared" ca="1" si="348"/>
        <v>0</v>
      </c>
      <c r="BJ267" s="24">
        <f t="shared" ca="1" si="349"/>
        <v>184387.24432890062</v>
      </c>
      <c r="BK267">
        <f t="shared" ca="1" si="350"/>
        <v>1</v>
      </c>
      <c r="BL267" s="25">
        <f t="shared" ca="1" si="351"/>
        <v>15365.603694075047</v>
      </c>
      <c r="BM267" s="32">
        <f t="shared" ca="1" si="330"/>
        <v>980619.69811310153</v>
      </c>
      <c r="BN267" s="23">
        <f t="shared" ca="1" si="352"/>
        <v>0</v>
      </c>
      <c r="BO267" s="24">
        <f t="shared" ca="1" si="353"/>
        <v>0</v>
      </c>
      <c r="BP267" s="25">
        <f t="shared" ca="1" si="354"/>
        <v>0</v>
      </c>
      <c r="BQ267" s="34">
        <f t="shared" ca="1" si="355"/>
        <v>53539</v>
      </c>
      <c r="BR267" s="23">
        <f t="shared" ca="1" si="356"/>
        <v>980619.69811310153</v>
      </c>
      <c r="BS267" s="24">
        <f t="shared" ca="1" si="357"/>
        <v>0</v>
      </c>
      <c r="BT267" s="24">
        <f t="shared" ca="1" si="322"/>
        <v>0</v>
      </c>
      <c r="BU267" s="24">
        <f t="shared" ca="1" si="358"/>
        <v>0</v>
      </c>
      <c r="BV267" s="24">
        <f t="shared" ca="1" si="323"/>
        <v>0</v>
      </c>
      <c r="BW267" s="24">
        <f t="shared" ca="1" si="359"/>
        <v>-15365.603694075047</v>
      </c>
      <c r="BX267" s="25">
        <f t="shared" ca="1" si="324"/>
        <v>-189137.30527983143</v>
      </c>
      <c r="BY267" s="23">
        <f t="shared" ca="1" si="331"/>
        <v>419222.83256114594</v>
      </c>
      <c r="BZ267" s="24">
        <f t="shared" ca="1" si="332"/>
        <v>0</v>
      </c>
      <c r="CA267" s="24">
        <f t="shared" ca="1" si="325"/>
        <v>0</v>
      </c>
      <c r="CB267" s="24">
        <f t="shared" ca="1" si="333"/>
        <v>0</v>
      </c>
      <c r="CC267" s="24">
        <f t="shared" ca="1" si="326"/>
        <v>0</v>
      </c>
      <c r="CD267" s="24">
        <f t="shared" ca="1" si="334"/>
        <v>-6590.4244818162679</v>
      </c>
      <c r="CE267" s="25">
        <f t="shared" ca="1" si="327"/>
        <v>-82629.75313171107</v>
      </c>
      <c r="CF267" s="23">
        <f t="shared" ca="1" si="328"/>
        <v>615724.69005353469</v>
      </c>
      <c r="CG267" s="25">
        <f t="array" aca="1" ref="CG267" ca="1">SUM(BF256:BF267/(1+inflation/100)^(AP256:AP267/12))</f>
        <v>267980.53702225373</v>
      </c>
      <c r="CH267" s="32">
        <f ca="1">IFERROR(IF(MOD(AP267-ap_months_since_start,12)=0,ap_drawdown/100*(AQ267+AV267+BA267-BC267),CH266),0)</f>
        <v>161938.48898514715</v>
      </c>
    </row>
    <row r="268" spans="40:86" x14ac:dyDescent="0.25">
      <c r="AN268" s="32">
        <f t="shared" ca="1" si="329"/>
        <v>76.583333333333329</v>
      </c>
      <c r="AO268" s="53">
        <f t="shared" ca="1" si="360"/>
        <v>53540</v>
      </c>
      <c r="AP268" s="22">
        <v>261</v>
      </c>
      <c r="AQ268" s="32">
        <f t="shared" ca="1" si="361"/>
        <v>980619.69811310153</v>
      </c>
      <c r="AR268" s="23">
        <f t="array" aca="1" ref="AR268" ca="1">SUM(IF(lsc_start_date=AO268,lsc_amount,0))</f>
        <v>0</v>
      </c>
      <c r="AS268" s="24">
        <f t="shared" ca="1" si="335"/>
        <v>0</v>
      </c>
      <c r="AT268" s="24">
        <f t="shared" ca="1" si="336"/>
        <v>0</v>
      </c>
      <c r="AU268" s="24">
        <f t="shared" ca="1" si="337"/>
        <v>0</v>
      </c>
      <c r="AV268" s="25">
        <f t="shared" ca="1" si="338"/>
        <v>0</v>
      </c>
      <c r="AW268" s="23">
        <f t="array" aca="1" ref="AW268" ca="1">SUM(IF(rcs_start_date&lt;=AO268,1,0)*IF(rcs_end_date&gt;=AO268,1,0)*rcs_amount*(1+rcs_escalation/100)^(INT((AP268-rcs_months_since_start)/12))*IF(MOD((AP268-rcs_months_since_start),rcs_frequency)=0,1,0)*IF(rcs_frequency=13,0,1))+SUM(IF(rcs_start_date=AO268,rcs_amount,0)*IF(rcs_frequency=13,1,0))</f>
        <v>0</v>
      </c>
      <c r="AX268" s="24">
        <f t="shared" ca="1" si="339"/>
        <v>0</v>
      </c>
      <c r="AY268" s="24">
        <f t="shared" ca="1" si="340"/>
        <v>0</v>
      </c>
      <c r="AZ268" s="24">
        <f t="shared" ca="1" si="341"/>
        <v>0</v>
      </c>
      <c r="BA268" s="25">
        <f t="shared" ca="1" si="342"/>
        <v>0</v>
      </c>
      <c r="BB268" s="23">
        <f t="array" aca="1" ref="BB268" ca="1">SUM(IF(w_start_date&lt;=AO268,1,0)*IF(w_end_date&gt;=AO268,1,0)*w_amount*(1+w_escalation/100)^(INT((AP268-w_months_since_start)/12))*IF(MOD(AP268-w_months_since_start,w_frequency)=0,1,0)*IF(w_frequency=13,0,1))+SUM(IF(w_start_date=AO268,w_amount,0)*IF(w_frequency=13,1,0))</f>
        <v>0</v>
      </c>
      <c r="BC268" s="25">
        <f t="shared" ca="1" si="343"/>
        <v>0</v>
      </c>
      <c r="BD268" s="24" t="b">
        <f t="shared" ca="1" si="344"/>
        <v>1</v>
      </c>
      <c r="BE268" s="24" t="b">
        <f t="shared" ca="1" si="345"/>
        <v>1</v>
      </c>
      <c r="BF268" s="23">
        <f t="array" aca="1" ref="BF268" ca="1">SUM(IF(BD268,1,0)*IF(ap_start_date&lt;=AO268,1,0)*IF(ap_end_date&gt;=AO268,1,0)*ap_amount*(1+ap_escalation/100)^(INT((AP268-ap_months_since_start)/12))*IF(MOD(AP268-ap_months_since_start,ap_frequency)=0,1,0))</f>
        <v>51808.549972142064</v>
      </c>
      <c r="BG268" s="24">
        <f t="shared" ca="1" si="346"/>
        <v>621702.59966570488</v>
      </c>
      <c r="BH268" s="24">
        <f t="shared" ca="1" si="347"/>
        <v>26341.034904128664</v>
      </c>
      <c r="BI268">
        <f t="shared" ca="1" si="348"/>
        <v>0</v>
      </c>
      <c r="BJ268" s="24">
        <f t="shared" ca="1" si="349"/>
        <v>184387.24432890062</v>
      </c>
      <c r="BK268">
        <f t="shared" ca="1" si="350"/>
        <v>1</v>
      </c>
      <c r="BL268" s="25">
        <f t="shared" ca="1" si="351"/>
        <v>15365.603694075047</v>
      </c>
      <c r="BM268" s="32">
        <f t="shared" ca="1" si="330"/>
        <v>972210.99275972915</v>
      </c>
      <c r="BN268" s="23">
        <f t="shared" ca="1" si="352"/>
        <v>0</v>
      </c>
      <c r="BO268" s="24">
        <f t="shared" ca="1" si="353"/>
        <v>0</v>
      </c>
      <c r="BP268" s="25">
        <f t="shared" ca="1" si="354"/>
        <v>0</v>
      </c>
      <c r="BQ268" s="34">
        <f t="shared" ca="1" si="355"/>
        <v>53570</v>
      </c>
      <c r="BR268" s="23">
        <f t="shared" ca="1" si="356"/>
        <v>972210.99275972915</v>
      </c>
      <c r="BS268" s="24">
        <f t="shared" ca="1" si="357"/>
        <v>0</v>
      </c>
      <c r="BT268" s="24">
        <f t="shared" ca="1" si="322"/>
        <v>0</v>
      </c>
      <c r="BU268" s="24">
        <f t="shared" ca="1" si="358"/>
        <v>0</v>
      </c>
      <c r="BV268" s="24">
        <f t="shared" ca="1" si="323"/>
        <v>0</v>
      </c>
      <c r="BW268" s="24">
        <f t="shared" ca="1" si="359"/>
        <v>-15365.603694075047</v>
      </c>
      <c r="BX268" s="25">
        <f t="shared" ca="1" si="324"/>
        <v>-187553.95162952115</v>
      </c>
      <c r="BY268" s="23">
        <f t="shared" ca="1" si="331"/>
        <v>414271.82502709713</v>
      </c>
      <c r="BZ268" s="24">
        <f t="shared" ca="1" si="332"/>
        <v>0</v>
      </c>
      <c r="CA268" s="24">
        <f t="shared" ca="1" si="325"/>
        <v>0</v>
      </c>
      <c r="CB268" s="24">
        <f t="shared" ca="1" si="333"/>
        <v>0</v>
      </c>
      <c r="CC268" s="24">
        <f t="shared" ca="1" si="326"/>
        <v>0</v>
      </c>
      <c r="CD268" s="24">
        <f t="shared" ca="1" si="334"/>
        <v>-6568.9195485640694</v>
      </c>
      <c r="CE268" s="25">
        <f t="shared" ca="1" si="327"/>
        <v>-81663.024031400215</v>
      </c>
      <c r="CF268" s="23">
        <f t="shared" ca="1" si="328"/>
        <v>617717.32659092476</v>
      </c>
      <c r="CG268" s="25">
        <f t="array" aca="1" ref="CG268" ca="1">SUM(BF257:BF268/(1+inflation/100)^(AP257:AP268/12))</f>
        <v>267980.53702225373</v>
      </c>
      <c r="CH268" s="32">
        <f ca="1">IFERROR(IF(MOD(AP268-ap_months_since_start,12)=0,ap_drawdown/100*(AQ268+AV268+BA268-BC268),CH267),0)</f>
        <v>161938.48898514715</v>
      </c>
    </row>
    <row r="269" spans="40:86" x14ac:dyDescent="0.25">
      <c r="AN269" s="32">
        <f t="shared" ca="1" si="329"/>
        <v>76.666666666666671</v>
      </c>
      <c r="AO269" s="53">
        <f t="shared" ca="1" si="360"/>
        <v>53571</v>
      </c>
      <c r="AP269" s="22">
        <v>262</v>
      </c>
      <c r="AQ269" s="32">
        <f t="shared" ca="1" si="361"/>
        <v>972210.99275972915</v>
      </c>
      <c r="AR269" s="23">
        <f t="array" aca="1" ref="AR269" ca="1">SUM(IF(lsc_start_date=AO269,lsc_amount,0))</f>
        <v>0</v>
      </c>
      <c r="AS269" s="24">
        <f t="shared" ca="1" si="335"/>
        <v>0</v>
      </c>
      <c r="AT269" s="24">
        <f t="shared" ca="1" si="336"/>
        <v>0</v>
      </c>
      <c r="AU269" s="24">
        <f t="shared" ca="1" si="337"/>
        <v>0</v>
      </c>
      <c r="AV269" s="25">
        <f t="shared" ca="1" si="338"/>
        <v>0</v>
      </c>
      <c r="AW269" s="23">
        <f t="array" aca="1" ref="AW269" ca="1">SUM(IF(rcs_start_date&lt;=AO269,1,0)*IF(rcs_end_date&gt;=AO269,1,0)*rcs_amount*(1+rcs_escalation/100)^(INT((AP269-rcs_months_since_start)/12))*IF(MOD((AP269-rcs_months_since_start),rcs_frequency)=0,1,0)*IF(rcs_frequency=13,0,1))+SUM(IF(rcs_start_date=AO269,rcs_amount,0)*IF(rcs_frequency=13,1,0))</f>
        <v>0</v>
      </c>
      <c r="AX269" s="24">
        <f t="shared" ca="1" si="339"/>
        <v>0</v>
      </c>
      <c r="AY269" s="24">
        <f t="shared" ca="1" si="340"/>
        <v>0</v>
      </c>
      <c r="AZ269" s="24">
        <f t="shared" ca="1" si="341"/>
        <v>0</v>
      </c>
      <c r="BA269" s="25">
        <f t="shared" ca="1" si="342"/>
        <v>0</v>
      </c>
      <c r="BB269" s="23">
        <f t="array" aca="1" ref="BB269" ca="1">SUM(IF(w_start_date&lt;=AO269,1,0)*IF(w_end_date&gt;=AO269,1,0)*w_amount*(1+w_escalation/100)^(INT((AP269-w_months_since_start)/12))*IF(MOD(AP269-w_months_since_start,w_frequency)=0,1,0)*IF(w_frequency=13,0,1))+SUM(IF(w_start_date=AO269,w_amount,0)*IF(w_frequency=13,1,0))</f>
        <v>0</v>
      </c>
      <c r="BC269" s="25">
        <f t="shared" ca="1" si="343"/>
        <v>0</v>
      </c>
      <c r="BD269" s="24" t="b">
        <f t="shared" ca="1" si="344"/>
        <v>1</v>
      </c>
      <c r="BE269" s="24" t="b">
        <f t="shared" ca="1" si="345"/>
        <v>1</v>
      </c>
      <c r="BF269" s="23">
        <f t="array" aca="1" ref="BF269" ca="1">SUM(IF(BD269,1,0)*IF(ap_start_date&lt;=AO269,1,0)*IF(ap_end_date&gt;=AO269,1,0)*ap_amount*(1+ap_escalation/100)^(INT((AP269-ap_months_since_start)/12))*IF(MOD(AP269-ap_months_since_start,ap_frequency)=0,1,0))</f>
        <v>51808.549972142064</v>
      </c>
      <c r="BG269" s="24">
        <f t="shared" ca="1" si="346"/>
        <v>621702.59966570488</v>
      </c>
      <c r="BH269" s="24">
        <f t="shared" ca="1" si="347"/>
        <v>26341.034904128664</v>
      </c>
      <c r="BI269">
        <f t="shared" ca="1" si="348"/>
        <v>0</v>
      </c>
      <c r="BJ269" s="24">
        <f t="shared" ca="1" si="349"/>
        <v>184387.24432890062</v>
      </c>
      <c r="BK269">
        <f t="shared" ca="1" si="350"/>
        <v>1</v>
      </c>
      <c r="BL269" s="25">
        <f t="shared" ca="1" si="351"/>
        <v>15365.603694075047</v>
      </c>
      <c r="BM269" s="32">
        <f t="shared" ca="1" si="330"/>
        <v>963741.68314820493</v>
      </c>
      <c r="BN269" s="23">
        <f t="shared" ca="1" si="352"/>
        <v>0</v>
      </c>
      <c r="BO269" s="24">
        <f t="shared" ca="1" si="353"/>
        <v>0</v>
      </c>
      <c r="BP269" s="25">
        <f t="shared" ca="1" si="354"/>
        <v>0</v>
      </c>
      <c r="BQ269" s="34">
        <f t="shared" ca="1" si="355"/>
        <v>53600</v>
      </c>
      <c r="BR269" s="23">
        <f t="shared" ca="1" si="356"/>
        <v>963741.68314820493</v>
      </c>
      <c r="BS269" s="24">
        <f t="shared" ca="1" si="357"/>
        <v>0</v>
      </c>
      <c r="BT269" s="24">
        <f t="shared" ca="1" si="322"/>
        <v>0</v>
      </c>
      <c r="BU269" s="24">
        <f t="shared" ca="1" si="358"/>
        <v>0</v>
      </c>
      <c r="BV269" s="24">
        <f t="shared" ca="1" si="323"/>
        <v>0</v>
      </c>
      <c r="BW269" s="24">
        <f t="shared" ca="1" si="359"/>
        <v>-15365.603694075047</v>
      </c>
      <c r="BX269" s="25">
        <f t="shared" ca="1" si="324"/>
        <v>-185970.59797921087</v>
      </c>
      <c r="BY269" s="23">
        <f t="shared" ca="1" si="331"/>
        <v>409322.92464175628</v>
      </c>
      <c r="BZ269" s="24">
        <f t="shared" ca="1" si="332"/>
        <v>0</v>
      </c>
      <c r="CA269" s="24">
        <f t="shared" ca="1" si="325"/>
        <v>0</v>
      </c>
      <c r="CB269" s="24">
        <f t="shared" ca="1" si="333"/>
        <v>0</v>
      </c>
      <c r="CC269" s="24">
        <f t="shared" ca="1" si="326"/>
        <v>0</v>
      </c>
      <c r="CD269" s="24">
        <f t="shared" ca="1" si="334"/>
        <v>-6547.4847871430575</v>
      </c>
      <c r="CE269" s="25">
        <f t="shared" ca="1" si="327"/>
        <v>-80699.449423615995</v>
      </c>
      <c r="CF269" s="23">
        <f t="shared" ca="1" si="328"/>
        <v>619709.96312831482</v>
      </c>
      <c r="CG269" s="25">
        <f t="array" aca="1" ref="CG269" ca="1">SUM(BF258:BF269/(1+inflation/100)^(AP258:AP269/12))</f>
        <v>267980.53702225373</v>
      </c>
      <c r="CH269" s="32">
        <f ca="1">IFERROR(IF(MOD(AP269-ap_months_since_start,12)=0,ap_drawdown/100*(AQ269+AV269+BA269-BC269),CH268),0)</f>
        <v>161938.48898514715</v>
      </c>
    </row>
    <row r="270" spans="40:86" x14ac:dyDescent="0.25">
      <c r="AN270" s="32">
        <f t="shared" ca="1" si="329"/>
        <v>76.75</v>
      </c>
      <c r="AO270" s="53">
        <f t="shared" ca="1" si="360"/>
        <v>53601</v>
      </c>
      <c r="AP270" s="22">
        <v>263</v>
      </c>
      <c r="AQ270" s="32">
        <f t="shared" ca="1" si="361"/>
        <v>963741.68314820493</v>
      </c>
      <c r="AR270" s="23">
        <f t="array" aca="1" ref="AR270" ca="1">SUM(IF(lsc_start_date=AO270,lsc_amount,0))</f>
        <v>0</v>
      </c>
      <c r="AS270" s="24">
        <f t="shared" ca="1" si="335"/>
        <v>0</v>
      </c>
      <c r="AT270" s="24">
        <f t="shared" ca="1" si="336"/>
        <v>0</v>
      </c>
      <c r="AU270" s="24">
        <f t="shared" ca="1" si="337"/>
        <v>0</v>
      </c>
      <c r="AV270" s="25">
        <f t="shared" ca="1" si="338"/>
        <v>0</v>
      </c>
      <c r="AW270" s="23">
        <f t="array" aca="1" ref="AW270" ca="1">SUM(IF(rcs_start_date&lt;=AO270,1,0)*IF(rcs_end_date&gt;=AO270,1,0)*rcs_amount*(1+rcs_escalation/100)^(INT((AP270-rcs_months_since_start)/12))*IF(MOD((AP270-rcs_months_since_start),rcs_frequency)=0,1,0)*IF(rcs_frequency=13,0,1))+SUM(IF(rcs_start_date=AO270,rcs_amount,0)*IF(rcs_frequency=13,1,0))</f>
        <v>0</v>
      </c>
      <c r="AX270" s="24">
        <f t="shared" ca="1" si="339"/>
        <v>0</v>
      </c>
      <c r="AY270" s="24">
        <f t="shared" ca="1" si="340"/>
        <v>0</v>
      </c>
      <c r="AZ270" s="24">
        <f t="shared" ca="1" si="341"/>
        <v>0</v>
      </c>
      <c r="BA270" s="25">
        <f t="shared" ca="1" si="342"/>
        <v>0</v>
      </c>
      <c r="BB270" s="23">
        <f t="array" aca="1" ref="BB270" ca="1">SUM(IF(w_start_date&lt;=AO270,1,0)*IF(w_end_date&gt;=AO270,1,0)*w_amount*(1+w_escalation/100)^(INT((AP270-w_months_since_start)/12))*IF(MOD(AP270-w_months_since_start,w_frequency)=0,1,0)*IF(w_frequency=13,0,1))+SUM(IF(w_start_date=AO270,w_amount,0)*IF(w_frequency=13,1,0))</f>
        <v>0</v>
      </c>
      <c r="BC270" s="25">
        <f t="shared" ca="1" si="343"/>
        <v>0</v>
      </c>
      <c r="BD270" s="24" t="b">
        <f t="shared" ca="1" si="344"/>
        <v>1</v>
      </c>
      <c r="BE270" s="24" t="b">
        <f t="shared" ca="1" si="345"/>
        <v>1</v>
      </c>
      <c r="BF270" s="23">
        <f t="array" aca="1" ref="BF270" ca="1">SUM(IF(BD270,1,0)*IF(ap_start_date&lt;=AO270,1,0)*IF(ap_end_date&gt;=AO270,1,0)*ap_amount*(1+ap_escalation/100)^(INT((AP270-ap_months_since_start)/12))*IF(MOD(AP270-ap_months_since_start,ap_frequency)=0,1,0))</f>
        <v>51808.549972142064</v>
      </c>
      <c r="BG270" s="24">
        <f t="shared" ca="1" si="346"/>
        <v>621702.59966570488</v>
      </c>
      <c r="BH270" s="24">
        <f t="shared" ca="1" si="347"/>
        <v>26341.034904128664</v>
      </c>
      <c r="BI270">
        <f t="shared" ca="1" si="348"/>
        <v>0</v>
      </c>
      <c r="BJ270" s="24">
        <f t="shared" ca="1" si="349"/>
        <v>184387.24432890062</v>
      </c>
      <c r="BK270">
        <f t="shared" ca="1" si="350"/>
        <v>1</v>
      </c>
      <c r="BL270" s="25">
        <f t="shared" ca="1" si="351"/>
        <v>15365.603694075047</v>
      </c>
      <c r="BM270" s="32">
        <f t="shared" ca="1" si="330"/>
        <v>955211.332484046</v>
      </c>
      <c r="BN270" s="23">
        <f t="shared" ca="1" si="352"/>
        <v>0</v>
      </c>
      <c r="BO270" s="24">
        <f t="shared" ca="1" si="353"/>
        <v>0</v>
      </c>
      <c r="BP270" s="25">
        <f t="shared" ca="1" si="354"/>
        <v>0</v>
      </c>
      <c r="BQ270" s="34">
        <f t="shared" ca="1" si="355"/>
        <v>53631</v>
      </c>
      <c r="BR270" s="23">
        <f t="shared" ca="1" si="356"/>
        <v>955211.332484046</v>
      </c>
      <c r="BS270" s="24">
        <f t="shared" ca="1" si="357"/>
        <v>0</v>
      </c>
      <c r="BT270" s="24">
        <f t="shared" ca="1" si="322"/>
        <v>0</v>
      </c>
      <c r="BU270" s="24">
        <f t="shared" ca="1" si="358"/>
        <v>0</v>
      </c>
      <c r="BV270" s="24">
        <f t="shared" ca="1" si="323"/>
        <v>0</v>
      </c>
      <c r="BW270" s="24">
        <f t="shared" ca="1" si="359"/>
        <v>-15365.603694075047</v>
      </c>
      <c r="BX270" s="25">
        <f t="shared" ca="1" si="324"/>
        <v>-184387.24432890056</v>
      </c>
      <c r="BY270" s="23">
        <f t="shared" ca="1" si="331"/>
        <v>404376.06944963761</v>
      </c>
      <c r="BZ270" s="24">
        <f t="shared" ca="1" si="332"/>
        <v>0</v>
      </c>
      <c r="CA270" s="24">
        <f t="shared" ca="1" si="325"/>
        <v>0</v>
      </c>
      <c r="CB270" s="24">
        <f t="shared" ca="1" si="333"/>
        <v>0</v>
      </c>
      <c r="CC270" s="24">
        <f t="shared" ca="1" si="326"/>
        <v>0</v>
      </c>
      <c r="CD270" s="24">
        <f t="shared" ca="1" si="334"/>
        <v>-6526.1199685785195</v>
      </c>
      <c r="CE270" s="25">
        <f t="shared" ca="1" si="327"/>
        <v>-79739.019015068305</v>
      </c>
      <c r="CF270" s="23">
        <f t="shared" ca="1" si="328"/>
        <v>621702.59966570488</v>
      </c>
      <c r="CG270" s="25">
        <f t="array" aca="1" ref="CG270" ca="1">SUM(BF259:BF270/(1+inflation/100)^(AP259:AP270/12))</f>
        <v>267980.53702225373</v>
      </c>
      <c r="CH270" s="32">
        <f ca="1">IFERROR(IF(MOD(AP270-ap_months_since_start,12)=0,ap_drawdown/100*(AQ270+AV270+BA270-BC270),CH269),0)</f>
        <v>161938.48898514715</v>
      </c>
    </row>
    <row r="271" spans="40:86" x14ac:dyDescent="0.25">
      <c r="AN271" s="32">
        <f t="shared" ca="1" si="329"/>
        <v>76.833333333333329</v>
      </c>
      <c r="AO271" s="53">
        <f t="shared" ca="1" si="360"/>
        <v>53632</v>
      </c>
      <c r="AP271" s="22">
        <v>264</v>
      </c>
      <c r="AQ271" s="32">
        <f t="shared" ca="1" si="361"/>
        <v>955211.332484046</v>
      </c>
      <c r="AR271" s="23">
        <f t="array" aca="1" ref="AR271" ca="1">SUM(IF(lsc_start_date=AO271,lsc_amount,0))</f>
        <v>0</v>
      </c>
      <c r="AS271" s="24">
        <f t="shared" ca="1" si="335"/>
        <v>0</v>
      </c>
      <c r="AT271" s="24">
        <f t="shared" ca="1" si="336"/>
        <v>0</v>
      </c>
      <c r="AU271" s="24">
        <f t="shared" ca="1" si="337"/>
        <v>0</v>
      </c>
      <c r="AV271" s="25">
        <f t="shared" ca="1" si="338"/>
        <v>0</v>
      </c>
      <c r="AW271" s="23">
        <f t="array" aca="1" ref="AW271" ca="1">SUM(IF(rcs_start_date&lt;=AO271,1,0)*IF(rcs_end_date&gt;=AO271,1,0)*rcs_amount*(1+rcs_escalation/100)^(INT((AP271-rcs_months_since_start)/12))*IF(MOD((AP271-rcs_months_since_start),rcs_frequency)=0,1,0)*IF(rcs_frequency=13,0,1))+SUM(IF(rcs_start_date=AO271,rcs_amount,0)*IF(rcs_frequency=13,1,0))</f>
        <v>0</v>
      </c>
      <c r="AX271" s="24">
        <f t="shared" ca="1" si="339"/>
        <v>0</v>
      </c>
      <c r="AY271" s="24">
        <f t="shared" ca="1" si="340"/>
        <v>0</v>
      </c>
      <c r="AZ271" s="24">
        <f t="shared" ca="1" si="341"/>
        <v>0</v>
      </c>
      <c r="BA271" s="25">
        <f t="shared" ca="1" si="342"/>
        <v>0</v>
      </c>
      <c r="BB271" s="23">
        <f t="array" aca="1" ref="BB271" ca="1">SUM(IF(w_start_date&lt;=AO271,1,0)*IF(w_end_date&gt;=AO271,1,0)*w_amount*(1+w_escalation/100)^(INT((AP271-w_months_since_start)/12))*IF(MOD(AP271-w_months_since_start,w_frequency)=0,1,0)*IF(w_frequency=13,0,1))+SUM(IF(w_start_date=AO271,w_amount,0)*IF(w_frequency=13,1,0))</f>
        <v>0</v>
      </c>
      <c r="BC271" s="25">
        <f t="shared" ca="1" si="343"/>
        <v>0</v>
      </c>
      <c r="BD271" s="24" t="b">
        <f t="shared" ca="1" si="344"/>
        <v>1</v>
      </c>
      <c r="BE271" s="24" t="b">
        <f t="shared" ca="1" si="345"/>
        <v>1</v>
      </c>
      <c r="BF271" s="23">
        <f t="array" aca="1" ref="BF271" ca="1">SUM(IF(BD271,1,0)*IF(ap_start_date&lt;=AO271,1,0)*IF(ap_end_date&gt;=AO271,1,0)*ap_amount*(1+ap_escalation/100)^(INT((AP271-ap_months_since_start)/12))*IF(MOD(AP271-ap_months_since_start,ap_frequency)=0,1,0))</f>
        <v>53880.891971027741</v>
      </c>
      <c r="BG271" s="24">
        <f t="shared" ca="1" si="346"/>
        <v>646570.70365233265</v>
      </c>
      <c r="BH271" s="24">
        <f t="shared" ca="1" si="347"/>
        <v>23880.28331210115</v>
      </c>
      <c r="BI271">
        <f t="shared" ca="1" si="348"/>
        <v>0</v>
      </c>
      <c r="BJ271" s="24">
        <f t="shared" ca="1" si="349"/>
        <v>167161.98318470805</v>
      </c>
      <c r="BK271">
        <f t="shared" ca="1" si="350"/>
        <v>1</v>
      </c>
      <c r="BL271" s="25">
        <f t="shared" ca="1" si="351"/>
        <v>13930.165265392341</v>
      </c>
      <c r="BM271" s="32">
        <f t="shared" ca="1" si="330"/>
        <v>948065.28492218896</v>
      </c>
      <c r="BN271" s="23">
        <f t="shared" ca="1" si="352"/>
        <v>0</v>
      </c>
      <c r="BO271" s="24">
        <f t="shared" ca="1" si="353"/>
        <v>0</v>
      </c>
      <c r="BP271" s="25">
        <f t="shared" ca="1" si="354"/>
        <v>0</v>
      </c>
      <c r="BQ271" s="34">
        <f t="shared" ca="1" si="355"/>
        <v>53661</v>
      </c>
      <c r="BR271" s="23">
        <f t="shared" ca="1" si="356"/>
        <v>948065.28492218896</v>
      </c>
      <c r="BS271" s="24">
        <f t="shared" ca="1" si="357"/>
        <v>0</v>
      </c>
      <c r="BT271" s="24">
        <f t="shared" ca="1" si="322"/>
        <v>0</v>
      </c>
      <c r="BU271" s="24">
        <f t="shared" ca="1" si="358"/>
        <v>0</v>
      </c>
      <c r="BV271" s="24">
        <f t="shared" ca="1" si="323"/>
        <v>0</v>
      </c>
      <c r="BW271" s="24">
        <f t="shared" ca="1" si="359"/>
        <v>-13930.165265392341</v>
      </c>
      <c r="BX271" s="25">
        <f t="shared" ca="1" si="324"/>
        <v>-182951.80590021785</v>
      </c>
      <c r="BY271" s="23">
        <f t="shared" ca="1" si="331"/>
        <v>400041.25386935612</v>
      </c>
      <c r="BZ271" s="24">
        <f t="shared" ca="1" si="332"/>
        <v>0</v>
      </c>
      <c r="CA271" s="24">
        <f t="shared" ca="1" si="325"/>
        <v>0</v>
      </c>
      <c r="CB271" s="24">
        <f t="shared" ca="1" si="333"/>
        <v>0</v>
      </c>
      <c r="CC271" s="24">
        <f t="shared" ca="1" si="326"/>
        <v>0</v>
      </c>
      <c r="CD271" s="24">
        <f t="shared" ca="1" si="334"/>
        <v>-5897.1510128072168</v>
      </c>
      <c r="CE271" s="25">
        <f t="shared" ca="1" si="327"/>
        <v>-78871.152168646891</v>
      </c>
      <c r="CF271" s="23">
        <f t="shared" ca="1" si="328"/>
        <v>623774.9416645905</v>
      </c>
      <c r="CG271" s="25">
        <f t="array" aca="1" ref="CG271" ca="1">SUM(BF260:BF271/(1+inflation/100)^(AP260:AP271/12))</f>
        <v>267980.53702225379</v>
      </c>
      <c r="CH271" s="32">
        <f ca="1">IFERROR(IF(MOD(AP271-ap_months_since_start,12)=0,ap_drawdown/100*(AQ271+AV271+BA271-BC271),CH270),0)</f>
        <v>146810.36679742433</v>
      </c>
    </row>
    <row r="272" spans="40:86" x14ac:dyDescent="0.25">
      <c r="AN272" s="32">
        <f t="shared" ca="1" si="329"/>
        <v>76.916666666666671</v>
      </c>
      <c r="AO272" s="53">
        <f t="shared" ca="1" si="360"/>
        <v>53662</v>
      </c>
      <c r="AP272" s="22">
        <v>265</v>
      </c>
      <c r="AQ272" s="32">
        <f t="shared" ca="1" si="361"/>
        <v>948065.28492218896</v>
      </c>
      <c r="AR272" s="23">
        <f t="array" aca="1" ref="AR272" ca="1">SUM(IF(lsc_start_date=AO272,lsc_amount,0))</f>
        <v>0</v>
      </c>
      <c r="AS272" s="24">
        <f t="shared" ca="1" si="335"/>
        <v>0</v>
      </c>
      <c r="AT272" s="24">
        <f t="shared" ca="1" si="336"/>
        <v>0</v>
      </c>
      <c r="AU272" s="24">
        <f t="shared" ca="1" si="337"/>
        <v>0</v>
      </c>
      <c r="AV272" s="25">
        <f t="shared" ca="1" si="338"/>
        <v>0</v>
      </c>
      <c r="AW272" s="23">
        <f t="array" aca="1" ref="AW272" ca="1">SUM(IF(rcs_start_date&lt;=AO272,1,0)*IF(rcs_end_date&gt;=AO272,1,0)*rcs_amount*(1+rcs_escalation/100)^(INT((AP272-rcs_months_since_start)/12))*IF(MOD((AP272-rcs_months_since_start),rcs_frequency)=0,1,0)*IF(rcs_frequency=13,0,1))+SUM(IF(rcs_start_date=AO272,rcs_amount,0)*IF(rcs_frequency=13,1,0))</f>
        <v>0</v>
      </c>
      <c r="AX272" s="24">
        <f t="shared" ca="1" si="339"/>
        <v>0</v>
      </c>
      <c r="AY272" s="24">
        <f t="shared" ca="1" si="340"/>
        <v>0</v>
      </c>
      <c r="AZ272" s="24">
        <f t="shared" ca="1" si="341"/>
        <v>0</v>
      </c>
      <c r="BA272" s="25">
        <f t="shared" ca="1" si="342"/>
        <v>0</v>
      </c>
      <c r="BB272" s="23">
        <f t="array" aca="1" ref="BB272" ca="1">SUM(IF(w_start_date&lt;=AO272,1,0)*IF(w_end_date&gt;=AO272,1,0)*w_amount*(1+w_escalation/100)^(INT((AP272-w_months_since_start)/12))*IF(MOD(AP272-w_months_since_start,w_frequency)=0,1,0)*IF(w_frequency=13,0,1))+SUM(IF(w_start_date=AO272,w_amount,0)*IF(w_frequency=13,1,0))</f>
        <v>0</v>
      </c>
      <c r="BC272" s="25">
        <f t="shared" ca="1" si="343"/>
        <v>0</v>
      </c>
      <c r="BD272" s="24" t="b">
        <f t="shared" ca="1" si="344"/>
        <v>1</v>
      </c>
      <c r="BE272" s="24" t="b">
        <f t="shared" ca="1" si="345"/>
        <v>1</v>
      </c>
      <c r="BF272" s="23">
        <f t="array" aca="1" ref="BF272" ca="1">SUM(IF(BD272,1,0)*IF(ap_start_date&lt;=AO272,1,0)*IF(ap_end_date&gt;=AO272,1,0)*ap_amount*(1+ap_escalation/100)^(INT((AP272-ap_months_since_start)/12))*IF(MOD(AP272-ap_months_since_start,ap_frequency)=0,1,0))</f>
        <v>53880.891971027741</v>
      </c>
      <c r="BG272" s="24">
        <f t="shared" ca="1" si="346"/>
        <v>646570.70365233265</v>
      </c>
      <c r="BH272" s="24">
        <f t="shared" ca="1" si="347"/>
        <v>23880.28331210115</v>
      </c>
      <c r="BI272">
        <f t="shared" ca="1" si="348"/>
        <v>0</v>
      </c>
      <c r="BJ272" s="24">
        <f t="shared" ca="1" si="349"/>
        <v>167161.98318470805</v>
      </c>
      <c r="BK272">
        <f t="shared" ca="1" si="350"/>
        <v>1</v>
      </c>
      <c r="BL272" s="25">
        <f t="shared" ca="1" si="351"/>
        <v>13930.165265392341</v>
      </c>
      <c r="BM272" s="32">
        <f t="shared" ca="1" si="330"/>
        <v>940867.73348512116</v>
      </c>
      <c r="BN272" s="23">
        <f t="shared" ca="1" si="352"/>
        <v>0</v>
      </c>
      <c r="BO272" s="24">
        <f t="shared" ca="1" si="353"/>
        <v>0</v>
      </c>
      <c r="BP272" s="25">
        <f t="shared" ca="1" si="354"/>
        <v>0</v>
      </c>
      <c r="BQ272" s="34">
        <f t="shared" ca="1" si="355"/>
        <v>53692</v>
      </c>
      <c r="BR272" s="23">
        <f t="shared" ca="1" si="356"/>
        <v>940867.73348512116</v>
      </c>
      <c r="BS272" s="24">
        <f t="shared" ca="1" si="357"/>
        <v>0</v>
      </c>
      <c r="BT272" s="24">
        <f t="shared" ca="1" si="322"/>
        <v>0</v>
      </c>
      <c r="BU272" s="24">
        <f t="shared" ca="1" si="358"/>
        <v>0</v>
      </c>
      <c r="BV272" s="24">
        <f t="shared" ca="1" si="323"/>
        <v>0</v>
      </c>
      <c r="BW272" s="24">
        <f t="shared" ca="1" si="359"/>
        <v>-13930.165265392341</v>
      </c>
      <c r="BX272" s="25">
        <f t="shared" ca="1" si="324"/>
        <v>-181516.36747153514</v>
      </c>
      <c r="BY272" s="23">
        <f t="shared" ca="1" si="331"/>
        <v>395708.76075753418</v>
      </c>
      <c r="BZ272" s="24">
        <f t="shared" ca="1" si="332"/>
        <v>0</v>
      </c>
      <c r="CA272" s="24">
        <f t="shared" ca="1" si="325"/>
        <v>0</v>
      </c>
      <c r="CB272" s="24">
        <f t="shared" ca="1" si="333"/>
        <v>0</v>
      </c>
      <c r="CC272" s="24">
        <f t="shared" ca="1" si="326"/>
        <v>0</v>
      </c>
      <c r="CD272" s="24">
        <f t="shared" ca="1" si="334"/>
        <v>-5877.9082706654217</v>
      </c>
      <c r="CE272" s="25">
        <f t="shared" ca="1" si="327"/>
        <v>-78006.117221544817</v>
      </c>
      <c r="CF272" s="23">
        <f t="shared" ca="1" si="328"/>
        <v>625847.28366347612</v>
      </c>
      <c r="CG272" s="25">
        <f t="array" aca="1" ref="CG272" ca="1">SUM(BF261:BF272/(1+inflation/100)^(AP261:AP272/12))</f>
        <v>267980.53702225373</v>
      </c>
      <c r="CH272" s="32">
        <f ca="1">IFERROR(IF(MOD(AP272-ap_months_since_start,12)=0,ap_drawdown/100*(AQ272+AV272+BA272-BC272),CH271),0)</f>
        <v>146810.36679742433</v>
      </c>
    </row>
    <row r="273" spans="40:86" x14ac:dyDescent="0.25">
      <c r="AN273" s="32">
        <f t="shared" ca="1" si="329"/>
        <v>77</v>
      </c>
      <c r="AO273" s="53">
        <f t="shared" ca="1" si="360"/>
        <v>53693</v>
      </c>
      <c r="AP273" s="22">
        <v>266</v>
      </c>
      <c r="AQ273" s="32">
        <f t="shared" ca="1" si="361"/>
        <v>940867.73348512116</v>
      </c>
      <c r="AR273" s="23">
        <f t="array" aca="1" ref="AR273" ca="1">SUM(IF(lsc_start_date=AO273,lsc_amount,0))</f>
        <v>0</v>
      </c>
      <c r="AS273" s="24">
        <f t="shared" ca="1" si="335"/>
        <v>0</v>
      </c>
      <c r="AT273" s="24">
        <f t="shared" ca="1" si="336"/>
        <v>0</v>
      </c>
      <c r="AU273" s="24">
        <f t="shared" ca="1" si="337"/>
        <v>0</v>
      </c>
      <c r="AV273" s="25">
        <f t="shared" ca="1" si="338"/>
        <v>0</v>
      </c>
      <c r="AW273" s="23">
        <f t="array" aca="1" ref="AW273" ca="1">SUM(IF(rcs_start_date&lt;=AO273,1,0)*IF(rcs_end_date&gt;=AO273,1,0)*rcs_amount*(1+rcs_escalation/100)^(INT((AP273-rcs_months_since_start)/12))*IF(MOD((AP273-rcs_months_since_start),rcs_frequency)=0,1,0)*IF(rcs_frequency=13,0,1))+SUM(IF(rcs_start_date=AO273,rcs_amount,0)*IF(rcs_frequency=13,1,0))</f>
        <v>0</v>
      </c>
      <c r="AX273" s="24">
        <f t="shared" ca="1" si="339"/>
        <v>0</v>
      </c>
      <c r="AY273" s="24">
        <f t="shared" ca="1" si="340"/>
        <v>0</v>
      </c>
      <c r="AZ273" s="24">
        <f t="shared" ca="1" si="341"/>
        <v>0</v>
      </c>
      <c r="BA273" s="25">
        <f t="shared" ca="1" si="342"/>
        <v>0</v>
      </c>
      <c r="BB273" s="23">
        <f t="array" aca="1" ref="BB273" ca="1">SUM(IF(w_start_date&lt;=AO273,1,0)*IF(w_end_date&gt;=AO273,1,0)*w_amount*(1+w_escalation/100)^(INT((AP273-w_months_since_start)/12))*IF(MOD(AP273-w_months_since_start,w_frequency)=0,1,0)*IF(w_frequency=13,0,1))+SUM(IF(w_start_date=AO273,w_amount,0)*IF(w_frequency=13,1,0))</f>
        <v>0</v>
      </c>
      <c r="BC273" s="25">
        <f t="shared" ca="1" si="343"/>
        <v>0</v>
      </c>
      <c r="BD273" s="24" t="b">
        <f t="shared" ca="1" si="344"/>
        <v>1</v>
      </c>
      <c r="BE273" s="24" t="b">
        <f t="shared" ca="1" si="345"/>
        <v>1</v>
      </c>
      <c r="BF273" s="23">
        <f t="array" aca="1" ref="BF273" ca="1">SUM(IF(BD273,1,0)*IF(ap_start_date&lt;=AO273,1,0)*IF(ap_end_date&gt;=AO273,1,0)*ap_amount*(1+ap_escalation/100)^(INT((AP273-ap_months_since_start)/12))*IF(MOD(AP273-ap_months_since_start,ap_frequency)=0,1,0))</f>
        <v>53880.891971027741</v>
      </c>
      <c r="BG273" s="24">
        <f t="shared" ca="1" si="346"/>
        <v>646570.70365233265</v>
      </c>
      <c r="BH273" s="24">
        <f t="shared" ca="1" si="347"/>
        <v>23880.28331210115</v>
      </c>
      <c r="BI273">
        <f t="shared" ca="1" si="348"/>
        <v>0</v>
      </c>
      <c r="BJ273" s="24">
        <f t="shared" ca="1" si="349"/>
        <v>167161.98318470805</v>
      </c>
      <c r="BK273">
        <f t="shared" ca="1" si="350"/>
        <v>1</v>
      </c>
      <c r="BL273" s="25">
        <f t="shared" ca="1" si="351"/>
        <v>13930.165265392341</v>
      </c>
      <c r="BM273" s="32">
        <f t="shared" ca="1" si="330"/>
        <v>933618.30696776183</v>
      </c>
      <c r="BN273" s="23">
        <f t="shared" ca="1" si="352"/>
        <v>0</v>
      </c>
      <c r="BO273" s="24">
        <f t="shared" ca="1" si="353"/>
        <v>0</v>
      </c>
      <c r="BP273" s="25">
        <f t="shared" ca="1" si="354"/>
        <v>0</v>
      </c>
      <c r="BQ273" s="34">
        <f t="shared" ca="1" si="355"/>
        <v>53723</v>
      </c>
      <c r="BR273" s="23">
        <f t="shared" ca="1" si="356"/>
        <v>933618.30696776183</v>
      </c>
      <c r="BS273" s="24">
        <f t="shared" ca="1" si="357"/>
        <v>0</v>
      </c>
      <c r="BT273" s="24">
        <f t="shared" ca="1" si="322"/>
        <v>0</v>
      </c>
      <c r="BU273" s="24">
        <f t="shared" ca="1" si="358"/>
        <v>0</v>
      </c>
      <c r="BV273" s="24">
        <f t="shared" ca="1" si="323"/>
        <v>0</v>
      </c>
      <c r="BW273" s="24">
        <f t="shared" ca="1" si="359"/>
        <v>-13930.165265392341</v>
      </c>
      <c r="BX273" s="25">
        <f t="shared" ca="1" si="324"/>
        <v>-180080.92904285243</v>
      </c>
      <c r="BY273" s="23">
        <f t="shared" ca="1" si="331"/>
        <v>391378.53618362866</v>
      </c>
      <c r="BZ273" s="24">
        <f t="shared" ca="1" si="332"/>
        <v>0</v>
      </c>
      <c r="CA273" s="24">
        <f t="shared" ca="1" si="325"/>
        <v>0</v>
      </c>
      <c r="CB273" s="24">
        <f t="shared" ca="1" si="333"/>
        <v>0</v>
      </c>
      <c r="CC273" s="24">
        <f t="shared" ca="1" si="326"/>
        <v>0</v>
      </c>
      <c r="CD273" s="24">
        <f t="shared" ca="1" si="334"/>
        <v>-5858.7283186954164</v>
      </c>
      <c r="CE273" s="25">
        <f t="shared" ca="1" si="327"/>
        <v>-77143.904933112077</v>
      </c>
      <c r="CF273" s="23">
        <f t="shared" ca="1" si="328"/>
        <v>627919.62566236174</v>
      </c>
      <c r="CG273" s="25">
        <f t="array" aca="1" ref="CG273" ca="1">SUM(BF262:BF273/(1+inflation/100)^(AP262:AP273/12))</f>
        <v>267980.53702225379</v>
      </c>
      <c r="CH273" s="32">
        <f ca="1">IFERROR(IF(MOD(AP273-ap_months_since_start,12)=0,ap_drawdown/100*(AQ273+AV273+BA273-BC273),CH272),0)</f>
        <v>146810.36679742433</v>
      </c>
    </row>
    <row r="274" spans="40:86" x14ac:dyDescent="0.25">
      <c r="AN274" s="32">
        <f t="shared" ca="1" si="329"/>
        <v>77.083333333333329</v>
      </c>
      <c r="AO274" s="53">
        <f t="shared" ca="1" si="360"/>
        <v>53724</v>
      </c>
      <c r="AP274" s="22">
        <v>267</v>
      </c>
      <c r="AQ274" s="32">
        <f t="shared" ca="1" si="361"/>
        <v>933618.30696776183</v>
      </c>
      <c r="AR274" s="23">
        <f t="array" aca="1" ref="AR274" ca="1">SUM(IF(lsc_start_date=AO274,lsc_amount,0))</f>
        <v>0</v>
      </c>
      <c r="AS274" s="24">
        <f t="shared" ca="1" si="335"/>
        <v>0</v>
      </c>
      <c r="AT274" s="24">
        <f t="shared" ca="1" si="336"/>
        <v>0</v>
      </c>
      <c r="AU274" s="24">
        <f t="shared" ca="1" si="337"/>
        <v>0</v>
      </c>
      <c r="AV274" s="25">
        <f t="shared" ca="1" si="338"/>
        <v>0</v>
      </c>
      <c r="AW274" s="23">
        <f t="array" aca="1" ref="AW274" ca="1">SUM(IF(rcs_start_date&lt;=AO274,1,0)*IF(rcs_end_date&gt;=AO274,1,0)*rcs_amount*(1+rcs_escalation/100)^(INT((AP274-rcs_months_since_start)/12))*IF(MOD((AP274-rcs_months_since_start),rcs_frequency)=0,1,0)*IF(rcs_frequency=13,0,1))+SUM(IF(rcs_start_date=AO274,rcs_amount,0)*IF(rcs_frequency=13,1,0))</f>
        <v>0</v>
      </c>
      <c r="AX274" s="24">
        <f t="shared" ca="1" si="339"/>
        <v>0</v>
      </c>
      <c r="AY274" s="24">
        <f t="shared" ca="1" si="340"/>
        <v>0</v>
      </c>
      <c r="AZ274" s="24">
        <f t="shared" ca="1" si="341"/>
        <v>0</v>
      </c>
      <c r="BA274" s="25">
        <f t="shared" ca="1" si="342"/>
        <v>0</v>
      </c>
      <c r="BB274" s="23">
        <f t="array" aca="1" ref="BB274" ca="1">SUM(IF(w_start_date&lt;=AO274,1,0)*IF(w_end_date&gt;=AO274,1,0)*w_amount*(1+w_escalation/100)^(INT((AP274-w_months_since_start)/12))*IF(MOD(AP274-w_months_since_start,w_frequency)=0,1,0)*IF(w_frequency=13,0,1))+SUM(IF(w_start_date=AO274,w_amount,0)*IF(w_frequency=13,1,0))</f>
        <v>0</v>
      </c>
      <c r="BC274" s="25">
        <f t="shared" ca="1" si="343"/>
        <v>0</v>
      </c>
      <c r="BD274" s="24" t="b">
        <f t="shared" ca="1" si="344"/>
        <v>1</v>
      </c>
      <c r="BE274" s="24" t="b">
        <f t="shared" ca="1" si="345"/>
        <v>1</v>
      </c>
      <c r="BF274" s="23">
        <f t="array" aca="1" ref="BF274" ca="1">SUM(IF(BD274,1,0)*IF(ap_start_date&lt;=AO274,1,0)*IF(ap_end_date&gt;=AO274,1,0)*ap_amount*(1+ap_escalation/100)^(INT((AP274-ap_months_since_start)/12))*IF(MOD(AP274-ap_months_since_start,ap_frequency)=0,1,0))</f>
        <v>53880.891971027741</v>
      </c>
      <c r="BG274" s="24">
        <f t="shared" ca="1" si="346"/>
        <v>646570.70365233265</v>
      </c>
      <c r="BH274" s="24">
        <f t="shared" ca="1" si="347"/>
        <v>23880.28331210115</v>
      </c>
      <c r="BI274">
        <f t="shared" ca="1" si="348"/>
        <v>0</v>
      </c>
      <c r="BJ274" s="24">
        <f t="shared" ca="1" si="349"/>
        <v>167161.98318470805</v>
      </c>
      <c r="BK274">
        <f t="shared" ca="1" si="350"/>
        <v>1</v>
      </c>
      <c r="BL274" s="25">
        <f t="shared" ca="1" si="351"/>
        <v>13930.165265392341</v>
      </c>
      <c r="BM274" s="32">
        <f t="shared" ca="1" si="330"/>
        <v>926316.63148963533</v>
      </c>
      <c r="BN274" s="23">
        <f t="shared" ca="1" si="352"/>
        <v>0</v>
      </c>
      <c r="BO274" s="24">
        <f t="shared" ca="1" si="353"/>
        <v>0</v>
      </c>
      <c r="BP274" s="25">
        <f t="shared" ca="1" si="354"/>
        <v>0</v>
      </c>
      <c r="BQ274" s="34">
        <f t="shared" ca="1" si="355"/>
        <v>53751</v>
      </c>
      <c r="BR274" s="23">
        <f t="shared" ca="1" si="356"/>
        <v>926316.63148963533</v>
      </c>
      <c r="BS274" s="24">
        <f t="shared" ca="1" si="357"/>
        <v>0</v>
      </c>
      <c r="BT274" s="24">
        <f t="shared" ca="1" si="322"/>
        <v>0</v>
      </c>
      <c r="BU274" s="24">
        <f t="shared" ca="1" si="358"/>
        <v>0</v>
      </c>
      <c r="BV274" s="24">
        <f t="shared" ca="1" si="323"/>
        <v>0</v>
      </c>
      <c r="BW274" s="24">
        <f t="shared" ca="1" si="359"/>
        <v>-13930.165265392341</v>
      </c>
      <c r="BX274" s="25">
        <f t="shared" ca="1" si="324"/>
        <v>-178645.49061416974</v>
      </c>
      <c r="BY274" s="23">
        <f t="shared" ca="1" si="331"/>
        <v>387050.5262113405</v>
      </c>
      <c r="BZ274" s="24">
        <f t="shared" ca="1" si="332"/>
        <v>0</v>
      </c>
      <c r="CA274" s="24">
        <f t="shared" ca="1" si="325"/>
        <v>0</v>
      </c>
      <c r="CB274" s="24">
        <f t="shared" ca="1" si="333"/>
        <v>0</v>
      </c>
      <c r="CC274" s="24">
        <f t="shared" ca="1" si="326"/>
        <v>0</v>
      </c>
      <c r="CD274" s="24">
        <f t="shared" ca="1" si="334"/>
        <v>-5839.6109520092577</v>
      </c>
      <c r="CE274" s="25">
        <f t="shared" ca="1" si="327"/>
        <v>-76284.506092851487</v>
      </c>
      <c r="CF274" s="23">
        <f t="shared" ca="1" si="328"/>
        <v>629991.96766124736</v>
      </c>
      <c r="CG274" s="25">
        <f t="array" aca="1" ref="CG274" ca="1">SUM(BF263:BF274/(1+inflation/100)^(AP263:AP274/12))</f>
        <v>267980.53702225379</v>
      </c>
      <c r="CH274" s="32">
        <f ca="1">IFERROR(IF(MOD(AP274-ap_months_since_start,12)=0,ap_drawdown/100*(AQ274+AV274+BA274-BC274),CH273),0)</f>
        <v>146810.36679742433</v>
      </c>
    </row>
    <row r="275" spans="40:86" x14ac:dyDescent="0.25">
      <c r="AN275" s="32">
        <f t="shared" ca="1" si="329"/>
        <v>77.166666666666671</v>
      </c>
      <c r="AO275" s="53">
        <f t="shared" ca="1" si="360"/>
        <v>53752</v>
      </c>
      <c r="AP275" s="22">
        <v>268</v>
      </c>
      <c r="AQ275" s="32">
        <f t="shared" ca="1" si="361"/>
        <v>926316.63148963533</v>
      </c>
      <c r="AR275" s="23">
        <f t="array" aca="1" ref="AR275" ca="1">SUM(IF(lsc_start_date=AO275,lsc_amount,0))</f>
        <v>0</v>
      </c>
      <c r="AS275" s="24">
        <f t="shared" ca="1" si="335"/>
        <v>0</v>
      </c>
      <c r="AT275" s="24">
        <f t="shared" ca="1" si="336"/>
        <v>0</v>
      </c>
      <c r="AU275" s="24">
        <f t="shared" ca="1" si="337"/>
        <v>0</v>
      </c>
      <c r="AV275" s="25">
        <f t="shared" ca="1" si="338"/>
        <v>0</v>
      </c>
      <c r="AW275" s="23">
        <f t="array" aca="1" ref="AW275" ca="1">SUM(IF(rcs_start_date&lt;=AO275,1,0)*IF(rcs_end_date&gt;=AO275,1,0)*rcs_amount*(1+rcs_escalation/100)^(INT((AP275-rcs_months_since_start)/12))*IF(MOD((AP275-rcs_months_since_start),rcs_frequency)=0,1,0)*IF(rcs_frequency=13,0,1))+SUM(IF(rcs_start_date=AO275,rcs_amount,0)*IF(rcs_frequency=13,1,0))</f>
        <v>0</v>
      </c>
      <c r="AX275" s="24">
        <f t="shared" ca="1" si="339"/>
        <v>0</v>
      </c>
      <c r="AY275" s="24">
        <f t="shared" ca="1" si="340"/>
        <v>0</v>
      </c>
      <c r="AZ275" s="24">
        <f t="shared" ca="1" si="341"/>
        <v>0</v>
      </c>
      <c r="BA275" s="25">
        <f t="shared" ca="1" si="342"/>
        <v>0</v>
      </c>
      <c r="BB275" s="23">
        <f t="array" aca="1" ref="BB275" ca="1">SUM(IF(w_start_date&lt;=AO275,1,0)*IF(w_end_date&gt;=AO275,1,0)*w_amount*(1+w_escalation/100)^(INT((AP275-w_months_since_start)/12))*IF(MOD(AP275-w_months_since_start,w_frequency)=0,1,0)*IF(w_frequency=13,0,1))+SUM(IF(w_start_date=AO275,w_amount,0)*IF(w_frequency=13,1,0))</f>
        <v>0</v>
      </c>
      <c r="BC275" s="25">
        <f t="shared" ca="1" si="343"/>
        <v>0</v>
      </c>
      <c r="BD275" s="24" t="b">
        <f t="shared" ca="1" si="344"/>
        <v>1</v>
      </c>
      <c r="BE275" s="24" t="b">
        <f t="shared" ca="1" si="345"/>
        <v>1</v>
      </c>
      <c r="BF275" s="23">
        <f t="array" aca="1" ref="BF275" ca="1">SUM(IF(BD275,1,0)*IF(ap_start_date&lt;=AO275,1,0)*IF(ap_end_date&gt;=AO275,1,0)*ap_amount*(1+ap_escalation/100)^(INT((AP275-ap_months_since_start)/12))*IF(MOD(AP275-ap_months_since_start,ap_frequency)=0,1,0))</f>
        <v>53880.891971027741</v>
      </c>
      <c r="BG275" s="24">
        <f t="shared" ca="1" si="346"/>
        <v>646570.70365233265</v>
      </c>
      <c r="BH275" s="24">
        <f t="shared" ca="1" si="347"/>
        <v>23880.28331210115</v>
      </c>
      <c r="BI275">
        <f t="shared" ca="1" si="348"/>
        <v>0</v>
      </c>
      <c r="BJ275" s="24">
        <f t="shared" ca="1" si="349"/>
        <v>167161.98318470805</v>
      </c>
      <c r="BK275">
        <f t="shared" ca="1" si="350"/>
        <v>1</v>
      </c>
      <c r="BL275" s="25">
        <f t="shared" ca="1" si="351"/>
        <v>13930.165265392341</v>
      </c>
      <c r="BM275" s="32">
        <f t="shared" ca="1" si="330"/>
        <v>918962.33047558845</v>
      </c>
      <c r="BN275" s="23">
        <f t="shared" ca="1" si="352"/>
        <v>0</v>
      </c>
      <c r="BO275" s="24">
        <f t="shared" ca="1" si="353"/>
        <v>0</v>
      </c>
      <c r="BP275" s="25">
        <f t="shared" ca="1" si="354"/>
        <v>0</v>
      </c>
      <c r="BQ275" s="34">
        <f t="shared" ca="1" si="355"/>
        <v>53782</v>
      </c>
      <c r="BR275" s="23">
        <f t="shared" ca="1" si="356"/>
        <v>918962.33047558845</v>
      </c>
      <c r="BS275" s="24">
        <f t="shared" ca="1" si="357"/>
        <v>0</v>
      </c>
      <c r="BT275" s="24">
        <f t="shared" ca="1" si="322"/>
        <v>0</v>
      </c>
      <c r="BU275" s="24">
        <f t="shared" ca="1" si="358"/>
        <v>0</v>
      </c>
      <c r="BV275" s="24">
        <f t="shared" ca="1" si="323"/>
        <v>0</v>
      </c>
      <c r="BW275" s="24">
        <f t="shared" ca="1" si="359"/>
        <v>-13930.165265392341</v>
      </c>
      <c r="BX275" s="25">
        <f t="shared" ca="1" si="324"/>
        <v>-177210.05218548703</v>
      </c>
      <c r="BY275" s="23">
        <f t="shared" ca="1" si="331"/>
        <v>382724.67689791945</v>
      </c>
      <c r="BZ275" s="24">
        <f t="shared" ca="1" si="332"/>
        <v>0</v>
      </c>
      <c r="CA275" s="24">
        <f t="shared" ca="1" si="325"/>
        <v>0</v>
      </c>
      <c r="CB275" s="24">
        <f t="shared" ca="1" si="333"/>
        <v>0</v>
      </c>
      <c r="CC275" s="24">
        <f t="shared" ca="1" si="326"/>
        <v>0</v>
      </c>
      <c r="CD275" s="24">
        <f t="shared" ca="1" si="334"/>
        <v>-5820.5559663875811</v>
      </c>
      <c r="CE275" s="25">
        <f t="shared" ca="1" si="327"/>
        <v>-75427.91152032018</v>
      </c>
      <c r="CF275" s="23">
        <f t="shared" ca="1" si="328"/>
        <v>632064.30966013297</v>
      </c>
      <c r="CG275" s="25">
        <f t="array" aca="1" ref="CG275" ca="1">SUM(BF264:BF275/(1+inflation/100)^(AP264:AP275/12))</f>
        <v>267980.53702225373</v>
      </c>
      <c r="CH275" s="32">
        <f ca="1">IFERROR(IF(MOD(AP275-ap_months_since_start,12)=0,ap_drawdown/100*(AQ275+AV275+BA275-BC275),CH274),0)</f>
        <v>146810.36679742433</v>
      </c>
    </row>
    <row r="276" spans="40:86" x14ac:dyDescent="0.25">
      <c r="AN276" s="32">
        <f t="shared" ca="1" si="329"/>
        <v>77.25</v>
      </c>
      <c r="AO276" s="53">
        <f t="shared" ca="1" si="360"/>
        <v>53783</v>
      </c>
      <c r="AP276" s="22">
        <v>269</v>
      </c>
      <c r="AQ276" s="32">
        <f t="shared" ca="1" si="361"/>
        <v>918962.33047558845</v>
      </c>
      <c r="AR276" s="23">
        <f t="array" aca="1" ref="AR276" ca="1">SUM(IF(lsc_start_date=AO276,lsc_amount,0))</f>
        <v>0</v>
      </c>
      <c r="AS276" s="24">
        <f t="shared" ca="1" si="335"/>
        <v>0</v>
      </c>
      <c r="AT276" s="24">
        <f t="shared" ca="1" si="336"/>
        <v>0</v>
      </c>
      <c r="AU276" s="24">
        <f t="shared" ca="1" si="337"/>
        <v>0</v>
      </c>
      <c r="AV276" s="25">
        <f t="shared" ca="1" si="338"/>
        <v>0</v>
      </c>
      <c r="AW276" s="23">
        <f t="array" aca="1" ref="AW276" ca="1">SUM(IF(rcs_start_date&lt;=AO276,1,0)*IF(rcs_end_date&gt;=AO276,1,0)*rcs_amount*(1+rcs_escalation/100)^(INT((AP276-rcs_months_since_start)/12))*IF(MOD((AP276-rcs_months_since_start),rcs_frequency)=0,1,0)*IF(rcs_frequency=13,0,1))+SUM(IF(rcs_start_date=AO276,rcs_amount,0)*IF(rcs_frequency=13,1,0))</f>
        <v>0</v>
      </c>
      <c r="AX276" s="24">
        <f t="shared" ca="1" si="339"/>
        <v>0</v>
      </c>
      <c r="AY276" s="24">
        <f t="shared" ca="1" si="340"/>
        <v>0</v>
      </c>
      <c r="AZ276" s="24">
        <f t="shared" ca="1" si="341"/>
        <v>0</v>
      </c>
      <c r="BA276" s="25">
        <f t="shared" ca="1" si="342"/>
        <v>0</v>
      </c>
      <c r="BB276" s="23">
        <f t="array" aca="1" ref="BB276" ca="1">SUM(IF(w_start_date&lt;=AO276,1,0)*IF(w_end_date&gt;=AO276,1,0)*w_amount*(1+w_escalation/100)^(INT((AP276-w_months_since_start)/12))*IF(MOD(AP276-w_months_since_start,w_frequency)=0,1,0)*IF(w_frequency=13,0,1))+SUM(IF(w_start_date=AO276,w_amount,0)*IF(w_frequency=13,1,0))</f>
        <v>0</v>
      </c>
      <c r="BC276" s="25">
        <f t="shared" ca="1" si="343"/>
        <v>0</v>
      </c>
      <c r="BD276" s="24" t="b">
        <f t="shared" ca="1" si="344"/>
        <v>1</v>
      </c>
      <c r="BE276" s="24" t="b">
        <f t="shared" ca="1" si="345"/>
        <v>1</v>
      </c>
      <c r="BF276" s="23">
        <f t="array" aca="1" ref="BF276" ca="1">SUM(IF(BD276,1,0)*IF(ap_start_date&lt;=AO276,1,0)*IF(ap_end_date&gt;=AO276,1,0)*ap_amount*(1+ap_escalation/100)^(INT((AP276-ap_months_since_start)/12))*IF(MOD(AP276-ap_months_since_start,ap_frequency)=0,1,0))</f>
        <v>53880.891971027741</v>
      </c>
      <c r="BG276" s="24">
        <f t="shared" ca="1" si="346"/>
        <v>646570.70365233265</v>
      </c>
      <c r="BH276" s="24">
        <f t="shared" ca="1" si="347"/>
        <v>23880.28331210115</v>
      </c>
      <c r="BI276">
        <f t="shared" ca="1" si="348"/>
        <v>0</v>
      </c>
      <c r="BJ276" s="24">
        <f t="shared" ca="1" si="349"/>
        <v>167161.98318470805</v>
      </c>
      <c r="BK276">
        <f t="shared" ca="1" si="350"/>
        <v>1</v>
      </c>
      <c r="BL276" s="25">
        <f t="shared" ca="1" si="351"/>
        <v>13930.165265392341</v>
      </c>
      <c r="BM276" s="32">
        <f t="shared" ca="1" si="330"/>
        <v>911555.0246363692</v>
      </c>
      <c r="BN276" s="23">
        <f t="shared" ca="1" si="352"/>
        <v>0</v>
      </c>
      <c r="BO276" s="24">
        <f t="shared" ca="1" si="353"/>
        <v>0</v>
      </c>
      <c r="BP276" s="25">
        <f t="shared" ca="1" si="354"/>
        <v>0</v>
      </c>
      <c r="BQ276" s="34">
        <f t="shared" ca="1" si="355"/>
        <v>53812</v>
      </c>
      <c r="BR276" s="23">
        <f t="shared" ca="1" si="356"/>
        <v>911555.0246363692</v>
      </c>
      <c r="BS276" s="24">
        <f t="shared" ca="1" si="357"/>
        <v>0</v>
      </c>
      <c r="BT276" s="24">
        <f t="shared" ref="BT276:BT339" ca="1" si="362">SUM(BS265:BS276)</f>
        <v>0</v>
      </c>
      <c r="BU276" s="24">
        <f t="shared" ca="1" si="358"/>
        <v>0</v>
      </c>
      <c r="BV276" s="24">
        <f t="shared" ref="BV276:BV339" ca="1" si="363">SUM(BU265:BU276)</f>
        <v>0</v>
      </c>
      <c r="BW276" s="24">
        <f t="shared" ca="1" si="359"/>
        <v>-13930.165265392341</v>
      </c>
      <c r="BX276" s="25">
        <f t="shared" ref="BX276:BX339" ca="1" si="364">SUM(BW265:BW276)</f>
        <v>-175774.61375680432</v>
      </c>
      <c r="BY276" s="23">
        <f t="shared" ca="1" si="331"/>
        <v>378400.93429347081</v>
      </c>
      <c r="BZ276" s="24">
        <f t="shared" ca="1" si="332"/>
        <v>0</v>
      </c>
      <c r="CA276" s="24">
        <f t="shared" ref="CA276:CA339" ca="1" si="365">SUM(BZ265:BZ276)</f>
        <v>0</v>
      </c>
      <c r="CB276" s="24">
        <f t="shared" ca="1" si="333"/>
        <v>0</v>
      </c>
      <c r="CC276" s="24">
        <f t="shared" ref="CC276:CC339" ca="1" si="366">SUM(CB265:CB276)</f>
        <v>0</v>
      </c>
      <c r="CD276" s="24">
        <f t="shared" ca="1" si="334"/>
        <v>-5801.5631582773885</v>
      </c>
      <c r="CE276" s="25">
        <f t="shared" ref="CE276:CE339" ca="1" si="367">SUM(CD265:CD276)</f>
        <v>-74574.112065031703</v>
      </c>
      <c r="CF276" s="23">
        <f t="shared" ref="CF276:CF339" ca="1" si="368">SUM(BF265:BF276)</f>
        <v>634136.65165901871</v>
      </c>
      <c r="CG276" s="25">
        <f t="array" aca="1" ref="CG276" ca="1">SUM(BF265:BF276/(1+inflation/100)^(AP265:AP276/12))</f>
        <v>267980.53702225373</v>
      </c>
      <c r="CH276" s="32">
        <f ca="1">IFERROR(IF(MOD(AP276-ap_months_since_start,12)=0,ap_drawdown/100*(AQ276+AV276+BA276-BC276),CH275),0)</f>
        <v>146810.36679742433</v>
      </c>
    </row>
    <row r="277" spans="40:86" x14ac:dyDescent="0.25">
      <c r="AN277" s="32">
        <f t="shared" ca="1" si="329"/>
        <v>77.333333333333329</v>
      </c>
      <c r="AO277" s="53">
        <f t="shared" ca="1" si="360"/>
        <v>53813</v>
      </c>
      <c r="AP277" s="22">
        <v>270</v>
      </c>
      <c r="AQ277" s="32">
        <f t="shared" ca="1" si="361"/>
        <v>911555.0246363692</v>
      </c>
      <c r="AR277" s="23">
        <f t="array" aca="1" ref="AR277" ca="1">SUM(IF(lsc_start_date=AO277,lsc_amount,0))</f>
        <v>0</v>
      </c>
      <c r="AS277" s="24">
        <f t="shared" ca="1" si="335"/>
        <v>0</v>
      </c>
      <c r="AT277" s="24">
        <f t="shared" ca="1" si="336"/>
        <v>0</v>
      </c>
      <c r="AU277" s="24">
        <f t="shared" ca="1" si="337"/>
        <v>0</v>
      </c>
      <c r="AV277" s="25">
        <f t="shared" ca="1" si="338"/>
        <v>0</v>
      </c>
      <c r="AW277" s="23">
        <f t="array" aca="1" ref="AW277" ca="1">SUM(IF(rcs_start_date&lt;=AO277,1,0)*IF(rcs_end_date&gt;=AO277,1,0)*rcs_amount*(1+rcs_escalation/100)^(INT((AP277-rcs_months_since_start)/12))*IF(MOD((AP277-rcs_months_since_start),rcs_frequency)=0,1,0)*IF(rcs_frequency=13,0,1))+SUM(IF(rcs_start_date=AO277,rcs_amount,0)*IF(rcs_frequency=13,1,0))</f>
        <v>0</v>
      </c>
      <c r="AX277" s="24">
        <f t="shared" ca="1" si="339"/>
        <v>0</v>
      </c>
      <c r="AY277" s="24">
        <f t="shared" ca="1" si="340"/>
        <v>0</v>
      </c>
      <c r="AZ277" s="24">
        <f t="shared" ca="1" si="341"/>
        <v>0</v>
      </c>
      <c r="BA277" s="25">
        <f t="shared" ca="1" si="342"/>
        <v>0</v>
      </c>
      <c r="BB277" s="23">
        <f t="array" aca="1" ref="BB277" ca="1">SUM(IF(w_start_date&lt;=AO277,1,0)*IF(w_end_date&gt;=AO277,1,0)*w_amount*(1+w_escalation/100)^(INT((AP277-w_months_since_start)/12))*IF(MOD(AP277-w_months_since_start,w_frequency)=0,1,0)*IF(w_frequency=13,0,1))+SUM(IF(w_start_date=AO277,w_amount,0)*IF(w_frequency=13,1,0))</f>
        <v>0</v>
      </c>
      <c r="BC277" s="25">
        <f t="shared" ca="1" si="343"/>
        <v>0</v>
      </c>
      <c r="BD277" s="24" t="b">
        <f t="shared" ca="1" si="344"/>
        <v>1</v>
      </c>
      <c r="BE277" s="24" t="b">
        <f t="shared" ca="1" si="345"/>
        <v>1</v>
      </c>
      <c r="BF277" s="23">
        <f t="array" aca="1" ref="BF277" ca="1">SUM(IF(BD277,1,0)*IF(ap_start_date&lt;=AO277,1,0)*IF(ap_end_date&gt;=AO277,1,0)*ap_amount*(1+ap_escalation/100)^(INT((AP277-ap_months_since_start)/12))*IF(MOD(AP277-ap_months_since_start,ap_frequency)=0,1,0))</f>
        <v>53880.891971027741</v>
      </c>
      <c r="BG277" s="24">
        <f t="shared" ca="1" si="346"/>
        <v>646570.70365233265</v>
      </c>
      <c r="BH277" s="24">
        <f t="shared" ca="1" si="347"/>
        <v>23880.28331210115</v>
      </c>
      <c r="BI277">
        <f t="shared" ca="1" si="348"/>
        <v>0</v>
      </c>
      <c r="BJ277" s="24">
        <f t="shared" ca="1" si="349"/>
        <v>167161.98318470805</v>
      </c>
      <c r="BK277">
        <f t="shared" ca="1" si="350"/>
        <v>1</v>
      </c>
      <c r="BL277" s="25">
        <f t="shared" ca="1" si="351"/>
        <v>13930.165265392341</v>
      </c>
      <c r="BM277" s="32">
        <f t="shared" ca="1" si="330"/>
        <v>904094.33194906521</v>
      </c>
      <c r="BN277" s="23">
        <f t="shared" ca="1" si="352"/>
        <v>0</v>
      </c>
      <c r="BO277" s="24">
        <f t="shared" ca="1" si="353"/>
        <v>0</v>
      </c>
      <c r="BP277" s="25">
        <f t="shared" ca="1" si="354"/>
        <v>0</v>
      </c>
      <c r="BQ277" s="34">
        <f t="shared" ca="1" si="355"/>
        <v>53843</v>
      </c>
      <c r="BR277" s="23">
        <f t="shared" ca="1" si="356"/>
        <v>904094.33194906521</v>
      </c>
      <c r="BS277" s="24">
        <f t="shared" ca="1" si="357"/>
        <v>0</v>
      </c>
      <c r="BT277" s="24">
        <f t="shared" ca="1" si="362"/>
        <v>0</v>
      </c>
      <c r="BU277" s="24">
        <f t="shared" ca="1" si="358"/>
        <v>0</v>
      </c>
      <c r="BV277" s="24">
        <f t="shared" ca="1" si="363"/>
        <v>0</v>
      </c>
      <c r="BW277" s="24">
        <f t="shared" ca="1" si="359"/>
        <v>-13930.165265392341</v>
      </c>
      <c r="BX277" s="25">
        <f t="shared" ca="1" si="364"/>
        <v>-174339.17532812161</v>
      </c>
      <c r="BY277" s="23">
        <f t="shared" ca="1" si="331"/>
        <v>374079.24444026017</v>
      </c>
      <c r="BZ277" s="24">
        <f t="shared" ca="1" si="332"/>
        <v>0</v>
      </c>
      <c r="CA277" s="24">
        <f t="shared" ca="1" si="365"/>
        <v>0</v>
      </c>
      <c r="CB277" s="24">
        <f t="shared" ca="1" si="333"/>
        <v>0</v>
      </c>
      <c r="CC277" s="24">
        <f t="shared" ca="1" si="366"/>
        <v>0</v>
      </c>
      <c r="CD277" s="24">
        <f t="shared" ca="1" si="334"/>
        <v>-5782.6323247898945</v>
      </c>
      <c r="CE277" s="25">
        <f t="shared" ca="1" si="367"/>
        <v>-73723.098606358064</v>
      </c>
      <c r="CF277" s="23">
        <f t="shared" ca="1" si="368"/>
        <v>636208.99365790433</v>
      </c>
      <c r="CG277" s="25">
        <f t="array" aca="1" ref="CG277" ca="1">SUM(BF266:BF277/(1+inflation/100)^(AP266:AP277/12))</f>
        <v>267980.53702225367</v>
      </c>
      <c r="CH277" s="32">
        <f ca="1">IFERROR(IF(MOD(AP277-ap_months_since_start,12)=0,ap_drawdown/100*(AQ277+AV277+BA277-BC277),CH276),0)</f>
        <v>146810.36679742433</v>
      </c>
    </row>
    <row r="278" spans="40:86" x14ac:dyDescent="0.25">
      <c r="AN278" s="32">
        <f t="shared" ca="1" si="329"/>
        <v>77.416666666666671</v>
      </c>
      <c r="AO278" s="53">
        <f t="shared" ca="1" si="360"/>
        <v>53844</v>
      </c>
      <c r="AP278" s="22">
        <v>271</v>
      </c>
      <c r="AQ278" s="32">
        <f t="shared" ca="1" si="361"/>
        <v>904094.33194906521</v>
      </c>
      <c r="AR278" s="23">
        <f t="array" aca="1" ref="AR278" ca="1">SUM(IF(lsc_start_date=AO278,lsc_amount,0))</f>
        <v>0</v>
      </c>
      <c r="AS278" s="24">
        <f t="shared" ca="1" si="335"/>
        <v>0</v>
      </c>
      <c r="AT278" s="24">
        <f t="shared" ca="1" si="336"/>
        <v>0</v>
      </c>
      <c r="AU278" s="24">
        <f t="shared" ca="1" si="337"/>
        <v>0</v>
      </c>
      <c r="AV278" s="25">
        <f t="shared" ca="1" si="338"/>
        <v>0</v>
      </c>
      <c r="AW278" s="23">
        <f t="array" aca="1" ref="AW278" ca="1">SUM(IF(rcs_start_date&lt;=AO278,1,0)*IF(rcs_end_date&gt;=AO278,1,0)*rcs_amount*(1+rcs_escalation/100)^(INT((AP278-rcs_months_since_start)/12))*IF(MOD((AP278-rcs_months_since_start),rcs_frequency)=0,1,0)*IF(rcs_frequency=13,0,1))+SUM(IF(rcs_start_date=AO278,rcs_amount,0)*IF(rcs_frequency=13,1,0))</f>
        <v>0</v>
      </c>
      <c r="AX278" s="24">
        <f t="shared" ca="1" si="339"/>
        <v>0</v>
      </c>
      <c r="AY278" s="24">
        <f t="shared" ca="1" si="340"/>
        <v>0</v>
      </c>
      <c r="AZ278" s="24">
        <f t="shared" ca="1" si="341"/>
        <v>0</v>
      </c>
      <c r="BA278" s="25">
        <f t="shared" ca="1" si="342"/>
        <v>0</v>
      </c>
      <c r="BB278" s="23">
        <f t="array" aca="1" ref="BB278" ca="1">SUM(IF(w_start_date&lt;=AO278,1,0)*IF(w_end_date&gt;=AO278,1,0)*w_amount*(1+w_escalation/100)^(INT((AP278-w_months_since_start)/12))*IF(MOD(AP278-w_months_since_start,w_frequency)=0,1,0)*IF(w_frequency=13,0,1))+SUM(IF(w_start_date=AO278,w_amount,0)*IF(w_frequency=13,1,0))</f>
        <v>0</v>
      </c>
      <c r="BC278" s="25">
        <f t="shared" ca="1" si="343"/>
        <v>0</v>
      </c>
      <c r="BD278" s="24" t="b">
        <f t="shared" ca="1" si="344"/>
        <v>1</v>
      </c>
      <c r="BE278" s="24" t="b">
        <f t="shared" ca="1" si="345"/>
        <v>1</v>
      </c>
      <c r="BF278" s="23">
        <f t="array" aca="1" ref="BF278" ca="1">SUM(IF(BD278,1,0)*IF(ap_start_date&lt;=AO278,1,0)*IF(ap_end_date&gt;=AO278,1,0)*ap_amount*(1+ap_escalation/100)^(INT((AP278-ap_months_since_start)/12))*IF(MOD(AP278-ap_months_since_start,ap_frequency)=0,1,0))</f>
        <v>53880.891971027741</v>
      </c>
      <c r="BG278" s="24">
        <f t="shared" ca="1" si="346"/>
        <v>646570.70365233265</v>
      </c>
      <c r="BH278" s="24">
        <f t="shared" ca="1" si="347"/>
        <v>23880.28331210115</v>
      </c>
      <c r="BI278">
        <f t="shared" ca="1" si="348"/>
        <v>0</v>
      </c>
      <c r="BJ278" s="24">
        <f t="shared" ca="1" si="349"/>
        <v>167161.98318470805</v>
      </c>
      <c r="BK278">
        <f t="shared" ca="1" si="350"/>
        <v>1</v>
      </c>
      <c r="BL278" s="25">
        <f t="shared" ca="1" si="351"/>
        <v>13930.165265392341</v>
      </c>
      <c r="BM278" s="32">
        <f t="shared" ca="1" si="330"/>
        <v>896579.86763740145</v>
      </c>
      <c r="BN278" s="23">
        <f t="shared" ca="1" si="352"/>
        <v>0</v>
      </c>
      <c r="BO278" s="24">
        <f t="shared" ca="1" si="353"/>
        <v>0</v>
      </c>
      <c r="BP278" s="25">
        <f t="shared" ca="1" si="354"/>
        <v>0</v>
      </c>
      <c r="BQ278" s="34">
        <f t="shared" ca="1" si="355"/>
        <v>53873</v>
      </c>
      <c r="BR278" s="23">
        <f t="shared" ca="1" si="356"/>
        <v>896579.86763740145</v>
      </c>
      <c r="BS278" s="24">
        <f t="shared" ca="1" si="357"/>
        <v>0</v>
      </c>
      <c r="BT278" s="24">
        <f t="shared" ca="1" si="362"/>
        <v>0</v>
      </c>
      <c r="BU278" s="24">
        <f t="shared" ca="1" si="358"/>
        <v>0</v>
      </c>
      <c r="BV278" s="24">
        <f t="shared" ca="1" si="363"/>
        <v>0</v>
      </c>
      <c r="BW278" s="24">
        <f t="shared" ca="1" si="359"/>
        <v>-13930.165265392341</v>
      </c>
      <c r="BX278" s="25">
        <f t="shared" ca="1" si="364"/>
        <v>-172903.7368994389</v>
      </c>
      <c r="BY278" s="23">
        <f t="shared" ca="1" si="331"/>
        <v>369759.55337201769</v>
      </c>
      <c r="BZ278" s="24">
        <f t="shared" ca="1" si="332"/>
        <v>0</v>
      </c>
      <c r="CA278" s="24">
        <f t="shared" ca="1" si="365"/>
        <v>0</v>
      </c>
      <c r="CB278" s="24">
        <f t="shared" ca="1" si="333"/>
        <v>0</v>
      </c>
      <c r="CC278" s="24">
        <f t="shared" ca="1" si="366"/>
        <v>0</v>
      </c>
      <c r="CD278" s="24">
        <f t="shared" ca="1" si="334"/>
        <v>-5763.763263698349</v>
      </c>
      <c r="CE278" s="25">
        <f t="shared" ca="1" si="367"/>
        <v>-72874.862053432444</v>
      </c>
      <c r="CF278" s="23">
        <f t="shared" ca="1" si="368"/>
        <v>638281.33565679006</v>
      </c>
      <c r="CG278" s="25">
        <f t="array" aca="1" ref="CG278" ca="1">SUM(BF267:BF278/(1+inflation/100)^(AP267:AP278/12))</f>
        <v>267980.53702225367</v>
      </c>
      <c r="CH278" s="32">
        <f ca="1">IFERROR(IF(MOD(AP278-ap_months_since_start,12)=0,ap_drawdown/100*(AQ278+AV278+BA278-BC278),CH277),0)</f>
        <v>146810.36679742433</v>
      </c>
    </row>
    <row r="279" spans="40:86" x14ac:dyDescent="0.25">
      <c r="AN279" s="32">
        <f t="shared" ca="1" si="329"/>
        <v>77.5</v>
      </c>
      <c r="AO279" s="53">
        <f t="shared" ca="1" si="360"/>
        <v>53874</v>
      </c>
      <c r="AP279" s="22">
        <v>272</v>
      </c>
      <c r="AQ279" s="32">
        <f t="shared" ca="1" si="361"/>
        <v>896579.86763740145</v>
      </c>
      <c r="AR279" s="23">
        <f t="array" aca="1" ref="AR279" ca="1">SUM(IF(lsc_start_date=AO279,lsc_amount,0))</f>
        <v>0</v>
      </c>
      <c r="AS279" s="24">
        <f t="shared" ca="1" si="335"/>
        <v>0</v>
      </c>
      <c r="AT279" s="24">
        <f t="shared" ca="1" si="336"/>
        <v>0</v>
      </c>
      <c r="AU279" s="24">
        <f t="shared" ca="1" si="337"/>
        <v>0</v>
      </c>
      <c r="AV279" s="25">
        <f t="shared" ca="1" si="338"/>
        <v>0</v>
      </c>
      <c r="AW279" s="23">
        <f t="array" aca="1" ref="AW279" ca="1">SUM(IF(rcs_start_date&lt;=AO279,1,0)*IF(rcs_end_date&gt;=AO279,1,0)*rcs_amount*(1+rcs_escalation/100)^(INT((AP279-rcs_months_since_start)/12))*IF(MOD((AP279-rcs_months_since_start),rcs_frequency)=0,1,0)*IF(rcs_frequency=13,0,1))+SUM(IF(rcs_start_date=AO279,rcs_amount,0)*IF(rcs_frequency=13,1,0))</f>
        <v>0</v>
      </c>
      <c r="AX279" s="24">
        <f t="shared" ca="1" si="339"/>
        <v>0</v>
      </c>
      <c r="AY279" s="24">
        <f t="shared" ca="1" si="340"/>
        <v>0</v>
      </c>
      <c r="AZ279" s="24">
        <f t="shared" ca="1" si="341"/>
        <v>0</v>
      </c>
      <c r="BA279" s="25">
        <f t="shared" ca="1" si="342"/>
        <v>0</v>
      </c>
      <c r="BB279" s="23">
        <f t="array" aca="1" ref="BB279" ca="1">SUM(IF(w_start_date&lt;=AO279,1,0)*IF(w_end_date&gt;=AO279,1,0)*w_amount*(1+w_escalation/100)^(INT((AP279-w_months_since_start)/12))*IF(MOD(AP279-w_months_since_start,w_frequency)=0,1,0)*IF(w_frequency=13,0,1))+SUM(IF(w_start_date=AO279,w_amount,0)*IF(w_frequency=13,1,0))</f>
        <v>0</v>
      </c>
      <c r="BC279" s="25">
        <f t="shared" ca="1" si="343"/>
        <v>0</v>
      </c>
      <c r="BD279" s="24" t="b">
        <f t="shared" ca="1" si="344"/>
        <v>1</v>
      </c>
      <c r="BE279" s="24" t="b">
        <f t="shared" ca="1" si="345"/>
        <v>1</v>
      </c>
      <c r="BF279" s="23">
        <f t="array" aca="1" ref="BF279" ca="1">SUM(IF(BD279,1,0)*IF(ap_start_date&lt;=AO279,1,0)*IF(ap_end_date&gt;=AO279,1,0)*ap_amount*(1+ap_escalation/100)^(INT((AP279-ap_months_since_start)/12))*IF(MOD(AP279-ap_months_since_start,ap_frequency)=0,1,0))</f>
        <v>53880.891971027741</v>
      </c>
      <c r="BG279" s="24">
        <f t="shared" ca="1" si="346"/>
        <v>646570.70365233265</v>
      </c>
      <c r="BH279" s="24">
        <f t="shared" ca="1" si="347"/>
        <v>23880.28331210115</v>
      </c>
      <c r="BI279">
        <f t="shared" ca="1" si="348"/>
        <v>0</v>
      </c>
      <c r="BJ279" s="24">
        <f t="shared" ca="1" si="349"/>
        <v>167161.98318470805</v>
      </c>
      <c r="BK279">
        <f t="shared" ca="1" si="350"/>
        <v>1</v>
      </c>
      <c r="BL279" s="25">
        <f t="shared" ca="1" si="351"/>
        <v>13930.165265392341</v>
      </c>
      <c r="BM279" s="32">
        <f t="shared" ca="1" si="330"/>
        <v>889011.24415189598</v>
      </c>
      <c r="BN279" s="23">
        <f t="shared" ca="1" si="352"/>
        <v>0</v>
      </c>
      <c r="BO279" s="24">
        <f t="shared" ca="1" si="353"/>
        <v>0</v>
      </c>
      <c r="BP279" s="25">
        <f t="shared" ca="1" si="354"/>
        <v>0</v>
      </c>
      <c r="BQ279" s="34">
        <f t="shared" ca="1" si="355"/>
        <v>53904</v>
      </c>
      <c r="BR279" s="23">
        <f t="shared" ca="1" si="356"/>
        <v>889011.24415189598</v>
      </c>
      <c r="BS279" s="24">
        <f t="shared" ca="1" si="357"/>
        <v>0</v>
      </c>
      <c r="BT279" s="24">
        <f t="shared" ca="1" si="362"/>
        <v>0</v>
      </c>
      <c r="BU279" s="24">
        <f t="shared" ca="1" si="358"/>
        <v>0</v>
      </c>
      <c r="BV279" s="24">
        <f t="shared" ca="1" si="363"/>
        <v>0</v>
      </c>
      <c r="BW279" s="24">
        <f t="shared" ca="1" si="359"/>
        <v>-13930.165265392341</v>
      </c>
      <c r="BX279" s="25">
        <f t="shared" ca="1" si="364"/>
        <v>-171468.29847075618</v>
      </c>
      <c r="BY279" s="23">
        <f t="shared" ca="1" si="331"/>
        <v>365441.80711324286</v>
      </c>
      <c r="BZ279" s="24">
        <f t="shared" ca="1" si="332"/>
        <v>0</v>
      </c>
      <c r="CA279" s="24">
        <f t="shared" ca="1" si="365"/>
        <v>0</v>
      </c>
      <c r="CB279" s="24">
        <f t="shared" ca="1" si="333"/>
        <v>0</v>
      </c>
      <c r="CC279" s="24">
        <f t="shared" ca="1" si="366"/>
        <v>0</v>
      </c>
      <c r="CD279" s="24">
        <f t="shared" ca="1" si="334"/>
        <v>-5744.9557734358796</v>
      </c>
      <c r="CE279" s="25">
        <f t="shared" ca="1" si="367"/>
        <v>-72029.393345052056</v>
      </c>
      <c r="CF279" s="23">
        <f t="shared" ca="1" si="368"/>
        <v>640353.67765567568</v>
      </c>
      <c r="CG279" s="25">
        <f t="array" aca="1" ref="CG279" ca="1">SUM(BF268:BF279/(1+inflation/100)^(AP268:AP279/12))</f>
        <v>267980.53702225367</v>
      </c>
      <c r="CH279" s="32">
        <f ca="1">IFERROR(IF(MOD(AP279-ap_months_since_start,12)=0,ap_drawdown/100*(AQ279+AV279+BA279-BC279),CH278),0)</f>
        <v>146810.36679742433</v>
      </c>
    </row>
    <row r="280" spans="40:86" x14ac:dyDescent="0.25">
      <c r="AN280" s="32">
        <f t="shared" ca="1" si="329"/>
        <v>77.583333333333329</v>
      </c>
      <c r="AO280" s="53">
        <f t="shared" ca="1" si="360"/>
        <v>53905</v>
      </c>
      <c r="AP280" s="22">
        <v>273</v>
      </c>
      <c r="AQ280" s="32">
        <f t="shared" ca="1" si="361"/>
        <v>889011.24415189598</v>
      </c>
      <c r="AR280" s="23">
        <f t="array" aca="1" ref="AR280" ca="1">SUM(IF(lsc_start_date=AO280,lsc_amount,0))</f>
        <v>0</v>
      </c>
      <c r="AS280" s="24">
        <f t="shared" ca="1" si="335"/>
        <v>0</v>
      </c>
      <c r="AT280" s="24">
        <f t="shared" ca="1" si="336"/>
        <v>0</v>
      </c>
      <c r="AU280" s="24">
        <f t="shared" ca="1" si="337"/>
        <v>0</v>
      </c>
      <c r="AV280" s="25">
        <f t="shared" ca="1" si="338"/>
        <v>0</v>
      </c>
      <c r="AW280" s="23">
        <f t="array" aca="1" ref="AW280" ca="1">SUM(IF(rcs_start_date&lt;=AO280,1,0)*IF(rcs_end_date&gt;=AO280,1,0)*rcs_amount*(1+rcs_escalation/100)^(INT((AP280-rcs_months_since_start)/12))*IF(MOD((AP280-rcs_months_since_start),rcs_frequency)=0,1,0)*IF(rcs_frequency=13,0,1))+SUM(IF(rcs_start_date=AO280,rcs_amount,0)*IF(rcs_frequency=13,1,0))</f>
        <v>0</v>
      </c>
      <c r="AX280" s="24">
        <f t="shared" ca="1" si="339"/>
        <v>0</v>
      </c>
      <c r="AY280" s="24">
        <f t="shared" ca="1" si="340"/>
        <v>0</v>
      </c>
      <c r="AZ280" s="24">
        <f t="shared" ca="1" si="341"/>
        <v>0</v>
      </c>
      <c r="BA280" s="25">
        <f t="shared" ca="1" si="342"/>
        <v>0</v>
      </c>
      <c r="BB280" s="23">
        <f t="array" aca="1" ref="BB280" ca="1">SUM(IF(w_start_date&lt;=AO280,1,0)*IF(w_end_date&gt;=AO280,1,0)*w_amount*(1+w_escalation/100)^(INT((AP280-w_months_since_start)/12))*IF(MOD(AP280-w_months_since_start,w_frequency)=0,1,0)*IF(w_frequency=13,0,1))+SUM(IF(w_start_date=AO280,w_amount,0)*IF(w_frequency=13,1,0))</f>
        <v>0</v>
      </c>
      <c r="BC280" s="25">
        <f t="shared" ca="1" si="343"/>
        <v>0</v>
      </c>
      <c r="BD280" s="24" t="b">
        <f t="shared" ca="1" si="344"/>
        <v>1</v>
      </c>
      <c r="BE280" s="24" t="b">
        <f t="shared" ca="1" si="345"/>
        <v>1</v>
      </c>
      <c r="BF280" s="23">
        <f t="array" aca="1" ref="BF280" ca="1">SUM(IF(BD280,1,0)*IF(ap_start_date&lt;=AO280,1,0)*IF(ap_end_date&gt;=AO280,1,0)*ap_amount*(1+ap_escalation/100)^(INT((AP280-ap_months_since_start)/12))*IF(MOD(AP280-ap_months_since_start,ap_frequency)=0,1,0))</f>
        <v>53880.891971027741</v>
      </c>
      <c r="BG280" s="24">
        <f t="shared" ca="1" si="346"/>
        <v>646570.70365233265</v>
      </c>
      <c r="BH280" s="24">
        <f t="shared" ca="1" si="347"/>
        <v>23880.28331210115</v>
      </c>
      <c r="BI280">
        <f t="shared" ca="1" si="348"/>
        <v>0</v>
      </c>
      <c r="BJ280" s="24">
        <f t="shared" ca="1" si="349"/>
        <v>167161.98318470805</v>
      </c>
      <c r="BK280">
        <f t="shared" ca="1" si="350"/>
        <v>1</v>
      </c>
      <c r="BL280" s="25">
        <f t="shared" ca="1" si="351"/>
        <v>13930.165265392341</v>
      </c>
      <c r="BM280" s="32">
        <f t="shared" ca="1" si="330"/>
        <v>881388.07114987238</v>
      </c>
      <c r="BN280" s="23">
        <f t="shared" ca="1" si="352"/>
        <v>0</v>
      </c>
      <c r="BO280" s="24">
        <f t="shared" ca="1" si="353"/>
        <v>0</v>
      </c>
      <c r="BP280" s="25">
        <f t="shared" ca="1" si="354"/>
        <v>0</v>
      </c>
      <c r="BQ280" s="34">
        <f t="shared" ca="1" si="355"/>
        <v>53935</v>
      </c>
      <c r="BR280" s="23">
        <f t="shared" ca="1" si="356"/>
        <v>881388.07114987238</v>
      </c>
      <c r="BS280" s="24">
        <f t="shared" ca="1" si="357"/>
        <v>0</v>
      </c>
      <c r="BT280" s="24">
        <f t="shared" ca="1" si="362"/>
        <v>0</v>
      </c>
      <c r="BU280" s="24">
        <f t="shared" ca="1" si="358"/>
        <v>0</v>
      </c>
      <c r="BV280" s="24">
        <f t="shared" ca="1" si="363"/>
        <v>0</v>
      </c>
      <c r="BW280" s="24">
        <f t="shared" ca="1" si="359"/>
        <v>-13930.165265392341</v>
      </c>
      <c r="BX280" s="25">
        <f t="shared" ca="1" si="364"/>
        <v>-170032.86004207347</v>
      </c>
      <c r="BY280" s="23">
        <f t="shared" ca="1" si="331"/>
        <v>361125.95167850779</v>
      </c>
      <c r="BZ280" s="24">
        <f t="shared" ca="1" si="332"/>
        <v>0</v>
      </c>
      <c r="CA280" s="24">
        <f t="shared" ca="1" si="365"/>
        <v>0</v>
      </c>
      <c r="CB280" s="24">
        <f t="shared" ca="1" si="333"/>
        <v>0</v>
      </c>
      <c r="CC280" s="24">
        <f t="shared" ca="1" si="366"/>
        <v>0</v>
      </c>
      <c r="CD280" s="24">
        <f t="shared" ca="1" si="334"/>
        <v>-5726.2096530933359</v>
      </c>
      <c r="CE280" s="25">
        <f t="shared" ca="1" si="367"/>
        <v>-71186.683449581324</v>
      </c>
      <c r="CF280" s="23">
        <f t="shared" ca="1" si="368"/>
        <v>642426.0196545613</v>
      </c>
      <c r="CG280" s="25">
        <f t="array" aca="1" ref="CG280" ca="1">SUM(BF269:BF280/(1+inflation/100)^(AP269:AP280/12))</f>
        <v>267980.53702225367</v>
      </c>
      <c r="CH280" s="32">
        <f ca="1">IFERROR(IF(MOD(AP280-ap_months_since_start,12)=0,ap_drawdown/100*(AQ280+AV280+BA280-BC280),CH279),0)</f>
        <v>146810.36679742433</v>
      </c>
    </row>
    <row r="281" spans="40:86" x14ac:dyDescent="0.25">
      <c r="AN281" s="32">
        <f t="shared" ca="1" si="329"/>
        <v>77.666666666666671</v>
      </c>
      <c r="AO281" s="53">
        <f t="shared" ca="1" si="360"/>
        <v>53936</v>
      </c>
      <c r="AP281" s="22">
        <v>274</v>
      </c>
      <c r="AQ281" s="32">
        <f t="shared" ca="1" si="361"/>
        <v>881388.07114987238</v>
      </c>
      <c r="AR281" s="23">
        <f t="array" aca="1" ref="AR281" ca="1">SUM(IF(lsc_start_date=AO281,lsc_amount,0))</f>
        <v>0</v>
      </c>
      <c r="AS281" s="24">
        <f t="shared" ca="1" si="335"/>
        <v>0</v>
      </c>
      <c r="AT281" s="24">
        <f t="shared" ca="1" si="336"/>
        <v>0</v>
      </c>
      <c r="AU281" s="24">
        <f t="shared" ca="1" si="337"/>
        <v>0</v>
      </c>
      <c r="AV281" s="25">
        <f t="shared" ca="1" si="338"/>
        <v>0</v>
      </c>
      <c r="AW281" s="23">
        <f t="array" aca="1" ref="AW281" ca="1">SUM(IF(rcs_start_date&lt;=AO281,1,0)*IF(rcs_end_date&gt;=AO281,1,0)*rcs_amount*(1+rcs_escalation/100)^(INT((AP281-rcs_months_since_start)/12))*IF(MOD((AP281-rcs_months_since_start),rcs_frequency)=0,1,0)*IF(rcs_frequency=13,0,1))+SUM(IF(rcs_start_date=AO281,rcs_amount,0)*IF(rcs_frequency=13,1,0))</f>
        <v>0</v>
      </c>
      <c r="AX281" s="24">
        <f t="shared" ca="1" si="339"/>
        <v>0</v>
      </c>
      <c r="AY281" s="24">
        <f t="shared" ca="1" si="340"/>
        <v>0</v>
      </c>
      <c r="AZ281" s="24">
        <f t="shared" ca="1" si="341"/>
        <v>0</v>
      </c>
      <c r="BA281" s="25">
        <f t="shared" ca="1" si="342"/>
        <v>0</v>
      </c>
      <c r="BB281" s="23">
        <f t="array" aca="1" ref="BB281" ca="1">SUM(IF(w_start_date&lt;=AO281,1,0)*IF(w_end_date&gt;=AO281,1,0)*w_amount*(1+w_escalation/100)^(INT((AP281-w_months_since_start)/12))*IF(MOD(AP281-w_months_since_start,w_frequency)=0,1,0)*IF(w_frequency=13,0,1))+SUM(IF(w_start_date=AO281,w_amount,0)*IF(w_frequency=13,1,0))</f>
        <v>0</v>
      </c>
      <c r="BC281" s="25">
        <f t="shared" ca="1" si="343"/>
        <v>0</v>
      </c>
      <c r="BD281" s="24" t="b">
        <f t="shared" ca="1" si="344"/>
        <v>1</v>
      </c>
      <c r="BE281" s="24" t="b">
        <f t="shared" ca="1" si="345"/>
        <v>1</v>
      </c>
      <c r="BF281" s="23">
        <f t="array" aca="1" ref="BF281" ca="1">SUM(IF(BD281,1,0)*IF(ap_start_date&lt;=AO281,1,0)*IF(ap_end_date&gt;=AO281,1,0)*ap_amount*(1+ap_escalation/100)^(INT((AP281-ap_months_since_start)/12))*IF(MOD(AP281-ap_months_since_start,ap_frequency)=0,1,0))</f>
        <v>53880.891971027741</v>
      </c>
      <c r="BG281" s="24">
        <f t="shared" ca="1" si="346"/>
        <v>646570.70365233265</v>
      </c>
      <c r="BH281" s="24">
        <f t="shared" ca="1" si="347"/>
        <v>23880.28331210115</v>
      </c>
      <c r="BI281">
        <f t="shared" ca="1" si="348"/>
        <v>0</v>
      </c>
      <c r="BJ281" s="24">
        <f t="shared" ca="1" si="349"/>
        <v>167161.98318470805</v>
      </c>
      <c r="BK281">
        <f t="shared" ca="1" si="350"/>
        <v>1</v>
      </c>
      <c r="BL281" s="25">
        <f t="shared" ca="1" si="351"/>
        <v>13930.165265392341</v>
      </c>
      <c r="BM281" s="32">
        <f t="shared" ca="1" si="330"/>
        <v>873709.95547532837</v>
      </c>
      <c r="BN281" s="23">
        <f t="shared" ca="1" si="352"/>
        <v>0</v>
      </c>
      <c r="BO281" s="24">
        <f t="shared" ca="1" si="353"/>
        <v>0</v>
      </c>
      <c r="BP281" s="25">
        <f t="shared" ca="1" si="354"/>
        <v>0</v>
      </c>
      <c r="BQ281" s="34">
        <f t="shared" ca="1" si="355"/>
        <v>53965</v>
      </c>
      <c r="BR281" s="23">
        <f t="shared" ca="1" si="356"/>
        <v>873709.95547532837</v>
      </c>
      <c r="BS281" s="24">
        <f t="shared" ca="1" si="357"/>
        <v>0</v>
      </c>
      <c r="BT281" s="24">
        <f t="shared" ca="1" si="362"/>
        <v>0</v>
      </c>
      <c r="BU281" s="24">
        <f t="shared" ca="1" si="358"/>
        <v>0</v>
      </c>
      <c r="BV281" s="24">
        <f t="shared" ca="1" si="363"/>
        <v>0</v>
      </c>
      <c r="BW281" s="24">
        <f t="shared" ca="1" si="359"/>
        <v>-13930.165265392341</v>
      </c>
      <c r="BX281" s="25">
        <f t="shared" ca="1" si="364"/>
        <v>-168597.42161339076</v>
      </c>
      <c r="BY281" s="23">
        <f t="shared" ca="1" si="331"/>
        <v>356811.9330717597</v>
      </c>
      <c r="BZ281" s="24">
        <f t="shared" ca="1" si="332"/>
        <v>0</v>
      </c>
      <c r="CA281" s="24">
        <f t="shared" ca="1" si="365"/>
        <v>0</v>
      </c>
      <c r="CB281" s="24">
        <f t="shared" ca="1" si="333"/>
        <v>0</v>
      </c>
      <c r="CC281" s="24">
        <f t="shared" ca="1" si="366"/>
        <v>0</v>
      </c>
      <c r="CD281" s="24">
        <f t="shared" ca="1" si="334"/>
        <v>-5707.5247024171513</v>
      </c>
      <c r="CE281" s="25">
        <f t="shared" ca="1" si="367"/>
        <v>-70346.72336485541</v>
      </c>
      <c r="CF281" s="23">
        <f t="shared" ca="1" si="368"/>
        <v>644498.36165344703</v>
      </c>
      <c r="CG281" s="25">
        <f t="array" aca="1" ref="CG281" ca="1">SUM(BF270:BF281/(1+inflation/100)^(AP270:AP281/12))</f>
        <v>267980.53702225373</v>
      </c>
      <c r="CH281" s="32">
        <f ca="1">IFERROR(IF(MOD(AP281-ap_months_since_start,12)=0,ap_drawdown/100*(AQ281+AV281+BA281-BC281),CH280),0)</f>
        <v>146810.36679742433</v>
      </c>
    </row>
    <row r="282" spans="40:86" x14ac:dyDescent="0.25">
      <c r="AN282" s="32">
        <f t="shared" ca="1" si="329"/>
        <v>77.75</v>
      </c>
      <c r="AO282" s="53">
        <f t="shared" ca="1" si="360"/>
        <v>53966</v>
      </c>
      <c r="AP282" s="22">
        <v>275</v>
      </c>
      <c r="AQ282" s="32">
        <f t="shared" ca="1" si="361"/>
        <v>873709.95547532837</v>
      </c>
      <c r="AR282" s="23">
        <f t="array" aca="1" ref="AR282" ca="1">SUM(IF(lsc_start_date=AO282,lsc_amount,0))</f>
        <v>0</v>
      </c>
      <c r="AS282" s="24">
        <f t="shared" ca="1" si="335"/>
        <v>0</v>
      </c>
      <c r="AT282" s="24">
        <f t="shared" ca="1" si="336"/>
        <v>0</v>
      </c>
      <c r="AU282" s="24">
        <f t="shared" ca="1" si="337"/>
        <v>0</v>
      </c>
      <c r="AV282" s="25">
        <f t="shared" ca="1" si="338"/>
        <v>0</v>
      </c>
      <c r="AW282" s="23">
        <f t="array" aca="1" ref="AW282" ca="1">SUM(IF(rcs_start_date&lt;=AO282,1,0)*IF(rcs_end_date&gt;=AO282,1,0)*rcs_amount*(1+rcs_escalation/100)^(INT((AP282-rcs_months_since_start)/12))*IF(MOD((AP282-rcs_months_since_start),rcs_frequency)=0,1,0)*IF(rcs_frequency=13,0,1))+SUM(IF(rcs_start_date=AO282,rcs_amount,0)*IF(rcs_frequency=13,1,0))</f>
        <v>0</v>
      </c>
      <c r="AX282" s="24">
        <f t="shared" ca="1" si="339"/>
        <v>0</v>
      </c>
      <c r="AY282" s="24">
        <f t="shared" ca="1" si="340"/>
        <v>0</v>
      </c>
      <c r="AZ282" s="24">
        <f t="shared" ca="1" si="341"/>
        <v>0</v>
      </c>
      <c r="BA282" s="25">
        <f t="shared" ca="1" si="342"/>
        <v>0</v>
      </c>
      <c r="BB282" s="23">
        <f t="array" aca="1" ref="BB282" ca="1">SUM(IF(w_start_date&lt;=AO282,1,0)*IF(w_end_date&gt;=AO282,1,0)*w_amount*(1+w_escalation/100)^(INT((AP282-w_months_since_start)/12))*IF(MOD(AP282-w_months_since_start,w_frequency)=0,1,0)*IF(w_frequency=13,0,1))+SUM(IF(w_start_date=AO282,w_amount,0)*IF(w_frequency=13,1,0))</f>
        <v>0</v>
      </c>
      <c r="BC282" s="25">
        <f t="shared" ca="1" si="343"/>
        <v>0</v>
      </c>
      <c r="BD282" s="24" t="b">
        <f t="shared" ca="1" si="344"/>
        <v>1</v>
      </c>
      <c r="BE282" s="24" t="b">
        <f t="shared" ca="1" si="345"/>
        <v>1</v>
      </c>
      <c r="BF282" s="23">
        <f t="array" aca="1" ref="BF282" ca="1">SUM(IF(BD282,1,0)*IF(ap_start_date&lt;=AO282,1,0)*IF(ap_end_date&gt;=AO282,1,0)*ap_amount*(1+ap_escalation/100)^(INT((AP282-ap_months_since_start)/12))*IF(MOD(AP282-ap_months_since_start,ap_frequency)=0,1,0))</f>
        <v>53880.891971027741</v>
      </c>
      <c r="BG282" s="24">
        <f t="shared" ca="1" si="346"/>
        <v>646570.70365233265</v>
      </c>
      <c r="BH282" s="24">
        <f t="shared" ca="1" si="347"/>
        <v>23880.28331210115</v>
      </c>
      <c r="BI282">
        <f t="shared" ca="1" si="348"/>
        <v>0</v>
      </c>
      <c r="BJ282" s="24">
        <f t="shared" ca="1" si="349"/>
        <v>167161.98318470805</v>
      </c>
      <c r="BK282">
        <f t="shared" ca="1" si="350"/>
        <v>1</v>
      </c>
      <c r="BL282" s="25">
        <f t="shared" ca="1" si="351"/>
        <v>13930.165265392341</v>
      </c>
      <c r="BM282" s="32">
        <f t="shared" ca="1" si="330"/>
        <v>865976.50113865919</v>
      </c>
      <c r="BN282" s="23">
        <f t="shared" ca="1" si="352"/>
        <v>0</v>
      </c>
      <c r="BO282" s="24">
        <f t="shared" ca="1" si="353"/>
        <v>0</v>
      </c>
      <c r="BP282" s="25">
        <f t="shared" ca="1" si="354"/>
        <v>0</v>
      </c>
      <c r="BQ282" s="34">
        <f t="shared" ca="1" si="355"/>
        <v>53996</v>
      </c>
      <c r="BR282" s="23">
        <f t="shared" ca="1" si="356"/>
        <v>865976.50113865919</v>
      </c>
      <c r="BS282" s="24">
        <f t="shared" ca="1" si="357"/>
        <v>0</v>
      </c>
      <c r="BT282" s="24">
        <f t="shared" ca="1" si="362"/>
        <v>0</v>
      </c>
      <c r="BU282" s="24">
        <f t="shared" ca="1" si="358"/>
        <v>0</v>
      </c>
      <c r="BV282" s="24">
        <f t="shared" ca="1" si="363"/>
        <v>0</v>
      </c>
      <c r="BW282" s="24">
        <f t="shared" ca="1" si="359"/>
        <v>-13930.165265392341</v>
      </c>
      <c r="BX282" s="25">
        <f t="shared" ca="1" si="364"/>
        <v>-167161.98318470808</v>
      </c>
      <c r="BY282" s="23">
        <f t="shared" ca="1" si="331"/>
        <v>352499.69728562393</v>
      </c>
      <c r="BZ282" s="24">
        <f t="shared" ca="1" si="332"/>
        <v>0</v>
      </c>
      <c r="CA282" s="24">
        <f t="shared" ca="1" si="365"/>
        <v>0</v>
      </c>
      <c r="CB282" s="24">
        <f t="shared" ca="1" si="333"/>
        <v>0</v>
      </c>
      <c r="CC282" s="24">
        <f t="shared" ca="1" si="366"/>
        <v>0</v>
      </c>
      <c r="CD282" s="24">
        <f t="shared" ca="1" si="334"/>
        <v>-5688.9007218071902</v>
      </c>
      <c r="CE282" s="25">
        <f t="shared" ca="1" si="367"/>
        <v>-69509.504118084078</v>
      </c>
      <c r="CF282" s="23">
        <f t="shared" ca="1" si="368"/>
        <v>646570.70365233265</v>
      </c>
      <c r="CG282" s="25">
        <f t="array" aca="1" ref="CG282" ca="1">SUM(BF271:BF282/(1+inflation/100)^(AP271:AP282/12))</f>
        <v>267980.53702225367</v>
      </c>
      <c r="CH282" s="32">
        <f ca="1">IFERROR(IF(MOD(AP282-ap_months_since_start,12)=0,ap_drawdown/100*(AQ282+AV282+BA282-BC282),CH281),0)</f>
        <v>146810.36679742433</v>
      </c>
    </row>
    <row r="283" spans="40:86" x14ac:dyDescent="0.25">
      <c r="AN283" s="32">
        <f t="shared" ca="1" si="329"/>
        <v>77.833333333333329</v>
      </c>
      <c r="AO283" s="53">
        <f t="shared" ca="1" si="360"/>
        <v>53997</v>
      </c>
      <c r="AP283" s="22">
        <v>276</v>
      </c>
      <c r="AQ283" s="32">
        <f t="shared" ca="1" si="361"/>
        <v>865976.50113865919</v>
      </c>
      <c r="AR283" s="23">
        <f t="array" aca="1" ref="AR283" ca="1">SUM(IF(lsc_start_date=AO283,lsc_amount,0))</f>
        <v>0</v>
      </c>
      <c r="AS283" s="24">
        <f t="shared" ca="1" si="335"/>
        <v>0</v>
      </c>
      <c r="AT283" s="24">
        <f t="shared" ca="1" si="336"/>
        <v>0</v>
      </c>
      <c r="AU283" s="24">
        <f t="shared" ca="1" si="337"/>
        <v>0</v>
      </c>
      <c r="AV283" s="25">
        <f t="shared" ca="1" si="338"/>
        <v>0</v>
      </c>
      <c r="AW283" s="23">
        <f t="array" aca="1" ref="AW283" ca="1">SUM(IF(rcs_start_date&lt;=AO283,1,0)*IF(rcs_end_date&gt;=AO283,1,0)*rcs_amount*(1+rcs_escalation/100)^(INT((AP283-rcs_months_since_start)/12))*IF(MOD((AP283-rcs_months_since_start),rcs_frequency)=0,1,0)*IF(rcs_frequency=13,0,1))+SUM(IF(rcs_start_date=AO283,rcs_amount,0)*IF(rcs_frequency=13,1,0))</f>
        <v>0</v>
      </c>
      <c r="AX283" s="24">
        <f t="shared" ca="1" si="339"/>
        <v>0</v>
      </c>
      <c r="AY283" s="24">
        <f t="shared" ca="1" si="340"/>
        <v>0</v>
      </c>
      <c r="AZ283" s="24">
        <f t="shared" ca="1" si="341"/>
        <v>0</v>
      </c>
      <c r="BA283" s="25">
        <f t="shared" ca="1" si="342"/>
        <v>0</v>
      </c>
      <c r="BB283" s="23">
        <f t="array" aca="1" ref="BB283" ca="1">SUM(IF(w_start_date&lt;=AO283,1,0)*IF(w_end_date&gt;=AO283,1,0)*w_amount*(1+w_escalation/100)^(INT((AP283-w_months_since_start)/12))*IF(MOD(AP283-w_months_since_start,w_frequency)=0,1,0)*IF(w_frequency=13,0,1))+SUM(IF(w_start_date=AO283,w_amount,0)*IF(w_frequency=13,1,0))</f>
        <v>0</v>
      </c>
      <c r="BC283" s="25">
        <f t="shared" ca="1" si="343"/>
        <v>0</v>
      </c>
      <c r="BD283" s="24" t="b">
        <f t="shared" ca="1" si="344"/>
        <v>1</v>
      </c>
      <c r="BE283" s="24" t="b">
        <f t="shared" ca="1" si="345"/>
        <v>1</v>
      </c>
      <c r="BF283" s="23">
        <f t="array" aca="1" ref="BF283" ca="1">SUM(IF(BD283,1,0)*IF(ap_start_date&lt;=AO283,1,0)*IF(ap_end_date&gt;=AO283,1,0)*ap_amount*(1+ap_escalation/100)^(INT((AP283-ap_months_since_start)/12))*IF(MOD(AP283-ap_months_since_start,ap_frequency)=0,1,0))</f>
        <v>56036.12764986886</v>
      </c>
      <c r="BG283" s="24">
        <f t="shared" ca="1" si="346"/>
        <v>672433.53179842618</v>
      </c>
      <c r="BH283" s="24">
        <f t="shared" ca="1" si="347"/>
        <v>21649.412528466481</v>
      </c>
      <c r="BI283">
        <f t="shared" ca="1" si="348"/>
        <v>0</v>
      </c>
      <c r="BJ283" s="24">
        <f t="shared" ca="1" si="349"/>
        <v>151545.88769926535</v>
      </c>
      <c r="BK283">
        <f t="shared" ca="1" si="350"/>
        <v>1</v>
      </c>
      <c r="BL283" s="25">
        <f t="shared" ca="1" si="351"/>
        <v>12628.823974938783</v>
      </c>
      <c r="BM283" s="32">
        <f t="shared" ca="1" si="330"/>
        <v>859498.02977411356</v>
      </c>
      <c r="BN283" s="23">
        <f t="shared" ca="1" si="352"/>
        <v>0</v>
      </c>
      <c r="BO283" s="24">
        <f t="shared" ca="1" si="353"/>
        <v>0</v>
      </c>
      <c r="BP283" s="25">
        <f t="shared" ca="1" si="354"/>
        <v>0</v>
      </c>
      <c r="BQ283" s="34">
        <f t="shared" ca="1" si="355"/>
        <v>54026</v>
      </c>
      <c r="BR283" s="23">
        <f t="shared" ca="1" si="356"/>
        <v>859498.02977411356</v>
      </c>
      <c r="BS283" s="24">
        <f t="shared" ca="1" si="357"/>
        <v>0</v>
      </c>
      <c r="BT283" s="24">
        <f t="shared" ca="1" si="362"/>
        <v>0</v>
      </c>
      <c r="BU283" s="24">
        <f t="shared" ca="1" si="358"/>
        <v>0</v>
      </c>
      <c r="BV283" s="24">
        <f t="shared" ca="1" si="363"/>
        <v>0</v>
      </c>
      <c r="BW283" s="24">
        <f t="shared" ca="1" si="359"/>
        <v>-12628.823974938783</v>
      </c>
      <c r="BX283" s="25">
        <f t="shared" ca="1" si="364"/>
        <v>-165860.64189425451</v>
      </c>
      <c r="BY283" s="23">
        <f t="shared" ca="1" si="331"/>
        <v>348720.98411419941</v>
      </c>
      <c r="BZ283" s="24">
        <f t="shared" ca="1" si="332"/>
        <v>0</v>
      </c>
      <c r="CA283" s="24">
        <f t="shared" ca="1" si="365"/>
        <v>0</v>
      </c>
      <c r="CB283" s="24">
        <f t="shared" ca="1" si="333"/>
        <v>0</v>
      </c>
      <c r="CC283" s="24">
        <f t="shared" ca="1" si="366"/>
        <v>0</v>
      </c>
      <c r="CD283" s="24">
        <f t="shared" ca="1" si="334"/>
        <v>-5140.6205854153504</v>
      </c>
      <c r="CE283" s="25">
        <f t="shared" ca="1" si="367"/>
        <v>-68752.973690692219</v>
      </c>
      <c r="CF283" s="23">
        <f t="shared" ca="1" si="368"/>
        <v>648725.93933117378</v>
      </c>
      <c r="CG283" s="25">
        <f t="array" aca="1" ref="CG283" ca="1">SUM(BF272:BF283/(1+inflation/100)^(AP272:AP283/12))</f>
        <v>267980.53702225373</v>
      </c>
      <c r="CH283" s="32">
        <f ca="1">IFERROR(IF(MOD(AP283-ap_months_since_start,12)=0,ap_drawdown/100*(AQ283+AV283+BA283-BC283),CH282),0)</f>
        <v>133095.49776749546</v>
      </c>
    </row>
    <row r="284" spans="40:86" x14ac:dyDescent="0.25">
      <c r="AN284" s="32">
        <f t="shared" ca="1" si="329"/>
        <v>77.916666666666671</v>
      </c>
      <c r="AO284" s="53">
        <f t="shared" ca="1" si="360"/>
        <v>54027</v>
      </c>
      <c r="AP284" s="22">
        <v>277</v>
      </c>
      <c r="AQ284" s="32">
        <f t="shared" ca="1" si="361"/>
        <v>859498.02977411356</v>
      </c>
      <c r="AR284" s="23">
        <f t="array" aca="1" ref="AR284" ca="1">SUM(IF(lsc_start_date=AO284,lsc_amount,0))</f>
        <v>0</v>
      </c>
      <c r="AS284" s="24">
        <f t="shared" ca="1" si="335"/>
        <v>0</v>
      </c>
      <c r="AT284" s="24">
        <f t="shared" ca="1" si="336"/>
        <v>0</v>
      </c>
      <c r="AU284" s="24">
        <f t="shared" ca="1" si="337"/>
        <v>0</v>
      </c>
      <c r="AV284" s="25">
        <f t="shared" ca="1" si="338"/>
        <v>0</v>
      </c>
      <c r="AW284" s="23">
        <f t="array" aca="1" ref="AW284" ca="1">SUM(IF(rcs_start_date&lt;=AO284,1,0)*IF(rcs_end_date&gt;=AO284,1,0)*rcs_amount*(1+rcs_escalation/100)^(INT((AP284-rcs_months_since_start)/12))*IF(MOD((AP284-rcs_months_since_start),rcs_frequency)=0,1,0)*IF(rcs_frequency=13,0,1))+SUM(IF(rcs_start_date=AO284,rcs_amount,0)*IF(rcs_frequency=13,1,0))</f>
        <v>0</v>
      </c>
      <c r="AX284" s="24">
        <f t="shared" ca="1" si="339"/>
        <v>0</v>
      </c>
      <c r="AY284" s="24">
        <f t="shared" ca="1" si="340"/>
        <v>0</v>
      </c>
      <c r="AZ284" s="24">
        <f t="shared" ca="1" si="341"/>
        <v>0</v>
      </c>
      <c r="BA284" s="25">
        <f t="shared" ca="1" si="342"/>
        <v>0</v>
      </c>
      <c r="BB284" s="23">
        <f t="array" aca="1" ref="BB284" ca="1">SUM(IF(w_start_date&lt;=AO284,1,0)*IF(w_end_date&gt;=AO284,1,0)*w_amount*(1+w_escalation/100)^(INT((AP284-w_months_since_start)/12))*IF(MOD(AP284-w_months_since_start,w_frequency)=0,1,0)*IF(w_frequency=13,0,1))+SUM(IF(w_start_date=AO284,w_amount,0)*IF(w_frequency=13,1,0))</f>
        <v>0</v>
      </c>
      <c r="BC284" s="25">
        <f t="shared" ca="1" si="343"/>
        <v>0</v>
      </c>
      <c r="BD284" s="24" t="b">
        <f t="shared" ca="1" si="344"/>
        <v>1</v>
      </c>
      <c r="BE284" s="24" t="b">
        <f t="shared" ca="1" si="345"/>
        <v>1</v>
      </c>
      <c r="BF284" s="23">
        <f t="array" aca="1" ref="BF284" ca="1">SUM(IF(BD284,1,0)*IF(ap_start_date&lt;=AO284,1,0)*IF(ap_end_date&gt;=AO284,1,0)*ap_amount*(1+ap_escalation/100)^(INT((AP284-ap_months_since_start)/12))*IF(MOD(AP284-ap_months_since_start,ap_frequency)=0,1,0))</f>
        <v>56036.12764986886</v>
      </c>
      <c r="BG284" s="24">
        <f t="shared" ca="1" si="346"/>
        <v>672433.53179842618</v>
      </c>
      <c r="BH284" s="24">
        <f t="shared" ca="1" si="347"/>
        <v>21649.412528466481</v>
      </c>
      <c r="BI284">
        <f t="shared" ca="1" si="348"/>
        <v>0</v>
      </c>
      <c r="BJ284" s="24">
        <f t="shared" ca="1" si="349"/>
        <v>151545.88769926535</v>
      </c>
      <c r="BK284">
        <f t="shared" ca="1" si="350"/>
        <v>1</v>
      </c>
      <c r="BL284" s="25">
        <f t="shared" ca="1" si="351"/>
        <v>12628.823974938783</v>
      </c>
      <c r="BM284" s="32">
        <f t="shared" ca="1" si="330"/>
        <v>852972.8659718493</v>
      </c>
      <c r="BN284" s="23">
        <f t="shared" ca="1" si="352"/>
        <v>0</v>
      </c>
      <c r="BO284" s="24">
        <f t="shared" ca="1" si="353"/>
        <v>0</v>
      </c>
      <c r="BP284" s="25">
        <f t="shared" ca="1" si="354"/>
        <v>0</v>
      </c>
      <c r="BQ284" s="34">
        <f t="shared" ca="1" si="355"/>
        <v>54057</v>
      </c>
      <c r="BR284" s="23">
        <f t="shared" ca="1" si="356"/>
        <v>852972.8659718493</v>
      </c>
      <c r="BS284" s="24">
        <f t="shared" ca="1" si="357"/>
        <v>0</v>
      </c>
      <c r="BT284" s="24">
        <f t="shared" ca="1" si="362"/>
        <v>0</v>
      </c>
      <c r="BU284" s="24">
        <f t="shared" ca="1" si="358"/>
        <v>0</v>
      </c>
      <c r="BV284" s="24">
        <f t="shared" ca="1" si="363"/>
        <v>0</v>
      </c>
      <c r="BW284" s="24">
        <f t="shared" ca="1" si="359"/>
        <v>-12628.823974938783</v>
      </c>
      <c r="BX284" s="25">
        <f t="shared" ca="1" si="364"/>
        <v>-164559.30060380095</v>
      </c>
      <c r="BY284" s="23">
        <f t="shared" ca="1" si="331"/>
        <v>344944.29546769313</v>
      </c>
      <c r="BZ284" s="24">
        <f t="shared" ca="1" si="332"/>
        <v>0</v>
      </c>
      <c r="CA284" s="24">
        <f t="shared" ca="1" si="365"/>
        <v>0</v>
      </c>
      <c r="CB284" s="24">
        <f t="shared" ca="1" si="333"/>
        <v>0</v>
      </c>
      <c r="CC284" s="24">
        <f t="shared" ca="1" si="366"/>
        <v>0</v>
      </c>
      <c r="CD284" s="24">
        <f t="shared" ca="1" si="334"/>
        <v>-5123.8464454689392</v>
      </c>
      <c r="CE284" s="25">
        <f t="shared" ca="1" si="367"/>
        <v>-67998.911865495742</v>
      </c>
      <c r="CF284" s="23">
        <f t="shared" ca="1" si="368"/>
        <v>650881.17501001491</v>
      </c>
      <c r="CG284" s="25">
        <f t="array" aca="1" ref="CG284" ca="1">SUM(BF273:BF284/(1+inflation/100)^(AP273:AP284/12))</f>
        <v>267980.53702225373</v>
      </c>
      <c r="CH284" s="32">
        <f ca="1">IFERROR(IF(MOD(AP284-ap_months_since_start,12)=0,ap_drawdown/100*(AQ284+AV284+BA284-BC284),CH283),0)</f>
        <v>133095.49776749546</v>
      </c>
    </row>
    <row r="285" spans="40:86" x14ac:dyDescent="0.25">
      <c r="AN285" s="32">
        <f t="shared" ca="1" si="329"/>
        <v>78</v>
      </c>
      <c r="AO285" s="53">
        <f t="shared" ca="1" si="360"/>
        <v>54058</v>
      </c>
      <c r="AP285" s="22">
        <v>278</v>
      </c>
      <c r="AQ285" s="32">
        <f t="shared" ca="1" si="361"/>
        <v>852972.8659718493</v>
      </c>
      <c r="AR285" s="23">
        <f t="array" aca="1" ref="AR285" ca="1">SUM(IF(lsc_start_date=AO285,lsc_amount,0))</f>
        <v>0</v>
      </c>
      <c r="AS285" s="24">
        <f t="shared" ca="1" si="335"/>
        <v>0</v>
      </c>
      <c r="AT285" s="24">
        <f t="shared" ca="1" si="336"/>
        <v>0</v>
      </c>
      <c r="AU285" s="24">
        <f t="shared" ca="1" si="337"/>
        <v>0</v>
      </c>
      <c r="AV285" s="25">
        <f t="shared" ca="1" si="338"/>
        <v>0</v>
      </c>
      <c r="AW285" s="23">
        <f t="array" aca="1" ref="AW285" ca="1">SUM(IF(rcs_start_date&lt;=AO285,1,0)*IF(rcs_end_date&gt;=AO285,1,0)*rcs_amount*(1+rcs_escalation/100)^(INT((AP285-rcs_months_since_start)/12))*IF(MOD((AP285-rcs_months_since_start),rcs_frequency)=0,1,0)*IF(rcs_frequency=13,0,1))+SUM(IF(rcs_start_date=AO285,rcs_amount,0)*IF(rcs_frequency=13,1,0))</f>
        <v>0</v>
      </c>
      <c r="AX285" s="24">
        <f t="shared" ca="1" si="339"/>
        <v>0</v>
      </c>
      <c r="AY285" s="24">
        <f t="shared" ca="1" si="340"/>
        <v>0</v>
      </c>
      <c r="AZ285" s="24">
        <f t="shared" ca="1" si="341"/>
        <v>0</v>
      </c>
      <c r="BA285" s="25">
        <f t="shared" ca="1" si="342"/>
        <v>0</v>
      </c>
      <c r="BB285" s="23">
        <f t="array" aca="1" ref="BB285" ca="1">SUM(IF(w_start_date&lt;=AO285,1,0)*IF(w_end_date&gt;=AO285,1,0)*w_amount*(1+w_escalation/100)^(INT((AP285-w_months_since_start)/12))*IF(MOD(AP285-w_months_since_start,w_frequency)=0,1,0)*IF(w_frequency=13,0,1))+SUM(IF(w_start_date=AO285,w_amount,0)*IF(w_frequency=13,1,0))</f>
        <v>0</v>
      </c>
      <c r="BC285" s="25">
        <f t="shared" ca="1" si="343"/>
        <v>0</v>
      </c>
      <c r="BD285" s="24" t="b">
        <f t="shared" ca="1" si="344"/>
        <v>1</v>
      </c>
      <c r="BE285" s="24" t="b">
        <f t="shared" ca="1" si="345"/>
        <v>1</v>
      </c>
      <c r="BF285" s="23">
        <f t="array" aca="1" ref="BF285" ca="1">SUM(IF(BD285,1,0)*IF(ap_start_date&lt;=AO285,1,0)*IF(ap_end_date&gt;=AO285,1,0)*ap_amount*(1+ap_escalation/100)^(INT((AP285-ap_months_since_start)/12))*IF(MOD(AP285-ap_months_since_start,ap_frequency)=0,1,0))</f>
        <v>56036.12764986886</v>
      </c>
      <c r="BG285" s="24">
        <f t="shared" ca="1" si="346"/>
        <v>672433.53179842618</v>
      </c>
      <c r="BH285" s="24">
        <f t="shared" ca="1" si="347"/>
        <v>21649.412528466481</v>
      </c>
      <c r="BI285">
        <f t="shared" ca="1" si="348"/>
        <v>0</v>
      </c>
      <c r="BJ285" s="24">
        <f t="shared" ca="1" si="349"/>
        <v>151545.88769926535</v>
      </c>
      <c r="BK285">
        <f t="shared" ca="1" si="350"/>
        <v>1</v>
      </c>
      <c r="BL285" s="25">
        <f t="shared" ca="1" si="351"/>
        <v>12628.823974938783</v>
      </c>
      <c r="BM285" s="32">
        <f t="shared" ca="1" si="330"/>
        <v>846400.67320437136</v>
      </c>
      <c r="BN285" s="23">
        <f t="shared" ca="1" si="352"/>
        <v>0</v>
      </c>
      <c r="BO285" s="24">
        <f t="shared" ca="1" si="353"/>
        <v>0</v>
      </c>
      <c r="BP285" s="25">
        <f t="shared" ca="1" si="354"/>
        <v>0</v>
      </c>
      <c r="BQ285" s="34">
        <f t="shared" ca="1" si="355"/>
        <v>54088</v>
      </c>
      <c r="BR285" s="23">
        <f t="shared" ca="1" si="356"/>
        <v>846400.67320437136</v>
      </c>
      <c r="BS285" s="24">
        <f t="shared" ca="1" si="357"/>
        <v>0</v>
      </c>
      <c r="BT285" s="24">
        <f t="shared" ca="1" si="362"/>
        <v>0</v>
      </c>
      <c r="BU285" s="24">
        <f t="shared" ca="1" si="358"/>
        <v>0</v>
      </c>
      <c r="BV285" s="24">
        <f t="shared" ca="1" si="363"/>
        <v>0</v>
      </c>
      <c r="BW285" s="24">
        <f t="shared" ca="1" si="359"/>
        <v>-12628.823974938783</v>
      </c>
      <c r="BX285" s="25">
        <f t="shared" ca="1" si="364"/>
        <v>-163257.95931334738</v>
      </c>
      <c r="BY285" s="23">
        <f t="shared" ca="1" si="331"/>
        <v>341169.58433417347</v>
      </c>
      <c r="BZ285" s="24">
        <f t="shared" ca="1" si="332"/>
        <v>0</v>
      </c>
      <c r="CA285" s="24">
        <f t="shared" ca="1" si="365"/>
        <v>0</v>
      </c>
      <c r="CB285" s="24">
        <f t="shared" ca="1" si="333"/>
        <v>0</v>
      </c>
      <c r="CC285" s="24">
        <f t="shared" ca="1" si="366"/>
        <v>0</v>
      </c>
      <c r="CD285" s="24">
        <f t="shared" ca="1" si="334"/>
        <v>-5107.1270405037003</v>
      </c>
      <c r="CE285" s="25">
        <f t="shared" ca="1" si="367"/>
        <v>-67247.310587304033</v>
      </c>
      <c r="CF285" s="23">
        <f t="shared" ca="1" si="368"/>
        <v>653036.41068885603</v>
      </c>
      <c r="CG285" s="25">
        <f t="array" aca="1" ref="CG285" ca="1">SUM(BF274:BF285/(1+inflation/100)^(AP274:AP285/12))</f>
        <v>267980.53702225379</v>
      </c>
      <c r="CH285" s="32">
        <f ca="1">IFERROR(IF(MOD(AP285-ap_months_since_start,12)=0,ap_drawdown/100*(AQ285+AV285+BA285-BC285),CH284),0)</f>
        <v>133095.49776749546</v>
      </c>
    </row>
    <row r="286" spans="40:86" x14ac:dyDescent="0.25">
      <c r="AN286" s="32">
        <f t="shared" ca="1" si="329"/>
        <v>78.083333333333329</v>
      </c>
      <c r="AO286" s="53">
        <f t="shared" ca="1" si="360"/>
        <v>54089</v>
      </c>
      <c r="AP286" s="22">
        <v>279</v>
      </c>
      <c r="AQ286" s="32">
        <f t="shared" ca="1" si="361"/>
        <v>846400.67320437136</v>
      </c>
      <c r="AR286" s="23">
        <f t="array" aca="1" ref="AR286" ca="1">SUM(IF(lsc_start_date=AO286,lsc_amount,0))</f>
        <v>0</v>
      </c>
      <c r="AS286" s="24">
        <f t="shared" ca="1" si="335"/>
        <v>0</v>
      </c>
      <c r="AT286" s="24">
        <f t="shared" ca="1" si="336"/>
        <v>0</v>
      </c>
      <c r="AU286" s="24">
        <f t="shared" ca="1" si="337"/>
        <v>0</v>
      </c>
      <c r="AV286" s="25">
        <f t="shared" ca="1" si="338"/>
        <v>0</v>
      </c>
      <c r="AW286" s="23">
        <f t="array" aca="1" ref="AW286" ca="1">SUM(IF(rcs_start_date&lt;=AO286,1,0)*IF(rcs_end_date&gt;=AO286,1,0)*rcs_amount*(1+rcs_escalation/100)^(INT((AP286-rcs_months_since_start)/12))*IF(MOD((AP286-rcs_months_since_start),rcs_frequency)=0,1,0)*IF(rcs_frequency=13,0,1))+SUM(IF(rcs_start_date=AO286,rcs_amount,0)*IF(rcs_frequency=13,1,0))</f>
        <v>0</v>
      </c>
      <c r="AX286" s="24">
        <f t="shared" ca="1" si="339"/>
        <v>0</v>
      </c>
      <c r="AY286" s="24">
        <f t="shared" ca="1" si="340"/>
        <v>0</v>
      </c>
      <c r="AZ286" s="24">
        <f t="shared" ca="1" si="341"/>
        <v>0</v>
      </c>
      <c r="BA286" s="25">
        <f t="shared" ca="1" si="342"/>
        <v>0</v>
      </c>
      <c r="BB286" s="23">
        <f t="array" aca="1" ref="BB286" ca="1">SUM(IF(w_start_date&lt;=AO286,1,0)*IF(w_end_date&gt;=AO286,1,0)*w_amount*(1+w_escalation/100)^(INT((AP286-w_months_since_start)/12))*IF(MOD(AP286-w_months_since_start,w_frequency)=0,1,0)*IF(w_frequency=13,0,1))+SUM(IF(w_start_date=AO286,w_amount,0)*IF(w_frequency=13,1,0))</f>
        <v>0</v>
      </c>
      <c r="BC286" s="25">
        <f t="shared" ca="1" si="343"/>
        <v>0</v>
      </c>
      <c r="BD286" s="24" t="b">
        <f t="shared" ca="1" si="344"/>
        <v>1</v>
      </c>
      <c r="BE286" s="24" t="b">
        <f t="shared" ca="1" si="345"/>
        <v>1</v>
      </c>
      <c r="BF286" s="23">
        <f t="array" aca="1" ref="BF286" ca="1">SUM(IF(BD286,1,0)*IF(ap_start_date&lt;=AO286,1,0)*IF(ap_end_date&gt;=AO286,1,0)*ap_amount*(1+ap_escalation/100)^(INT((AP286-ap_months_since_start)/12))*IF(MOD(AP286-ap_months_since_start,ap_frequency)=0,1,0))</f>
        <v>56036.12764986886</v>
      </c>
      <c r="BG286" s="24">
        <f t="shared" ca="1" si="346"/>
        <v>672433.53179842618</v>
      </c>
      <c r="BH286" s="24">
        <f t="shared" ca="1" si="347"/>
        <v>21649.412528466481</v>
      </c>
      <c r="BI286">
        <f t="shared" ca="1" si="348"/>
        <v>0</v>
      </c>
      <c r="BJ286" s="24">
        <f t="shared" ca="1" si="349"/>
        <v>151545.88769926535</v>
      </c>
      <c r="BK286">
        <f t="shared" ca="1" si="350"/>
        <v>1</v>
      </c>
      <c r="BL286" s="25">
        <f t="shared" ca="1" si="351"/>
        <v>12628.823974938783</v>
      </c>
      <c r="BM286" s="32">
        <f t="shared" ca="1" si="330"/>
        <v>839781.11251872219</v>
      </c>
      <c r="BN286" s="23">
        <f t="shared" ca="1" si="352"/>
        <v>0</v>
      </c>
      <c r="BO286" s="24">
        <f t="shared" ca="1" si="353"/>
        <v>0</v>
      </c>
      <c r="BP286" s="25">
        <f t="shared" ca="1" si="354"/>
        <v>0</v>
      </c>
      <c r="BQ286" s="34">
        <f t="shared" ca="1" si="355"/>
        <v>54117</v>
      </c>
      <c r="BR286" s="23">
        <f t="shared" ca="1" si="356"/>
        <v>839781.11251872219</v>
      </c>
      <c r="BS286" s="24">
        <f t="shared" ca="1" si="357"/>
        <v>0</v>
      </c>
      <c r="BT286" s="24">
        <f t="shared" ca="1" si="362"/>
        <v>0</v>
      </c>
      <c r="BU286" s="24">
        <f t="shared" ca="1" si="358"/>
        <v>0</v>
      </c>
      <c r="BV286" s="24">
        <f t="shared" ca="1" si="363"/>
        <v>0</v>
      </c>
      <c r="BW286" s="24">
        <f t="shared" ca="1" si="359"/>
        <v>-12628.823974938783</v>
      </c>
      <c r="BX286" s="25">
        <f t="shared" ca="1" si="364"/>
        <v>-161956.61802289382</v>
      </c>
      <c r="BY286" s="23">
        <f t="shared" ca="1" si="331"/>
        <v>337396.80369669129</v>
      </c>
      <c r="BZ286" s="24">
        <f t="shared" ca="1" si="332"/>
        <v>0</v>
      </c>
      <c r="CA286" s="24">
        <f t="shared" ca="1" si="365"/>
        <v>0</v>
      </c>
      <c r="CB286" s="24">
        <f t="shared" ca="1" si="333"/>
        <v>0</v>
      </c>
      <c r="CC286" s="24">
        <f t="shared" ca="1" si="366"/>
        <v>0</v>
      </c>
      <c r="CD286" s="24">
        <f t="shared" ca="1" si="334"/>
        <v>-5090.4621919162437</v>
      </c>
      <c r="CE286" s="25">
        <f t="shared" ca="1" si="367"/>
        <v>-66498.161827211006</v>
      </c>
      <c r="CF286" s="23">
        <f t="shared" ca="1" si="368"/>
        <v>655191.64636769716</v>
      </c>
      <c r="CG286" s="25">
        <f t="array" aca="1" ref="CG286" ca="1">SUM(BF275:BF286/(1+inflation/100)^(AP275:AP286/12))</f>
        <v>267980.53702225373</v>
      </c>
      <c r="CH286" s="32">
        <f ca="1">IFERROR(IF(MOD(AP286-ap_months_since_start,12)=0,ap_drawdown/100*(AQ286+AV286+BA286-BC286),CH285),0)</f>
        <v>133095.49776749546</v>
      </c>
    </row>
    <row r="287" spans="40:86" x14ac:dyDescent="0.25">
      <c r="AN287" s="32">
        <f t="shared" ca="1" si="329"/>
        <v>78.166666666666671</v>
      </c>
      <c r="AO287" s="53">
        <f t="shared" ca="1" si="360"/>
        <v>54118</v>
      </c>
      <c r="AP287" s="22">
        <v>280</v>
      </c>
      <c r="AQ287" s="32">
        <f t="shared" ca="1" si="361"/>
        <v>839781.11251872219</v>
      </c>
      <c r="AR287" s="23">
        <f t="array" aca="1" ref="AR287" ca="1">SUM(IF(lsc_start_date=AO287,lsc_amount,0))</f>
        <v>0</v>
      </c>
      <c r="AS287" s="24">
        <f t="shared" ca="1" si="335"/>
        <v>0</v>
      </c>
      <c r="AT287" s="24">
        <f t="shared" ca="1" si="336"/>
        <v>0</v>
      </c>
      <c r="AU287" s="24">
        <f t="shared" ca="1" si="337"/>
        <v>0</v>
      </c>
      <c r="AV287" s="25">
        <f t="shared" ca="1" si="338"/>
        <v>0</v>
      </c>
      <c r="AW287" s="23">
        <f t="array" aca="1" ref="AW287" ca="1">SUM(IF(rcs_start_date&lt;=AO287,1,0)*IF(rcs_end_date&gt;=AO287,1,0)*rcs_amount*(1+rcs_escalation/100)^(INT((AP287-rcs_months_since_start)/12))*IF(MOD((AP287-rcs_months_since_start),rcs_frequency)=0,1,0)*IF(rcs_frequency=13,0,1))+SUM(IF(rcs_start_date=AO287,rcs_amount,0)*IF(rcs_frequency=13,1,0))</f>
        <v>0</v>
      </c>
      <c r="AX287" s="24">
        <f t="shared" ca="1" si="339"/>
        <v>0</v>
      </c>
      <c r="AY287" s="24">
        <f t="shared" ca="1" si="340"/>
        <v>0</v>
      </c>
      <c r="AZ287" s="24">
        <f t="shared" ca="1" si="341"/>
        <v>0</v>
      </c>
      <c r="BA287" s="25">
        <f t="shared" ca="1" si="342"/>
        <v>0</v>
      </c>
      <c r="BB287" s="23">
        <f t="array" aca="1" ref="BB287" ca="1">SUM(IF(w_start_date&lt;=AO287,1,0)*IF(w_end_date&gt;=AO287,1,0)*w_amount*(1+w_escalation/100)^(INT((AP287-w_months_since_start)/12))*IF(MOD(AP287-w_months_since_start,w_frequency)=0,1,0)*IF(w_frequency=13,0,1))+SUM(IF(w_start_date=AO287,w_amount,0)*IF(w_frequency=13,1,0))</f>
        <v>0</v>
      </c>
      <c r="BC287" s="25">
        <f t="shared" ca="1" si="343"/>
        <v>0</v>
      </c>
      <c r="BD287" s="24" t="b">
        <f t="shared" ca="1" si="344"/>
        <v>1</v>
      </c>
      <c r="BE287" s="24" t="b">
        <f t="shared" ca="1" si="345"/>
        <v>1</v>
      </c>
      <c r="BF287" s="23">
        <f t="array" aca="1" ref="BF287" ca="1">SUM(IF(BD287,1,0)*IF(ap_start_date&lt;=AO287,1,0)*IF(ap_end_date&gt;=AO287,1,0)*ap_amount*(1+ap_escalation/100)^(INT((AP287-ap_months_since_start)/12))*IF(MOD(AP287-ap_months_since_start,ap_frequency)=0,1,0))</f>
        <v>56036.12764986886</v>
      </c>
      <c r="BG287" s="24">
        <f t="shared" ca="1" si="346"/>
        <v>672433.53179842618</v>
      </c>
      <c r="BH287" s="24">
        <f t="shared" ca="1" si="347"/>
        <v>21649.412528466481</v>
      </c>
      <c r="BI287">
        <f t="shared" ca="1" si="348"/>
        <v>0</v>
      </c>
      <c r="BJ287" s="24">
        <f t="shared" ca="1" si="349"/>
        <v>151545.88769926535</v>
      </c>
      <c r="BK287">
        <f t="shared" ca="1" si="350"/>
        <v>1</v>
      </c>
      <c r="BL287" s="25">
        <f t="shared" ca="1" si="351"/>
        <v>12628.823974938783</v>
      </c>
      <c r="BM287" s="32">
        <f t="shared" ca="1" si="330"/>
        <v>833113.84251900087</v>
      </c>
      <c r="BN287" s="23">
        <f t="shared" ca="1" si="352"/>
        <v>0</v>
      </c>
      <c r="BO287" s="24">
        <f t="shared" ca="1" si="353"/>
        <v>0</v>
      </c>
      <c r="BP287" s="25">
        <f t="shared" ca="1" si="354"/>
        <v>0</v>
      </c>
      <c r="BQ287" s="34">
        <f t="shared" ca="1" si="355"/>
        <v>54148</v>
      </c>
      <c r="BR287" s="23">
        <f t="shared" ca="1" si="356"/>
        <v>833113.84251900087</v>
      </c>
      <c r="BS287" s="24">
        <f t="shared" ca="1" si="357"/>
        <v>0</v>
      </c>
      <c r="BT287" s="24">
        <f t="shared" ca="1" si="362"/>
        <v>0</v>
      </c>
      <c r="BU287" s="24">
        <f t="shared" ca="1" si="358"/>
        <v>0</v>
      </c>
      <c r="BV287" s="24">
        <f t="shared" ca="1" si="363"/>
        <v>0</v>
      </c>
      <c r="BW287" s="24">
        <f t="shared" ca="1" si="359"/>
        <v>-12628.823974938783</v>
      </c>
      <c r="BX287" s="25">
        <f t="shared" ca="1" si="364"/>
        <v>-160655.27673244028</v>
      </c>
      <c r="BY287" s="23">
        <f t="shared" ca="1" si="331"/>
        <v>333625.90653267398</v>
      </c>
      <c r="BZ287" s="24">
        <f t="shared" ca="1" si="332"/>
        <v>0</v>
      </c>
      <c r="CA287" s="24">
        <f t="shared" ca="1" si="365"/>
        <v>0</v>
      </c>
      <c r="CB287" s="24">
        <f t="shared" ca="1" si="333"/>
        <v>0</v>
      </c>
      <c r="CC287" s="24">
        <f t="shared" ca="1" si="366"/>
        <v>0</v>
      </c>
      <c r="CD287" s="24">
        <f t="shared" ca="1" si="334"/>
        <v>-5073.8517216859836</v>
      </c>
      <c r="CE287" s="25">
        <f t="shared" ca="1" si="367"/>
        <v>-65751.457582509407</v>
      </c>
      <c r="CF287" s="23">
        <f t="shared" ca="1" si="368"/>
        <v>657346.88204653829</v>
      </c>
      <c r="CG287" s="25">
        <f t="array" aca="1" ref="CG287" ca="1">SUM(BF276:BF287/(1+inflation/100)^(AP276:AP287/12))</f>
        <v>267980.53702225379</v>
      </c>
      <c r="CH287" s="32">
        <f ca="1">IFERROR(IF(MOD(AP287-ap_months_since_start,12)=0,ap_drawdown/100*(AQ287+AV287+BA287-BC287),CH286),0)</f>
        <v>133095.49776749546</v>
      </c>
    </row>
    <row r="288" spans="40:86" x14ac:dyDescent="0.25">
      <c r="AN288" s="32">
        <f t="shared" ca="1" si="329"/>
        <v>78.25</v>
      </c>
      <c r="AO288" s="53">
        <f t="shared" ca="1" si="360"/>
        <v>54149</v>
      </c>
      <c r="AP288" s="22">
        <v>281</v>
      </c>
      <c r="AQ288" s="32">
        <f t="shared" ca="1" si="361"/>
        <v>833113.84251900087</v>
      </c>
      <c r="AR288" s="23">
        <f t="array" aca="1" ref="AR288" ca="1">SUM(IF(lsc_start_date=AO288,lsc_amount,0))</f>
        <v>0</v>
      </c>
      <c r="AS288" s="24">
        <f t="shared" ca="1" si="335"/>
        <v>0</v>
      </c>
      <c r="AT288" s="24">
        <f t="shared" ca="1" si="336"/>
        <v>0</v>
      </c>
      <c r="AU288" s="24">
        <f t="shared" ca="1" si="337"/>
        <v>0</v>
      </c>
      <c r="AV288" s="25">
        <f t="shared" ca="1" si="338"/>
        <v>0</v>
      </c>
      <c r="AW288" s="23">
        <f t="array" aca="1" ref="AW288" ca="1">SUM(IF(rcs_start_date&lt;=AO288,1,0)*IF(rcs_end_date&gt;=AO288,1,0)*rcs_amount*(1+rcs_escalation/100)^(INT((AP288-rcs_months_since_start)/12))*IF(MOD((AP288-rcs_months_since_start),rcs_frequency)=0,1,0)*IF(rcs_frequency=13,0,1))+SUM(IF(rcs_start_date=AO288,rcs_amount,0)*IF(rcs_frequency=13,1,0))</f>
        <v>0</v>
      </c>
      <c r="AX288" s="24">
        <f t="shared" ca="1" si="339"/>
        <v>0</v>
      </c>
      <c r="AY288" s="24">
        <f t="shared" ca="1" si="340"/>
        <v>0</v>
      </c>
      <c r="AZ288" s="24">
        <f t="shared" ca="1" si="341"/>
        <v>0</v>
      </c>
      <c r="BA288" s="25">
        <f t="shared" ca="1" si="342"/>
        <v>0</v>
      </c>
      <c r="BB288" s="23">
        <f t="array" aca="1" ref="BB288" ca="1">SUM(IF(w_start_date&lt;=AO288,1,0)*IF(w_end_date&gt;=AO288,1,0)*w_amount*(1+w_escalation/100)^(INT((AP288-w_months_since_start)/12))*IF(MOD(AP288-w_months_since_start,w_frequency)=0,1,0)*IF(w_frequency=13,0,1))+SUM(IF(w_start_date=AO288,w_amount,0)*IF(w_frequency=13,1,0))</f>
        <v>0</v>
      </c>
      <c r="BC288" s="25">
        <f t="shared" ca="1" si="343"/>
        <v>0</v>
      </c>
      <c r="BD288" s="24" t="b">
        <f t="shared" ca="1" si="344"/>
        <v>1</v>
      </c>
      <c r="BE288" s="24" t="b">
        <f t="shared" ca="1" si="345"/>
        <v>1</v>
      </c>
      <c r="BF288" s="23">
        <f t="array" aca="1" ref="BF288" ca="1">SUM(IF(BD288,1,0)*IF(ap_start_date&lt;=AO288,1,0)*IF(ap_end_date&gt;=AO288,1,0)*ap_amount*(1+ap_escalation/100)^(INT((AP288-ap_months_since_start)/12))*IF(MOD(AP288-ap_months_since_start,ap_frequency)=0,1,0))</f>
        <v>56036.12764986886</v>
      </c>
      <c r="BG288" s="24">
        <f t="shared" ca="1" si="346"/>
        <v>672433.53179842618</v>
      </c>
      <c r="BH288" s="24">
        <f t="shared" ca="1" si="347"/>
        <v>21649.412528466481</v>
      </c>
      <c r="BI288">
        <f t="shared" ca="1" si="348"/>
        <v>0</v>
      </c>
      <c r="BJ288" s="24">
        <f t="shared" ca="1" si="349"/>
        <v>151545.88769926535</v>
      </c>
      <c r="BK288">
        <f t="shared" ca="1" si="350"/>
        <v>1</v>
      </c>
      <c r="BL288" s="25">
        <f t="shared" ca="1" si="351"/>
        <v>12628.823974938783</v>
      </c>
      <c r="BM288" s="32">
        <f t="shared" ca="1" si="330"/>
        <v>826398.51934875548</v>
      </c>
      <c r="BN288" s="23">
        <f t="shared" ca="1" si="352"/>
        <v>0</v>
      </c>
      <c r="BO288" s="24">
        <f t="shared" ca="1" si="353"/>
        <v>0</v>
      </c>
      <c r="BP288" s="25">
        <f t="shared" ca="1" si="354"/>
        <v>0</v>
      </c>
      <c r="BQ288" s="34">
        <f t="shared" ca="1" si="355"/>
        <v>54178</v>
      </c>
      <c r="BR288" s="23">
        <f t="shared" ca="1" si="356"/>
        <v>826398.51934875548</v>
      </c>
      <c r="BS288" s="24">
        <f t="shared" ca="1" si="357"/>
        <v>0</v>
      </c>
      <c r="BT288" s="24">
        <f t="shared" ca="1" si="362"/>
        <v>0</v>
      </c>
      <c r="BU288" s="24">
        <f t="shared" ca="1" si="358"/>
        <v>0</v>
      </c>
      <c r="BV288" s="24">
        <f t="shared" ca="1" si="363"/>
        <v>0</v>
      </c>
      <c r="BW288" s="24">
        <f t="shared" ca="1" si="359"/>
        <v>-12628.823974938783</v>
      </c>
      <c r="BX288" s="25">
        <f t="shared" ca="1" si="364"/>
        <v>-159353.93544198672</v>
      </c>
      <c r="BY288" s="23">
        <f t="shared" ca="1" si="331"/>
        <v>329856.84581332072</v>
      </c>
      <c r="BZ288" s="24">
        <f t="shared" ca="1" si="332"/>
        <v>0</v>
      </c>
      <c r="CA288" s="24">
        <f t="shared" ca="1" si="365"/>
        <v>0</v>
      </c>
      <c r="CB288" s="24">
        <f t="shared" ca="1" si="333"/>
        <v>0</v>
      </c>
      <c r="CC288" s="24">
        <f t="shared" ca="1" si="366"/>
        <v>0</v>
      </c>
      <c r="CD288" s="24">
        <f t="shared" ca="1" si="334"/>
        <v>-5057.295452373216</v>
      </c>
      <c r="CE288" s="25">
        <f t="shared" ca="1" si="367"/>
        <v>-65007.18987660524</v>
      </c>
      <c r="CF288" s="23">
        <f t="shared" ca="1" si="368"/>
        <v>659502.11772537942</v>
      </c>
      <c r="CG288" s="25">
        <f t="array" aca="1" ref="CG288" ca="1">SUM(BF277:BF288/(1+inflation/100)^(AP277:AP288/12))</f>
        <v>267980.53702225373</v>
      </c>
      <c r="CH288" s="32">
        <f ca="1">IFERROR(IF(MOD(AP288-ap_months_since_start,12)=0,ap_drawdown/100*(AQ288+AV288+BA288-BC288),CH287),0)</f>
        <v>133095.49776749546</v>
      </c>
    </row>
    <row r="289" spans="40:86" x14ac:dyDescent="0.25">
      <c r="AN289" s="32">
        <f t="shared" ca="1" si="329"/>
        <v>78.333333333333329</v>
      </c>
      <c r="AO289" s="53">
        <f t="shared" ca="1" si="360"/>
        <v>54179</v>
      </c>
      <c r="AP289" s="22">
        <v>282</v>
      </c>
      <c r="AQ289" s="32">
        <f t="shared" ca="1" si="361"/>
        <v>826398.51934875548</v>
      </c>
      <c r="AR289" s="23">
        <f t="array" aca="1" ref="AR289" ca="1">SUM(IF(lsc_start_date=AO289,lsc_amount,0))</f>
        <v>0</v>
      </c>
      <c r="AS289" s="24">
        <f t="shared" ca="1" si="335"/>
        <v>0</v>
      </c>
      <c r="AT289" s="24">
        <f t="shared" ca="1" si="336"/>
        <v>0</v>
      </c>
      <c r="AU289" s="24">
        <f t="shared" ca="1" si="337"/>
        <v>0</v>
      </c>
      <c r="AV289" s="25">
        <f t="shared" ca="1" si="338"/>
        <v>0</v>
      </c>
      <c r="AW289" s="23">
        <f t="array" aca="1" ref="AW289" ca="1">SUM(IF(rcs_start_date&lt;=AO289,1,0)*IF(rcs_end_date&gt;=AO289,1,0)*rcs_amount*(1+rcs_escalation/100)^(INT((AP289-rcs_months_since_start)/12))*IF(MOD((AP289-rcs_months_since_start),rcs_frequency)=0,1,0)*IF(rcs_frequency=13,0,1))+SUM(IF(rcs_start_date=AO289,rcs_amount,0)*IF(rcs_frequency=13,1,0))</f>
        <v>0</v>
      </c>
      <c r="AX289" s="24">
        <f t="shared" ca="1" si="339"/>
        <v>0</v>
      </c>
      <c r="AY289" s="24">
        <f t="shared" ca="1" si="340"/>
        <v>0</v>
      </c>
      <c r="AZ289" s="24">
        <f t="shared" ca="1" si="341"/>
        <v>0</v>
      </c>
      <c r="BA289" s="25">
        <f t="shared" ca="1" si="342"/>
        <v>0</v>
      </c>
      <c r="BB289" s="23">
        <f t="array" aca="1" ref="BB289" ca="1">SUM(IF(w_start_date&lt;=AO289,1,0)*IF(w_end_date&gt;=AO289,1,0)*w_amount*(1+w_escalation/100)^(INT((AP289-w_months_since_start)/12))*IF(MOD(AP289-w_months_since_start,w_frequency)=0,1,0)*IF(w_frequency=13,0,1))+SUM(IF(w_start_date=AO289,w_amount,0)*IF(w_frequency=13,1,0))</f>
        <v>0</v>
      </c>
      <c r="BC289" s="25">
        <f t="shared" ca="1" si="343"/>
        <v>0</v>
      </c>
      <c r="BD289" s="24" t="b">
        <f t="shared" ca="1" si="344"/>
        <v>1</v>
      </c>
      <c r="BE289" s="24" t="b">
        <f t="shared" ca="1" si="345"/>
        <v>1</v>
      </c>
      <c r="BF289" s="23">
        <f t="array" aca="1" ref="BF289" ca="1">SUM(IF(BD289,1,0)*IF(ap_start_date&lt;=AO289,1,0)*IF(ap_end_date&gt;=AO289,1,0)*ap_amount*(1+ap_escalation/100)^(INT((AP289-ap_months_since_start)/12))*IF(MOD(AP289-ap_months_since_start,ap_frequency)=0,1,0))</f>
        <v>56036.12764986886</v>
      </c>
      <c r="BG289" s="24">
        <f t="shared" ca="1" si="346"/>
        <v>672433.53179842618</v>
      </c>
      <c r="BH289" s="24">
        <f t="shared" ca="1" si="347"/>
        <v>21649.412528466481</v>
      </c>
      <c r="BI289">
        <f t="shared" ca="1" si="348"/>
        <v>0</v>
      </c>
      <c r="BJ289" s="24">
        <f t="shared" ca="1" si="349"/>
        <v>151545.88769926535</v>
      </c>
      <c r="BK289">
        <f t="shared" ca="1" si="350"/>
        <v>1</v>
      </c>
      <c r="BL289" s="25">
        <f t="shared" ca="1" si="351"/>
        <v>12628.823974938783</v>
      </c>
      <c r="BM289" s="32">
        <f t="shared" ca="1" si="330"/>
        <v>819634.7966732498</v>
      </c>
      <c r="BN289" s="23">
        <f t="shared" ca="1" si="352"/>
        <v>0</v>
      </c>
      <c r="BO289" s="24">
        <f t="shared" ca="1" si="353"/>
        <v>0</v>
      </c>
      <c r="BP289" s="25">
        <f t="shared" ca="1" si="354"/>
        <v>0</v>
      </c>
      <c r="BQ289" s="34">
        <f t="shared" ca="1" si="355"/>
        <v>54209</v>
      </c>
      <c r="BR289" s="23">
        <f t="shared" ca="1" si="356"/>
        <v>819634.7966732498</v>
      </c>
      <c r="BS289" s="24">
        <f t="shared" ca="1" si="357"/>
        <v>0</v>
      </c>
      <c r="BT289" s="24">
        <f t="shared" ca="1" si="362"/>
        <v>0</v>
      </c>
      <c r="BU289" s="24">
        <f t="shared" ca="1" si="358"/>
        <v>0</v>
      </c>
      <c r="BV289" s="24">
        <f t="shared" ca="1" si="363"/>
        <v>0</v>
      </c>
      <c r="BW289" s="24">
        <f t="shared" ca="1" si="359"/>
        <v>-12628.823974938783</v>
      </c>
      <c r="BX289" s="25">
        <f t="shared" ca="1" si="364"/>
        <v>-158052.59415153318</v>
      </c>
      <c r="BY289" s="23">
        <f t="shared" ca="1" si="331"/>
        <v>326089.57450299681</v>
      </c>
      <c r="BZ289" s="24">
        <f t="shared" ca="1" si="332"/>
        <v>0</v>
      </c>
      <c r="CA289" s="24">
        <f t="shared" ca="1" si="365"/>
        <v>0</v>
      </c>
      <c r="CB289" s="24">
        <f t="shared" ca="1" si="333"/>
        <v>0</v>
      </c>
      <c r="CC289" s="24">
        <f t="shared" ca="1" si="366"/>
        <v>0</v>
      </c>
      <c r="CD289" s="24">
        <f t="shared" ca="1" si="334"/>
        <v>-5040.7932071172381</v>
      </c>
      <c r="CE289" s="25">
        <f t="shared" ca="1" si="367"/>
        <v>-64265.350758932582</v>
      </c>
      <c r="CF289" s="23">
        <f t="shared" ca="1" si="368"/>
        <v>661657.35340422054</v>
      </c>
      <c r="CG289" s="25">
        <f t="array" aca="1" ref="CG289" ca="1">SUM(BF278:BF289/(1+inflation/100)^(AP278:AP289/12))</f>
        <v>267980.53702225373</v>
      </c>
      <c r="CH289" s="32">
        <f ca="1">IFERROR(IF(MOD(AP289-ap_months_since_start,12)=0,ap_drawdown/100*(AQ289+AV289+BA289-BC289),CH288),0)</f>
        <v>133095.49776749546</v>
      </c>
    </row>
    <row r="290" spans="40:86" x14ac:dyDescent="0.25">
      <c r="AN290" s="32">
        <f t="shared" ca="1" si="329"/>
        <v>78.416666666666671</v>
      </c>
      <c r="AO290" s="53">
        <f t="shared" ca="1" si="360"/>
        <v>54210</v>
      </c>
      <c r="AP290" s="22">
        <v>283</v>
      </c>
      <c r="AQ290" s="32">
        <f t="shared" ca="1" si="361"/>
        <v>819634.7966732498</v>
      </c>
      <c r="AR290" s="23">
        <f t="array" aca="1" ref="AR290" ca="1">SUM(IF(lsc_start_date=AO290,lsc_amount,0))</f>
        <v>0</v>
      </c>
      <c r="AS290" s="24">
        <f t="shared" ca="1" si="335"/>
        <v>0</v>
      </c>
      <c r="AT290" s="24">
        <f t="shared" ca="1" si="336"/>
        <v>0</v>
      </c>
      <c r="AU290" s="24">
        <f t="shared" ca="1" si="337"/>
        <v>0</v>
      </c>
      <c r="AV290" s="25">
        <f t="shared" ca="1" si="338"/>
        <v>0</v>
      </c>
      <c r="AW290" s="23">
        <f t="array" aca="1" ref="AW290" ca="1">SUM(IF(rcs_start_date&lt;=AO290,1,0)*IF(rcs_end_date&gt;=AO290,1,0)*rcs_amount*(1+rcs_escalation/100)^(INT((AP290-rcs_months_since_start)/12))*IF(MOD((AP290-rcs_months_since_start),rcs_frequency)=0,1,0)*IF(rcs_frequency=13,0,1))+SUM(IF(rcs_start_date=AO290,rcs_amount,0)*IF(rcs_frequency=13,1,0))</f>
        <v>0</v>
      </c>
      <c r="AX290" s="24">
        <f t="shared" ca="1" si="339"/>
        <v>0</v>
      </c>
      <c r="AY290" s="24">
        <f t="shared" ca="1" si="340"/>
        <v>0</v>
      </c>
      <c r="AZ290" s="24">
        <f t="shared" ca="1" si="341"/>
        <v>0</v>
      </c>
      <c r="BA290" s="25">
        <f t="shared" ca="1" si="342"/>
        <v>0</v>
      </c>
      <c r="BB290" s="23">
        <f t="array" aca="1" ref="BB290" ca="1">SUM(IF(w_start_date&lt;=AO290,1,0)*IF(w_end_date&gt;=AO290,1,0)*w_amount*(1+w_escalation/100)^(INT((AP290-w_months_since_start)/12))*IF(MOD(AP290-w_months_since_start,w_frequency)=0,1,0)*IF(w_frequency=13,0,1))+SUM(IF(w_start_date=AO290,w_amount,0)*IF(w_frequency=13,1,0))</f>
        <v>0</v>
      </c>
      <c r="BC290" s="25">
        <f t="shared" ca="1" si="343"/>
        <v>0</v>
      </c>
      <c r="BD290" s="24" t="b">
        <f t="shared" ca="1" si="344"/>
        <v>1</v>
      </c>
      <c r="BE290" s="24" t="b">
        <f t="shared" ca="1" si="345"/>
        <v>1</v>
      </c>
      <c r="BF290" s="23">
        <f t="array" aca="1" ref="BF290" ca="1">SUM(IF(BD290,1,0)*IF(ap_start_date&lt;=AO290,1,0)*IF(ap_end_date&gt;=AO290,1,0)*ap_amount*(1+ap_escalation/100)^(INT((AP290-ap_months_since_start)/12))*IF(MOD(AP290-ap_months_since_start,ap_frequency)=0,1,0))</f>
        <v>56036.12764986886</v>
      </c>
      <c r="BG290" s="24">
        <f t="shared" ca="1" si="346"/>
        <v>672433.53179842618</v>
      </c>
      <c r="BH290" s="24">
        <f t="shared" ca="1" si="347"/>
        <v>21649.412528466481</v>
      </c>
      <c r="BI290">
        <f t="shared" ca="1" si="348"/>
        <v>0</v>
      </c>
      <c r="BJ290" s="24">
        <f t="shared" ca="1" si="349"/>
        <v>151545.88769926535</v>
      </c>
      <c r="BK290">
        <f t="shared" ca="1" si="350"/>
        <v>1</v>
      </c>
      <c r="BL290" s="25">
        <f t="shared" ca="1" si="351"/>
        <v>12628.823974938783</v>
      </c>
      <c r="BM290" s="32">
        <f t="shared" ca="1" si="330"/>
        <v>812822.32566160115</v>
      </c>
      <c r="BN290" s="23">
        <f t="shared" ca="1" si="352"/>
        <v>0</v>
      </c>
      <c r="BO290" s="24">
        <f t="shared" ca="1" si="353"/>
        <v>0</v>
      </c>
      <c r="BP290" s="25">
        <f t="shared" ca="1" si="354"/>
        <v>0</v>
      </c>
      <c r="BQ290" s="34">
        <f t="shared" ca="1" si="355"/>
        <v>54239</v>
      </c>
      <c r="BR290" s="23">
        <f t="shared" ca="1" si="356"/>
        <v>812822.32566160115</v>
      </c>
      <c r="BS290" s="24">
        <f t="shared" ca="1" si="357"/>
        <v>0</v>
      </c>
      <c r="BT290" s="24">
        <f t="shared" ca="1" si="362"/>
        <v>0</v>
      </c>
      <c r="BU290" s="24">
        <f t="shared" ca="1" si="358"/>
        <v>0</v>
      </c>
      <c r="BV290" s="24">
        <f t="shared" ca="1" si="363"/>
        <v>0</v>
      </c>
      <c r="BW290" s="24">
        <f t="shared" ca="1" si="359"/>
        <v>-12628.823974938783</v>
      </c>
      <c r="BX290" s="25">
        <f t="shared" ca="1" si="364"/>
        <v>-156751.25286107961</v>
      </c>
      <c r="BY290" s="23">
        <f t="shared" ca="1" si="331"/>
        <v>322324.04555862758</v>
      </c>
      <c r="BZ290" s="24">
        <f t="shared" ca="1" si="332"/>
        <v>0</v>
      </c>
      <c r="CA290" s="24">
        <f t="shared" ca="1" si="365"/>
        <v>0</v>
      </c>
      <c r="CB290" s="24">
        <f t="shared" ca="1" si="333"/>
        <v>0</v>
      </c>
      <c r="CC290" s="24">
        <f t="shared" ca="1" si="366"/>
        <v>0</v>
      </c>
      <c r="CD290" s="24">
        <f t="shared" ca="1" si="334"/>
        <v>-5024.3448096344528</v>
      </c>
      <c r="CE290" s="25">
        <f t="shared" ca="1" si="367"/>
        <v>-63525.932304868686</v>
      </c>
      <c r="CF290" s="23">
        <f t="shared" ca="1" si="368"/>
        <v>663812.58908306167</v>
      </c>
      <c r="CG290" s="25">
        <f t="array" aca="1" ref="CG290" ca="1">SUM(BF279:BF290/(1+inflation/100)^(AP279:AP290/12))</f>
        <v>267980.53702225373</v>
      </c>
      <c r="CH290" s="32">
        <f ca="1">IFERROR(IF(MOD(AP290-ap_months_since_start,12)=0,ap_drawdown/100*(AQ290+AV290+BA290-BC290),CH289),0)</f>
        <v>133095.49776749546</v>
      </c>
    </row>
    <row r="291" spans="40:86" x14ac:dyDescent="0.25">
      <c r="AN291" s="32">
        <f t="shared" ca="1" si="329"/>
        <v>78.5</v>
      </c>
      <c r="AO291" s="53">
        <f t="shared" ca="1" si="360"/>
        <v>54240</v>
      </c>
      <c r="AP291" s="22">
        <v>284</v>
      </c>
      <c r="AQ291" s="32">
        <f t="shared" ca="1" si="361"/>
        <v>812822.32566160115</v>
      </c>
      <c r="AR291" s="23">
        <f t="array" aca="1" ref="AR291" ca="1">SUM(IF(lsc_start_date=AO291,lsc_amount,0))</f>
        <v>0</v>
      </c>
      <c r="AS291" s="24">
        <f t="shared" ca="1" si="335"/>
        <v>0</v>
      </c>
      <c r="AT291" s="24">
        <f t="shared" ca="1" si="336"/>
        <v>0</v>
      </c>
      <c r="AU291" s="24">
        <f t="shared" ca="1" si="337"/>
        <v>0</v>
      </c>
      <c r="AV291" s="25">
        <f t="shared" ca="1" si="338"/>
        <v>0</v>
      </c>
      <c r="AW291" s="23">
        <f t="array" aca="1" ref="AW291" ca="1">SUM(IF(rcs_start_date&lt;=AO291,1,0)*IF(rcs_end_date&gt;=AO291,1,0)*rcs_amount*(1+rcs_escalation/100)^(INT((AP291-rcs_months_since_start)/12))*IF(MOD((AP291-rcs_months_since_start),rcs_frequency)=0,1,0)*IF(rcs_frequency=13,0,1))+SUM(IF(rcs_start_date=AO291,rcs_amount,0)*IF(rcs_frequency=13,1,0))</f>
        <v>0</v>
      </c>
      <c r="AX291" s="24">
        <f t="shared" ca="1" si="339"/>
        <v>0</v>
      </c>
      <c r="AY291" s="24">
        <f t="shared" ca="1" si="340"/>
        <v>0</v>
      </c>
      <c r="AZ291" s="24">
        <f t="shared" ca="1" si="341"/>
        <v>0</v>
      </c>
      <c r="BA291" s="25">
        <f t="shared" ca="1" si="342"/>
        <v>0</v>
      </c>
      <c r="BB291" s="23">
        <f t="array" aca="1" ref="BB291" ca="1">SUM(IF(w_start_date&lt;=AO291,1,0)*IF(w_end_date&gt;=AO291,1,0)*w_amount*(1+w_escalation/100)^(INT((AP291-w_months_since_start)/12))*IF(MOD(AP291-w_months_since_start,w_frequency)=0,1,0)*IF(w_frequency=13,0,1))+SUM(IF(w_start_date=AO291,w_amount,0)*IF(w_frequency=13,1,0))</f>
        <v>0</v>
      </c>
      <c r="BC291" s="25">
        <f t="shared" ca="1" si="343"/>
        <v>0</v>
      </c>
      <c r="BD291" s="24" t="b">
        <f t="shared" ca="1" si="344"/>
        <v>1</v>
      </c>
      <c r="BE291" s="24" t="b">
        <f t="shared" ca="1" si="345"/>
        <v>1</v>
      </c>
      <c r="BF291" s="23">
        <f t="array" aca="1" ref="BF291" ca="1">SUM(IF(BD291,1,0)*IF(ap_start_date&lt;=AO291,1,0)*IF(ap_end_date&gt;=AO291,1,0)*ap_amount*(1+ap_escalation/100)^(INT((AP291-ap_months_since_start)/12))*IF(MOD(AP291-ap_months_since_start,ap_frequency)=0,1,0))</f>
        <v>56036.12764986886</v>
      </c>
      <c r="BG291" s="24">
        <f t="shared" ca="1" si="346"/>
        <v>672433.53179842618</v>
      </c>
      <c r="BH291" s="24">
        <f t="shared" ca="1" si="347"/>
        <v>21649.412528466481</v>
      </c>
      <c r="BI291">
        <f t="shared" ca="1" si="348"/>
        <v>0</v>
      </c>
      <c r="BJ291" s="24">
        <f t="shared" ca="1" si="349"/>
        <v>151545.88769926535</v>
      </c>
      <c r="BK291">
        <f t="shared" ca="1" si="350"/>
        <v>1</v>
      </c>
      <c r="BL291" s="25">
        <f t="shared" ca="1" si="351"/>
        <v>12628.823974938783</v>
      </c>
      <c r="BM291" s="32">
        <f t="shared" ca="1" si="330"/>
        <v>805960.75496878964</v>
      </c>
      <c r="BN291" s="23">
        <f t="shared" ca="1" si="352"/>
        <v>0</v>
      </c>
      <c r="BO291" s="24">
        <f t="shared" ca="1" si="353"/>
        <v>0</v>
      </c>
      <c r="BP291" s="25">
        <f t="shared" ca="1" si="354"/>
        <v>0</v>
      </c>
      <c r="BQ291" s="34">
        <f t="shared" ca="1" si="355"/>
        <v>54270</v>
      </c>
      <c r="BR291" s="23">
        <f t="shared" ca="1" si="356"/>
        <v>805960.75496878964</v>
      </c>
      <c r="BS291" s="24">
        <f t="shared" ca="1" si="357"/>
        <v>0</v>
      </c>
      <c r="BT291" s="24">
        <f t="shared" ca="1" si="362"/>
        <v>0</v>
      </c>
      <c r="BU291" s="24">
        <f t="shared" ca="1" si="358"/>
        <v>0</v>
      </c>
      <c r="BV291" s="24">
        <f t="shared" ca="1" si="363"/>
        <v>0</v>
      </c>
      <c r="BW291" s="24">
        <f t="shared" ca="1" si="359"/>
        <v>-12628.823974938783</v>
      </c>
      <c r="BX291" s="25">
        <f t="shared" ca="1" si="364"/>
        <v>-155449.91157062608</v>
      </c>
      <c r="BY291" s="23">
        <f t="shared" ca="1" si="331"/>
        <v>318560.21192909125</v>
      </c>
      <c r="BZ291" s="24">
        <f t="shared" ca="1" si="332"/>
        <v>0</v>
      </c>
      <c r="CA291" s="24">
        <f t="shared" ca="1" si="365"/>
        <v>0</v>
      </c>
      <c r="CB291" s="24">
        <f t="shared" ca="1" si="333"/>
        <v>0</v>
      </c>
      <c r="CC291" s="24">
        <f t="shared" ca="1" si="366"/>
        <v>0</v>
      </c>
      <c r="CD291" s="24">
        <f t="shared" ca="1" si="334"/>
        <v>-5007.9500842164871</v>
      </c>
      <c r="CE291" s="25">
        <f t="shared" ca="1" si="367"/>
        <v>-62788.926615649289</v>
      </c>
      <c r="CF291" s="23">
        <f t="shared" ca="1" si="368"/>
        <v>665967.8247619028</v>
      </c>
      <c r="CG291" s="25">
        <f t="array" aca="1" ref="CG291" ca="1">SUM(BF280:BF291/(1+inflation/100)^(AP280:AP291/12))</f>
        <v>267980.53702225373</v>
      </c>
      <c r="CH291" s="32">
        <f ca="1">IFERROR(IF(MOD(AP291-ap_months_since_start,12)=0,ap_drawdown/100*(AQ291+AV291+BA291-BC291),CH290),0)</f>
        <v>133095.49776749546</v>
      </c>
    </row>
    <row r="292" spans="40:86" x14ac:dyDescent="0.25">
      <c r="AN292" s="32">
        <f t="shared" ca="1" si="329"/>
        <v>78.583333333333329</v>
      </c>
      <c r="AO292" s="53">
        <f t="shared" ca="1" si="360"/>
        <v>54271</v>
      </c>
      <c r="AP292" s="22">
        <v>285</v>
      </c>
      <c r="AQ292" s="32">
        <f t="shared" ca="1" si="361"/>
        <v>805960.75496878964</v>
      </c>
      <c r="AR292" s="23">
        <f t="array" aca="1" ref="AR292" ca="1">SUM(IF(lsc_start_date=AO292,lsc_amount,0))</f>
        <v>0</v>
      </c>
      <c r="AS292" s="24">
        <f t="shared" ca="1" si="335"/>
        <v>0</v>
      </c>
      <c r="AT292" s="24">
        <f t="shared" ca="1" si="336"/>
        <v>0</v>
      </c>
      <c r="AU292" s="24">
        <f t="shared" ca="1" si="337"/>
        <v>0</v>
      </c>
      <c r="AV292" s="25">
        <f t="shared" ca="1" si="338"/>
        <v>0</v>
      </c>
      <c r="AW292" s="23">
        <f t="array" aca="1" ref="AW292" ca="1">SUM(IF(rcs_start_date&lt;=AO292,1,0)*IF(rcs_end_date&gt;=AO292,1,0)*rcs_amount*(1+rcs_escalation/100)^(INT((AP292-rcs_months_since_start)/12))*IF(MOD((AP292-rcs_months_since_start),rcs_frequency)=0,1,0)*IF(rcs_frequency=13,0,1))+SUM(IF(rcs_start_date=AO292,rcs_amount,0)*IF(rcs_frequency=13,1,0))</f>
        <v>0</v>
      </c>
      <c r="AX292" s="24">
        <f t="shared" ca="1" si="339"/>
        <v>0</v>
      </c>
      <c r="AY292" s="24">
        <f t="shared" ca="1" si="340"/>
        <v>0</v>
      </c>
      <c r="AZ292" s="24">
        <f t="shared" ca="1" si="341"/>
        <v>0</v>
      </c>
      <c r="BA292" s="25">
        <f t="shared" ca="1" si="342"/>
        <v>0</v>
      </c>
      <c r="BB292" s="23">
        <f t="array" aca="1" ref="BB292" ca="1">SUM(IF(w_start_date&lt;=AO292,1,0)*IF(w_end_date&gt;=AO292,1,0)*w_amount*(1+w_escalation/100)^(INT((AP292-w_months_since_start)/12))*IF(MOD(AP292-w_months_since_start,w_frequency)=0,1,0)*IF(w_frequency=13,0,1))+SUM(IF(w_start_date=AO292,w_amount,0)*IF(w_frequency=13,1,0))</f>
        <v>0</v>
      </c>
      <c r="BC292" s="25">
        <f t="shared" ca="1" si="343"/>
        <v>0</v>
      </c>
      <c r="BD292" s="24" t="b">
        <f t="shared" ca="1" si="344"/>
        <v>1</v>
      </c>
      <c r="BE292" s="24" t="b">
        <f t="shared" ca="1" si="345"/>
        <v>1</v>
      </c>
      <c r="BF292" s="23">
        <f t="array" aca="1" ref="BF292" ca="1">SUM(IF(BD292,1,0)*IF(ap_start_date&lt;=AO292,1,0)*IF(ap_end_date&gt;=AO292,1,0)*ap_amount*(1+ap_escalation/100)^(INT((AP292-ap_months_since_start)/12))*IF(MOD(AP292-ap_months_since_start,ap_frequency)=0,1,0))</f>
        <v>56036.12764986886</v>
      </c>
      <c r="BG292" s="24">
        <f t="shared" ca="1" si="346"/>
        <v>672433.53179842618</v>
      </c>
      <c r="BH292" s="24">
        <f t="shared" ca="1" si="347"/>
        <v>21649.412528466481</v>
      </c>
      <c r="BI292">
        <f t="shared" ca="1" si="348"/>
        <v>0</v>
      </c>
      <c r="BJ292" s="24">
        <f t="shared" ca="1" si="349"/>
        <v>151545.88769926535</v>
      </c>
      <c r="BK292">
        <f t="shared" ca="1" si="350"/>
        <v>1</v>
      </c>
      <c r="BL292" s="25">
        <f t="shared" ca="1" si="351"/>
        <v>12628.823974938783</v>
      </c>
      <c r="BM292" s="32">
        <f t="shared" ca="1" si="330"/>
        <v>799049.73071753851</v>
      </c>
      <c r="BN292" s="23">
        <f t="shared" ca="1" si="352"/>
        <v>0</v>
      </c>
      <c r="BO292" s="24">
        <f t="shared" ca="1" si="353"/>
        <v>0</v>
      </c>
      <c r="BP292" s="25">
        <f t="shared" ca="1" si="354"/>
        <v>0</v>
      </c>
      <c r="BQ292" s="34">
        <f t="shared" ca="1" si="355"/>
        <v>54301</v>
      </c>
      <c r="BR292" s="23">
        <f t="shared" ca="1" si="356"/>
        <v>799049.73071753851</v>
      </c>
      <c r="BS292" s="24">
        <f t="shared" ca="1" si="357"/>
        <v>0</v>
      </c>
      <c r="BT292" s="24">
        <f t="shared" ca="1" si="362"/>
        <v>0</v>
      </c>
      <c r="BU292" s="24">
        <f t="shared" ca="1" si="358"/>
        <v>0</v>
      </c>
      <c r="BV292" s="24">
        <f t="shared" ca="1" si="363"/>
        <v>0</v>
      </c>
      <c r="BW292" s="24">
        <f t="shared" ca="1" si="359"/>
        <v>-12628.823974938783</v>
      </c>
      <c r="BX292" s="25">
        <f t="shared" ca="1" si="364"/>
        <v>-154148.57028017251</v>
      </c>
      <c r="BY292" s="23">
        <f t="shared" ca="1" si="331"/>
        <v>314798.0265546125</v>
      </c>
      <c r="BZ292" s="24">
        <f t="shared" ca="1" si="332"/>
        <v>0</v>
      </c>
      <c r="CA292" s="24">
        <f t="shared" ca="1" si="365"/>
        <v>0</v>
      </c>
      <c r="CB292" s="24">
        <f t="shared" ca="1" si="333"/>
        <v>0</v>
      </c>
      <c r="CC292" s="24">
        <f t="shared" ca="1" si="366"/>
        <v>0</v>
      </c>
      <c r="CD292" s="24">
        <f t="shared" ca="1" si="334"/>
        <v>-4991.6088557283128</v>
      </c>
      <c r="CE292" s="25">
        <f t="shared" ca="1" si="367"/>
        <v>-62054.325818284269</v>
      </c>
      <c r="CF292" s="23">
        <f t="shared" ca="1" si="368"/>
        <v>668123.06044074392</v>
      </c>
      <c r="CG292" s="25">
        <f t="array" aca="1" ref="CG292" ca="1">SUM(BF281:BF292/(1+inflation/100)^(AP281:AP292/12))</f>
        <v>267980.53702225373</v>
      </c>
      <c r="CH292" s="32">
        <f ca="1">IFERROR(IF(MOD(AP292-ap_months_since_start,12)=0,ap_drawdown/100*(AQ292+AV292+BA292-BC292),CH291),0)</f>
        <v>133095.49776749546</v>
      </c>
    </row>
    <row r="293" spans="40:86" x14ac:dyDescent="0.25">
      <c r="AN293" s="32">
        <f t="shared" ca="1" si="329"/>
        <v>78.666666666666671</v>
      </c>
      <c r="AO293" s="53">
        <f t="shared" ca="1" si="360"/>
        <v>54302</v>
      </c>
      <c r="AP293" s="22">
        <v>286</v>
      </c>
      <c r="AQ293" s="32">
        <f t="shared" ca="1" si="361"/>
        <v>799049.73071753851</v>
      </c>
      <c r="AR293" s="23">
        <f t="array" aca="1" ref="AR293" ca="1">SUM(IF(lsc_start_date=AO293,lsc_amount,0))</f>
        <v>0</v>
      </c>
      <c r="AS293" s="24">
        <f t="shared" ca="1" si="335"/>
        <v>0</v>
      </c>
      <c r="AT293" s="24">
        <f t="shared" ca="1" si="336"/>
        <v>0</v>
      </c>
      <c r="AU293" s="24">
        <f t="shared" ca="1" si="337"/>
        <v>0</v>
      </c>
      <c r="AV293" s="25">
        <f t="shared" ca="1" si="338"/>
        <v>0</v>
      </c>
      <c r="AW293" s="23">
        <f t="array" aca="1" ref="AW293" ca="1">SUM(IF(rcs_start_date&lt;=AO293,1,0)*IF(rcs_end_date&gt;=AO293,1,0)*rcs_amount*(1+rcs_escalation/100)^(INT((AP293-rcs_months_since_start)/12))*IF(MOD((AP293-rcs_months_since_start),rcs_frequency)=0,1,0)*IF(rcs_frequency=13,0,1))+SUM(IF(rcs_start_date=AO293,rcs_amount,0)*IF(rcs_frequency=13,1,0))</f>
        <v>0</v>
      </c>
      <c r="AX293" s="24">
        <f t="shared" ca="1" si="339"/>
        <v>0</v>
      </c>
      <c r="AY293" s="24">
        <f t="shared" ca="1" si="340"/>
        <v>0</v>
      </c>
      <c r="AZ293" s="24">
        <f t="shared" ca="1" si="341"/>
        <v>0</v>
      </c>
      <c r="BA293" s="25">
        <f t="shared" ca="1" si="342"/>
        <v>0</v>
      </c>
      <c r="BB293" s="23">
        <f t="array" aca="1" ref="BB293" ca="1">SUM(IF(w_start_date&lt;=AO293,1,0)*IF(w_end_date&gt;=AO293,1,0)*w_amount*(1+w_escalation/100)^(INT((AP293-w_months_since_start)/12))*IF(MOD(AP293-w_months_since_start,w_frequency)=0,1,0)*IF(w_frequency=13,0,1))+SUM(IF(w_start_date=AO293,w_amount,0)*IF(w_frequency=13,1,0))</f>
        <v>0</v>
      </c>
      <c r="BC293" s="25">
        <f t="shared" ca="1" si="343"/>
        <v>0</v>
      </c>
      <c r="BD293" s="24" t="b">
        <f t="shared" ca="1" si="344"/>
        <v>1</v>
      </c>
      <c r="BE293" s="24" t="b">
        <f t="shared" ca="1" si="345"/>
        <v>1</v>
      </c>
      <c r="BF293" s="23">
        <f t="array" aca="1" ref="BF293" ca="1">SUM(IF(BD293,1,0)*IF(ap_start_date&lt;=AO293,1,0)*IF(ap_end_date&gt;=AO293,1,0)*ap_amount*(1+ap_escalation/100)^(INT((AP293-ap_months_since_start)/12))*IF(MOD(AP293-ap_months_since_start,ap_frequency)=0,1,0))</f>
        <v>56036.12764986886</v>
      </c>
      <c r="BG293" s="24">
        <f t="shared" ca="1" si="346"/>
        <v>672433.53179842618</v>
      </c>
      <c r="BH293" s="24">
        <f t="shared" ca="1" si="347"/>
        <v>21649.412528466481</v>
      </c>
      <c r="BI293">
        <f t="shared" ca="1" si="348"/>
        <v>0</v>
      </c>
      <c r="BJ293" s="24">
        <f t="shared" ca="1" si="349"/>
        <v>151545.88769926535</v>
      </c>
      <c r="BK293">
        <f t="shared" ca="1" si="350"/>
        <v>1</v>
      </c>
      <c r="BL293" s="25">
        <f t="shared" ca="1" si="351"/>
        <v>12628.823974938783</v>
      </c>
      <c r="BM293" s="32">
        <f t="shared" ca="1" si="330"/>
        <v>792088.89648006298</v>
      </c>
      <c r="BN293" s="23">
        <f t="shared" ca="1" si="352"/>
        <v>0</v>
      </c>
      <c r="BO293" s="24">
        <f t="shared" ca="1" si="353"/>
        <v>0</v>
      </c>
      <c r="BP293" s="25">
        <f t="shared" ca="1" si="354"/>
        <v>0</v>
      </c>
      <c r="BQ293" s="34">
        <f t="shared" ca="1" si="355"/>
        <v>54331</v>
      </c>
      <c r="BR293" s="23">
        <f t="shared" ca="1" si="356"/>
        <v>792088.89648006298</v>
      </c>
      <c r="BS293" s="24">
        <f t="shared" ca="1" si="357"/>
        <v>0</v>
      </c>
      <c r="BT293" s="24">
        <f t="shared" ca="1" si="362"/>
        <v>0</v>
      </c>
      <c r="BU293" s="24">
        <f t="shared" ca="1" si="358"/>
        <v>0</v>
      </c>
      <c r="BV293" s="24">
        <f t="shared" ca="1" si="363"/>
        <v>0</v>
      </c>
      <c r="BW293" s="24">
        <f t="shared" ca="1" si="359"/>
        <v>-12628.823974938783</v>
      </c>
      <c r="BX293" s="25">
        <f t="shared" ca="1" si="364"/>
        <v>-152847.22898971898</v>
      </c>
      <c r="BY293" s="23">
        <f t="shared" ca="1" si="331"/>
        <v>311037.44236615411</v>
      </c>
      <c r="BZ293" s="24">
        <f t="shared" ca="1" si="332"/>
        <v>0</v>
      </c>
      <c r="CA293" s="24">
        <f t="shared" ca="1" si="365"/>
        <v>0</v>
      </c>
      <c r="CB293" s="24">
        <f t="shared" ca="1" si="333"/>
        <v>0</v>
      </c>
      <c r="CC293" s="24">
        <f t="shared" ca="1" si="366"/>
        <v>0</v>
      </c>
      <c r="CD293" s="24">
        <f t="shared" ca="1" si="334"/>
        <v>-4975.3209496063801</v>
      </c>
      <c r="CE293" s="25">
        <f t="shared" ca="1" si="367"/>
        <v>-61322.122065473493</v>
      </c>
      <c r="CF293" s="23">
        <f t="shared" ca="1" si="368"/>
        <v>670278.29611958505</v>
      </c>
      <c r="CG293" s="25">
        <f t="array" aca="1" ref="CG293" ca="1">SUM(BF282:BF293/(1+inflation/100)^(AP282:AP293/12))</f>
        <v>267980.53702225373</v>
      </c>
      <c r="CH293" s="32">
        <f ca="1">IFERROR(IF(MOD(AP293-ap_months_since_start,12)=0,ap_drawdown/100*(AQ293+AV293+BA293-BC293),CH292),0)</f>
        <v>133095.49776749546</v>
      </c>
    </row>
    <row r="294" spans="40:86" x14ac:dyDescent="0.25">
      <c r="AN294" s="32">
        <f t="shared" ca="1" si="329"/>
        <v>78.75</v>
      </c>
      <c r="AO294" s="53">
        <f t="shared" ca="1" si="360"/>
        <v>54332</v>
      </c>
      <c r="AP294" s="22">
        <v>287</v>
      </c>
      <c r="AQ294" s="32">
        <f t="shared" ca="1" si="361"/>
        <v>792088.89648006298</v>
      </c>
      <c r="AR294" s="23">
        <f t="array" aca="1" ref="AR294" ca="1">SUM(IF(lsc_start_date=AO294,lsc_amount,0))</f>
        <v>0</v>
      </c>
      <c r="AS294" s="24">
        <f t="shared" ca="1" si="335"/>
        <v>0</v>
      </c>
      <c r="AT294" s="24">
        <f t="shared" ca="1" si="336"/>
        <v>0</v>
      </c>
      <c r="AU294" s="24">
        <f t="shared" ca="1" si="337"/>
        <v>0</v>
      </c>
      <c r="AV294" s="25">
        <f t="shared" ca="1" si="338"/>
        <v>0</v>
      </c>
      <c r="AW294" s="23">
        <f t="array" aca="1" ref="AW294" ca="1">SUM(IF(rcs_start_date&lt;=AO294,1,0)*IF(rcs_end_date&gt;=AO294,1,0)*rcs_amount*(1+rcs_escalation/100)^(INT((AP294-rcs_months_since_start)/12))*IF(MOD((AP294-rcs_months_since_start),rcs_frequency)=0,1,0)*IF(rcs_frequency=13,0,1))+SUM(IF(rcs_start_date=AO294,rcs_amount,0)*IF(rcs_frequency=13,1,0))</f>
        <v>0</v>
      </c>
      <c r="AX294" s="24">
        <f t="shared" ca="1" si="339"/>
        <v>0</v>
      </c>
      <c r="AY294" s="24">
        <f t="shared" ca="1" si="340"/>
        <v>0</v>
      </c>
      <c r="AZ294" s="24">
        <f t="shared" ca="1" si="341"/>
        <v>0</v>
      </c>
      <c r="BA294" s="25">
        <f t="shared" ca="1" si="342"/>
        <v>0</v>
      </c>
      <c r="BB294" s="23">
        <f t="array" aca="1" ref="BB294" ca="1">SUM(IF(w_start_date&lt;=AO294,1,0)*IF(w_end_date&gt;=AO294,1,0)*w_amount*(1+w_escalation/100)^(INT((AP294-w_months_since_start)/12))*IF(MOD(AP294-w_months_since_start,w_frequency)=0,1,0)*IF(w_frequency=13,0,1))+SUM(IF(w_start_date=AO294,w_amount,0)*IF(w_frequency=13,1,0))</f>
        <v>0</v>
      </c>
      <c r="BC294" s="25">
        <f t="shared" ca="1" si="343"/>
        <v>0</v>
      </c>
      <c r="BD294" s="24" t="b">
        <f t="shared" ca="1" si="344"/>
        <v>1</v>
      </c>
      <c r="BE294" s="24" t="b">
        <f t="shared" ca="1" si="345"/>
        <v>1</v>
      </c>
      <c r="BF294" s="23">
        <f t="array" aca="1" ref="BF294" ca="1">SUM(IF(BD294,1,0)*IF(ap_start_date&lt;=AO294,1,0)*IF(ap_end_date&gt;=AO294,1,0)*ap_amount*(1+ap_escalation/100)^(INT((AP294-ap_months_since_start)/12))*IF(MOD(AP294-ap_months_since_start,ap_frequency)=0,1,0))</f>
        <v>56036.12764986886</v>
      </c>
      <c r="BG294" s="24">
        <f t="shared" ca="1" si="346"/>
        <v>672433.53179842618</v>
      </c>
      <c r="BH294" s="24">
        <f t="shared" ca="1" si="347"/>
        <v>21649.412528466481</v>
      </c>
      <c r="BI294">
        <f t="shared" ca="1" si="348"/>
        <v>0</v>
      </c>
      <c r="BJ294" s="24">
        <f t="shared" ca="1" si="349"/>
        <v>151545.88769926535</v>
      </c>
      <c r="BK294">
        <f t="shared" ca="1" si="350"/>
        <v>1</v>
      </c>
      <c r="BL294" s="25">
        <f t="shared" ca="1" si="351"/>
        <v>12628.823974938783</v>
      </c>
      <c r="BM294" s="32">
        <f t="shared" ca="1" si="330"/>
        <v>785077.89325968793</v>
      </c>
      <c r="BN294" s="23">
        <f t="shared" ca="1" si="352"/>
        <v>0</v>
      </c>
      <c r="BO294" s="24">
        <f t="shared" ca="1" si="353"/>
        <v>0</v>
      </c>
      <c r="BP294" s="25">
        <f t="shared" ca="1" si="354"/>
        <v>0</v>
      </c>
      <c r="BQ294" s="34">
        <f t="shared" ca="1" si="355"/>
        <v>54362</v>
      </c>
      <c r="BR294" s="23">
        <f t="shared" ca="1" si="356"/>
        <v>785077.89325968793</v>
      </c>
      <c r="BS294" s="24">
        <f t="shared" ca="1" si="357"/>
        <v>0</v>
      </c>
      <c r="BT294" s="24">
        <f t="shared" ca="1" si="362"/>
        <v>0</v>
      </c>
      <c r="BU294" s="24">
        <f t="shared" ca="1" si="358"/>
        <v>0</v>
      </c>
      <c r="BV294" s="24">
        <f t="shared" ca="1" si="363"/>
        <v>0</v>
      </c>
      <c r="BW294" s="24">
        <f t="shared" ca="1" si="359"/>
        <v>-12628.823974938783</v>
      </c>
      <c r="BX294" s="25">
        <f t="shared" ca="1" si="364"/>
        <v>-151545.88769926541</v>
      </c>
      <c r="BY294" s="23">
        <f t="shared" ca="1" si="331"/>
        <v>307278.41228480946</v>
      </c>
      <c r="BZ294" s="24">
        <f t="shared" ca="1" si="332"/>
        <v>0</v>
      </c>
      <c r="CA294" s="24">
        <f t="shared" ca="1" si="365"/>
        <v>0</v>
      </c>
      <c r="CB294" s="24">
        <f t="shared" ca="1" si="333"/>
        <v>0</v>
      </c>
      <c r="CC294" s="24">
        <f t="shared" ca="1" si="366"/>
        <v>0</v>
      </c>
      <c r="CD294" s="24">
        <f t="shared" ca="1" si="334"/>
        <v>-4959.0861918567452</v>
      </c>
      <c r="CE294" s="25">
        <f t="shared" ca="1" si="367"/>
        <v>-60592.307535523047</v>
      </c>
      <c r="CF294" s="23">
        <f t="shared" ca="1" si="368"/>
        <v>672433.53179842618</v>
      </c>
      <c r="CG294" s="25">
        <f t="array" aca="1" ref="CG294" ca="1">SUM(BF283:BF294/(1+inflation/100)^(AP283:AP294/12))</f>
        <v>267980.53702225373</v>
      </c>
      <c r="CH294" s="32">
        <f ca="1">IFERROR(IF(MOD(AP294-ap_months_since_start,12)=0,ap_drawdown/100*(AQ294+AV294+BA294-BC294),CH293),0)</f>
        <v>133095.49776749546</v>
      </c>
    </row>
    <row r="295" spans="40:86" x14ac:dyDescent="0.25">
      <c r="AN295" s="32">
        <f t="shared" ca="1" si="329"/>
        <v>78.833333333333329</v>
      </c>
      <c r="AO295" s="53">
        <f t="shared" ca="1" si="360"/>
        <v>54363</v>
      </c>
      <c r="AP295" s="22">
        <v>288</v>
      </c>
      <c r="AQ295" s="32">
        <f t="shared" ca="1" si="361"/>
        <v>785077.89325968793</v>
      </c>
      <c r="AR295" s="23">
        <f t="array" aca="1" ref="AR295" ca="1">SUM(IF(lsc_start_date=AO295,lsc_amount,0))</f>
        <v>0</v>
      </c>
      <c r="AS295" s="24">
        <f t="shared" ca="1" si="335"/>
        <v>0</v>
      </c>
      <c r="AT295" s="24">
        <f t="shared" ca="1" si="336"/>
        <v>0</v>
      </c>
      <c r="AU295" s="24">
        <f t="shared" ca="1" si="337"/>
        <v>0</v>
      </c>
      <c r="AV295" s="25">
        <f t="shared" ca="1" si="338"/>
        <v>0</v>
      </c>
      <c r="AW295" s="23">
        <f t="array" aca="1" ref="AW295" ca="1">SUM(IF(rcs_start_date&lt;=AO295,1,0)*IF(rcs_end_date&gt;=AO295,1,0)*rcs_amount*(1+rcs_escalation/100)^(INT((AP295-rcs_months_since_start)/12))*IF(MOD((AP295-rcs_months_since_start),rcs_frequency)=0,1,0)*IF(rcs_frequency=13,0,1))+SUM(IF(rcs_start_date=AO295,rcs_amount,0)*IF(rcs_frequency=13,1,0))</f>
        <v>0</v>
      </c>
      <c r="AX295" s="24">
        <f t="shared" ca="1" si="339"/>
        <v>0</v>
      </c>
      <c r="AY295" s="24">
        <f t="shared" ca="1" si="340"/>
        <v>0</v>
      </c>
      <c r="AZ295" s="24">
        <f t="shared" ca="1" si="341"/>
        <v>0</v>
      </c>
      <c r="BA295" s="25">
        <f t="shared" ca="1" si="342"/>
        <v>0</v>
      </c>
      <c r="BB295" s="23">
        <f t="array" aca="1" ref="BB295" ca="1">SUM(IF(w_start_date&lt;=AO295,1,0)*IF(w_end_date&gt;=AO295,1,0)*w_amount*(1+w_escalation/100)^(INT((AP295-w_months_since_start)/12))*IF(MOD(AP295-w_months_since_start,w_frequency)=0,1,0)*IF(w_frequency=13,0,1))+SUM(IF(w_start_date=AO295,w_amount,0)*IF(w_frequency=13,1,0))</f>
        <v>0</v>
      </c>
      <c r="BC295" s="25">
        <f t="shared" ca="1" si="343"/>
        <v>0</v>
      </c>
      <c r="BD295" s="24" t="b">
        <f t="shared" ca="1" si="344"/>
        <v>1</v>
      </c>
      <c r="BE295" s="24" t="b">
        <f t="shared" ca="1" si="345"/>
        <v>1</v>
      </c>
      <c r="BF295" s="23">
        <f t="array" aca="1" ref="BF295" ca="1">SUM(IF(BD295,1,0)*IF(ap_start_date&lt;=AO295,1,0)*IF(ap_end_date&gt;=AO295,1,0)*ap_amount*(1+ap_escalation/100)^(INT((AP295-ap_months_since_start)/12))*IF(MOD(AP295-ap_months_since_start,ap_frequency)=0,1,0))</f>
        <v>58277.572755863614</v>
      </c>
      <c r="BG295" s="24">
        <f t="shared" ca="1" si="346"/>
        <v>699330.87307036342</v>
      </c>
      <c r="BH295" s="24">
        <f t="shared" ca="1" si="347"/>
        <v>19626.9473314922</v>
      </c>
      <c r="BI295">
        <f t="shared" ca="1" si="348"/>
        <v>0</v>
      </c>
      <c r="BJ295" s="24">
        <f t="shared" ca="1" si="349"/>
        <v>137388.63132044539</v>
      </c>
      <c r="BK295">
        <f t="shared" ca="1" si="350"/>
        <v>1</v>
      </c>
      <c r="BL295" s="25">
        <f t="shared" ca="1" si="351"/>
        <v>11449.052610037115</v>
      </c>
      <c r="BM295" s="32">
        <f t="shared" ca="1" si="330"/>
        <v>779204.63383090077</v>
      </c>
      <c r="BN295" s="23">
        <f t="shared" ca="1" si="352"/>
        <v>0</v>
      </c>
      <c r="BO295" s="24">
        <f t="shared" ca="1" si="353"/>
        <v>0</v>
      </c>
      <c r="BP295" s="25">
        <f t="shared" ca="1" si="354"/>
        <v>0</v>
      </c>
      <c r="BQ295" s="34">
        <f t="shared" ca="1" si="355"/>
        <v>54392</v>
      </c>
      <c r="BR295" s="23">
        <f t="shared" ca="1" si="356"/>
        <v>779204.63383090077</v>
      </c>
      <c r="BS295" s="24">
        <f t="shared" ca="1" si="357"/>
        <v>0</v>
      </c>
      <c r="BT295" s="24">
        <f t="shared" ca="1" si="362"/>
        <v>0</v>
      </c>
      <c r="BU295" s="24">
        <f t="shared" ca="1" si="358"/>
        <v>0</v>
      </c>
      <c r="BV295" s="24">
        <f t="shared" ca="1" si="363"/>
        <v>0</v>
      </c>
      <c r="BW295" s="24">
        <f t="shared" ca="1" si="359"/>
        <v>-11449.052610037115</v>
      </c>
      <c r="BX295" s="25">
        <f t="shared" ca="1" si="364"/>
        <v>-150366.11633436376</v>
      </c>
      <c r="BY295" s="23">
        <f t="shared" ca="1" si="331"/>
        <v>303984.46056588308</v>
      </c>
      <c r="BZ295" s="24">
        <f t="shared" ca="1" si="332"/>
        <v>0</v>
      </c>
      <c r="CA295" s="24">
        <f t="shared" ca="1" si="365"/>
        <v>0</v>
      </c>
      <c r="CB295" s="24">
        <f t="shared" ca="1" si="333"/>
        <v>0</v>
      </c>
      <c r="CC295" s="24">
        <f t="shared" ca="1" si="366"/>
        <v>0</v>
      </c>
      <c r="CD295" s="24">
        <f t="shared" ca="1" si="334"/>
        <v>-4481.1435124868049</v>
      </c>
      <c r="CE295" s="25">
        <f t="shared" ca="1" si="367"/>
        <v>-59932.830462594502</v>
      </c>
      <c r="CF295" s="23">
        <f t="shared" ca="1" si="368"/>
        <v>674674.976904421</v>
      </c>
      <c r="CG295" s="25">
        <f t="array" aca="1" ref="CG295" ca="1">SUM(BF284:BF295/(1+inflation/100)^(AP284:AP295/12))</f>
        <v>267980.53702225379</v>
      </c>
      <c r="CH295" s="32">
        <f ca="1">IFERROR(IF(MOD(AP295-ap_months_since_start,12)=0,ap_drawdown/100*(AQ295+AV295+BA295-BC295),CH294),0)</f>
        <v>120661.85728164921</v>
      </c>
    </row>
    <row r="296" spans="40:86" x14ac:dyDescent="0.25">
      <c r="AN296" s="32">
        <f t="shared" ca="1" si="329"/>
        <v>78.916666666666671</v>
      </c>
      <c r="AO296" s="53">
        <f t="shared" ca="1" si="360"/>
        <v>54393</v>
      </c>
      <c r="AP296" s="22">
        <v>289</v>
      </c>
      <c r="AQ296" s="32">
        <f t="shared" ca="1" si="361"/>
        <v>779204.63383090077</v>
      </c>
      <c r="AR296" s="23">
        <f t="array" aca="1" ref="AR296" ca="1">SUM(IF(lsc_start_date=AO296,lsc_amount,0))</f>
        <v>0</v>
      </c>
      <c r="AS296" s="24">
        <f t="shared" ca="1" si="335"/>
        <v>0</v>
      </c>
      <c r="AT296" s="24">
        <f t="shared" ca="1" si="336"/>
        <v>0</v>
      </c>
      <c r="AU296" s="24">
        <f t="shared" ca="1" si="337"/>
        <v>0</v>
      </c>
      <c r="AV296" s="25">
        <f t="shared" ca="1" si="338"/>
        <v>0</v>
      </c>
      <c r="AW296" s="23">
        <f t="array" aca="1" ref="AW296" ca="1">SUM(IF(rcs_start_date&lt;=AO296,1,0)*IF(rcs_end_date&gt;=AO296,1,0)*rcs_amount*(1+rcs_escalation/100)^(INT((AP296-rcs_months_since_start)/12))*IF(MOD((AP296-rcs_months_since_start),rcs_frequency)=0,1,0)*IF(rcs_frequency=13,0,1))+SUM(IF(rcs_start_date=AO296,rcs_amount,0)*IF(rcs_frequency=13,1,0))</f>
        <v>0</v>
      </c>
      <c r="AX296" s="24">
        <f t="shared" ca="1" si="339"/>
        <v>0</v>
      </c>
      <c r="AY296" s="24">
        <f t="shared" ca="1" si="340"/>
        <v>0</v>
      </c>
      <c r="AZ296" s="24">
        <f t="shared" ca="1" si="341"/>
        <v>0</v>
      </c>
      <c r="BA296" s="25">
        <f t="shared" ca="1" si="342"/>
        <v>0</v>
      </c>
      <c r="BB296" s="23">
        <f t="array" aca="1" ref="BB296" ca="1">SUM(IF(w_start_date&lt;=AO296,1,0)*IF(w_end_date&gt;=AO296,1,0)*w_amount*(1+w_escalation/100)^(INT((AP296-w_months_since_start)/12))*IF(MOD(AP296-w_months_since_start,w_frequency)=0,1,0)*IF(w_frequency=13,0,1))+SUM(IF(w_start_date=AO296,w_amount,0)*IF(w_frequency=13,1,0))</f>
        <v>0</v>
      </c>
      <c r="BC296" s="25">
        <f t="shared" ca="1" si="343"/>
        <v>0</v>
      </c>
      <c r="BD296" s="24" t="b">
        <f t="shared" ca="1" si="344"/>
        <v>1</v>
      </c>
      <c r="BE296" s="24" t="b">
        <f t="shared" ca="1" si="345"/>
        <v>1</v>
      </c>
      <c r="BF296" s="23">
        <f t="array" aca="1" ref="BF296" ca="1">SUM(IF(BD296,1,0)*IF(ap_start_date&lt;=AO296,1,0)*IF(ap_end_date&gt;=AO296,1,0)*ap_amount*(1+ap_escalation/100)^(INT((AP296-ap_months_since_start)/12))*IF(MOD(AP296-ap_months_since_start,ap_frequency)=0,1,0))</f>
        <v>58277.572755863614</v>
      </c>
      <c r="BG296" s="24">
        <f t="shared" ca="1" si="346"/>
        <v>699330.87307036342</v>
      </c>
      <c r="BH296" s="24">
        <f t="shared" ca="1" si="347"/>
        <v>19626.9473314922</v>
      </c>
      <c r="BI296">
        <f t="shared" ca="1" si="348"/>
        <v>0</v>
      </c>
      <c r="BJ296" s="24">
        <f t="shared" ca="1" si="349"/>
        <v>137388.63132044539</v>
      </c>
      <c r="BK296">
        <f t="shared" ca="1" si="350"/>
        <v>1</v>
      </c>
      <c r="BL296" s="25">
        <f t="shared" ca="1" si="351"/>
        <v>11449.052610037115</v>
      </c>
      <c r="BM296" s="32">
        <f t="shared" ca="1" si="330"/>
        <v>773289.04392249079</v>
      </c>
      <c r="BN296" s="23">
        <f t="shared" ca="1" si="352"/>
        <v>0</v>
      </c>
      <c r="BO296" s="24">
        <f t="shared" ca="1" si="353"/>
        <v>0</v>
      </c>
      <c r="BP296" s="25">
        <f t="shared" ca="1" si="354"/>
        <v>0</v>
      </c>
      <c r="BQ296" s="34">
        <f t="shared" ca="1" si="355"/>
        <v>54423</v>
      </c>
      <c r="BR296" s="23">
        <f t="shared" ca="1" si="356"/>
        <v>773289.04392249079</v>
      </c>
      <c r="BS296" s="24">
        <f t="shared" ca="1" si="357"/>
        <v>0</v>
      </c>
      <c r="BT296" s="24">
        <f t="shared" ca="1" si="362"/>
        <v>0</v>
      </c>
      <c r="BU296" s="24">
        <f t="shared" ca="1" si="358"/>
        <v>0</v>
      </c>
      <c r="BV296" s="24">
        <f t="shared" ca="1" si="363"/>
        <v>0</v>
      </c>
      <c r="BW296" s="24">
        <f t="shared" ca="1" si="359"/>
        <v>-11449.052610037115</v>
      </c>
      <c r="BX296" s="25">
        <f t="shared" ca="1" si="364"/>
        <v>-149186.34496946208</v>
      </c>
      <c r="BY296" s="23">
        <f t="shared" ca="1" si="331"/>
        <v>300692.27365074877</v>
      </c>
      <c r="BZ296" s="24">
        <f t="shared" ca="1" si="332"/>
        <v>0</v>
      </c>
      <c r="CA296" s="24">
        <f t="shared" ca="1" si="365"/>
        <v>0</v>
      </c>
      <c r="CB296" s="24">
        <f t="shared" ca="1" si="333"/>
        <v>0</v>
      </c>
      <c r="CC296" s="24">
        <f t="shared" ca="1" si="366"/>
        <v>0</v>
      </c>
      <c r="CD296" s="24">
        <f t="shared" ca="1" si="334"/>
        <v>-4466.5212840711019</v>
      </c>
      <c r="CE296" s="25">
        <f t="shared" ca="1" si="367"/>
        <v>-59275.505301196667</v>
      </c>
      <c r="CF296" s="23">
        <f t="shared" ca="1" si="368"/>
        <v>676916.42201041582</v>
      </c>
      <c r="CG296" s="25">
        <f t="array" aca="1" ref="CG296" ca="1">SUM(BF285:BF296/(1+inflation/100)^(AP285:AP296/12))</f>
        <v>267980.53702225373</v>
      </c>
      <c r="CH296" s="32">
        <f ca="1">IFERROR(IF(MOD(AP296-ap_months_since_start,12)=0,ap_drawdown/100*(AQ296+AV296+BA296-BC296),CH295),0)</f>
        <v>120661.85728164921</v>
      </c>
    </row>
    <row r="297" spans="40:86" x14ac:dyDescent="0.25">
      <c r="AN297" s="32">
        <f t="shared" ca="1" si="329"/>
        <v>79</v>
      </c>
      <c r="AO297" s="53">
        <f t="shared" ca="1" si="360"/>
        <v>54424</v>
      </c>
      <c r="AP297" s="22">
        <v>290</v>
      </c>
      <c r="AQ297" s="32">
        <f t="shared" ca="1" si="361"/>
        <v>773289.04392249079</v>
      </c>
      <c r="AR297" s="23">
        <f t="array" aca="1" ref="AR297" ca="1">SUM(IF(lsc_start_date=AO297,lsc_amount,0))</f>
        <v>0</v>
      </c>
      <c r="AS297" s="24">
        <f t="shared" ca="1" si="335"/>
        <v>0</v>
      </c>
      <c r="AT297" s="24">
        <f t="shared" ca="1" si="336"/>
        <v>0</v>
      </c>
      <c r="AU297" s="24">
        <f t="shared" ca="1" si="337"/>
        <v>0</v>
      </c>
      <c r="AV297" s="25">
        <f t="shared" ca="1" si="338"/>
        <v>0</v>
      </c>
      <c r="AW297" s="23">
        <f t="array" aca="1" ref="AW297" ca="1">SUM(IF(rcs_start_date&lt;=AO297,1,0)*IF(rcs_end_date&gt;=AO297,1,0)*rcs_amount*(1+rcs_escalation/100)^(INT((AP297-rcs_months_since_start)/12))*IF(MOD((AP297-rcs_months_since_start),rcs_frequency)=0,1,0)*IF(rcs_frequency=13,0,1))+SUM(IF(rcs_start_date=AO297,rcs_amount,0)*IF(rcs_frequency=13,1,0))</f>
        <v>0</v>
      </c>
      <c r="AX297" s="24">
        <f t="shared" ca="1" si="339"/>
        <v>0</v>
      </c>
      <c r="AY297" s="24">
        <f t="shared" ca="1" si="340"/>
        <v>0</v>
      </c>
      <c r="AZ297" s="24">
        <f t="shared" ca="1" si="341"/>
        <v>0</v>
      </c>
      <c r="BA297" s="25">
        <f t="shared" ca="1" si="342"/>
        <v>0</v>
      </c>
      <c r="BB297" s="23">
        <f t="array" aca="1" ref="BB297" ca="1">SUM(IF(w_start_date&lt;=AO297,1,0)*IF(w_end_date&gt;=AO297,1,0)*w_amount*(1+w_escalation/100)^(INT((AP297-w_months_since_start)/12))*IF(MOD(AP297-w_months_since_start,w_frequency)=0,1,0)*IF(w_frequency=13,0,1))+SUM(IF(w_start_date=AO297,w_amount,0)*IF(w_frequency=13,1,0))</f>
        <v>0</v>
      </c>
      <c r="BC297" s="25">
        <f t="shared" ca="1" si="343"/>
        <v>0</v>
      </c>
      <c r="BD297" s="24" t="b">
        <f t="shared" ca="1" si="344"/>
        <v>1</v>
      </c>
      <c r="BE297" s="24" t="b">
        <f t="shared" ca="1" si="345"/>
        <v>1</v>
      </c>
      <c r="BF297" s="23">
        <f t="array" aca="1" ref="BF297" ca="1">SUM(IF(BD297,1,0)*IF(ap_start_date&lt;=AO297,1,0)*IF(ap_end_date&gt;=AO297,1,0)*ap_amount*(1+ap_escalation/100)^(INT((AP297-ap_months_since_start)/12))*IF(MOD(AP297-ap_months_since_start,ap_frequency)=0,1,0))</f>
        <v>58277.572755863614</v>
      </c>
      <c r="BG297" s="24">
        <f t="shared" ca="1" si="346"/>
        <v>699330.87307036342</v>
      </c>
      <c r="BH297" s="24">
        <f t="shared" ca="1" si="347"/>
        <v>19626.9473314922</v>
      </c>
      <c r="BI297">
        <f t="shared" ca="1" si="348"/>
        <v>0</v>
      </c>
      <c r="BJ297" s="24">
        <f t="shared" ca="1" si="349"/>
        <v>137388.63132044539</v>
      </c>
      <c r="BK297">
        <f t="shared" ca="1" si="350"/>
        <v>1</v>
      </c>
      <c r="BL297" s="25">
        <f t="shared" ca="1" si="351"/>
        <v>11449.052610037115</v>
      </c>
      <c r="BM297" s="32">
        <f t="shared" ca="1" si="330"/>
        <v>767330.81844500534</v>
      </c>
      <c r="BN297" s="23">
        <f t="shared" ca="1" si="352"/>
        <v>0</v>
      </c>
      <c r="BO297" s="24">
        <f t="shared" ca="1" si="353"/>
        <v>0</v>
      </c>
      <c r="BP297" s="25">
        <f t="shared" ca="1" si="354"/>
        <v>0</v>
      </c>
      <c r="BQ297" s="34">
        <f t="shared" ca="1" si="355"/>
        <v>54454</v>
      </c>
      <c r="BR297" s="23">
        <f t="shared" ca="1" si="356"/>
        <v>767330.81844500534</v>
      </c>
      <c r="BS297" s="24">
        <f t="shared" ca="1" si="357"/>
        <v>0</v>
      </c>
      <c r="BT297" s="24">
        <f t="shared" ca="1" si="362"/>
        <v>0</v>
      </c>
      <c r="BU297" s="24">
        <f t="shared" ca="1" si="358"/>
        <v>0</v>
      </c>
      <c r="BV297" s="24">
        <f t="shared" ca="1" si="363"/>
        <v>0</v>
      </c>
      <c r="BW297" s="24">
        <f t="shared" ca="1" si="359"/>
        <v>-11449.052610037115</v>
      </c>
      <c r="BX297" s="25">
        <f t="shared" ca="1" si="364"/>
        <v>-148006.57360456043</v>
      </c>
      <c r="BY297" s="23">
        <f t="shared" ca="1" si="331"/>
        <v>297401.8105585156</v>
      </c>
      <c r="BZ297" s="24">
        <f t="shared" ca="1" si="332"/>
        <v>0</v>
      </c>
      <c r="CA297" s="24">
        <f t="shared" ca="1" si="365"/>
        <v>0</v>
      </c>
      <c r="CB297" s="24">
        <f t="shared" ca="1" si="333"/>
        <v>0</v>
      </c>
      <c r="CC297" s="24">
        <f t="shared" ca="1" si="366"/>
        <v>0</v>
      </c>
      <c r="CD297" s="24">
        <f t="shared" ca="1" si="334"/>
        <v>-4451.9467688257673</v>
      </c>
      <c r="CE297" s="25">
        <f t="shared" ca="1" si="367"/>
        <v>-58620.325029518732</v>
      </c>
      <c r="CF297" s="23">
        <f t="shared" ca="1" si="368"/>
        <v>679157.86711641063</v>
      </c>
      <c r="CG297" s="25">
        <f t="array" aca="1" ref="CG297" ca="1">SUM(BF286:BF297/(1+inflation/100)^(AP286:AP297/12))</f>
        <v>267980.53702225379</v>
      </c>
      <c r="CH297" s="32">
        <f ca="1">IFERROR(IF(MOD(AP297-ap_months_since_start,12)=0,ap_drawdown/100*(AQ297+AV297+BA297-BC297),CH296),0)</f>
        <v>120661.85728164921</v>
      </c>
    </row>
    <row r="298" spans="40:86" x14ac:dyDescent="0.25">
      <c r="AN298" s="32">
        <f t="shared" ca="1" si="329"/>
        <v>79.083333333333329</v>
      </c>
      <c r="AO298" s="53">
        <f t="shared" ca="1" si="360"/>
        <v>54455</v>
      </c>
      <c r="AP298" s="22">
        <v>291</v>
      </c>
      <c r="AQ298" s="32">
        <f t="shared" ca="1" si="361"/>
        <v>767330.81844500534</v>
      </c>
      <c r="AR298" s="23">
        <f t="array" aca="1" ref="AR298" ca="1">SUM(IF(lsc_start_date=AO298,lsc_amount,0))</f>
        <v>0</v>
      </c>
      <c r="AS298" s="24">
        <f t="shared" ca="1" si="335"/>
        <v>0</v>
      </c>
      <c r="AT298" s="24">
        <f t="shared" ca="1" si="336"/>
        <v>0</v>
      </c>
      <c r="AU298" s="24">
        <f t="shared" ca="1" si="337"/>
        <v>0</v>
      </c>
      <c r="AV298" s="25">
        <f t="shared" ca="1" si="338"/>
        <v>0</v>
      </c>
      <c r="AW298" s="23">
        <f t="array" aca="1" ref="AW298" ca="1">SUM(IF(rcs_start_date&lt;=AO298,1,0)*IF(rcs_end_date&gt;=AO298,1,0)*rcs_amount*(1+rcs_escalation/100)^(INT((AP298-rcs_months_since_start)/12))*IF(MOD((AP298-rcs_months_since_start),rcs_frequency)=0,1,0)*IF(rcs_frequency=13,0,1))+SUM(IF(rcs_start_date=AO298,rcs_amount,0)*IF(rcs_frequency=13,1,0))</f>
        <v>0</v>
      </c>
      <c r="AX298" s="24">
        <f t="shared" ca="1" si="339"/>
        <v>0</v>
      </c>
      <c r="AY298" s="24">
        <f t="shared" ca="1" si="340"/>
        <v>0</v>
      </c>
      <c r="AZ298" s="24">
        <f t="shared" ca="1" si="341"/>
        <v>0</v>
      </c>
      <c r="BA298" s="25">
        <f t="shared" ca="1" si="342"/>
        <v>0</v>
      </c>
      <c r="BB298" s="23">
        <f t="array" aca="1" ref="BB298" ca="1">SUM(IF(w_start_date&lt;=AO298,1,0)*IF(w_end_date&gt;=AO298,1,0)*w_amount*(1+w_escalation/100)^(INT((AP298-w_months_since_start)/12))*IF(MOD(AP298-w_months_since_start,w_frequency)=0,1,0)*IF(w_frequency=13,0,1))+SUM(IF(w_start_date=AO298,w_amount,0)*IF(w_frequency=13,1,0))</f>
        <v>0</v>
      </c>
      <c r="BC298" s="25">
        <f t="shared" ca="1" si="343"/>
        <v>0</v>
      </c>
      <c r="BD298" s="24" t="b">
        <f t="shared" ca="1" si="344"/>
        <v>1</v>
      </c>
      <c r="BE298" s="24" t="b">
        <f t="shared" ca="1" si="345"/>
        <v>1</v>
      </c>
      <c r="BF298" s="23">
        <f t="array" aca="1" ref="BF298" ca="1">SUM(IF(BD298,1,0)*IF(ap_start_date&lt;=AO298,1,0)*IF(ap_end_date&gt;=AO298,1,0)*ap_amount*(1+ap_escalation/100)^(INT((AP298-ap_months_since_start)/12))*IF(MOD(AP298-ap_months_since_start,ap_frequency)=0,1,0))</f>
        <v>58277.572755863614</v>
      </c>
      <c r="BG298" s="24">
        <f t="shared" ca="1" si="346"/>
        <v>699330.87307036342</v>
      </c>
      <c r="BH298" s="24">
        <f t="shared" ca="1" si="347"/>
        <v>19626.9473314922</v>
      </c>
      <c r="BI298">
        <f t="shared" ca="1" si="348"/>
        <v>0</v>
      </c>
      <c r="BJ298" s="24">
        <f t="shared" ca="1" si="349"/>
        <v>137388.63132044539</v>
      </c>
      <c r="BK298">
        <f t="shared" ca="1" si="350"/>
        <v>1</v>
      </c>
      <c r="BL298" s="25">
        <f t="shared" ca="1" si="351"/>
        <v>11449.052610037115</v>
      </c>
      <c r="BM298" s="32">
        <f t="shared" ca="1" si="330"/>
        <v>761329.6501101132</v>
      </c>
      <c r="BN298" s="23">
        <f t="shared" ca="1" si="352"/>
        <v>0</v>
      </c>
      <c r="BO298" s="24">
        <f t="shared" ca="1" si="353"/>
        <v>0</v>
      </c>
      <c r="BP298" s="25">
        <f t="shared" ca="1" si="354"/>
        <v>0</v>
      </c>
      <c r="BQ298" s="34">
        <f t="shared" ca="1" si="355"/>
        <v>54482</v>
      </c>
      <c r="BR298" s="23">
        <f t="shared" ca="1" si="356"/>
        <v>761329.6501101132</v>
      </c>
      <c r="BS298" s="24">
        <f t="shared" ca="1" si="357"/>
        <v>0</v>
      </c>
      <c r="BT298" s="24">
        <f t="shared" ca="1" si="362"/>
        <v>0</v>
      </c>
      <c r="BU298" s="24">
        <f t="shared" ca="1" si="358"/>
        <v>0</v>
      </c>
      <c r="BV298" s="24">
        <f t="shared" ca="1" si="363"/>
        <v>0</v>
      </c>
      <c r="BW298" s="24">
        <f t="shared" ca="1" si="359"/>
        <v>-11449.052610037115</v>
      </c>
      <c r="BX298" s="25">
        <f t="shared" ca="1" si="364"/>
        <v>-146826.80223965875</v>
      </c>
      <c r="BY298" s="23">
        <f t="shared" ca="1" si="331"/>
        <v>294113.03030391858</v>
      </c>
      <c r="BZ298" s="24">
        <f t="shared" ca="1" si="332"/>
        <v>0</v>
      </c>
      <c r="CA298" s="24">
        <f t="shared" ca="1" si="365"/>
        <v>0</v>
      </c>
      <c r="CB298" s="24">
        <f t="shared" ca="1" si="333"/>
        <v>0</v>
      </c>
      <c r="CC298" s="24">
        <f t="shared" ca="1" si="366"/>
        <v>0</v>
      </c>
      <c r="CD298" s="24">
        <f t="shared" ca="1" si="334"/>
        <v>-4437.4198110599818</v>
      </c>
      <c r="CE298" s="25">
        <f t="shared" ca="1" si="367"/>
        <v>-57967.282648662476</v>
      </c>
      <c r="CF298" s="23">
        <f t="shared" ca="1" si="368"/>
        <v>681399.31222240534</v>
      </c>
      <c r="CG298" s="25">
        <f t="array" aca="1" ref="CG298" ca="1">SUM(BF287:BF298/(1+inflation/100)^(AP287:AP298/12))</f>
        <v>267980.53702225379</v>
      </c>
      <c r="CH298" s="32">
        <f ca="1">IFERROR(IF(MOD(AP298-ap_months_since_start,12)=0,ap_drawdown/100*(AQ298+AV298+BA298-BC298),CH297),0)</f>
        <v>120661.85728164921</v>
      </c>
    </row>
    <row r="299" spans="40:86" x14ac:dyDescent="0.25">
      <c r="AN299" s="32">
        <f t="shared" ca="1" si="329"/>
        <v>79.166666666666671</v>
      </c>
      <c r="AO299" s="53">
        <f t="shared" ca="1" si="360"/>
        <v>54483</v>
      </c>
      <c r="AP299" s="22">
        <v>292</v>
      </c>
      <c r="AQ299" s="32">
        <f t="shared" ca="1" si="361"/>
        <v>761329.6501101132</v>
      </c>
      <c r="AR299" s="23">
        <f t="array" aca="1" ref="AR299" ca="1">SUM(IF(lsc_start_date=AO299,lsc_amount,0))</f>
        <v>0</v>
      </c>
      <c r="AS299" s="24">
        <f t="shared" ca="1" si="335"/>
        <v>0</v>
      </c>
      <c r="AT299" s="24">
        <f t="shared" ca="1" si="336"/>
        <v>0</v>
      </c>
      <c r="AU299" s="24">
        <f t="shared" ca="1" si="337"/>
        <v>0</v>
      </c>
      <c r="AV299" s="25">
        <f t="shared" ca="1" si="338"/>
        <v>0</v>
      </c>
      <c r="AW299" s="23">
        <f t="array" aca="1" ref="AW299" ca="1">SUM(IF(rcs_start_date&lt;=AO299,1,0)*IF(rcs_end_date&gt;=AO299,1,0)*rcs_amount*(1+rcs_escalation/100)^(INT((AP299-rcs_months_since_start)/12))*IF(MOD((AP299-rcs_months_since_start),rcs_frequency)=0,1,0)*IF(rcs_frequency=13,0,1))+SUM(IF(rcs_start_date=AO299,rcs_amount,0)*IF(rcs_frequency=13,1,0))</f>
        <v>0</v>
      </c>
      <c r="AX299" s="24">
        <f t="shared" ca="1" si="339"/>
        <v>0</v>
      </c>
      <c r="AY299" s="24">
        <f t="shared" ca="1" si="340"/>
        <v>0</v>
      </c>
      <c r="AZ299" s="24">
        <f t="shared" ca="1" si="341"/>
        <v>0</v>
      </c>
      <c r="BA299" s="25">
        <f t="shared" ca="1" si="342"/>
        <v>0</v>
      </c>
      <c r="BB299" s="23">
        <f t="array" aca="1" ref="BB299" ca="1">SUM(IF(w_start_date&lt;=AO299,1,0)*IF(w_end_date&gt;=AO299,1,0)*w_amount*(1+w_escalation/100)^(INT((AP299-w_months_since_start)/12))*IF(MOD(AP299-w_months_since_start,w_frequency)=0,1,0)*IF(w_frequency=13,0,1))+SUM(IF(w_start_date=AO299,w_amount,0)*IF(w_frequency=13,1,0))</f>
        <v>0</v>
      </c>
      <c r="BC299" s="25">
        <f t="shared" ca="1" si="343"/>
        <v>0</v>
      </c>
      <c r="BD299" s="24" t="b">
        <f t="shared" ca="1" si="344"/>
        <v>1</v>
      </c>
      <c r="BE299" s="24" t="b">
        <f t="shared" ca="1" si="345"/>
        <v>1</v>
      </c>
      <c r="BF299" s="23">
        <f t="array" aca="1" ref="BF299" ca="1">SUM(IF(BD299,1,0)*IF(ap_start_date&lt;=AO299,1,0)*IF(ap_end_date&gt;=AO299,1,0)*ap_amount*(1+ap_escalation/100)^(INT((AP299-ap_months_since_start)/12))*IF(MOD(AP299-ap_months_since_start,ap_frequency)=0,1,0))</f>
        <v>58277.572755863614</v>
      </c>
      <c r="BG299" s="24">
        <f t="shared" ca="1" si="346"/>
        <v>699330.87307036342</v>
      </c>
      <c r="BH299" s="24">
        <f t="shared" ca="1" si="347"/>
        <v>19626.9473314922</v>
      </c>
      <c r="BI299">
        <f t="shared" ca="1" si="348"/>
        <v>0</v>
      </c>
      <c r="BJ299" s="24">
        <f t="shared" ca="1" si="349"/>
        <v>137388.63132044539</v>
      </c>
      <c r="BK299">
        <f t="shared" ca="1" si="350"/>
        <v>1</v>
      </c>
      <c r="BL299" s="25">
        <f t="shared" ca="1" si="351"/>
        <v>11449.052610037115</v>
      </c>
      <c r="BM299" s="32">
        <f t="shared" ca="1" si="330"/>
        <v>755285.22941475688</v>
      </c>
      <c r="BN299" s="23">
        <f t="shared" ca="1" si="352"/>
        <v>0</v>
      </c>
      <c r="BO299" s="24">
        <f t="shared" ca="1" si="353"/>
        <v>0</v>
      </c>
      <c r="BP299" s="25">
        <f t="shared" ca="1" si="354"/>
        <v>0</v>
      </c>
      <c r="BQ299" s="34">
        <f t="shared" ca="1" si="355"/>
        <v>54513</v>
      </c>
      <c r="BR299" s="23">
        <f t="shared" ca="1" si="356"/>
        <v>755285.22941475688</v>
      </c>
      <c r="BS299" s="24">
        <f t="shared" ca="1" si="357"/>
        <v>0</v>
      </c>
      <c r="BT299" s="24">
        <f t="shared" ca="1" si="362"/>
        <v>0</v>
      </c>
      <c r="BU299" s="24">
        <f t="shared" ca="1" si="358"/>
        <v>0</v>
      </c>
      <c r="BV299" s="24">
        <f t="shared" ca="1" si="363"/>
        <v>0</v>
      </c>
      <c r="BW299" s="24">
        <f t="shared" ca="1" si="359"/>
        <v>-11449.052610037115</v>
      </c>
      <c r="BX299" s="25">
        <f t="shared" ca="1" si="364"/>
        <v>-145647.0308747571</v>
      </c>
      <c r="BY299" s="23">
        <f t="shared" ca="1" si="331"/>
        <v>290825.89189679065</v>
      </c>
      <c r="BZ299" s="24">
        <f t="shared" ca="1" si="332"/>
        <v>0</v>
      </c>
      <c r="CA299" s="24">
        <f t="shared" ca="1" si="365"/>
        <v>0</v>
      </c>
      <c r="CB299" s="24">
        <f t="shared" ca="1" si="333"/>
        <v>0</v>
      </c>
      <c r="CC299" s="24">
        <f t="shared" ca="1" si="366"/>
        <v>0</v>
      </c>
      <c r="CD299" s="24">
        <f t="shared" ca="1" si="334"/>
        <v>-4422.9402555909655</v>
      </c>
      <c r="CE299" s="25">
        <f t="shared" ca="1" si="367"/>
        <v>-57316.371182567455</v>
      </c>
      <c r="CF299" s="23">
        <f t="shared" ca="1" si="368"/>
        <v>683640.75732840016</v>
      </c>
      <c r="CG299" s="25">
        <f t="array" aca="1" ref="CG299" ca="1">SUM(BF288:BF299/(1+inflation/100)^(AP288:AP299/12))</f>
        <v>267980.53702225379</v>
      </c>
      <c r="CH299" s="32">
        <f ca="1">IFERROR(IF(MOD(AP299-ap_months_since_start,12)=0,ap_drawdown/100*(AQ299+AV299+BA299-BC299),CH298),0)</f>
        <v>120661.85728164921</v>
      </c>
    </row>
    <row r="300" spans="40:86" x14ac:dyDescent="0.25">
      <c r="AN300" s="32">
        <f t="shared" ca="1" si="329"/>
        <v>79.25</v>
      </c>
      <c r="AO300" s="53">
        <f t="shared" ca="1" si="360"/>
        <v>54514</v>
      </c>
      <c r="AP300" s="22">
        <v>293</v>
      </c>
      <c r="AQ300" s="32">
        <f t="shared" ca="1" si="361"/>
        <v>755285.22941475688</v>
      </c>
      <c r="AR300" s="23">
        <f t="array" aca="1" ref="AR300" ca="1">SUM(IF(lsc_start_date=AO300,lsc_amount,0))</f>
        <v>0</v>
      </c>
      <c r="AS300" s="24">
        <f t="shared" ca="1" si="335"/>
        <v>0</v>
      </c>
      <c r="AT300" s="24">
        <f t="shared" ca="1" si="336"/>
        <v>0</v>
      </c>
      <c r="AU300" s="24">
        <f t="shared" ca="1" si="337"/>
        <v>0</v>
      </c>
      <c r="AV300" s="25">
        <f t="shared" ca="1" si="338"/>
        <v>0</v>
      </c>
      <c r="AW300" s="23">
        <f t="array" aca="1" ref="AW300" ca="1">SUM(IF(rcs_start_date&lt;=AO300,1,0)*IF(rcs_end_date&gt;=AO300,1,0)*rcs_amount*(1+rcs_escalation/100)^(INT((AP300-rcs_months_since_start)/12))*IF(MOD((AP300-rcs_months_since_start),rcs_frequency)=0,1,0)*IF(rcs_frequency=13,0,1))+SUM(IF(rcs_start_date=AO300,rcs_amount,0)*IF(rcs_frequency=13,1,0))</f>
        <v>0</v>
      </c>
      <c r="AX300" s="24">
        <f t="shared" ca="1" si="339"/>
        <v>0</v>
      </c>
      <c r="AY300" s="24">
        <f t="shared" ca="1" si="340"/>
        <v>0</v>
      </c>
      <c r="AZ300" s="24">
        <f t="shared" ca="1" si="341"/>
        <v>0</v>
      </c>
      <c r="BA300" s="25">
        <f t="shared" ca="1" si="342"/>
        <v>0</v>
      </c>
      <c r="BB300" s="23">
        <f t="array" aca="1" ref="BB300" ca="1">SUM(IF(w_start_date&lt;=AO300,1,0)*IF(w_end_date&gt;=AO300,1,0)*w_amount*(1+w_escalation/100)^(INT((AP300-w_months_since_start)/12))*IF(MOD(AP300-w_months_since_start,w_frequency)=0,1,0)*IF(w_frequency=13,0,1))+SUM(IF(w_start_date=AO300,w_amount,0)*IF(w_frequency=13,1,0))</f>
        <v>0</v>
      </c>
      <c r="BC300" s="25">
        <f t="shared" ca="1" si="343"/>
        <v>0</v>
      </c>
      <c r="BD300" s="24" t="b">
        <f t="shared" ca="1" si="344"/>
        <v>1</v>
      </c>
      <c r="BE300" s="24" t="b">
        <f t="shared" ca="1" si="345"/>
        <v>1</v>
      </c>
      <c r="BF300" s="23">
        <f t="array" aca="1" ref="BF300" ca="1">SUM(IF(BD300,1,0)*IF(ap_start_date&lt;=AO300,1,0)*IF(ap_end_date&gt;=AO300,1,0)*ap_amount*(1+ap_escalation/100)^(INT((AP300-ap_months_since_start)/12))*IF(MOD(AP300-ap_months_since_start,ap_frequency)=0,1,0))</f>
        <v>58277.572755863614</v>
      </c>
      <c r="BG300" s="24">
        <f t="shared" ca="1" si="346"/>
        <v>699330.87307036342</v>
      </c>
      <c r="BH300" s="24">
        <f t="shared" ca="1" si="347"/>
        <v>19626.9473314922</v>
      </c>
      <c r="BI300">
        <f t="shared" ca="1" si="348"/>
        <v>0</v>
      </c>
      <c r="BJ300" s="24">
        <f t="shared" ca="1" si="349"/>
        <v>137388.63132044539</v>
      </c>
      <c r="BK300">
        <f t="shared" ca="1" si="350"/>
        <v>1</v>
      </c>
      <c r="BL300" s="25">
        <f t="shared" ca="1" si="351"/>
        <v>11449.052610037115</v>
      </c>
      <c r="BM300" s="32">
        <f t="shared" ca="1" si="330"/>
        <v>749197.24462519039</v>
      </c>
      <c r="BN300" s="23">
        <f t="shared" ca="1" si="352"/>
        <v>0</v>
      </c>
      <c r="BO300" s="24">
        <f t="shared" ca="1" si="353"/>
        <v>0</v>
      </c>
      <c r="BP300" s="25">
        <f t="shared" ca="1" si="354"/>
        <v>0</v>
      </c>
      <c r="BQ300" s="34">
        <f t="shared" ca="1" si="355"/>
        <v>54543</v>
      </c>
      <c r="BR300" s="23">
        <f t="shared" ca="1" si="356"/>
        <v>749197.24462519039</v>
      </c>
      <c r="BS300" s="24">
        <f t="shared" ca="1" si="357"/>
        <v>0</v>
      </c>
      <c r="BT300" s="24">
        <f t="shared" ca="1" si="362"/>
        <v>0</v>
      </c>
      <c r="BU300" s="24">
        <f t="shared" ca="1" si="358"/>
        <v>0</v>
      </c>
      <c r="BV300" s="24">
        <f t="shared" ca="1" si="363"/>
        <v>0</v>
      </c>
      <c r="BW300" s="24">
        <f t="shared" ca="1" si="359"/>
        <v>-11449.052610037115</v>
      </c>
      <c r="BX300" s="25">
        <f t="shared" ca="1" si="364"/>
        <v>-144467.25950985542</v>
      </c>
      <c r="BY300" s="23">
        <f t="shared" ca="1" si="331"/>
        <v>287540.35434153577</v>
      </c>
      <c r="BZ300" s="24">
        <f t="shared" ca="1" si="332"/>
        <v>0</v>
      </c>
      <c r="CA300" s="24">
        <f t="shared" ca="1" si="365"/>
        <v>0</v>
      </c>
      <c r="CB300" s="24">
        <f t="shared" ca="1" si="333"/>
        <v>0</v>
      </c>
      <c r="CC300" s="24">
        <f t="shared" ca="1" si="366"/>
        <v>0</v>
      </c>
      <c r="CD300" s="24">
        <f t="shared" ca="1" si="334"/>
        <v>-4408.5079477423014</v>
      </c>
      <c r="CE300" s="25">
        <f t="shared" ca="1" si="367"/>
        <v>-56667.583677936535</v>
      </c>
      <c r="CF300" s="23">
        <f t="shared" ca="1" si="368"/>
        <v>685882.20243439486</v>
      </c>
      <c r="CG300" s="25">
        <f t="array" aca="1" ref="CG300" ca="1">SUM(BF289:BF300/(1+inflation/100)^(AP289:AP300/12))</f>
        <v>267980.53702225373</v>
      </c>
      <c r="CH300" s="32">
        <f ca="1">IFERROR(IF(MOD(AP300-ap_months_since_start,12)=0,ap_drawdown/100*(AQ300+AV300+BA300-BC300),CH299),0)</f>
        <v>120661.85728164921</v>
      </c>
    </row>
    <row r="301" spans="40:86" x14ac:dyDescent="0.25">
      <c r="AN301" s="32">
        <f t="shared" ca="1" si="329"/>
        <v>79.333333333333329</v>
      </c>
      <c r="AO301" s="53">
        <f t="shared" ca="1" si="360"/>
        <v>54544</v>
      </c>
      <c r="AP301" s="22">
        <v>294</v>
      </c>
      <c r="AQ301" s="32">
        <f t="shared" ca="1" si="361"/>
        <v>749197.24462519039</v>
      </c>
      <c r="AR301" s="23">
        <f t="array" aca="1" ref="AR301" ca="1">SUM(IF(lsc_start_date=AO301,lsc_amount,0))</f>
        <v>0</v>
      </c>
      <c r="AS301" s="24">
        <f t="shared" ca="1" si="335"/>
        <v>0</v>
      </c>
      <c r="AT301" s="24">
        <f t="shared" ca="1" si="336"/>
        <v>0</v>
      </c>
      <c r="AU301" s="24">
        <f t="shared" ca="1" si="337"/>
        <v>0</v>
      </c>
      <c r="AV301" s="25">
        <f t="shared" ca="1" si="338"/>
        <v>0</v>
      </c>
      <c r="AW301" s="23">
        <f t="array" aca="1" ref="AW301" ca="1">SUM(IF(rcs_start_date&lt;=AO301,1,0)*IF(rcs_end_date&gt;=AO301,1,0)*rcs_amount*(1+rcs_escalation/100)^(INT((AP301-rcs_months_since_start)/12))*IF(MOD((AP301-rcs_months_since_start),rcs_frequency)=0,1,0)*IF(rcs_frequency=13,0,1))+SUM(IF(rcs_start_date=AO301,rcs_amount,0)*IF(rcs_frequency=13,1,0))</f>
        <v>0</v>
      </c>
      <c r="AX301" s="24">
        <f t="shared" ca="1" si="339"/>
        <v>0</v>
      </c>
      <c r="AY301" s="24">
        <f t="shared" ca="1" si="340"/>
        <v>0</v>
      </c>
      <c r="AZ301" s="24">
        <f t="shared" ca="1" si="341"/>
        <v>0</v>
      </c>
      <c r="BA301" s="25">
        <f t="shared" ca="1" si="342"/>
        <v>0</v>
      </c>
      <c r="BB301" s="23">
        <f t="array" aca="1" ref="BB301" ca="1">SUM(IF(w_start_date&lt;=AO301,1,0)*IF(w_end_date&gt;=AO301,1,0)*w_amount*(1+w_escalation/100)^(INT((AP301-w_months_since_start)/12))*IF(MOD(AP301-w_months_since_start,w_frequency)=0,1,0)*IF(w_frequency=13,0,1))+SUM(IF(w_start_date=AO301,w_amount,0)*IF(w_frequency=13,1,0))</f>
        <v>0</v>
      </c>
      <c r="BC301" s="25">
        <f t="shared" ca="1" si="343"/>
        <v>0</v>
      </c>
      <c r="BD301" s="24" t="b">
        <f t="shared" ca="1" si="344"/>
        <v>1</v>
      </c>
      <c r="BE301" s="24" t="b">
        <f t="shared" ca="1" si="345"/>
        <v>1</v>
      </c>
      <c r="BF301" s="23">
        <f t="array" aca="1" ref="BF301" ca="1">SUM(IF(BD301,1,0)*IF(ap_start_date&lt;=AO301,1,0)*IF(ap_end_date&gt;=AO301,1,0)*ap_amount*(1+ap_escalation/100)^(INT((AP301-ap_months_since_start)/12))*IF(MOD(AP301-ap_months_since_start,ap_frequency)=0,1,0))</f>
        <v>58277.572755863614</v>
      </c>
      <c r="BG301" s="24">
        <f t="shared" ca="1" si="346"/>
        <v>699330.87307036342</v>
      </c>
      <c r="BH301" s="24">
        <f t="shared" ca="1" si="347"/>
        <v>19626.9473314922</v>
      </c>
      <c r="BI301">
        <f t="shared" ca="1" si="348"/>
        <v>0</v>
      </c>
      <c r="BJ301" s="24">
        <f t="shared" ca="1" si="349"/>
        <v>137388.63132044539</v>
      </c>
      <c r="BK301">
        <f t="shared" ca="1" si="350"/>
        <v>1</v>
      </c>
      <c r="BL301" s="25">
        <f t="shared" ca="1" si="351"/>
        <v>11449.052610037115</v>
      </c>
      <c r="BM301" s="32">
        <f t="shared" ca="1" si="330"/>
        <v>743065.38176090177</v>
      </c>
      <c r="BN301" s="23">
        <f t="shared" ca="1" si="352"/>
        <v>0</v>
      </c>
      <c r="BO301" s="24">
        <f t="shared" ca="1" si="353"/>
        <v>0</v>
      </c>
      <c r="BP301" s="25">
        <f t="shared" ca="1" si="354"/>
        <v>0</v>
      </c>
      <c r="BQ301" s="34">
        <f t="shared" ca="1" si="355"/>
        <v>54574</v>
      </c>
      <c r="BR301" s="23">
        <f t="shared" ca="1" si="356"/>
        <v>743065.38176090177</v>
      </c>
      <c r="BS301" s="24">
        <f t="shared" ca="1" si="357"/>
        <v>0</v>
      </c>
      <c r="BT301" s="24">
        <f t="shared" ca="1" si="362"/>
        <v>0</v>
      </c>
      <c r="BU301" s="24">
        <f t="shared" ca="1" si="358"/>
        <v>0</v>
      </c>
      <c r="BV301" s="24">
        <f t="shared" ca="1" si="363"/>
        <v>0</v>
      </c>
      <c r="BW301" s="24">
        <f t="shared" ca="1" si="359"/>
        <v>-11449.052610037115</v>
      </c>
      <c r="BX301" s="25">
        <f t="shared" ca="1" si="364"/>
        <v>-143287.48814495376</v>
      </c>
      <c r="BY301" s="23">
        <f t="shared" ca="1" si="331"/>
        <v>284256.37663660053</v>
      </c>
      <c r="BZ301" s="24">
        <f t="shared" ca="1" si="332"/>
        <v>0</v>
      </c>
      <c r="CA301" s="24">
        <f t="shared" ca="1" si="365"/>
        <v>0</v>
      </c>
      <c r="CB301" s="24">
        <f t="shared" ca="1" si="333"/>
        <v>0</v>
      </c>
      <c r="CC301" s="24">
        <f t="shared" ca="1" si="366"/>
        <v>0</v>
      </c>
      <c r="CD301" s="24">
        <f t="shared" ca="1" si="334"/>
        <v>-4394.1227333422939</v>
      </c>
      <c r="CE301" s="25">
        <f t="shared" ca="1" si="367"/>
        <v>-56020.913204161589</v>
      </c>
      <c r="CF301" s="23">
        <f t="shared" ca="1" si="368"/>
        <v>688123.64754038968</v>
      </c>
      <c r="CG301" s="25">
        <f t="array" aca="1" ref="CG301" ca="1">SUM(BF290:BF301/(1+inflation/100)^(AP290:AP301/12))</f>
        <v>267980.53702225373</v>
      </c>
      <c r="CH301" s="32">
        <f ca="1">IFERROR(IF(MOD(AP301-ap_months_since_start,12)=0,ap_drawdown/100*(AQ301+AV301+BA301-BC301),CH300),0)</f>
        <v>120661.85728164921</v>
      </c>
    </row>
    <row r="302" spans="40:86" x14ac:dyDescent="0.25">
      <c r="AN302" s="32">
        <f t="shared" ca="1" si="329"/>
        <v>79.416666666666671</v>
      </c>
      <c r="AO302" s="53">
        <f t="shared" ca="1" si="360"/>
        <v>54575</v>
      </c>
      <c r="AP302" s="22">
        <v>295</v>
      </c>
      <c r="AQ302" s="32">
        <f t="shared" ca="1" si="361"/>
        <v>743065.38176090177</v>
      </c>
      <c r="AR302" s="23">
        <f t="array" aca="1" ref="AR302" ca="1">SUM(IF(lsc_start_date=AO302,lsc_amount,0))</f>
        <v>0</v>
      </c>
      <c r="AS302" s="24">
        <f t="shared" ca="1" si="335"/>
        <v>0</v>
      </c>
      <c r="AT302" s="24">
        <f t="shared" ca="1" si="336"/>
        <v>0</v>
      </c>
      <c r="AU302" s="24">
        <f t="shared" ca="1" si="337"/>
        <v>0</v>
      </c>
      <c r="AV302" s="25">
        <f t="shared" ca="1" si="338"/>
        <v>0</v>
      </c>
      <c r="AW302" s="23">
        <f t="array" aca="1" ref="AW302" ca="1">SUM(IF(rcs_start_date&lt;=AO302,1,0)*IF(rcs_end_date&gt;=AO302,1,0)*rcs_amount*(1+rcs_escalation/100)^(INT((AP302-rcs_months_since_start)/12))*IF(MOD((AP302-rcs_months_since_start),rcs_frequency)=0,1,0)*IF(rcs_frequency=13,0,1))+SUM(IF(rcs_start_date=AO302,rcs_amount,0)*IF(rcs_frequency=13,1,0))</f>
        <v>0</v>
      </c>
      <c r="AX302" s="24">
        <f t="shared" ca="1" si="339"/>
        <v>0</v>
      </c>
      <c r="AY302" s="24">
        <f t="shared" ca="1" si="340"/>
        <v>0</v>
      </c>
      <c r="AZ302" s="24">
        <f t="shared" ca="1" si="341"/>
        <v>0</v>
      </c>
      <c r="BA302" s="25">
        <f t="shared" ca="1" si="342"/>
        <v>0</v>
      </c>
      <c r="BB302" s="23">
        <f t="array" aca="1" ref="BB302" ca="1">SUM(IF(w_start_date&lt;=AO302,1,0)*IF(w_end_date&gt;=AO302,1,0)*w_amount*(1+w_escalation/100)^(INT((AP302-w_months_since_start)/12))*IF(MOD(AP302-w_months_since_start,w_frequency)=0,1,0)*IF(w_frequency=13,0,1))+SUM(IF(w_start_date=AO302,w_amount,0)*IF(w_frequency=13,1,0))</f>
        <v>0</v>
      </c>
      <c r="BC302" s="25">
        <f t="shared" ca="1" si="343"/>
        <v>0</v>
      </c>
      <c r="BD302" s="24" t="b">
        <f t="shared" ca="1" si="344"/>
        <v>1</v>
      </c>
      <c r="BE302" s="24" t="b">
        <f t="shared" ca="1" si="345"/>
        <v>1</v>
      </c>
      <c r="BF302" s="23">
        <f t="array" aca="1" ref="BF302" ca="1">SUM(IF(BD302,1,0)*IF(ap_start_date&lt;=AO302,1,0)*IF(ap_end_date&gt;=AO302,1,0)*ap_amount*(1+ap_escalation/100)^(INT((AP302-ap_months_since_start)/12))*IF(MOD(AP302-ap_months_since_start,ap_frequency)=0,1,0))</f>
        <v>58277.572755863614</v>
      </c>
      <c r="BG302" s="24">
        <f t="shared" ca="1" si="346"/>
        <v>699330.87307036342</v>
      </c>
      <c r="BH302" s="24">
        <f t="shared" ca="1" si="347"/>
        <v>19626.9473314922</v>
      </c>
      <c r="BI302">
        <f t="shared" ca="1" si="348"/>
        <v>0</v>
      </c>
      <c r="BJ302" s="24">
        <f t="shared" ca="1" si="349"/>
        <v>137388.63132044539</v>
      </c>
      <c r="BK302">
        <f t="shared" ca="1" si="350"/>
        <v>1</v>
      </c>
      <c r="BL302" s="25">
        <f t="shared" ca="1" si="351"/>
        <v>11449.052610037115</v>
      </c>
      <c r="BM302" s="32">
        <f t="shared" ca="1" si="330"/>
        <v>736889.32457842003</v>
      </c>
      <c r="BN302" s="23">
        <f t="shared" ca="1" si="352"/>
        <v>0</v>
      </c>
      <c r="BO302" s="24">
        <f t="shared" ca="1" si="353"/>
        <v>0</v>
      </c>
      <c r="BP302" s="25">
        <f t="shared" ca="1" si="354"/>
        <v>0</v>
      </c>
      <c r="BQ302" s="34">
        <f t="shared" ca="1" si="355"/>
        <v>54604</v>
      </c>
      <c r="BR302" s="23">
        <f t="shared" ca="1" si="356"/>
        <v>736889.32457842003</v>
      </c>
      <c r="BS302" s="24">
        <f t="shared" ca="1" si="357"/>
        <v>0</v>
      </c>
      <c r="BT302" s="24">
        <f t="shared" ca="1" si="362"/>
        <v>0</v>
      </c>
      <c r="BU302" s="24">
        <f t="shared" ca="1" si="358"/>
        <v>0</v>
      </c>
      <c r="BV302" s="24">
        <f t="shared" ca="1" si="363"/>
        <v>0</v>
      </c>
      <c r="BW302" s="24">
        <f t="shared" ca="1" si="359"/>
        <v>-11449.052610037115</v>
      </c>
      <c r="BX302" s="25">
        <f t="shared" ca="1" si="364"/>
        <v>-142107.71678005208</v>
      </c>
      <c r="BY302" s="23">
        <f t="shared" ca="1" si="331"/>
        <v>280973.91777394584</v>
      </c>
      <c r="BZ302" s="24">
        <f t="shared" ca="1" si="332"/>
        <v>0</v>
      </c>
      <c r="CA302" s="24">
        <f t="shared" ca="1" si="365"/>
        <v>0</v>
      </c>
      <c r="CB302" s="24">
        <f t="shared" ca="1" si="333"/>
        <v>0</v>
      </c>
      <c r="CC302" s="24">
        <f t="shared" ca="1" si="366"/>
        <v>0</v>
      </c>
      <c r="CD302" s="24">
        <f t="shared" ca="1" si="334"/>
        <v>-4379.784458722319</v>
      </c>
      <c r="CE302" s="25">
        <f t="shared" ca="1" si="367"/>
        <v>-55376.352853249453</v>
      </c>
      <c r="CF302" s="23">
        <f t="shared" ca="1" si="368"/>
        <v>690365.09264638438</v>
      </c>
      <c r="CG302" s="25">
        <f t="array" aca="1" ref="CG302" ca="1">SUM(BF291:BF302/(1+inflation/100)^(AP291:AP302/12))</f>
        <v>267980.53702225373</v>
      </c>
      <c r="CH302" s="32">
        <f ca="1">IFERROR(IF(MOD(AP302-ap_months_since_start,12)=0,ap_drawdown/100*(AQ302+AV302+BA302-BC302),CH301),0)</f>
        <v>120661.85728164921</v>
      </c>
    </row>
    <row r="303" spans="40:86" x14ac:dyDescent="0.25">
      <c r="AN303" s="32">
        <f t="shared" ca="1" si="329"/>
        <v>79.5</v>
      </c>
      <c r="AO303" s="53">
        <f t="shared" ca="1" si="360"/>
        <v>54605</v>
      </c>
      <c r="AP303" s="22">
        <v>296</v>
      </c>
      <c r="AQ303" s="32">
        <f t="shared" ca="1" si="361"/>
        <v>736889.32457842003</v>
      </c>
      <c r="AR303" s="23">
        <f t="array" aca="1" ref="AR303" ca="1">SUM(IF(lsc_start_date=AO303,lsc_amount,0))</f>
        <v>0</v>
      </c>
      <c r="AS303" s="24">
        <f t="shared" ca="1" si="335"/>
        <v>0</v>
      </c>
      <c r="AT303" s="24">
        <f t="shared" ca="1" si="336"/>
        <v>0</v>
      </c>
      <c r="AU303" s="24">
        <f t="shared" ca="1" si="337"/>
        <v>0</v>
      </c>
      <c r="AV303" s="25">
        <f t="shared" ca="1" si="338"/>
        <v>0</v>
      </c>
      <c r="AW303" s="23">
        <f t="array" aca="1" ref="AW303" ca="1">SUM(IF(rcs_start_date&lt;=AO303,1,0)*IF(rcs_end_date&gt;=AO303,1,0)*rcs_amount*(1+rcs_escalation/100)^(INT((AP303-rcs_months_since_start)/12))*IF(MOD((AP303-rcs_months_since_start),rcs_frequency)=0,1,0)*IF(rcs_frequency=13,0,1))+SUM(IF(rcs_start_date=AO303,rcs_amount,0)*IF(rcs_frequency=13,1,0))</f>
        <v>0</v>
      </c>
      <c r="AX303" s="24">
        <f t="shared" ca="1" si="339"/>
        <v>0</v>
      </c>
      <c r="AY303" s="24">
        <f t="shared" ca="1" si="340"/>
        <v>0</v>
      </c>
      <c r="AZ303" s="24">
        <f t="shared" ca="1" si="341"/>
        <v>0</v>
      </c>
      <c r="BA303" s="25">
        <f t="shared" ca="1" si="342"/>
        <v>0</v>
      </c>
      <c r="BB303" s="23">
        <f t="array" aca="1" ref="BB303" ca="1">SUM(IF(w_start_date&lt;=AO303,1,0)*IF(w_end_date&gt;=AO303,1,0)*w_amount*(1+w_escalation/100)^(INT((AP303-w_months_since_start)/12))*IF(MOD(AP303-w_months_since_start,w_frequency)=0,1,0)*IF(w_frequency=13,0,1))+SUM(IF(w_start_date=AO303,w_amount,0)*IF(w_frequency=13,1,0))</f>
        <v>0</v>
      </c>
      <c r="BC303" s="25">
        <f t="shared" ca="1" si="343"/>
        <v>0</v>
      </c>
      <c r="BD303" s="24" t="b">
        <f t="shared" ca="1" si="344"/>
        <v>1</v>
      </c>
      <c r="BE303" s="24" t="b">
        <f t="shared" ca="1" si="345"/>
        <v>1</v>
      </c>
      <c r="BF303" s="23">
        <f t="array" aca="1" ref="BF303" ca="1">SUM(IF(BD303,1,0)*IF(ap_start_date&lt;=AO303,1,0)*IF(ap_end_date&gt;=AO303,1,0)*ap_amount*(1+ap_escalation/100)^(INT((AP303-ap_months_since_start)/12))*IF(MOD(AP303-ap_months_since_start,ap_frequency)=0,1,0))</f>
        <v>58277.572755863614</v>
      </c>
      <c r="BG303" s="24">
        <f t="shared" ca="1" si="346"/>
        <v>699330.87307036342</v>
      </c>
      <c r="BH303" s="24">
        <f t="shared" ca="1" si="347"/>
        <v>19626.9473314922</v>
      </c>
      <c r="BI303">
        <f t="shared" ca="1" si="348"/>
        <v>0</v>
      </c>
      <c r="BJ303" s="24">
        <f t="shared" ca="1" si="349"/>
        <v>137388.63132044539</v>
      </c>
      <c r="BK303">
        <f t="shared" ca="1" si="350"/>
        <v>1</v>
      </c>
      <c r="BL303" s="25">
        <f t="shared" ca="1" si="351"/>
        <v>11449.052610037115</v>
      </c>
      <c r="BM303" s="32">
        <f t="shared" ca="1" si="330"/>
        <v>730668.75455500511</v>
      </c>
      <c r="BN303" s="23">
        <f t="shared" ca="1" si="352"/>
        <v>0</v>
      </c>
      <c r="BO303" s="24">
        <f t="shared" ca="1" si="353"/>
        <v>0</v>
      </c>
      <c r="BP303" s="25">
        <f t="shared" ca="1" si="354"/>
        <v>0</v>
      </c>
      <c r="BQ303" s="34">
        <f t="shared" ca="1" si="355"/>
        <v>54635</v>
      </c>
      <c r="BR303" s="23">
        <f t="shared" ca="1" si="356"/>
        <v>730668.75455500511</v>
      </c>
      <c r="BS303" s="24">
        <f t="shared" ca="1" si="357"/>
        <v>0</v>
      </c>
      <c r="BT303" s="24">
        <f t="shared" ca="1" si="362"/>
        <v>0</v>
      </c>
      <c r="BU303" s="24">
        <f t="shared" ca="1" si="358"/>
        <v>0</v>
      </c>
      <c r="BV303" s="24">
        <f t="shared" ca="1" si="363"/>
        <v>0</v>
      </c>
      <c r="BW303" s="24">
        <f t="shared" ca="1" si="359"/>
        <v>-11449.052610037115</v>
      </c>
      <c r="BX303" s="25">
        <f t="shared" ca="1" si="364"/>
        <v>-140927.9454151504</v>
      </c>
      <c r="BY303" s="23">
        <f t="shared" ca="1" si="331"/>
        <v>277692.9367385183</v>
      </c>
      <c r="BZ303" s="24">
        <f t="shared" ca="1" si="332"/>
        <v>0</v>
      </c>
      <c r="CA303" s="24">
        <f t="shared" ca="1" si="365"/>
        <v>0</v>
      </c>
      <c r="CB303" s="24">
        <f t="shared" ca="1" si="333"/>
        <v>0</v>
      </c>
      <c r="CC303" s="24">
        <f t="shared" ca="1" si="366"/>
        <v>0</v>
      </c>
      <c r="CD303" s="24">
        <f t="shared" ca="1" si="334"/>
        <v>-4365.4929707151787</v>
      </c>
      <c r="CE303" s="25">
        <f t="shared" ca="1" si="367"/>
        <v>-54733.895739748143</v>
      </c>
      <c r="CF303" s="23">
        <f t="shared" ca="1" si="368"/>
        <v>692606.53775237908</v>
      </c>
      <c r="CG303" s="25">
        <f t="array" aca="1" ref="CG303" ca="1">SUM(BF292:BF303/(1+inflation/100)^(AP292:AP303/12))</f>
        <v>267980.53702225373</v>
      </c>
      <c r="CH303" s="32">
        <f ca="1">IFERROR(IF(MOD(AP303-ap_months_since_start,12)=0,ap_drawdown/100*(AQ303+AV303+BA303-BC303),CH302),0)</f>
        <v>120661.85728164921</v>
      </c>
    </row>
    <row r="304" spans="40:86" x14ac:dyDescent="0.25">
      <c r="AN304" s="32">
        <f t="shared" ca="1" si="329"/>
        <v>79.583333333333329</v>
      </c>
      <c r="AO304" s="53">
        <f t="shared" ca="1" si="360"/>
        <v>54636</v>
      </c>
      <c r="AP304" s="22">
        <v>297</v>
      </c>
      <c r="AQ304" s="32">
        <f t="shared" ca="1" si="361"/>
        <v>730668.75455500511</v>
      </c>
      <c r="AR304" s="23">
        <f t="array" aca="1" ref="AR304" ca="1">SUM(IF(lsc_start_date=AO304,lsc_amount,0))</f>
        <v>0</v>
      </c>
      <c r="AS304" s="24">
        <f t="shared" ca="1" si="335"/>
        <v>0</v>
      </c>
      <c r="AT304" s="24">
        <f t="shared" ca="1" si="336"/>
        <v>0</v>
      </c>
      <c r="AU304" s="24">
        <f t="shared" ca="1" si="337"/>
        <v>0</v>
      </c>
      <c r="AV304" s="25">
        <f t="shared" ca="1" si="338"/>
        <v>0</v>
      </c>
      <c r="AW304" s="23">
        <f t="array" aca="1" ref="AW304" ca="1">SUM(IF(rcs_start_date&lt;=AO304,1,0)*IF(rcs_end_date&gt;=AO304,1,0)*rcs_amount*(1+rcs_escalation/100)^(INT((AP304-rcs_months_since_start)/12))*IF(MOD((AP304-rcs_months_since_start),rcs_frequency)=0,1,0)*IF(rcs_frequency=13,0,1))+SUM(IF(rcs_start_date=AO304,rcs_amount,0)*IF(rcs_frequency=13,1,0))</f>
        <v>0</v>
      </c>
      <c r="AX304" s="24">
        <f t="shared" ca="1" si="339"/>
        <v>0</v>
      </c>
      <c r="AY304" s="24">
        <f t="shared" ca="1" si="340"/>
        <v>0</v>
      </c>
      <c r="AZ304" s="24">
        <f t="shared" ca="1" si="341"/>
        <v>0</v>
      </c>
      <c r="BA304" s="25">
        <f t="shared" ca="1" si="342"/>
        <v>0</v>
      </c>
      <c r="BB304" s="23">
        <f t="array" aca="1" ref="BB304" ca="1">SUM(IF(w_start_date&lt;=AO304,1,0)*IF(w_end_date&gt;=AO304,1,0)*w_amount*(1+w_escalation/100)^(INT((AP304-w_months_since_start)/12))*IF(MOD(AP304-w_months_since_start,w_frequency)=0,1,0)*IF(w_frequency=13,0,1))+SUM(IF(w_start_date=AO304,w_amount,0)*IF(w_frequency=13,1,0))</f>
        <v>0</v>
      </c>
      <c r="BC304" s="25">
        <f t="shared" ca="1" si="343"/>
        <v>0</v>
      </c>
      <c r="BD304" s="24" t="b">
        <f t="shared" ca="1" si="344"/>
        <v>1</v>
      </c>
      <c r="BE304" s="24" t="b">
        <f t="shared" ca="1" si="345"/>
        <v>1</v>
      </c>
      <c r="BF304" s="23">
        <f t="array" aca="1" ref="BF304" ca="1">SUM(IF(BD304,1,0)*IF(ap_start_date&lt;=AO304,1,0)*IF(ap_end_date&gt;=AO304,1,0)*ap_amount*(1+ap_escalation/100)^(INT((AP304-ap_months_since_start)/12))*IF(MOD(AP304-ap_months_since_start,ap_frequency)=0,1,0))</f>
        <v>58277.572755863614</v>
      </c>
      <c r="BG304" s="24">
        <f t="shared" ca="1" si="346"/>
        <v>699330.87307036342</v>
      </c>
      <c r="BH304" s="24">
        <f t="shared" ca="1" si="347"/>
        <v>19626.9473314922</v>
      </c>
      <c r="BI304">
        <f t="shared" ca="1" si="348"/>
        <v>0</v>
      </c>
      <c r="BJ304" s="24">
        <f t="shared" ca="1" si="349"/>
        <v>137388.63132044539</v>
      </c>
      <c r="BK304">
        <f t="shared" ca="1" si="350"/>
        <v>1</v>
      </c>
      <c r="BL304" s="25">
        <f t="shared" ca="1" si="351"/>
        <v>11449.052610037115</v>
      </c>
      <c r="BM304" s="32">
        <f t="shared" ca="1" si="330"/>
        <v>724403.35087222082</v>
      </c>
      <c r="BN304" s="23">
        <f t="shared" ca="1" si="352"/>
        <v>0</v>
      </c>
      <c r="BO304" s="24">
        <f t="shared" ca="1" si="353"/>
        <v>0</v>
      </c>
      <c r="BP304" s="25">
        <f t="shared" ca="1" si="354"/>
        <v>0</v>
      </c>
      <c r="BQ304" s="34">
        <f t="shared" ca="1" si="355"/>
        <v>54666</v>
      </c>
      <c r="BR304" s="23">
        <f t="shared" ca="1" si="356"/>
        <v>724403.35087222082</v>
      </c>
      <c r="BS304" s="24">
        <f t="shared" ca="1" si="357"/>
        <v>0</v>
      </c>
      <c r="BT304" s="24">
        <f t="shared" ca="1" si="362"/>
        <v>0</v>
      </c>
      <c r="BU304" s="24">
        <f t="shared" ca="1" si="358"/>
        <v>0</v>
      </c>
      <c r="BV304" s="24">
        <f t="shared" ca="1" si="363"/>
        <v>0</v>
      </c>
      <c r="BW304" s="24">
        <f t="shared" ca="1" si="359"/>
        <v>-11449.052610037115</v>
      </c>
      <c r="BX304" s="25">
        <f t="shared" ca="1" si="364"/>
        <v>-139748.17405024875</v>
      </c>
      <c r="BY304" s="23">
        <f t="shared" ca="1" si="331"/>
        <v>274413.39250772062</v>
      </c>
      <c r="BZ304" s="24">
        <f t="shared" ca="1" si="332"/>
        <v>0</v>
      </c>
      <c r="CA304" s="24">
        <f t="shared" ca="1" si="365"/>
        <v>0</v>
      </c>
      <c r="CB304" s="24">
        <f t="shared" ca="1" si="333"/>
        <v>0</v>
      </c>
      <c r="CC304" s="24">
        <f t="shared" ca="1" si="366"/>
        <v>0</v>
      </c>
      <c r="CD304" s="24">
        <f t="shared" ca="1" si="334"/>
        <v>-4351.2481166534726</v>
      </c>
      <c r="CE304" s="25">
        <f t="shared" ca="1" si="367"/>
        <v>-54093.535000673306</v>
      </c>
      <c r="CF304" s="23">
        <f t="shared" ca="1" si="368"/>
        <v>694847.9828583739</v>
      </c>
      <c r="CG304" s="25">
        <f t="array" aca="1" ref="CG304" ca="1">SUM(BF293:BF304/(1+inflation/100)^(AP293:AP304/12))</f>
        <v>267980.53702225373</v>
      </c>
      <c r="CH304" s="32">
        <f ca="1">IFERROR(IF(MOD(AP304-ap_months_since_start,12)=0,ap_drawdown/100*(AQ304+AV304+BA304-BC304),CH303),0)</f>
        <v>120661.85728164921</v>
      </c>
    </row>
    <row r="305" spans="40:86" x14ac:dyDescent="0.25">
      <c r="AN305" s="32">
        <f t="shared" ca="1" si="329"/>
        <v>79.666666666666671</v>
      </c>
      <c r="AO305" s="53">
        <f t="shared" ca="1" si="360"/>
        <v>54667</v>
      </c>
      <c r="AP305" s="22">
        <v>298</v>
      </c>
      <c r="AQ305" s="32">
        <f t="shared" ca="1" si="361"/>
        <v>724403.35087222082</v>
      </c>
      <c r="AR305" s="23">
        <f t="array" aca="1" ref="AR305" ca="1">SUM(IF(lsc_start_date=AO305,lsc_amount,0))</f>
        <v>0</v>
      </c>
      <c r="AS305" s="24">
        <f t="shared" ca="1" si="335"/>
        <v>0</v>
      </c>
      <c r="AT305" s="24">
        <f t="shared" ca="1" si="336"/>
        <v>0</v>
      </c>
      <c r="AU305" s="24">
        <f t="shared" ca="1" si="337"/>
        <v>0</v>
      </c>
      <c r="AV305" s="25">
        <f t="shared" ca="1" si="338"/>
        <v>0</v>
      </c>
      <c r="AW305" s="23">
        <f t="array" aca="1" ref="AW305" ca="1">SUM(IF(rcs_start_date&lt;=AO305,1,0)*IF(rcs_end_date&gt;=AO305,1,0)*rcs_amount*(1+rcs_escalation/100)^(INT((AP305-rcs_months_since_start)/12))*IF(MOD((AP305-rcs_months_since_start),rcs_frequency)=0,1,0)*IF(rcs_frequency=13,0,1))+SUM(IF(rcs_start_date=AO305,rcs_amount,0)*IF(rcs_frequency=13,1,0))</f>
        <v>0</v>
      </c>
      <c r="AX305" s="24">
        <f t="shared" ca="1" si="339"/>
        <v>0</v>
      </c>
      <c r="AY305" s="24">
        <f t="shared" ca="1" si="340"/>
        <v>0</v>
      </c>
      <c r="AZ305" s="24">
        <f t="shared" ca="1" si="341"/>
        <v>0</v>
      </c>
      <c r="BA305" s="25">
        <f t="shared" ca="1" si="342"/>
        <v>0</v>
      </c>
      <c r="BB305" s="23">
        <f t="array" aca="1" ref="BB305" ca="1">SUM(IF(w_start_date&lt;=AO305,1,0)*IF(w_end_date&gt;=AO305,1,0)*w_amount*(1+w_escalation/100)^(INT((AP305-w_months_since_start)/12))*IF(MOD(AP305-w_months_since_start,w_frequency)=0,1,0)*IF(w_frequency=13,0,1))+SUM(IF(w_start_date=AO305,w_amount,0)*IF(w_frequency=13,1,0))</f>
        <v>0</v>
      </c>
      <c r="BC305" s="25">
        <f t="shared" ca="1" si="343"/>
        <v>0</v>
      </c>
      <c r="BD305" s="24" t="b">
        <f t="shared" ca="1" si="344"/>
        <v>1</v>
      </c>
      <c r="BE305" s="24" t="b">
        <f t="shared" ca="1" si="345"/>
        <v>1</v>
      </c>
      <c r="BF305" s="23">
        <f t="array" aca="1" ref="BF305" ca="1">SUM(IF(BD305,1,0)*IF(ap_start_date&lt;=AO305,1,0)*IF(ap_end_date&gt;=AO305,1,0)*ap_amount*(1+ap_escalation/100)^(INT((AP305-ap_months_since_start)/12))*IF(MOD(AP305-ap_months_since_start,ap_frequency)=0,1,0))</f>
        <v>58277.572755863614</v>
      </c>
      <c r="BG305" s="24">
        <f t="shared" ca="1" si="346"/>
        <v>699330.87307036342</v>
      </c>
      <c r="BH305" s="24">
        <f t="shared" ca="1" si="347"/>
        <v>19626.9473314922</v>
      </c>
      <c r="BI305">
        <f t="shared" ca="1" si="348"/>
        <v>0</v>
      </c>
      <c r="BJ305" s="24">
        <f t="shared" ca="1" si="349"/>
        <v>137388.63132044539</v>
      </c>
      <c r="BK305">
        <f t="shared" ca="1" si="350"/>
        <v>1</v>
      </c>
      <c r="BL305" s="25">
        <f t="shared" ca="1" si="351"/>
        <v>11449.052610037115</v>
      </c>
      <c r="BM305" s="32">
        <f t="shared" ca="1" si="330"/>
        <v>718092.79039938864</v>
      </c>
      <c r="BN305" s="23">
        <f t="shared" ca="1" si="352"/>
        <v>0</v>
      </c>
      <c r="BO305" s="24">
        <f t="shared" ca="1" si="353"/>
        <v>0</v>
      </c>
      <c r="BP305" s="25">
        <f t="shared" ca="1" si="354"/>
        <v>0</v>
      </c>
      <c r="BQ305" s="34">
        <f t="shared" ca="1" si="355"/>
        <v>54696</v>
      </c>
      <c r="BR305" s="23">
        <f t="shared" ca="1" si="356"/>
        <v>718092.79039938864</v>
      </c>
      <c r="BS305" s="24">
        <f t="shared" ca="1" si="357"/>
        <v>0</v>
      </c>
      <c r="BT305" s="24">
        <f t="shared" ca="1" si="362"/>
        <v>0</v>
      </c>
      <c r="BU305" s="24">
        <f t="shared" ca="1" si="358"/>
        <v>0</v>
      </c>
      <c r="BV305" s="24">
        <f t="shared" ca="1" si="363"/>
        <v>0</v>
      </c>
      <c r="BW305" s="24">
        <f t="shared" ca="1" si="359"/>
        <v>-11449.052610037115</v>
      </c>
      <c r="BX305" s="25">
        <f t="shared" ca="1" si="364"/>
        <v>-138568.40268534707</v>
      </c>
      <c r="BY305" s="23">
        <f t="shared" ca="1" si="331"/>
        <v>271135.24405088241</v>
      </c>
      <c r="BZ305" s="24">
        <f t="shared" ca="1" si="332"/>
        <v>0</v>
      </c>
      <c r="CA305" s="24">
        <f t="shared" ca="1" si="365"/>
        <v>0</v>
      </c>
      <c r="CB305" s="24">
        <f t="shared" ca="1" si="333"/>
        <v>0</v>
      </c>
      <c r="CC305" s="24">
        <f t="shared" ca="1" si="366"/>
        <v>0</v>
      </c>
      <c r="CD305" s="24">
        <f t="shared" ca="1" si="334"/>
        <v>-4337.0497443679596</v>
      </c>
      <c r="CE305" s="25">
        <f t="shared" ca="1" si="367"/>
        <v>-53455.26379543489</v>
      </c>
      <c r="CF305" s="23">
        <f t="shared" ca="1" si="368"/>
        <v>697089.4279643686</v>
      </c>
      <c r="CG305" s="25">
        <f t="array" aca="1" ref="CG305" ca="1">SUM(BF294:BF305/(1+inflation/100)^(AP294:AP305/12))</f>
        <v>267980.53702225373</v>
      </c>
      <c r="CH305" s="32">
        <f ca="1">IFERROR(IF(MOD(AP305-ap_months_since_start,12)=0,ap_drawdown/100*(AQ305+AV305+BA305-BC305),CH304),0)</f>
        <v>120661.85728164921</v>
      </c>
    </row>
    <row r="306" spans="40:86" x14ac:dyDescent="0.25">
      <c r="AN306" s="32">
        <f t="shared" ca="1" si="329"/>
        <v>79.75</v>
      </c>
      <c r="AO306" s="53">
        <f t="shared" ca="1" si="360"/>
        <v>54697</v>
      </c>
      <c r="AP306" s="22">
        <v>299</v>
      </c>
      <c r="AQ306" s="32">
        <f t="shared" ca="1" si="361"/>
        <v>718092.79039938864</v>
      </c>
      <c r="AR306" s="23">
        <f t="array" aca="1" ref="AR306" ca="1">SUM(IF(lsc_start_date=AO306,lsc_amount,0))</f>
        <v>0</v>
      </c>
      <c r="AS306" s="24">
        <f t="shared" ca="1" si="335"/>
        <v>0</v>
      </c>
      <c r="AT306" s="24">
        <f t="shared" ca="1" si="336"/>
        <v>0</v>
      </c>
      <c r="AU306" s="24">
        <f t="shared" ca="1" si="337"/>
        <v>0</v>
      </c>
      <c r="AV306" s="25">
        <f t="shared" ca="1" si="338"/>
        <v>0</v>
      </c>
      <c r="AW306" s="23">
        <f t="array" aca="1" ref="AW306" ca="1">SUM(IF(rcs_start_date&lt;=AO306,1,0)*IF(rcs_end_date&gt;=AO306,1,0)*rcs_amount*(1+rcs_escalation/100)^(INT((AP306-rcs_months_since_start)/12))*IF(MOD((AP306-rcs_months_since_start),rcs_frequency)=0,1,0)*IF(rcs_frequency=13,0,1))+SUM(IF(rcs_start_date=AO306,rcs_amount,0)*IF(rcs_frequency=13,1,0))</f>
        <v>0</v>
      </c>
      <c r="AX306" s="24">
        <f t="shared" ca="1" si="339"/>
        <v>0</v>
      </c>
      <c r="AY306" s="24">
        <f t="shared" ca="1" si="340"/>
        <v>0</v>
      </c>
      <c r="AZ306" s="24">
        <f t="shared" ca="1" si="341"/>
        <v>0</v>
      </c>
      <c r="BA306" s="25">
        <f t="shared" ca="1" si="342"/>
        <v>0</v>
      </c>
      <c r="BB306" s="23">
        <f t="array" aca="1" ref="BB306" ca="1">SUM(IF(w_start_date&lt;=AO306,1,0)*IF(w_end_date&gt;=AO306,1,0)*w_amount*(1+w_escalation/100)^(INT((AP306-w_months_since_start)/12))*IF(MOD(AP306-w_months_since_start,w_frequency)=0,1,0)*IF(w_frequency=13,0,1))+SUM(IF(w_start_date=AO306,w_amount,0)*IF(w_frequency=13,1,0))</f>
        <v>0</v>
      </c>
      <c r="BC306" s="25">
        <f t="shared" ca="1" si="343"/>
        <v>0</v>
      </c>
      <c r="BD306" s="24" t="b">
        <f t="shared" ca="1" si="344"/>
        <v>1</v>
      </c>
      <c r="BE306" s="24" t="b">
        <f t="shared" ca="1" si="345"/>
        <v>1</v>
      </c>
      <c r="BF306" s="23">
        <f t="array" aca="1" ref="BF306" ca="1">SUM(IF(BD306,1,0)*IF(ap_start_date&lt;=AO306,1,0)*IF(ap_end_date&gt;=AO306,1,0)*ap_amount*(1+ap_escalation/100)^(INT((AP306-ap_months_since_start)/12))*IF(MOD(AP306-ap_months_since_start,ap_frequency)=0,1,0))</f>
        <v>58277.572755863614</v>
      </c>
      <c r="BG306" s="24">
        <f t="shared" ca="1" si="346"/>
        <v>699330.87307036342</v>
      </c>
      <c r="BH306" s="24">
        <f t="shared" ca="1" si="347"/>
        <v>19626.9473314922</v>
      </c>
      <c r="BI306">
        <f t="shared" ca="1" si="348"/>
        <v>0</v>
      </c>
      <c r="BJ306" s="24">
        <f t="shared" ca="1" si="349"/>
        <v>137388.63132044539</v>
      </c>
      <c r="BK306">
        <f t="shared" ca="1" si="350"/>
        <v>1</v>
      </c>
      <c r="BL306" s="25">
        <f t="shared" ca="1" si="351"/>
        <v>11449.052610037115</v>
      </c>
      <c r="BM306" s="32">
        <f t="shared" ca="1" si="330"/>
        <v>711736.74767692271</v>
      </c>
      <c r="BN306" s="23">
        <f t="shared" ca="1" si="352"/>
        <v>0</v>
      </c>
      <c r="BO306" s="24">
        <f t="shared" ca="1" si="353"/>
        <v>0</v>
      </c>
      <c r="BP306" s="25">
        <f t="shared" ca="1" si="354"/>
        <v>0</v>
      </c>
      <c r="BQ306" s="34">
        <f t="shared" ca="1" si="355"/>
        <v>54727</v>
      </c>
      <c r="BR306" s="23">
        <f t="shared" ca="1" si="356"/>
        <v>711736.74767692271</v>
      </c>
      <c r="BS306" s="24">
        <f t="shared" ca="1" si="357"/>
        <v>0</v>
      </c>
      <c r="BT306" s="24">
        <f t="shared" ca="1" si="362"/>
        <v>0</v>
      </c>
      <c r="BU306" s="24">
        <f t="shared" ca="1" si="358"/>
        <v>0</v>
      </c>
      <c r="BV306" s="24">
        <f t="shared" ca="1" si="363"/>
        <v>0</v>
      </c>
      <c r="BW306" s="24">
        <f t="shared" ca="1" si="359"/>
        <v>-11449.052610037115</v>
      </c>
      <c r="BX306" s="25">
        <f t="shared" ca="1" si="364"/>
        <v>-137388.63132044542</v>
      </c>
      <c r="BY306" s="23">
        <f t="shared" ca="1" si="331"/>
        <v>267858.45032872923</v>
      </c>
      <c r="BZ306" s="24">
        <f t="shared" ca="1" si="332"/>
        <v>0</v>
      </c>
      <c r="CA306" s="24">
        <f t="shared" ca="1" si="365"/>
        <v>0</v>
      </c>
      <c r="CB306" s="24">
        <f t="shared" ca="1" si="333"/>
        <v>0</v>
      </c>
      <c r="CC306" s="24">
        <f t="shared" ca="1" si="366"/>
        <v>0</v>
      </c>
      <c r="CD306" s="24">
        <f t="shared" ca="1" si="334"/>
        <v>-4322.8977021859382</v>
      </c>
      <c r="CE306" s="25">
        <f t="shared" ca="1" si="367"/>
        <v>-52819.07530576409</v>
      </c>
      <c r="CF306" s="23">
        <f t="shared" ca="1" si="368"/>
        <v>699330.87307036342</v>
      </c>
      <c r="CG306" s="25">
        <f t="array" aca="1" ref="CG306" ca="1">SUM(BF295:BF306/(1+inflation/100)^(AP295:AP306/12))</f>
        <v>267980.53702225379</v>
      </c>
      <c r="CH306" s="32">
        <f ca="1">IFERROR(IF(MOD(AP306-ap_months_since_start,12)=0,ap_drawdown/100*(AQ306+AV306+BA306-BC306),CH305),0)</f>
        <v>120661.85728164921</v>
      </c>
    </row>
    <row r="307" spans="40:86" x14ac:dyDescent="0.25">
      <c r="AN307" s="32">
        <f t="shared" ca="1" si="329"/>
        <v>79.833333333333329</v>
      </c>
      <c r="AO307" s="53">
        <f t="shared" ca="1" si="360"/>
        <v>54728</v>
      </c>
      <c r="AP307" s="22">
        <v>300</v>
      </c>
      <c r="AQ307" s="32">
        <f t="shared" ca="1" si="361"/>
        <v>711736.74767692271</v>
      </c>
      <c r="AR307" s="23">
        <f t="array" aca="1" ref="AR307" ca="1">SUM(IF(lsc_start_date=AO307,lsc_amount,0))</f>
        <v>0</v>
      </c>
      <c r="AS307" s="24">
        <f t="shared" ca="1" si="335"/>
        <v>0</v>
      </c>
      <c r="AT307" s="24">
        <f t="shared" ca="1" si="336"/>
        <v>0</v>
      </c>
      <c r="AU307" s="24">
        <f t="shared" ca="1" si="337"/>
        <v>0</v>
      </c>
      <c r="AV307" s="25">
        <f t="shared" ca="1" si="338"/>
        <v>0</v>
      </c>
      <c r="AW307" s="23">
        <f t="array" aca="1" ref="AW307" ca="1">SUM(IF(rcs_start_date&lt;=AO307,1,0)*IF(rcs_end_date&gt;=AO307,1,0)*rcs_amount*(1+rcs_escalation/100)^(INT((AP307-rcs_months_since_start)/12))*IF(MOD((AP307-rcs_months_since_start),rcs_frequency)=0,1,0)*IF(rcs_frequency=13,0,1))+SUM(IF(rcs_start_date=AO307,rcs_amount,0)*IF(rcs_frequency=13,1,0))</f>
        <v>0</v>
      </c>
      <c r="AX307" s="24">
        <f t="shared" ca="1" si="339"/>
        <v>0</v>
      </c>
      <c r="AY307" s="24">
        <f t="shared" ca="1" si="340"/>
        <v>0</v>
      </c>
      <c r="AZ307" s="24">
        <f t="shared" ca="1" si="341"/>
        <v>0</v>
      </c>
      <c r="BA307" s="25">
        <f t="shared" ca="1" si="342"/>
        <v>0</v>
      </c>
      <c r="BB307" s="23">
        <f t="array" aca="1" ref="BB307" ca="1">SUM(IF(w_start_date&lt;=AO307,1,0)*IF(w_end_date&gt;=AO307,1,0)*w_amount*(1+w_escalation/100)^(INT((AP307-w_months_since_start)/12))*IF(MOD(AP307-w_months_since_start,w_frequency)=0,1,0)*IF(w_frequency=13,0,1))+SUM(IF(w_start_date=AO307,w_amount,0)*IF(w_frequency=13,1,0))</f>
        <v>0</v>
      </c>
      <c r="BC307" s="25">
        <f t="shared" ca="1" si="343"/>
        <v>0</v>
      </c>
      <c r="BD307" s="24" t="b">
        <f t="shared" ca="1" si="344"/>
        <v>1</v>
      </c>
      <c r="BE307" s="24" t="b">
        <f t="shared" ca="1" si="345"/>
        <v>1</v>
      </c>
      <c r="BF307" s="23">
        <f t="array" aca="1" ref="BF307" ca="1">SUM(IF(BD307,1,0)*IF(ap_start_date&lt;=AO307,1,0)*IF(ap_end_date&gt;=AO307,1,0)*ap_amount*(1+ap_escalation/100)^(INT((AP307-ap_months_since_start)/12))*IF(MOD(AP307-ap_months_since_start,ap_frequency)=0,1,0))</f>
        <v>60608.675666098163</v>
      </c>
      <c r="BG307" s="24">
        <f t="shared" ca="1" si="346"/>
        <v>727304.10799317772</v>
      </c>
      <c r="BH307" s="24">
        <f t="shared" ca="1" si="347"/>
        <v>17793.418691923067</v>
      </c>
      <c r="BI307">
        <f t="shared" ca="1" si="348"/>
        <v>0</v>
      </c>
      <c r="BJ307" s="24">
        <f t="shared" ca="1" si="349"/>
        <v>124553.93084346146</v>
      </c>
      <c r="BK307">
        <f t="shared" ca="1" si="350"/>
        <v>1</v>
      </c>
      <c r="BL307" s="25">
        <f t="shared" ca="1" si="351"/>
        <v>10379.494236955125</v>
      </c>
      <c r="BM307" s="32">
        <f t="shared" ca="1" si="330"/>
        <v>706412.16192562715</v>
      </c>
      <c r="BN307" s="23">
        <f t="shared" ca="1" si="352"/>
        <v>0</v>
      </c>
      <c r="BO307" s="24">
        <f t="shared" ca="1" si="353"/>
        <v>0</v>
      </c>
      <c r="BP307" s="25">
        <f t="shared" ca="1" si="354"/>
        <v>0</v>
      </c>
      <c r="BQ307" s="34">
        <f t="shared" ca="1" si="355"/>
        <v>54757</v>
      </c>
      <c r="BR307" s="23">
        <f t="shared" ca="1" si="356"/>
        <v>706412.16192562715</v>
      </c>
      <c r="BS307" s="24">
        <f t="shared" ca="1" si="357"/>
        <v>0</v>
      </c>
      <c r="BT307" s="24">
        <f t="shared" ca="1" si="362"/>
        <v>0</v>
      </c>
      <c r="BU307" s="24">
        <f t="shared" ca="1" si="358"/>
        <v>0</v>
      </c>
      <c r="BV307" s="24">
        <f t="shared" ca="1" si="363"/>
        <v>0</v>
      </c>
      <c r="BW307" s="24">
        <f t="shared" ca="1" si="359"/>
        <v>-10379.494236955125</v>
      </c>
      <c r="BX307" s="25">
        <f t="shared" ca="1" si="364"/>
        <v>-136319.07294736343</v>
      </c>
      <c r="BY307" s="23">
        <f t="shared" ca="1" si="331"/>
        <v>264987.07125485054</v>
      </c>
      <c r="BZ307" s="24">
        <f t="shared" ca="1" si="332"/>
        <v>0</v>
      </c>
      <c r="CA307" s="24">
        <f t="shared" ca="1" si="365"/>
        <v>0</v>
      </c>
      <c r="CB307" s="24">
        <f t="shared" ca="1" si="333"/>
        <v>0</v>
      </c>
      <c r="CC307" s="24">
        <f t="shared" ca="1" si="366"/>
        <v>0</v>
      </c>
      <c r="CD307" s="24">
        <f t="shared" ca="1" si="334"/>
        <v>-3906.2690672939689</v>
      </c>
      <c r="CE307" s="25">
        <f t="shared" ca="1" si="367"/>
        <v>-52244.200860571247</v>
      </c>
      <c r="CF307" s="23">
        <f t="shared" ca="1" si="368"/>
        <v>701661.9759805979</v>
      </c>
      <c r="CG307" s="25">
        <f t="array" aca="1" ref="CG307" ca="1">SUM(BF296:BF307/(1+inflation/100)^(AP296:AP307/12))</f>
        <v>267980.53702225379</v>
      </c>
      <c r="CH307" s="32">
        <f ca="1">IFERROR(IF(MOD(AP307-ap_months_since_start,12)=0,ap_drawdown/100*(AQ307+AV307+BA307-BC307),CH306),0)</f>
        <v>109389.75432580525</v>
      </c>
    </row>
    <row r="308" spans="40:86" x14ac:dyDescent="0.25">
      <c r="AN308" s="32">
        <f t="shared" ca="1" si="329"/>
        <v>79.916666666666671</v>
      </c>
      <c r="AO308" s="53">
        <f t="shared" ca="1" si="360"/>
        <v>54758</v>
      </c>
      <c r="AP308" s="22">
        <v>301</v>
      </c>
      <c r="AQ308" s="32">
        <f t="shared" ca="1" si="361"/>
        <v>706412.16192562715</v>
      </c>
      <c r="AR308" s="23">
        <f t="array" aca="1" ref="AR308" ca="1">SUM(IF(lsc_start_date=AO308,lsc_amount,0))</f>
        <v>0</v>
      </c>
      <c r="AS308" s="24">
        <f t="shared" ca="1" si="335"/>
        <v>0</v>
      </c>
      <c r="AT308" s="24">
        <f t="shared" ca="1" si="336"/>
        <v>0</v>
      </c>
      <c r="AU308" s="24">
        <f t="shared" ca="1" si="337"/>
        <v>0</v>
      </c>
      <c r="AV308" s="25">
        <f t="shared" ca="1" si="338"/>
        <v>0</v>
      </c>
      <c r="AW308" s="23">
        <f t="array" aca="1" ref="AW308" ca="1">SUM(IF(rcs_start_date&lt;=AO308,1,0)*IF(rcs_end_date&gt;=AO308,1,0)*rcs_amount*(1+rcs_escalation/100)^(INT((AP308-rcs_months_since_start)/12))*IF(MOD((AP308-rcs_months_since_start),rcs_frequency)=0,1,0)*IF(rcs_frequency=13,0,1))+SUM(IF(rcs_start_date=AO308,rcs_amount,0)*IF(rcs_frequency=13,1,0))</f>
        <v>0</v>
      </c>
      <c r="AX308" s="24">
        <f t="shared" ca="1" si="339"/>
        <v>0</v>
      </c>
      <c r="AY308" s="24">
        <f t="shared" ca="1" si="340"/>
        <v>0</v>
      </c>
      <c r="AZ308" s="24">
        <f t="shared" ca="1" si="341"/>
        <v>0</v>
      </c>
      <c r="BA308" s="25">
        <f t="shared" ca="1" si="342"/>
        <v>0</v>
      </c>
      <c r="BB308" s="23">
        <f t="array" aca="1" ref="BB308" ca="1">SUM(IF(w_start_date&lt;=AO308,1,0)*IF(w_end_date&gt;=AO308,1,0)*w_amount*(1+w_escalation/100)^(INT((AP308-w_months_since_start)/12))*IF(MOD(AP308-w_months_since_start,w_frequency)=0,1,0)*IF(w_frequency=13,0,1))+SUM(IF(w_start_date=AO308,w_amount,0)*IF(w_frequency=13,1,0))</f>
        <v>0</v>
      </c>
      <c r="BC308" s="25">
        <f t="shared" ca="1" si="343"/>
        <v>0</v>
      </c>
      <c r="BD308" s="24" t="b">
        <f t="shared" ca="1" si="344"/>
        <v>1</v>
      </c>
      <c r="BE308" s="24" t="b">
        <f t="shared" ca="1" si="345"/>
        <v>1</v>
      </c>
      <c r="BF308" s="23">
        <f t="array" aca="1" ref="BF308" ca="1">SUM(IF(BD308,1,0)*IF(ap_start_date&lt;=AO308,1,0)*IF(ap_end_date&gt;=AO308,1,0)*ap_amount*(1+ap_escalation/100)^(INT((AP308-ap_months_since_start)/12))*IF(MOD(AP308-ap_months_since_start,ap_frequency)=0,1,0))</f>
        <v>60608.675666098163</v>
      </c>
      <c r="BG308" s="24">
        <f t="shared" ca="1" si="346"/>
        <v>727304.10799317772</v>
      </c>
      <c r="BH308" s="24">
        <f t="shared" ca="1" si="347"/>
        <v>17793.418691923067</v>
      </c>
      <c r="BI308">
        <f t="shared" ca="1" si="348"/>
        <v>0</v>
      </c>
      <c r="BJ308" s="24">
        <f t="shared" ca="1" si="349"/>
        <v>124553.93084346146</v>
      </c>
      <c r="BK308">
        <f t="shared" ca="1" si="350"/>
        <v>1</v>
      </c>
      <c r="BL308" s="25">
        <f t="shared" ca="1" si="351"/>
        <v>10379.494236955125</v>
      </c>
      <c r="BM308" s="32">
        <f t="shared" ca="1" si="330"/>
        <v>701049.20016329747</v>
      </c>
      <c r="BN308" s="23">
        <f t="shared" ca="1" si="352"/>
        <v>0</v>
      </c>
      <c r="BO308" s="24">
        <f t="shared" ca="1" si="353"/>
        <v>0</v>
      </c>
      <c r="BP308" s="25">
        <f t="shared" ca="1" si="354"/>
        <v>0</v>
      </c>
      <c r="BQ308" s="34">
        <f t="shared" ca="1" si="355"/>
        <v>54788</v>
      </c>
      <c r="BR308" s="23">
        <f t="shared" ca="1" si="356"/>
        <v>701049.20016329747</v>
      </c>
      <c r="BS308" s="24">
        <f t="shared" ca="1" si="357"/>
        <v>0</v>
      </c>
      <c r="BT308" s="24">
        <f t="shared" ca="1" si="362"/>
        <v>0</v>
      </c>
      <c r="BU308" s="24">
        <f t="shared" ca="1" si="358"/>
        <v>0</v>
      </c>
      <c r="BV308" s="24">
        <f t="shared" ca="1" si="363"/>
        <v>0</v>
      </c>
      <c r="BW308" s="24">
        <f t="shared" ca="1" si="359"/>
        <v>-10379.494236955125</v>
      </c>
      <c r="BX308" s="25">
        <f t="shared" ca="1" si="364"/>
        <v>-135249.51457428143</v>
      </c>
      <c r="BY308" s="23">
        <f t="shared" ca="1" si="331"/>
        <v>262117.2305825972</v>
      </c>
      <c r="BZ308" s="24">
        <f t="shared" ca="1" si="332"/>
        <v>0</v>
      </c>
      <c r="CA308" s="24">
        <f t="shared" ca="1" si="365"/>
        <v>0</v>
      </c>
      <c r="CB308" s="24">
        <f t="shared" ca="1" si="333"/>
        <v>0</v>
      </c>
      <c r="CC308" s="24">
        <f t="shared" ca="1" si="366"/>
        <v>0</v>
      </c>
      <c r="CD308" s="24">
        <f t="shared" ca="1" si="334"/>
        <v>-3893.5226871800519</v>
      </c>
      <c r="CE308" s="25">
        <f t="shared" ca="1" si="367"/>
        <v>-51671.202263680199</v>
      </c>
      <c r="CF308" s="23">
        <f t="shared" ca="1" si="368"/>
        <v>703993.07889083237</v>
      </c>
      <c r="CG308" s="25">
        <f t="array" aca="1" ref="CG308" ca="1">SUM(BF297:BF308/(1+inflation/100)^(AP297:AP308/12))</f>
        <v>267980.53702225373</v>
      </c>
      <c r="CH308" s="32">
        <f ca="1">IFERROR(IF(MOD(AP308-ap_months_since_start,12)=0,ap_drawdown/100*(AQ308+AV308+BA308-BC308),CH307),0)</f>
        <v>109389.75432580525</v>
      </c>
    </row>
    <row r="309" spans="40:86" x14ac:dyDescent="0.25">
      <c r="AN309" s="32">
        <f t="shared" ca="1" si="329"/>
        <v>80</v>
      </c>
      <c r="AO309" s="53">
        <f t="shared" ca="1" si="360"/>
        <v>54789</v>
      </c>
      <c r="AP309" s="22">
        <v>302</v>
      </c>
      <c r="AQ309" s="32">
        <f t="shared" ca="1" si="361"/>
        <v>701049.20016329747</v>
      </c>
      <c r="AR309" s="23">
        <f t="array" aca="1" ref="AR309" ca="1">SUM(IF(lsc_start_date=AO309,lsc_amount,0))</f>
        <v>0</v>
      </c>
      <c r="AS309" s="24">
        <f t="shared" ca="1" si="335"/>
        <v>0</v>
      </c>
      <c r="AT309" s="24">
        <f t="shared" ca="1" si="336"/>
        <v>0</v>
      </c>
      <c r="AU309" s="24">
        <f t="shared" ca="1" si="337"/>
        <v>0</v>
      </c>
      <c r="AV309" s="25">
        <f t="shared" ca="1" si="338"/>
        <v>0</v>
      </c>
      <c r="AW309" s="23">
        <f t="array" aca="1" ref="AW309" ca="1">SUM(IF(rcs_start_date&lt;=AO309,1,0)*IF(rcs_end_date&gt;=AO309,1,0)*rcs_amount*(1+rcs_escalation/100)^(INT((AP309-rcs_months_since_start)/12))*IF(MOD((AP309-rcs_months_since_start),rcs_frequency)=0,1,0)*IF(rcs_frequency=13,0,1))+SUM(IF(rcs_start_date=AO309,rcs_amount,0)*IF(rcs_frequency=13,1,0))</f>
        <v>0</v>
      </c>
      <c r="AX309" s="24">
        <f t="shared" ca="1" si="339"/>
        <v>0</v>
      </c>
      <c r="AY309" s="24">
        <f t="shared" ca="1" si="340"/>
        <v>0</v>
      </c>
      <c r="AZ309" s="24">
        <f t="shared" ca="1" si="341"/>
        <v>0</v>
      </c>
      <c r="BA309" s="25">
        <f t="shared" ca="1" si="342"/>
        <v>0</v>
      </c>
      <c r="BB309" s="23">
        <f t="array" aca="1" ref="BB309" ca="1">SUM(IF(w_start_date&lt;=AO309,1,0)*IF(w_end_date&gt;=AO309,1,0)*w_amount*(1+w_escalation/100)^(INT((AP309-w_months_since_start)/12))*IF(MOD(AP309-w_months_since_start,w_frequency)=0,1,0)*IF(w_frequency=13,0,1))+SUM(IF(w_start_date=AO309,w_amount,0)*IF(w_frequency=13,1,0))</f>
        <v>0</v>
      </c>
      <c r="BC309" s="25">
        <f t="shared" ca="1" si="343"/>
        <v>0</v>
      </c>
      <c r="BD309" s="24" t="b">
        <f t="shared" ca="1" si="344"/>
        <v>1</v>
      </c>
      <c r="BE309" s="24" t="b">
        <f t="shared" ca="1" si="345"/>
        <v>1</v>
      </c>
      <c r="BF309" s="23">
        <f t="array" aca="1" ref="BF309" ca="1">SUM(IF(BD309,1,0)*IF(ap_start_date&lt;=AO309,1,0)*IF(ap_end_date&gt;=AO309,1,0)*ap_amount*(1+ap_escalation/100)^(INT((AP309-ap_months_since_start)/12))*IF(MOD(AP309-ap_months_since_start,ap_frequency)=0,1,0))</f>
        <v>60608.675666098163</v>
      </c>
      <c r="BG309" s="24">
        <f t="shared" ca="1" si="346"/>
        <v>727304.10799317772</v>
      </c>
      <c r="BH309" s="24">
        <f t="shared" ca="1" si="347"/>
        <v>17793.418691923067</v>
      </c>
      <c r="BI309">
        <f t="shared" ca="1" si="348"/>
        <v>0</v>
      </c>
      <c r="BJ309" s="24">
        <f t="shared" ca="1" si="349"/>
        <v>124553.93084346146</v>
      </c>
      <c r="BK309">
        <f t="shared" ca="1" si="350"/>
        <v>1</v>
      </c>
      <c r="BL309" s="25">
        <f t="shared" ca="1" si="351"/>
        <v>10379.494236955125</v>
      </c>
      <c r="BM309" s="32">
        <f t="shared" ca="1" si="330"/>
        <v>695647.58580161456</v>
      </c>
      <c r="BN309" s="23">
        <f t="shared" ca="1" si="352"/>
        <v>0</v>
      </c>
      <c r="BO309" s="24">
        <f t="shared" ca="1" si="353"/>
        <v>0</v>
      </c>
      <c r="BP309" s="25">
        <f t="shared" ca="1" si="354"/>
        <v>0</v>
      </c>
      <c r="BQ309" s="34">
        <f t="shared" ca="1" si="355"/>
        <v>54819</v>
      </c>
      <c r="BR309" s="23">
        <f t="shared" ca="1" si="356"/>
        <v>695647.58580161456</v>
      </c>
      <c r="BS309" s="24">
        <f t="shared" ca="1" si="357"/>
        <v>0</v>
      </c>
      <c r="BT309" s="24">
        <f t="shared" ca="1" si="362"/>
        <v>0</v>
      </c>
      <c r="BU309" s="24">
        <f t="shared" ca="1" si="358"/>
        <v>0</v>
      </c>
      <c r="BV309" s="24">
        <f t="shared" ca="1" si="363"/>
        <v>0</v>
      </c>
      <c r="BW309" s="24">
        <f t="shared" ca="1" si="359"/>
        <v>-10379.494236955125</v>
      </c>
      <c r="BX309" s="25">
        <f t="shared" ca="1" si="364"/>
        <v>-134179.95620119944</v>
      </c>
      <c r="BY309" s="23">
        <f t="shared" ca="1" si="331"/>
        <v>259248.89258841195</v>
      </c>
      <c r="BZ309" s="24">
        <f t="shared" ca="1" si="332"/>
        <v>0</v>
      </c>
      <c r="CA309" s="24">
        <f t="shared" ca="1" si="365"/>
        <v>0</v>
      </c>
      <c r="CB309" s="24">
        <f t="shared" ca="1" si="333"/>
        <v>0</v>
      </c>
      <c r="CC309" s="24">
        <f t="shared" ca="1" si="366"/>
        <v>0</v>
      </c>
      <c r="CD309" s="24">
        <f t="shared" ca="1" si="334"/>
        <v>-3880.8178992358562</v>
      </c>
      <c r="CE309" s="25">
        <f t="shared" ca="1" si="367"/>
        <v>-51100.073394090301</v>
      </c>
      <c r="CF309" s="23">
        <f t="shared" ca="1" si="368"/>
        <v>706324.18180106685</v>
      </c>
      <c r="CG309" s="25">
        <f t="array" aca="1" ref="CG309" ca="1">SUM(BF298:BF309/(1+inflation/100)^(AP298:AP309/12))</f>
        <v>267980.53702225379</v>
      </c>
      <c r="CH309" s="32">
        <f ca="1">IFERROR(IF(MOD(AP309-ap_months_since_start,12)=0,ap_drawdown/100*(AQ309+AV309+BA309-BC309),CH308),0)</f>
        <v>109389.75432580525</v>
      </c>
    </row>
    <row r="310" spans="40:86" x14ac:dyDescent="0.25">
      <c r="AN310" s="32">
        <f t="shared" ca="1" si="329"/>
        <v>80.083333333333329</v>
      </c>
      <c r="AO310" s="53">
        <f t="shared" ca="1" si="360"/>
        <v>54820</v>
      </c>
      <c r="AP310" s="22">
        <v>303</v>
      </c>
      <c r="AQ310" s="32">
        <f t="shared" ca="1" si="361"/>
        <v>695647.58580161456</v>
      </c>
      <c r="AR310" s="23">
        <f t="array" aca="1" ref="AR310" ca="1">SUM(IF(lsc_start_date=AO310,lsc_amount,0))</f>
        <v>0</v>
      </c>
      <c r="AS310" s="24">
        <f t="shared" ca="1" si="335"/>
        <v>0</v>
      </c>
      <c r="AT310" s="24">
        <f t="shared" ca="1" si="336"/>
        <v>0</v>
      </c>
      <c r="AU310" s="24">
        <f t="shared" ca="1" si="337"/>
        <v>0</v>
      </c>
      <c r="AV310" s="25">
        <f t="shared" ca="1" si="338"/>
        <v>0</v>
      </c>
      <c r="AW310" s="23">
        <f t="array" aca="1" ref="AW310" ca="1">SUM(IF(rcs_start_date&lt;=AO310,1,0)*IF(rcs_end_date&gt;=AO310,1,0)*rcs_amount*(1+rcs_escalation/100)^(INT((AP310-rcs_months_since_start)/12))*IF(MOD((AP310-rcs_months_since_start),rcs_frequency)=0,1,0)*IF(rcs_frequency=13,0,1))+SUM(IF(rcs_start_date=AO310,rcs_amount,0)*IF(rcs_frequency=13,1,0))</f>
        <v>0</v>
      </c>
      <c r="AX310" s="24">
        <f t="shared" ca="1" si="339"/>
        <v>0</v>
      </c>
      <c r="AY310" s="24">
        <f t="shared" ca="1" si="340"/>
        <v>0</v>
      </c>
      <c r="AZ310" s="24">
        <f t="shared" ca="1" si="341"/>
        <v>0</v>
      </c>
      <c r="BA310" s="25">
        <f t="shared" ca="1" si="342"/>
        <v>0</v>
      </c>
      <c r="BB310" s="23">
        <f t="array" aca="1" ref="BB310" ca="1">SUM(IF(w_start_date&lt;=AO310,1,0)*IF(w_end_date&gt;=AO310,1,0)*w_amount*(1+w_escalation/100)^(INT((AP310-w_months_since_start)/12))*IF(MOD(AP310-w_months_since_start,w_frequency)=0,1,0)*IF(w_frequency=13,0,1))+SUM(IF(w_start_date=AO310,w_amount,0)*IF(w_frequency=13,1,0))</f>
        <v>0</v>
      </c>
      <c r="BC310" s="25">
        <f t="shared" ca="1" si="343"/>
        <v>0</v>
      </c>
      <c r="BD310" s="24" t="b">
        <f t="shared" ca="1" si="344"/>
        <v>1</v>
      </c>
      <c r="BE310" s="24" t="b">
        <f t="shared" ca="1" si="345"/>
        <v>1</v>
      </c>
      <c r="BF310" s="23">
        <f t="array" aca="1" ref="BF310" ca="1">SUM(IF(BD310,1,0)*IF(ap_start_date&lt;=AO310,1,0)*IF(ap_end_date&gt;=AO310,1,0)*ap_amount*(1+ap_escalation/100)^(INT((AP310-ap_months_since_start)/12))*IF(MOD(AP310-ap_months_since_start,ap_frequency)=0,1,0))</f>
        <v>60608.675666098163</v>
      </c>
      <c r="BG310" s="24">
        <f t="shared" ca="1" si="346"/>
        <v>727304.10799317772</v>
      </c>
      <c r="BH310" s="24">
        <f t="shared" ca="1" si="347"/>
        <v>17793.418691923067</v>
      </c>
      <c r="BI310">
        <f t="shared" ca="1" si="348"/>
        <v>0</v>
      </c>
      <c r="BJ310" s="24">
        <f t="shared" ca="1" si="349"/>
        <v>124553.93084346146</v>
      </c>
      <c r="BK310">
        <f t="shared" ca="1" si="350"/>
        <v>1</v>
      </c>
      <c r="BL310" s="25">
        <f t="shared" ca="1" si="351"/>
        <v>10379.494236955125</v>
      </c>
      <c r="BM310" s="32">
        <f t="shared" ca="1" si="330"/>
        <v>690207.04025879793</v>
      </c>
      <c r="BN310" s="23">
        <f t="shared" ca="1" si="352"/>
        <v>0</v>
      </c>
      <c r="BO310" s="24">
        <f t="shared" ca="1" si="353"/>
        <v>0</v>
      </c>
      <c r="BP310" s="25">
        <f t="shared" ca="1" si="354"/>
        <v>0</v>
      </c>
      <c r="BQ310" s="34">
        <f t="shared" ca="1" si="355"/>
        <v>54847</v>
      </c>
      <c r="BR310" s="23">
        <f t="shared" ca="1" si="356"/>
        <v>690207.04025879793</v>
      </c>
      <c r="BS310" s="24">
        <f t="shared" ca="1" si="357"/>
        <v>0</v>
      </c>
      <c r="BT310" s="24">
        <f t="shared" ca="1" si="362"/>
        <v>0</v>
      </c>
      <c r="BU310" s="24">
        <f t="shared" ca="1" si="358"/>
        <v>0</v>
      </c>
      <c r="BV310" s="24">
        <f t="shared" ca="1" si="363"/>
        <v>0</v>
      </c>
      <c r="BW310" s="24">
        <f t="shared" ca="1" si="359"/>
        <v>-10379.494236955125</v>
      </c>
      <c r="BX310" s="25">
        <f t="shared" ca="1" si="364"/>
        <v>-133110.39782811745</v>
      </c>
      <c r="BY310" s="23">
        <f t="shared" ca="1" si="331"/>
        <v>256382.02154492456</v>
      </c>
      <c r="BZ310" s="24">
        <f t="shared" ca="1" si="332"/>
        <v>0</v>
      </c>
      <c r="CA310" s="24">
        <f t="shared" ca="1" si="365"/>
        <v>0</v>
      </c>
      <c r="CB310" s="24">
        <f t="shared" ca="1" si="333"/>
        <v>0</v>
      </c>
      <c r="CC310" s="24">
        <f t="shared" ca="1" si="366"/>
        <v>0</v>
      </c>
      <c r="CD310" s="24">
        <f t="shared" ca="1" si="334"/>
        <v>-3868.1545677437389</v>
      </c>
      <c r="CE310" s="25">
        <f t="shared" ca="1" si="367"/>
        <v>-50530.80815077405</v>
      </c>
      <c r="CF310" s="23">
        <f t="shared" ca="1" si="368"/>
        <v>708655.28471130144</v>
      </c>
      <c r="CG310" s="25">
        <f t="array" aca="1" ref="CG310" ca="1">SUM(BF299:BF310/(1+inflation/100)^(AP299:AP310/12))</f>
        <v>267980.53702225379</v>
      </c>
      <c r="CH310" s="32">
        <f ca="1">IFERROR(IF(MOD(AP310-ap_months_since_start,12)=0,ap_drawdown/100*(AQ310+AV310+BA310-BC310),CH309),0)</f>
        <v>109389.75432580525</v>
      </c>
    </row>
    <row r="311" spans="40:86" x14ac:dyDescent="0.25">
      <c r="AN311" s="32">
        <f t="shared" ca="1" si="329"/>
        <v>80.166666666666671</v>
      </c>
      <c r="AO311" s="53">
        <f t="shared" ca="1" si="360"/>
        <v>54848</v>
      </c>
      <c r="AP311" s="22">
        <v>304</v>
      </c>
      <c r="AQ311" s="32">
        <f t="shared" ca="1" si="361"/>
        <v>690207.04025879793</v>
      </c>
      <c r="AR311" s="23">
        <f t="array" aca="1" ref="AR311" ca="1">SUM(IF(lsc_start_date=AO311,lsc_amount,0))</f>
        <v>0</v>
      </c>
      <c r="AS311" s="24">
        <f t="shared" ca="1" si="335"/>
        <v>0</v>
      </c>
      <c r="AT311" s="24">
        <f t="shared" ca="1" si="336"/>
        <v>0</v>
      </c>
      <c r="AU311" s="24">
        <f t="shared" ca="1" si="337"/>
        <v>0</v>
      </c>
      <c r="AV311" s="25">
        <f t="shared" ca="1" si="338"/>
        <v>0</v>
      </c>
      <c r="AW311" s="23">
        <f t="array" aca="1" ref="AW311" ca="1">SUM(IF(rcs_start_date&lt;=AO311,1,0)*IF(rcs_end_date&gt;=AO311,1,0)*rcs_amount*(1+rcs_escalation/100)^(INT((AP311-rcs_months_since_start)/12))*IF(MOD((AP311-rcs_months_since_start),rcs_frequency)=0,1,0)*IF(rcs_frequency=13,0,1))+SUM(IF(rcs_start_date=AO311,rcs_amount,0)*IF(rcs_frequency=13,1,0))</f>
        <v>0</v>
      </c>
      <c r="AX311" s="24">
        <f t="shared" ca="1" si="339"/>
        <v>0</v>
      </c>
      <c r="AY311" s="24">
        <f t="shared" ca="1" si="340"/>
        <v>0</v>
      </c>
      <c r="AZ311" s="24">
        <f t="shared" ca="1" si="341"/>
        <v>0</v>
      </c>
      <c r="BA311" s="25">
        <f t="shared" ca="1" si="342"/>
        <v>0</v>
      </c>
      <c r="BB311" s="23">
        <f t="array" aca="1" ref="BB311" ca="1">SUM(IF(w_start_date&lt;=AO311,1,0)*IF(w_end_date&gt;=AO311,1,0)*w_amount*(1+w_escalation/100)^(INT((AP311-w_months_since_start)/12))*IF(MOD(AP311-w_months_since_start,w_frequency)=0,1,0)*IF(w_frequency=13,0,1))+SUM(IF(w_start_date=AO311,w_amount,0)*IF(w_frequency=13,1,0))</f>
        <v>0</v>
      </c>
      <c r="BC311" s="25">
        <f t="shared" ca="1" si="343"/>
        <v>0</v>
      </c>
      <c r="BD311" s="24" t="b">
        <f t="shared" ca="1" si="344"/>
        <v>1</v>
      </c>
      <c r="BE311" s="24" t="b">
        <f t="shared" ca="1" si="345"/>
        <v>1</v>
      </c>
      <c r="BF311" s="23">
        <f t="array" aca="1" ref="BF311" ca="1">SUM(IF(BD311,1,0)*IF(ap_start_date&lt;=AO311,1,0)*IF(ap_end_date&gt;=AO311,1,0)*ap_amount*(1+ap_escalation/100)^(INT((AP311-ap_months_since_start)/12))*IF(MOD(AP311-ap_months_since_start,ap_frequency)=0,1,0))</f>
        <v>60608.675666098163</v>
      </c>
      <c r="BG311" s="24">
        <f t="shared" ca="1" si="346"/>
        <v>727304.10799317772</v>
      </c>
      <c r="BH311" s="24">
        <f t="shared" ca="1" si="347"/>
        <v>17793.418691923067</v>
      </c>
      <c r="BI311">
        <f t="shared" ca="1" si="348"/>
        <v>0</v>
      </c>
      <c r="BJ311" s="24">
        <f t="shared" ca="1" si="349"/>
        <v>124553.93084346146</v>
      </c>
      <c r="BK311">
        <f t="shared" ca="1" si="350"/>
        <v>1</v>
      </c>
      <c r="BL311" s="25">
        <f t="shared" ca="1" si="351"/>
        <v>10379.494236955125</v>
      </c>
      <c r="BM311" s="32">
        <f t="shared" ca="1" si="330"/>
        <v>684727.28294523805</v>
      </c>
      <c r="BN311" s="23">
        <f t="shared" ca="1" si="352"/>
        <v>0</v>
      </c>
      <c r="BO311" s="24">
        <f t="shared" ca="1" si="353"/>
        <v>0</v>
      </c>
      <c r="BP311" s="25">
        <f t="shared" ca="1" si="354"/>
        <v>0</v>
      </c>
      <c r="BQ311" s="34">
        <f t="shared" ca="1" si="355"/>
        <v>54878</v>
      </c>
      <c r="BR311" s="23">
        <f t="shared" ca="1" si="356"/>
        <v>684727.28294523805</v>
      </c>
      <c r="BS311" s="24">
        <f t="shared" ca="1" si="357"/>
        <v>0</v>
      </c>
      <c r="BT311" s="24">
        <f t="shared" ca="1" si="362"/>
        <v>0</v>
      </c>
      <c r="BU311" s="24">
        <f t="shared" ca="1" si="358"/>
        <v>0</v>
      </c>
      <c r="BV311" s="24">
        <f t="shared" ca="1" si="363"/>
        <v>0</v>
      </c>
      <c r="BW311" s="24">
        <f t="shared" ca="1" si="359"/>
        <v>-10379.494236955125</v>
      </c>
      <c r="BX311" s="25">
        <f t="shared" ca="1" si="364"/>
        <v>-132040.83945503546</v>
      </c>
      <c r="BY311" s="23">
        <f t="shared" ca="1" si="331"/>
        <v>253516.58172049199</v>
      </c>
      <c r="BZ311" s="24">
        <f t="shared" ca="1" si="332"/>
        <v>0</v>
      </c>
      <c r="CA311" s="24">
        <f t="shared" ca="1" si="365"/>
        <v>0</v>
      </c>
      <c r="CB311" s="24">
        <f t="shared" ca="1" si="333"/>
        <v>0</v>
      </c>
      <c r="CC311" s="24">
        <f t="shared" ca="1" si="366"/>
        <v>0</v>
      </c>
      <c r="CD311" s="24">
        <f t="shared" ca="1" si="334"/>
        <v>-3855.5325574289204</v>
      </c>
      <c r="CE311" s="25">
        <f t="shared" ca="1" si="367"/>
        <v>-49963.400452612012</v>
      </c>
      <c r="CF311" s="23">
        <f t="shared" ca="1" si="368"/>
        <v>710986.38762153592</v>
      </c>
      <c r="CG311" s="25">
        <f t="array" aca="1" ref="CG311" ca="1">SUM(BF300:BF311/(1+inflation/100)^(AP300:AP311/12))</f>
        <v>267980.53702225373</v>
      </c>
      <c r="CH311" s="32">
        <f ca="1">IFERROR(IF(MOD(AP311-ap_months_since_start,12)=0,ap_drawdown/100*(AQ311+AV311+BA311-BC311),CH310),0)</f>
        <v>109389.75432580525</v>
      </c>
    </row>
    <row r="312" spans="40:86" x14ac:dyDescent="0.25">
      <c r="AN312" s="32">
        <f t="shared" ca="1" si="329"/>
        <v>80.25</v>
      </c>
      <c r="AO312" s="53">
        <f t="shared" ca="1" si="360"/>
        <v>54879</v>
      </c>
      <c r="AP312" s="22">
        <v>305</v>
      </c>
      <c r="AQ312" s="32">
        <f t="shared" ca="1" si="361"/>
        <v>684727.28294523805</v>
      </c>
      <c r="AR312" s="23">
        <f t="array" aca="1" ref="AR312" ca="1">SUM(IF(lsc_start_date=AO312,lsc_amount,0))</f>
        <v>0</v>
      </c>
      <c r="AS312" s="24">
        <f t="shared" ca="1" si="335"/>
        <v>0</v>
      </c>
      <c r="AT312" s="24">
        <f t="shared" ca="1" si="336"/>
        <v>0</v>
      </c>
      <c r="AU312" s="24">
        <f t="shared" ca="1" si="337"/>
        <v>0</v>
      </c>
      <c r="AV312" s="25">
        <f t="shared" ca="1" si="338"/>
        <v>0</v>
      </c>
      <c r="AW312" s="23">
        <f t="array" aca="1" ref="AW312" ca="1">SUM(IF(rcs_start_date&lt;=AO312,1,0)*IF(rcs_end_date&gt;=AO312,1,0)*rcs_amount*(1+rcs_escalation/100)^(INT((AP312-rcs_months_since_start)/12))*IF(MOD((AP312-rcs_months_since_start),rcs_frequency)=0,1,0)*IF(rcs_frequency=13,0,1))+SUM(IF(rcs_start_date=AO312,rcs_amount,0)*IF(rcs_frequency=13,1,0))</f>
        <v>0</v>
      </c>
      <c r="AX312" s="24">
        <f t="shared" ca="1" si="339"/>
        <v>0</v>
      </c>
      <c r="AY312" s="24">
        <f t="shared" ca="1" si="340"/>
        <v>0</v>
      </c>
      <c r="AZ312" s="24">
        <f t="shared" ca="1" si="341"/>
        <v>0</v>
      </c>
      <c r="BA312" s="25">
        <f t="shared" ca="1" si="342"/>
        <v>0</v>
      </c>
      <c r="BB312" s="23">
        <f t="array" aca="1" ref="BB312" ca="1">SUM(IF(w_start_date&lt;=AO312,1,0)*IF(w_end_date&gt;=AO312,1,0)*w_amount*(1+w_escalation/100)^(INT((AP312-w_months_since_start)/12))*IF(MOD(AP312-w_months_since_start,w_frequency)=0,1,0)*IF(w_frequency=13,0,1))+SUM(IF(w_start_date=AO312,w_amount,0)*IF(w_frequency=13,1,0))</f>
        <v>0</v>
      </c>
      <c r="BC312" s="25">
        <f t="shared" ca="1" si="343"/>
        <v>0</v>
      </c>
      <c r="BD312" s="24" t="b">
        <f t="shared" ca="1" si="344"/>
        <v>1</v>
      </c>
      <c r="BE312" s="24" t="b">
        <f t="shared" ca="1" si="345"/>
        <v>1</v>
      </c>
      <c r="BF312" s="23">
        <f t="array" aca="1" ref="BF312" ca="1">SUM(IF(BD312,1,0)*IF(ap_start_date&lt;=AO312,1,0)*IF(ap_end_date&gt;=AO312,1,0)*ap_amount*(1+ap_escalation/100)^(INT((AP312-ap_months_since_start)/12))*IF(MOD(AP312-ap_months_since_start,ap_frequency)=0,1,0))</f>
        <v>60608.675666098163</v>
      </c>
      <c r="BG312" s="24">
        <f t="shared" ca="1" si="346"/>
        <v>727304.10799317772</v>
      </c>
      <c r="BH312" s="24">
        <f t="shared" ca="1" si="347"/>
        <v>17793.418691923067</v>
      </c>
      <c r="BI312">
        <f t="shared" ca="1" si="348"/>
        <v>0</v>
      </c>
      <c r="BJ312" s="24">
        <f t="shared" ca="1" si="349"/>
        <v>124553.93084346146</v>
      </c>
      <c r="BK312">
        <f t="shared" ca="1" si="350"/>
        <v>1</v>
      </c>
      <c r="BL312" s="25">
        <f t="shared" ca="1" si="351"/>
        <v>10379.494236955125</v>
      </c>
      <c r="BM312" s="32">
        <f t="shared" ca="1" si="330"/>
        <v>679208.03124902537</v>
      </c>
      <c r="BN312" s="23">
        <f t="shared" ca="1" si="352"/>
        <v>0</v>
      </c>
      <c r="BO312" s="24">
        <f t="shared" ca="1" si="353"/>
        <v>0</v>
      </c>
      <c r="BP312" s="25">
        <f t="shared" ca="1" si="354"/>
        <v>0</v>
      </c>
      <c r="BQ312" s="34">
        <f t="shared" ca="1" si="355"/>
        <v>54908</v>
      </c>
      <c r="BR312" s="23">
        <f t="shared" ca="1" si="356"/>
        <v>679208.03124902537</v>
      </c>
      <c r="BS312" s="24">
        <f t="shared" ca="1" si="357"/>
        <v>0</v>
      </c>
      <c r="BT312" s="24">
        <f t="shared" ca="1" si="362"/>
        <v>0</v>
      </c>
      <c r="BU312" s="24">
        <f t="shared" ca="1" si="358"/>
        <v>0</v>
      </c>
      <c r="BV312" s="24">
        <f t="shared" ca="1" si="363"/>
        <v>0</v>
      </c>
      <c r="BW312" s="24">
        <f t="shared" ca="1" si="359"/>
        <v>-10379.494236955125</v>
      </c>
      <c r="BX312" s="25">
        <f t="shared" ca="1" si="364"/>
        <v>-130971.28108195346</v>
      </c>
      <c r="BY312" s="23">
        <f t="shared" ca="1" si="331"/>
        <v>250652.53737873808</v>
      </c>
      <c r="BZ312" s="24">
        <f t="shared" ca="1" si="332"/>
        <v>0</v>
      </c>
      <c r="CA312" s="24">
        <f t="shared" ca="1" si="365"/>
        <v>0</v>
      </c>
      <c r="CB312" s="24">
        <f t="shared" ca="1" si="333"/>
        <v>0</v>
      </c>
      <c r="CC312" s="24">
        <f t="shared" ca="1" si="366"/>
        <v>0</v>
      </c>
      <c r="CD312" s="24">
        <f t="shared" ca="1" si="334"/>
        <v>-3842.9517334580296</v>
      </c>
      <c r="CE312" s="25">
        <f t="shared" ca="1" si="367"/>
        <v>-49397.844238327736</v>
      </c>
      <c r="CF312" s="23">
        <f t="shared" ca="1" si="368"/>
        <v>713317.49053177051</v>
      </c>
      <c r="CG312" s="25">
        <f t="array" aca="1" ref="CG312" ca="1">SUM(BF301:BF312/(1+inflation/100)^(AP301:AP312/12))</f>
        <v>267980.53702225373</v>
      </c>
      <c r="CH312" s="32">
        <f ca="1">IFERROR(IF(MOD(AP312-ap_months_since_start,12)=0,ap_drawdown/100*(AQ312+AV312+BA312-BC312),CH311),0)</f>
        <v>109389.75432580525</v>
      </c>
    </row>
    <row r="313" spans="40:86" x14ac:dyDescent="0.25">
      <c r="AN313" s="32">
        <f t="shared" ca="1" si="329"/>
        <v>80.333333333333329</v>
      </c>
      <c r="AO313" s="53">
        <f t="shared" ca="1" si="360"/>
        <v>54909</v>
      </c>
      <c r="AP313" s="22">
        <v>306</v>
      </c>
      <c r="AQ313" s="32">
        <f t="shared" ca="1" si="361"/>
        <v>679208.03124902537</v>
      </c>
      <c r="AR313" s="23">
        <f t="array" aca="1" ref="AR313" ca="1">SUM(IF(lsc_start_date=AO313,lsc_amount,0))</f>
        <v>0</v>
      </c>
      <c r="AS313" s="24">
        <f t="shared" ca="1" si="335"/>
        <v>0</v>
      </c>
      <c r="AT313" s="24">
        <f t="shared" ca="1" si="336"/>
        <v>0</v>
      </c>
      <c r="AU313" s="24">
        <f t="shared" ca="1" si="337"/>
        <v>0</v>
      </c>
      <c r="AV313" s="25">
        <f t="shared" ca="1" si="338"/>
        <v>0</v>
      </c>
      <c r="AW313" s="23">
        <f t="array" aca="1" ref="AW313" ca="1">SUM(IF(rcs_start_date&lt;=AO313,1,0)*IF(rcs_end_date&gt;=AO313,1,0)*rcs_amount*(1+rcs_escalation/100)^(INT((AP313-rcs_months_since_start)/12))*IF(MOD((AP313-rcs_months_since_start),rcs_frequency)=0,1,0)*IF(rcs_frequency=13,0,1))+SUM(IF(rcs_start_date=AO313,rcs_amount,0)*IF(rcs_frequency=13,1,0))</f>
        <v>0</v>
      </c>
      <c r="AX313" s="24">
        <f t="shared" ca="1" si="339"/>
        <v>0</v>
      </c>
      <c r="AY313" s="24">
        <f t="shared" ca="1" si="340"/>
        <v>0</v>
      </c>
      <c r="AZ313" s="24">
        <f t="shared" ca="1" si="341"/>
        <v>0</v>
      </c>
      <c r="BA313" s="25">
        <f t="shared" ca="1" si="342"/>
        <v>0</v>
      </c>
      <c r="BB313" s="23">
        <f t="array" aca="1" ref="BB313" ca="1">SUM(IF(w_start_date&lt;=AO313,1,0)*IF(w_end_date&gt;=AO313,1,0)*w_amount*(1+w_escalation/100)^(INT((AP313-w_months_since_start)/12))*IF(MOD(AP313-w_months_since_start,w_frequency)=0,1,0)*IF(w_frequency=13,0,1))+SUM(IF(w_start_date=AO313,w_amount,0)*IF(w_frequency=13,1,0))</f>
        <v>0</v>
      </c>
      <c r="BC313" s="25">
        <f t="shared" ca="1" si="343"/>
        <v>0</v>
      </c>
      <c r="BD313" s="24" t="b">
        <f t="shared" ca="1" si="344"/>
        <v>1</v>
      </c>
      <c r="BE313" s="24" t="b">
        <f t="shared" ca="1" si="345"/>
        <v>1</v>
      </c>
      <c r="BF313" s="23">
        <f t="array" aca="1" ref="BF313" ca="1">SUM(IF(BD313,1,0)*IF(ap_start_date&lt;=AO313,1,0)*IF(ap_end_date&gt;=AO313,1,0)*ap_amount*(1+ap_escalation/100)^(INT((AP313-ap_months_since_start)/12))*IF(MOD(AP313-ap_months_since_start,ap_frequency)=0,1,0))</f>
        <v>60608.675666098163</v>
      </c>
      <c r="BG313" s="24">
        <f t="shared" ca="1" si="346"/>
        <v>727304.10799317772</v>
      </c>
      <c r="BH313" s="24">
        <f t="shared" ca="1" si="347"/>
        <v>17793.418691923067</v>
      </c>
      <c r="BI313">
        <f t="shared" ca="1" si="348"/>
        <v>0</v>
      </c>
      <c r="BJ313" s="24">
        <f t="shared" ca="1" si="349"/>
        <v>124553.93084346146</v>
      </c>
      <c r="BK313">
        <f t="shared" ca="1" si="350"/>
        <v>1</v>
      </c>
      <c r="BL313" s="25">
        <f t="shared" ca="1" si="351"/>
        <v>10379.494236955125</v>
      </c>
      <c r="BM313" s="32">
        <f t="shared" ca="1" si="330"/>
        <v>673649.00052137498</v>
      </c>
      <c r="BN313" s="23">
        <f t="shared" ca="1" si="352"/>
        <v>0</v>
      </c>
      <c r="BO313" s="24">
        <f t="shared" ca="1" si="353"/>
        <v>0</v>
      </c>
      <c r="BP313" s="25">
        <f t="shared" ca="1" si="354"/>
        <v>0</v>
      </c>
      <c r="BQ313" s="34">
        <f t="shared" ca="1" si="355"/>
        <v>54939</v>
      </c>
      <c r="BR313" s="23">
        <f t="shared" ca="1" si="356"/>
        <v>673649.00052137498</v>
      </c>
      <c r="BS313" s="24">
        <f t="shared" ca="1" si="357"/>
        <v>0</v>
      </c>
      <c r="BT313" s="24">
        <f t="shared" ca="1" si="362"/>
        <v>0</v>
      </c>
      <c r="BU313" s="24">
        <f t="shared" ca="1" si="358"/>
        <v>0</v>
      </c>
      <c r="BV313" s="24">
        <f t="shared" ca="1" si="363"/>
        <v>0</v>
      </c>
      <c r="BW313" s="24">
        <f t="shared" ca="1" si="359"/>
        <v>-10379.494236955125</v>
      </c>
      <c r="BX313" s="25">
        <f t="shared" ca="1" si="364"/>
        <v>-129901.72270887147</v>
      </c>
      <c r="BY313" s="23">
        <f t="shared" ca="1" si="331"/>
        <v>247789.85277809409</v>
      </c>
      <c r="BZ313" s="24">
        <f t="shared" ca="1" si="332"/>
        <v>0</v>
      </c>
      <c r="CA313" s="24">
        <f t="shared" ca="1" si="365"/>
        <v>0</v>
      </c>
      <c r="CB313" s="24">
        <f t="shared" ca="1" si="333"/>
        <v>0</v>
      </c>
      <c r="CC313" s="24">
        <f t="shared" ca="1" si="366"/>
        <v>0</v>
      </c>
      <c r="CD313" s="24">
        <f t="shared" ca="1" si="334"/>
        <v>-3830.41196143766</v>
      </c>
      <c r="CE313" s="25">
        <f t="shared" ca="1" si="367"/>
        <v>-48834.133466423104</v>
      </c>
      <c r="CF313" s="23">
        <f t="shared" ca="1" si="368"/>
        <v>715648.59344200499</v>
      </c>
      <c r="CG313" s="25">
        <f t="array" aca="1" ref="CG313" ca="1">SUM(BF302:BF313/(1+inflation/100)^(AP302:AP313/12))</f>
        <v>267980.53702225373</v>
      </c>
      <c r="CH313" s="32">
        <f ca="1">IFERROR(IF(MOD(AP313-ap_months_since_start,12)=0,ap_drawdown/100*(AQ313+AV313+BA313-BC313),CH312),0)</f>
        <v>109389.75432580525</v>
      </c>
    </row>
    <row r="314" spans="40:86" x14ac:dyDescent="0.25">
      <c r="AN314" s="32">
        <f t="shared" ca="1" si="329"/>
        <v>80.416666666666671</v>
      </c>
      <c r="AO314" s="53">
        <f t="shared" ca="1" si="360"/>
        <v>54940</v>
      </c>
      <c r="AP314" s="22">
        <v>307</v>
      </c>
      <c r="AQ314" s="32">
        <f t="shared" ca="1" si="361"/>
        <v>673649.00052137498</v>
      </c>
      <c r="AR314" s="23">
        <f t="array" aca="1" ref="AR314" ca="1">SUM(IF(lsc_start_date=AO314,lsc_amount,0))</f>
        <v>0</v>
      </c>
      <c r="AS314" s="24">
        <f t="shared" ca="1" si="335"/>
        <v>0</v>
      </c>
      <c r="AT314" s="24">
        <f t="shared" ca="1" si="336"/>
        <v>0</v>
      </c>
      <c r="AU314" s="24">
        <f t="shared" ca="1" si="337"/>
        <v>0</v>
      </c>
      <c r="AV314" s="25">
        <f t="shared" ca="1" si="338"/>
        <v>0</v>
      </c>
      <c r="AW314" s="23">
        <f t="array" aca="1" ref="AW314" ca="1">SUM(IF(rcs_start_date&lt;=AO314,1,0)*IF(rcs_end_date&gt;=AO314,1,0)*rcs_amount*(1+rcs_escalation/100)^(INT((AP314-rcs_months_since_start)/12))*IF(MOD((AP314-rcs_months_since_start),rcs_frequency)=0,1,0)*IF(rcs_frequency=13,0,1))+SUM(IF(rcs_start_date=AO314,rcs_amount,0)*IF(rcs_frequency=13,1,0))</f>
        <v>0</v>
      </c>
      <c r="AX314" s="24">
        <f t="shared" ca="1" si="339"/>
        <v>0</v>
      </c>
      <c r="AY314" s="24">
        <f t="shared" ca="1" si="340"/>
        <v>0</v>
      </c>
      <c r="AZ314" s="24">
        <f t="shared" ca="1" si="341"/>
        <v>0</v>
      </c>
      <c r="BA314" s="25">
        <f t="shared" ca="1" si="342"/>
        <v>0</v>
      </c>
      <c r="BB314" s="23">
        <f t="array" aca="1" ref="BB314" ca="1">SUM(IF(w_start_date&lt;=AO314,1,0)*IF(w_end_date&gt;=AO314,1,0)*w_amount*(1+w_escalation/100)^(INT((AP314-w_months_since_start)/12))*IF(MOD(AP314-w_months_since_start,w_frequency)=0,1,0)*IF(w_frequency=13,0,1))+SUM(IF(w_start_date=AO314,w_amount,0)*IF(w_frequency=13,1,0))</f>
        <v>0</v>
      </c>
      <c r="BC314" s="25">
        <f t="shared" ca="1" si="343"/>
        <v>0</v>
      </c>
      <c r="BD314" s="24" t="b">
        <f t="shared" ca="1" si="344"/>
        <v>1</v>
      </c>
      <c r="BE314" s="24" t="b">
        <f t="shared" ca="1" si="345"/>
        <v>1</v>
      </c>
      <c r="BF314" s="23">
        <f t="array" aca="1" ref="BF314" ca="1">SUM(IF(BD314,1,0)*IF(ap_start_date&lt;=AO314,1,0)*IF(ap_end_date&gt;=AO314,1,0)*ap_amount*(1+ap_escalation/100)^(INT((AP314-ap_months_since_start)/12))*IF(MOD(AP314-ap_months_since_start,ap_frequency)=0,1,0))</f>
        <v>60608.675666098163</v>
      </c>
      <c r="BG314" s="24">
        <f t="shared" ca="1" si="346"/>
        <v>727304.10799317772</v>
      </c>
      <c r="BH314" s="24">
        <f t="shared" ca="1" si="347"/>
        <v>17793.418691923067</v>
      </c>
      <c r="BI314">
        <f t="shared" ca="1" si="348"/>
        <v>0</v>
      </c>
      <c r="BJ314" s="24">
        <f t="shared" ca="1" si="349"/>
        <v>124553.93084346146</v>
      </c>
      <c r="BK314">
        <f t="shared" ca="1" si="350"/>
        <v>1</v>
      </c>
      <c r="BL314" s="25">
        <f t="shared" ca="1" si="351"/>
        <v>10379.494236955125</v>
      </c>
      <c r="BM314" s="32">
        <f t="shared" ca="1" si="330"/>
        <v>668049.90406194609</v>
      </c>
      <c r="BN314" s="23">
        <f t="shared" ca="1" si="352"/>
        <v>0</v>
      </c>
      <c r="BO314" s="24">
        <f t="shared" ca="1" si="353"/>
        <v>0</v>
      </c>
      <c r="BP314" s="25">
        <f t="shared" ca="1" si="354"/>
        <v>0</v>
      </c>
      <c r="BQ314" s="34">
        <f t="shared" ca="1" si="355"/>
        <v>54969</v>
      </c>
      <c r="BR314" s="23">
        <f t="shared" ca="1" si="356"/>
        <v>668049.90406194609</v>
      </c>
      <c r="BS314" s="24">
        <f t="shared" ca="1" si="357"/>
        <v>0</v>
      </c>
      <c r="BT314" s="24">
        <f t="shared" ca="1" si="362"/>
        <v>0</v>
      </c>
      <c r="BU314" s="24">
        <f t="shared" ca="1" si="358"/>
        <v>0</v>
      </c>
      <c r="BV314" s="24">
        <f t="shared" ca="1" si="363"/>
        <v>0</v>
      </c>
      <c r="BW314" s="24">
        <f t="shared" ca="1" si="359"/>
        <v>-10379.494236955125</v>
      </c>
      <c r="BX314" s="25">
        <f t="shared" ca="1" si="364"/>
        <v>-128832.16433578948</v>
      </c>
      <c r="BY314" s="23">
        <f t="shared" ca="1" si="331"/>
        <v>244928.49217133754</v>
      </c>
      <c r="BZ314" s="24">
        <f t="shared" ca="1" si="332"/>
        <v>0</v>
      </c>
      <c r="CA314" s="24">
        <f t="shared" ca="1" si="365"/>
        <v>0</v>
      </c>
      <c r="CB314" s="24">
        <f t="shared" ca="1" si="333"/>
        <v>0</v>
      </c>
      <c r="CC314" s="24">
        <f t="shared" ca="1" si="366"/>
        <v>0</v>
      </c>
      <c r="CD314" s="24">
        <f t="shared" ca="1" si="334"/>
        <v>-3817.9131074129436</v>
      </c>
      <c r="CE314" s="25">
        <f t="shared" ca="1" si="367"/>
        <v>-48272.262115113714</v>
      </c>
      <c r="CF314" s="23">
        <f t="shared" ca="1" si="368"/>
        <v>717979.69635223958</v>
      </c>
      <c r="CG314" s="25">
        <f t="array" aca="1" ref="CG314" ca="1">SUM(BF303:BF314/(1+inflation/100)^(AP303:AP314/12))</f>
        <v>267980.53702225373</v>
      </c>
      <c r="CH314" s="32">
        <f ca="1">IFERROR(IF(MOD(AP314-ap_months_since_start,12)=0,ap_drawdown/100*(AQ314+AV314+BA314-BC314),CH313),0)</f>
        <v>109389.75432580525</v>
      </c>
    </row>
    <row r="315" spans="40:86" x14ac:dyDescent="0.25">
      <c r="AN315" s="32">
        <f t="shared" ca="1" si="329"/>
        <v>80.5</v>
      </c>
      <c r="AO315" s="53">
        <f t="shared" ca="1" si="360"/>
        <v>54970</v>
      </c>
      <c r="AP315" s="22">
        <v>308</v>
      </c>
      <c r="AQ315" s="32">
        <f t="shared" ca="1" si="361"/>
        <v>668049.90406194609</v>
      </c>
      <c r="AR315" s="23">
        <f t="array" aca="1" ref="AR315" ca="1">SUM(IF(lsc_start_date=AO315,lsc_amount,0))</f>
        <v>0</v>
      </c>
      <c r="AS315" s="24">
        <f t="shared" ca="1" si="335"/>
        <v>0</v>
      </c>
      <c r="AT315" s="24">
        <f t="shared" ca="1" si="336"/>
        <v>0</v>
      </c>
      <c r="AU315" s="24">
        <f t="shared" ca="1" si="337"/>
        <v>0</v>
      </c>
      <c r="AV315" s="25">
        <f t="shared" ca="1" si="338"/>
        <v>0</v>
      </c>
      <c r="AW315" s="23">
        <f t="array" aca="1" ref="AW315" ca="1">SUM(IF(rcs_start_date&lt;=AO315,1,0)*IF(rcs_end_date&gt;=AO315,1,0)*rcs_amount*(1+rcs_escalation/100)^(INT((AP315-rcs_months_since_start)/12))*IF(MOD((AP315-rcs_months_since_start),rcs_frequency)=0,1,0)*IF(rcs_frequency=13,0,1))+SUM(IF(rcs_start_date=AO315,rcs_amount,0)*IF(rcs_frequency=13,1,0))</f>
        <v>0</v>
      </c>
      <c r="AX315" s="24">
        <f t="shared" ca="1" si="339"/>
        <v>0</v>
      </c>
      <c r="AY315" s="24">
        <f t="shared" ca="1" si="340"/>
        <v>0</v>
      </c>
      <c r="AZ315" s="24">
        <f t="shared" ca="1" si="341"/>
        <v>0</v>
      </c>
      <c r="BA315" s="25">
        <f t="shared" ca="1" si="342"/>
        <v>0</v>
      </c>
      <c r="BB315" s="23">
        <f t="array" aca="1" ref="BB315" ca="1">SUM(IF(w_start_date&lt;=AO315,1,0)*IF(w_end_date&gt;=AO315,1,0)*w_amount*(1+w_escalation/100)^(INT((AP315-w_months_since_start)/12))*IF(MOD(AP315-w_months_since_start,w_frequency)=0,1,0)*IF(w_frequency=13,0,1))+SUM(IF(w_start_date=AO315,w_amount,0)*IF(w_frequency=13,1,0))</f>
        <v>0</v>
      </c>
      <c r="BC315" s="25">
        <f t="shared" ca="1" si="343"/>
        <v>0</v>
      </c>
      <c r="BD315" s="24" t="b">
        <f t="shared" ca="1" si="344"/>
        <v>1</v>
      </c>
      <c r="BE315" s="24" t="b">
        <f t="shared" ca="1" si="345"/>
        <v>1</v>
      </c>
      <c r="BF315" s="23">
        <f t="array" aca="1" ref="BF315" ca="1">SUM(IF(BD315,1,0)*IF(ap_start_date&lt;=AO315,1,0)*IF(ap_end_date&gt;=AO315,1,0)*ap_amount*(1+ap_escalation/100)^(INT((AP315-ap_months_since_start)/12))*IF(MOD(AP315-ap_months_since_start,ap_frequency)=0,1,0))</f>
        <v>60608.675666098163</v>
      </c>
      <c r="BG315" s="24">
        <f t="shared" ca="1" si="346"/>
        <v>727304.10799317772</v>
      </c>
      <c r="BH315" s="24">
        <f t="shared" ca="1" si="347"/>
        <v>17793.418691923067</v>
      </c>
      <c r="BI315">
        <f t="shared" ca="1" si="348"/>
        <v>0</v>
      </c>
      <c r="BJ315" s="24">
        <f t="shared" ca="1" si="349"/>
        <v>124553.93084346146</v>
      </c>
      <c r="BK315">
        <f t="shared" ca="1" si="350"/>
        <v>1</v>
      </c>
      <c r="BL315" s="25">
        <f t="shared" ca="1" si="351"/>
        <v>10379.494236955125</v>
      </c>
      <c r="BM315" s="32">
        <f t="shared" ca="1" si="330"/>
        <v>662410.45310405584</v>
      </c>
      <c r="BN315" s="23">
        <f t="shared" ca="1" si="352"/>
        <v>0</v>
      </c>
      <c r="BO315" s="24">
        <f t="shared" ca="1" si="353"/>
        <v>0</v>
      </c>
      <c r="BP315" s="25">
        <f t="shared" ca="1" si="354"/>
        <v>0</v>
      </c>
      <c r="BQ315" s="34">
        <f t="shared" ca="1" si="355"/>
        <v>55000</v>
      </c>
      <c r="BR315" s="23">
        <f t="shared" ca="1" si="356"/>
        <v>662410.45310405584</v>
      </c>
      <c r="BS315" s="24">
        <f t="shared" ca="1" si="357"/>
        <v>0</v>
      </c>
      <c r="BT315" s="24">
        <f t="shared" ca="1" si="362"/>
        <v>0</v>
      </c>
      <c r="BU315" s="24">
        <f t="shared" ca="1" si="358"/>
        <v>0</v>
      </c>
      <c r="BV315" s="24">
        <f t="shared" ca="1" si="363"/>
        <v>0</v>
      </c>
      <c r="BW315" s="24">
        <f t="shared" ca="1" si="359"/>
        <v>-10379.494236955125</v>
      </c>
      <c r="BX315" s="25">
        <f t="shared" ca="1" si="364"/>
        <v>-127762.6059627075</v>
      </c>
      <c r="BY315" s="23">
        <f t="shared" ca="1" si="331"/>
        <v>242068.4198051311</v>
      </c>
      <c r="BZ315" s="24">
        <f t="shared" ca="1" si="332"/>
        <v>0</v>
      </c>
      <c r="CA315" s="24">
        <f t="shared" ca="1" si="365"/>
        <v>0</v>
      </c>
      <c r="CB315" s="24">
        <f t="shared" ca="1" si="333"/>
        <v>0</v>
      </c>
      <c r="CC315" s="24">
        <f t="shared" ca="1" si="366"/>
        <v>0</v>
      </c>
      <c r="CD315" s="24">
        <f t="shared" ca="1" si="334"/>
        <v>-3805.4550378661133</v>
      </c>
      <c r="CE315" s="25">
        <f t="shared" ca="1" si="367"/>
        <v>-47712.224182264654</v>
      </c>
      <c r="CF315" s="23">
        <f t="shared" ca="1" si="368"/>
        <v>720310.79926247417</v>
      </c>
      <c r="CG315" s="25">
        <f t="array" aca="1" ref="CG315" ca="1">SUM(BF304:BF315/(1+inflation/100)^(AP304:AP315/12))</f>
        <v>267980.53702225373</v>
      </c>
      <c r="CH315" s="32">
        <f ca="1">IFERROR(IF(MOD(AP315-ap_months_since_start,12)=0,ap_drawdown/100*(AQ315+AV315+BA315-BC315),CH314),0)</f>
        <v>109389.75432580525</v>
      </c>
    </row>
    <row r="316" spans="40:86" x14ac:dyDescent="0.25">
      <c r="AN316" s="32">
        <f t="shared" ca="1" si="329"/>
        <v>80.583333333333329</v>
      </c>
      <c r="AO316" s="53">
        <f t="shared" ca="1" si="360"/>
        <v>55001</v>
      </c>
      <c r="AP316" s="22">
        <v>309</v>
      </c>
      <c r="AQ316" s="32">
        <f t="shared" ca="1" si="361"/>
        <v>662410.45310405584</v>
      </c>
      <c r="AR316" s="23">
        <f t="array" aca="1" ref="AR316" ca="1">SUM(IF(lsc_start_date=AO316,lsc_amount,0))</f>
        <v>0</v>
      </c>
      <c r="AS316" s="24">
        <f t="shared" ca="1" si="335"/>
        <v>0</v>
      </c>
      <c r="AT316" s="24">
        <f t="shared" ca="1" si="336"/>
        <v>0</v>
      </c>
      <c r="AU316" s="24">
        <f t="shared" ca="1" si="337"/>
        <v>0</v>
      </c>
      <c r="AV316" s="25">
        <f t="shared" ca="1" si="338"/>
        <v>0</v>
      </c>
      <c r="AW316" s="23">
        <f t="array" aca="1" ref="AW316" ca="1">SUM(IF(rcs_start_date&lt;=AO316,1,0)*IF(rcs_end_date&gt;=AO316,1,0)*rcs_amount*(1+rcs_escalation/100)^(INT((AP316-rcs_months_since_start)/12))*IF(MOD((AP316-rcs_months_since_start),rcs_frequency)=0,1,0)*IF(rcs_frequency=13,0,1))+SUM(IF(rcs_start_date=AO316,rcs_amount,0)*IF(rcs_frequency=13,1,0))</f>
        <v>0</v>
      </c>
      <c r="AX316" s="24">
        <f t="shared" ca="1" si="339"/>
        <v>0</v>
      </c>
      <c r="AY316" s="24">
        <f t="shared" ca="1" si="340"/>
        <v>0</v>
      </c>
      <c r="AZ316" s="24">
        <f t="shared" ca="1" si="341"/>
        <v>0</v>
      </c>
      <c r="BA316" s="25">
        <f t="shared" ca="1" si="342"/>
        <v>0</v>
      </c>
      <c r="BB316" s="23">
        <f t="array" aca="1" ref="BB316" ca="1">SUM(IF(w_start_date&lt;=AO316,1,0)*IF(w_end_date&gt;=AO316,1,0)*w_amount*(1+w_escalation/100)^(INT((AP316-w_months_since_start)/12))*IF(MOD(AP316-w_months_since_start,w_frequency)=0,1,0)*IF(w_frequency=13,0,1))+SUM(IF(w_start_date=AO316,w_amount,0)*IF(w_frequency=13,1,0))</f>
        <v>0</v>
      </c>
      <c r="BC316" s="25">
        <f t="shared" ca="1" si="343"/>
        <v>0</v>
      </c>
      <c r="BD316" s="24" t="b">
        <f t="shared" ca="1" si="344"/>
        <v>1</v>
      </c>
      <c r="BE316" s="24" t="b">
        <f t="shared" ca="1" si="345"/>
        <v>1</v>
      </c>
      <c r="BF316" s="23">
        <f t="array" aca="1" ref="BF316" ca="1">SUM(IF(BD316,1,0)*IF(ap_start_date&lt;=AO316,1,0)*IF(ap_end_date&gt;=AO316,1,0)*ap_amount*(1+ap_escalation/100)^(INT((AP316-ap_months_since_start)/12))*IF(MOD(AP316-ap_months_since_start,ap_frequency)=0,1,0))</f>
        <v>60608.675666098163</v>
      </c>
      <c r="BG316" s="24">
        <f t="shared" ca="1" si="346"/>
        <v>727304.10799317772</v>
      </c>
      <c r="BH316" s="24">
        <f t="shared" ca="1" si="347"/>
        <v>17793.418691923067</v>
      </c>
      <c r="BI316">
        <f t="shared" ca="1" si="348"/>
        <v>0</v>
      </c>
      <c r="BJ316" s="24">
        <f t="shared" ca="1" si="349"/>
        <v>124553.93084346146</v>
      </c>
      <c r="BK316">
        <f t="shared" ca="1" si="350"/>
        <v>1</v>
      </c>
      <c r="BL316" s="25">
        <f t="shared" ca="1" si="351"/>
        <v>10379.494236955125</v>
      </c>
      <c r="BM316" s="32">
        <f t="shared" ca="1" si="330"/>
        <v>656730.35679978656</v>
      </c>
      <c r="BN316" s="23">
        <f t="shared" ca="1" si="352"/>
        <v>0</v>
      </c>
      <c r="BO316" s="24">
        <f t="shared" ca="1" si="353"/>
        <v>0</v>
      </c>
      <c r="BP316" s="25">
        <f t="shared" ca="1" si="354"/>
        <v>0</v>
      </c>
      <c r="BQ316" s="34">
        <f t="shared" ca="1" si="355"/>
        <v>55031</v>
      </c>
      <c r="BR316" s="23">
        <f t="shared" ca="1" si="356"/>
        <v>656730.35679978656</v>
      </c>
      <c r="BS316" s="24">
        <f t="shared" ca="1" si="357"/>
        <v>0</v>
      </c>
      <c r="BT316" s="24">
        <f t="shared" ca="1" si="362"/>
        <v>0</v>
      </c>
      <c r="BU316" s="24">
        <f t="shared" ca="1" si="358"/>
        <v>0</v>
      </c>
      <c r="BV316" s="24">
        <f t="shared" ca="1" si="363"/>
        <v>0</v>
      </c>
      <c r="BW316" s="24">
        <f t="shared" ca="1" si="359"/>
        <v>-10379.494236955125</v>
      </c>
      <c r="BX316" s="25">
        <f t="shared" ca="1" si="364"/>
        <v>-126693.04758962551</v>
      </c>
      <c r="BY316" s="23">
        <f t="shared" ca="1" si="331"/>
        <v>239209.59991956182</v>
      </c>
      <c r="BZ316" s="24">
        <f t="shared" ca="1" si="332"/>
        <v>0</v>
      </c>
      <c r="CA316" s="24">
        <f t="shared" ca="1" si="365"/>
        <v>0</v>
      </c>
      <c r="CB316" s="24">
        <f t="shared" ca="1" si="333"/>
        <v>0</v>
      </c>
      <c r="CC316" s="24">
        <f t="shared" ca="1" si="366"/>
        <v>0</v>
      </c>
      <c r="CD316" s="24">
        <f t="shared" ca="1" si="334"/>
        <v>-3793.0376197150745</v>
      </c>
      <c r="CE316" s="25">
        <f t="shared" ca="1" si="367"/>
        <v>-47154.013685326259</v>
      </c>
      <c r="CF316" s="23">
        <f t="shared" ca="1" si="368"/>
        <v>722641.90217270865</v>
      </c>
      <c r="CG316" s="25">
        <f t="array" aca="1" ref="CG316" ca="1">SUM(BF305:BF316/(1+inflation/100)^(AP305:AP316/12))</f>
        <v>267980.53702225373</v>
      </c>
      <c r="CH316" s="32">
        <f ca="1">IFERROR(IF(MOD(AP316-ap_months_since_start,12)=0,ap_drawdown/100*(AQ316+AV316+BA316-BC316),CH315),0)</f>
        <v>109389.75432580525</v>
      </c>
    </row>
    <row r="317" spans="40:86" x14ac:dyDescent="0.25">
      <c r="AN317" s="32">
        <f t="shared" ca="1" si="329"/>
        <v>80.666666666666671</v>
      </c>
      <c r="AO317" s="53">
        <f t="shared" ca="1" si="360"/>
        <v>55032</v>
      </c>
      <c r="AP317" s="22">
        <v>310</v>
      </c>
      <c r="AQ317" s="32">
        <f t="shared" ca="1" si="361"/>
        <v>656730.35679978656</v>
      </c>
      <c r="AR317" s="23">
        <f t="array" aca="1" ref="AR317" ca="1">SUM(IF(lsc_start_date=AO317,lsc_amount,0))</f>
        <v>0</v>
      </c>
      <c r="AS317" s="24">
        <f t="shared" ca="1" si="335"/>
        <v>0</v>
      </c>
      <c r="AT317" s="24">
        <f t="shared" ca="1" si="336"/>
        <v>0</v>
      </c>
      <c r="AU317" s="24">
        <f t="shared" ca="1" si="337"/>
        <v>0</v>
      </c>
      <c r="AV317" s="25">
        <f t="shared" ca="1" si="338"/>
        <v>0</v>
      </c>
      <c r="AW317" s="23">
        <f t="array" aca="1" ref="AW317" ca="1">SUM(IF(rcs_start_date&lt;=AO317,1,0)*IF(rcs_end_date&gt;=AO317,1,0)*rcs_amount*(1+rcs_escalation/100)^(INT((AP317-rcs_months_since_start)/12))*IF(MOD((AP317-rcs_months_since_start),rcs_frequency)=0,1,0)*IF(rcs_frequency=13,0,1))+SUM(IF(rcs_start_date=AO317,rcs_amount,0)*IF(rcs_frequency=13,1,0))</f>
        <v>0</v>
      </c>
      <c r="AX317" s="24">
        <f t="shared" ca="1" si="339"/>
        <v>0</v>
      </c>
      <c r="AY317" s="24">
        <f t="shared" ca="1" si="340"/>
        <v>0</v>
      </c>
      <c r="AZ317" s="24">
        <f t="shared" ca="1" si="341"/>
        <v>0</v>
      </c>
      <c r="BA317" s="25">
        <f t="shared" ca="1" si="342"/>
        <v>0</v>
      </c>
      <c r="BB317" s="23">
        <f t="array" aca="1" ref="BB317" ca="1">SUM(IF(w_start_date&lt;=AO317,1,0)*IF(w_end_date&gt;=AO317,1,0)*w_amount*(1+w_escalation/100)^(INT((AP317-w_months_since_start)/12))*IF(MOD(AP317-w_months_since_start,w_frequency)=0,1,0)*IF(w_frequency=13,0,1))+SUM(IF(w_start_date=AO317,w_amount,0)*IF(w_frequency=13,1,0))</f>
        <v>0</v>
      </c>
      <c r="BC317" s="25">
        <f t="shared" ca="1" si="343"/>
        <v>0</v>
      </c>
      <c r="BD317" s="24" t="b">
        <f t="shared" ca="1" si="344"/>
        <v>1</v>
      </c>
      <c r="BE317" s="24" t="b">
        <f t="shared" ca="1" si="345"/>
        <v>1</v>
      </c>
      <c r="BF317" s="23">
        <f t="array" aca="1" ref="BF317" ca="1">SUM(IF(BD317,1,0)*IF(ap_start_date&lt;=AO317,1,0)*IF(ap_end_date&gt;=AO317,1,0)*ap_amount*(1+ap_escalation/100)^(INT((AP317-ap_months_since_start)/12))*IF(MOD(AP317-ap_months_since_start,ap_frequency)=0,1,0))</f>
        <v>60608.675666098163</v>
      </c>
      <c r="BG317" s="24">
        <f t="shared" ca="1" si="346"/>
        <v>727304.10799317772</v>
      </c>
      <c r="BH317" s="24">
        <f t="shared" ca="1" si="347"/>
        <v>17793.418691923067</v>
      </c>
      <c r="BI317">
        <f t="shared" ca="1" si="348"/>
        <v>0</v>
      </c>
      <c r="BJ317" s="24">
        <f t="shared" ca="1" si="349"/>
        <v>124553.93084346146</v>
      </c>
      <c r="BK317">
        <f t="shared" ca="1" si="350"/>
        <v>1</v>
      </c>
      <c r="BL317" s="25">
        <f t="shared" ca="1" si="351"/>
        <v>10379.494236955125</v>
      </c>
      <c r="BM317" s="32">
        <f t="shared" ca="1" si="330"/>
        <v>651009.32220498566</v>
      </c>
      <c r="BN317" s="23">
        <f t="shared" ca="1" si="352"/>
        <v>0</v>
      </c>
      <c r="BO317" s="24">
        <f t="shared" ca="1" si="353"/>
        <v>0</v>
      </c>
      <c r="BP317" s="25">
        <f t="shared" ca="1" si="354"/>
        <v>0</v>
      </c>
      <c r="BQ317" s="34">
        <f t="shared" ca="1" si="355"/>
        <v>55061</v>
      </c>
      <c r="BR317" s="23">
        <f t="shared" ca="1" si="356"/>
        <v>651009.32220498566</v>
      </c>
      <c r="BS317" s="24">
        <f t="shared" ca="1" si="357"/>
        <v>0</v>
      </c>
      <c r="BT317" s="24">
        <f t="shared" ca="1" si="362"/>
        <v>0</v>
      </c>
      <c r="BU317" s="24">
        <f t="shared" ca="1" si="358"/>
        <v>0</v>
      </c>
      <c r="BV317" s="24">
        <f t="shared" ca="1" si="363"/>
        <v>0</v>
      </c>
      <c r="BW317" s="24">
        <f t="shared" ca="1" si="359"/>
        <v>-10379.494236955125</v>
      </c>
      <c r="BX317" s="25">
        <f t="shared" ca="1" si="364"/>
        <v>-125623.48921654352</v>
      </c>
      <c r="BY317" s="23">
        <f t="shared" ca="1" si="331"/>
        <v>236351.99674767893</v>
      </c>
      <c r="BZ317" s="24">
        <f t="shared" ca="1" si="332"/>
        <v>0</v>
      </c>
      <c r="CA317" s="24">
        <f t="shared" ca="1" si="365"/>
        <v>0</v>
      </c>
      <c r="CB317" s="24">
        <f t="shared" ca="1" si="333"/>
        <v>0</v>
      </c>
      <c r="CC317" s="24">
        <f t="shared" ca="1" si="366"/>
        <v>0</v>
      </c>
      <c r="CD317" s="24">
        <f t="shared" ca="1" si="334"/>
        <v>-3780.6607203119925</v>
      </c>
      <c r="CE317" s="25">
        <f t="shared" ca="1" si="367"/>
        <v>-46597.624661270289</v>
      </c>
      <c r="CF317" s="23">
        <f t="shared" ca="1" si="368"/>
        <v>724973.00508294324</v>
      </c>
      <c r="CG317" s="25">
        <f t="array" aca="1" ref="CG317" ca="1">SUM(BF306:BF317/(1+inflation/100)^(AP306:AP317/12))</f>
        <v>267980.53702225373</v>
      </c>
      <c r="CH317" s="32">
        <f ca="1">IFERROR(IF(MOD(AP317-ap_months_since_start,12)=0,ap_drawdown/100*(AQ317+AV317+BA317-BC317),CH316),0)</f>
        <v>109389.75432580525</v>
      </c>
    </row>
    <row r="318" spans="40:86" x14ac:dyDescent="0.25">
      <c r="AN318" s="32">
        <f t="shared" ca="1" si="329"/>
        <v>80.75</v>
      </c>
      <c r="AO318" s="53">
        <f t="shared" ca="1" si="360"/>
        <v>55062</v>
      </c>
      <c r="AP318" s="22">
        <v>311</v>
      </c>
      <c r="AQ318" s="32">
        <f t="shared" ca="1" si="361"/>
        <v>651009.32220498566</v>
      </c>
      <c r="AR318" s="23">
        <f t="array" aca="1" ref="AR318" ca="1">SUM(IF(lsc_start_date=AO318,lsc_amount,0))</f>
        <v>0</v>
      </c>
      <c r="AS318" s="24">
        <f t="shared" ca="1" si="335"/>
        <v>0</v>
      </c>
      <c r="AT318" s="24">
        <f t="shared" ca="1" si="336"/>
        <v>0</v>
      </c>
      <c r="AU318" s="24">
        <f t="shared" ca="1" si="337"/>
        <v>0</v>
      </c>
      <c r="AV318" s="25">
        <f t="shared" ca="1" si="338"/>
        <v>0</v>
      </c>
      <c r="AW318" s="23">
        <f t="array" aca="1" ref="AW318" ca="1">SUM(IF(rcs_start_date&lt;=AO318,1,0)*IF(rcs_end_date&gt;=AO318,1,0)*rcs_amount*(1+rcs_escalation/100)^(INT((AP318-rcs_months_since_start)/12))*IF(MOD((AP318-rcs_months_since_start),rcs_frequency)=0,1,0)*IF(rcs_frequency=13,0,1))+SUM(IF(rcs_start_date=AO318,rcs_amount,0)*IF(rcs_frequency=13,1,0))</f>
        <v>0</v>
      </c>
      <c r="AX318" s="24">
        <f t="shared" ca="1" si="339"/>
        <v>0</v>
      </c>
      <c r="AY318" s="24">
        <f t="shared" ca="1" si="340"/>
        <v>0</v>
      </c>
      <c r="AZ318" s="24">
        <f t="shared" ca="1" si="341"/>
        <v>0</v>
      </c>
      <c r="BA318" s="25">
        <f t="shared" ca="1" si="342"/>
        <v>0</v>
      </c>
      <c r="BB318" s="23">
        <f t="array" aca="1" ref="BB318" ca="1">SUM(IF(w_start_date&lt;=AO318,1,0)*IF(w_end_date&gt;=AO318,1,0)*w_amount*(1+w_escalation/100)^(INT((AP318-w_months_since_start)/12))*IF(MOD(AP318-w_months_since_start,w_frequency)=0,1,0)*IF(w_frequency=13,0,1))+SUM(IF(w_start_date=AO318,w_amount,0)*IF(w_frequency=13,1,0))</f>
        <v>0</v>
      </c>
      <c r="BC318" s="25">
        <f t="shared" ca="1" si="343"/>
        <v>0</v>
      </c>
      <c r="BD318" s="24" t="b">
        <f t="shared" ca="1" si="344"/>
        <v>1</v>
      </c>
      <c r="BE318" s="24" t="b">
        <f t="shared" ca="1" si="345"/>
        <v>1</v>
      </c>
      <c r="BF318" s="23">
        <f t="array" aca="1" ref="BF318" ca="1">SUM(IF(BD318,1,0)*IF(ap_start_date&lt;=AO318,1,0)*IF(ap_end_date&gt;=AO318,1,0)*ap_amount*(1+ap_escalation/100)^(INT((AP318-ap_months_since_start)/12))*IF(MOD(AP318-ap_months_since_start,ap_frequency)=0,1,0))</f>
        <v>60608.675666098163</v>
      </c>
      <c r="BG318" s="24">
        <f t="shared" ca="1" si="346"/>
        <v>727304.10799317772</v>
      </c>
      <c r="BH318" s="24">
        <f t="shared" ca="1" si="347"/>
        <v>17793.418691923067</v>
      </c>
      <c r="BI318">
        <f t="shared" ca="1" si="348"/>
        <v>0</v>
      </c>
      <c r="BJ318" s="24">
        <f t="shared" ca="1" si="349"/>
        <v>124553.93084346146</v>
      </c>
      <c r="BK318">
        <f t="shared" ca="1" si="350"/>
        <v>1</v>
      </c>
      <c r="BL318" s="25">
        <f t="shared" ca="1" si="351"/>
        <v>10379.494236955125</v>
      </c>
      <c r="BM318" s="32">
        <f t="shared" ca="1" si="330"/>
        <v>645247.0542641572</v>
      </c>
      <c r="BN318" s="23">
        <f t="shared" ca="1" si="352"/>
        <v>0</v>
      </c>
      <c r="BO318" s="24">
        <f t="shared" ca="1" si="353"/>
        <v>0</v>
      </c>
      <c r="BP318" s="25">
        <f t="shared" ca="1" si="354"/>
        <v>0</v>
      </c>
      <c r="BQ318" s="34">
        <f t="shared" ca="1" si="355"/>
        <v>55092</v>
      </c>
      <c r="BR318" s="23">
        <f t="shared" ca="1" si="356"/>
        <v>645247.0542641572</v>
      </c>
      <c r="BS318" s="24">
        <f t="shared" ca="1" si="357"/>
        <v>0</v>
      </c>
      <c r="BT318" s="24">
        <f t="shared" ca="1" si="362"/>
        <v>0</v>
      </c>
      <c r="BU318" s="24">
        <f t="shared" ca="1" si="358"/>
        <v>0</v>
      </c>
      <c r="BV318" s="24">
        <f t="shared" ca="1" si="363"/>
        <v>0</v>
      </c>
      <c r="BW318" s="24">
        <f t="shared" ca="1" si="359"/>
        <v>-10379.494236955125</v>
      </c>
      <c r="BX318" s="25">
        <f t="shared" ca="1" si="364"/>
        <v>-124553.93084346152</v>
      </c>
      <c r="BY318" s="23">
        <f t="shared" ca="1" si="331"/>
        <v>233495.5745150318</v>
      </c>
      <c r="BZ318" s="24">
        <f t="shared" ca="1" si="332"/>
        <v>0</v>
      </c>
      <c r="CA318" s="24">
        <f t="shared" ca="1" si="365"/>
        <v>0</v>
      </c>
      <c r="CB318" s="24">
        <f t="shared" ca="1" si="333"/>
        <v>0</v>
      </c>
      <c r="CC318" s="24">
        <f t="shared" ca="1" si="366"/>
        <v>0</v>
      </c>
      <c r="CD318" s="24">
        <f t="shared" ca="1" si="334"/>
        <v>-3768.3242074418672</v>
      </c>
      <c r="CE318" s="25">
        <f t="shared" ca="1" si="367"/>
        <v>-46043.051166526224</v>
      </c>
      <c r="CF318" s="23">
        <f t="shared" ca="1" si="368"/>
        <v>727304.10799317772</v>
      </c>
      <c r="CG318" s="25">
        <f t="array" aca="1" ref="CG318" ca="1">SUM(BF307:BF318/(1+inflation/100)^(AP307:AP318/12))</f>
        <v>267980.53702225373</v>
      </c>
      <c r="CH318" s="32">
        <f ca="1">IFERROR(IF(MOD(AP318-ap_months_since_start,12)=0,ap_drawdown/100*(AQ318+AV318+BA318-BC318),CH317),0)</f>
        <v>109389.75432580525</v>
      </c>
    </row>
    <row r="319" spans="40:86" x14ac:dyDescent="0.25">
      <c r="AN319" s="32">
        <f t="shared" ca="1" si="329"/>
        <v>80.833333333333329</v>
      </c>
      <c r="AO319" s="53">
        <f t="shared" ca="1" si="360"/>
        <v>55093</v>
      </c>
      <c r="AP319" s="22">
        <v>312</v>
      </c>
      <c r="AQ319" s="32">
        <f t="shared" ca="1" si="361"/>
        <v>645247.0542641572</v>
      </c>
      <c r="AR319" s="23">
        <f t="array" aca="1" ref="AR319" ca="1">SUM(IF(lsc_start_date=AO319,lsc_amount,0))</f>
        <v>0</v>
      </c>
      <c r="AS319" s="24">
        <f t="shared" ca="1" si="335"/>
        <v>0</v>
      </c>
      <c r="AT319" s="24">
        <f t="shared" ca="1" si="336"/>
        <v>0</v>
      </c>
      <c r="AU319" s="24">
        <f t="shared" ca="1" si="337"/>
        <v>0</v>
      </c>
      <c r="AV319" s="25">
        <f t="shared" ca="1" si="338"/>
        <v>0</v>
      </c>
      <c r="AW319" s="23">
        <f t="array" aca="1" ref="AW319" ca="1">SUM(IF(rcs_start_date&lt;=AO319,1,0)*IF(rcs_end_date&gt;=AO319,1,0)*rcs_amount*(1+rcs_escalation/100)^(INT((AP319-rcs_months_since_start)/12))*IF(MOD((AP319-rcs_months_since_start),rcs_frequency)=0,1,0)*IF(rcs_frequency=13,0,1))+SUM(IF(rcs_start_date=AO319,rcs_amount,0)*IF(rcs_frequency=13,1,0))</f>
        <v>0</v>
      </c>
      <c r="AX319" s="24">
        <f t="shared" ca="1" si="339"/>
        <v>0</v>
      </c>
      <c r="AY319" s="24">
        <f t="shared" ca="1" si="340"/>
        <v>0</v>
      </c>
      <c r="AZ319" s="24">
        <f t="shared" ca="1" si="341"/>
        <v>0</v>
      </c>
      <c r="BA319" s="25">
        <f t="shared" ca="1" si="342"/>
        <v>0</v>
      </c>
      <c r="BB319" s="23">
        <f t="array" aca="1" ref="BB319" ca="1">SUM(IF(w_start_date&lt;=AO319,1,0)*IF(w_end_date&gt;=AO319,1,0)*w_amount*(1+w_escalation/100)^(INT((AP319-w_months_since_start)/12))*IF(MOD(AP319-w_months_since_start,w_frequency)=0,1,0)*IF(w_frequency=13,0,1))+SUM(IF(w_start_date=AO319,w_amount,0)*IF(w_frequency=13,1,0))</f>
        <v>0</v>
      </c>
      <c r="BC319" s="25">
        <f t="shared" ca="1" si="343"/>
        <v>0</v>
      </c>
      <c r="BD319" s="24" t="b">
        <f t="shared" ca="1" si="344"/>
        <v>1</v>
      </c>
      <c r="BE319" s="24" t="b">
        <f t="shared" ca="1" si="345"/>
        <v>1</v>
      </c>
      <c r="BF319" s="23">
        <f t="array" aca="1" ref="BF319" ca="1">SUM(IF(BD319,1,0)*IF(ap_start_date&lt;=AO319,1,0)*IF(ap_end_date&gt;=AO319,1,0)*ap_amount*(1+ap_escalation/100)^(INT((AP319-ap_months_since_start)/12))*IF(MOD(AP319-ap_months_since_start,ap_frequency)=0,1,0))</f>
        <v>63033.022692742088</v>
      </c>
      <c r="BG319" s="24">
        <f t="shared" ca="1" si="346"/>
        <v>756396.27231290482</v>
      </c>
      <c r="BH319" s="24">
        <f t="shared" ca="1" si="347"/>
        <v>16131.17635660393</v>
      </c>
      <c r="BI319">
        <f t="shared" ca="1" si="348"/>
        <v>0</v>
      </c>
      <c r="BJ319" s="24">
        <f t="shared" ca="1" si="349"/>
        <v>112918.23449622751</v>
      </c>
      <c r="BK319">
        <f t="shared" ca="1" si="350"/>
        <v>1</v>
      </c>
      <c r="BL319" s="25">
        <f t="shared" ca="1" si="351"/>
        <v>9409.8528746856282</v>
      </c>
      <c r="BM319" s="32">
        <f t="shared" ca="1" si="330"/>
        <v>640419.88567631296</v>
      </c>
      <c r="BN319" s="23">
        <f t="shared" ca="1" si="352"/>
        <v>0</v>
      </c>
      <c r="BO319" s="24">
        <f t="shared" ca="1" si="353"/>
        <v>0</v>
      </c>
      <c r="BP319" s="25">
        <f t="shared" ca="1" si="354"/>
        <v>0</v>
      </c>
      <c r="BQ319" s="34">
        <f t="shared" ca="1" si="355"/>
        <v>55122</v>
      </c>
      <c r="BR319" s="23">
        <f t="shared" ca="1" si="356"/>
        <v>640419.88567631296</v>
      </c>
      <c r="BS319" s="24">
        <f t="shared" ca="1" si="357"/>
        <v>0</v>
      </c>
      <c r="BT319" s="24">
        <f t="shared" ca="1" si="362"/>
        <v>0</v>
      </c>
      <c r="BU319" s="24">
        <f t="shared" ca="1" si="358"/>
        <v>0</v>
      </c>
      <c r="BV319" s="24">
        <f t="shared" ca="1" si="363"/>
        <v>0</v>
      </c>
      <c r="BW319" s="24">
        <f t="shared" ca="1" si="359"/>
        <v>-9409.8528746856282</v>
      </c>
      <c r="BX319" s="25">
        <f t="shared" ca="1" si="364"/>
        <v>-123584.28948119203</v>
      </c>
      <c r="BY319" s="23">
        <f t="shared" ca="1" si="331"/>
        <v>230992.55732187271</v>
      </c>
      <c r="BZ319" s="24">
        <f t="shared" ca="1" si="332"/>
        <v>0</v>
      </c>
      <c r="CA319" s="24">
        <f t="shared" ca="1" si="365"/>
        <v>0</v>
      </c>
      <c r="CB319" s="24">
        <f t="shared" ca="1" si="333"/>
        <v>0</v>
      </c>
      <c r="CC319" s="24">
        <f t="shared" ca="1" si="366"/>
        <v>0</v>
      </c>
      <c r="CD319" s="24">
        <f t="shared" ca="1" si="334"/>
        <v>-3405.1437950108811</v>
      </c>
      <c r="CE319" s="25">
        <f t="shared" ca="1" si="367"/>
        <v>-45541.925894243133</v>
      </c>
      <c r="CF319" s="23">
        <f t="shared" ca="1" si="368"/>
        <v>729728.45501982165</v>
      </c>
      <c r="CG319" s="25">
        <f t="array" aca="1" ref="CG319" ca="1">SUM(BF308:BF319/(1+inflation/100)^(AP308:AP319/12))</f>
        <v>267980.53702225379</v>
      </c>
      <c r="CH319" s="32">
        <f ca="1">IFERROR(IF(MOD(AP319-ap_months_since_start,12)=0,ap_drawdown/100*(AQ319+AV319+BA319-BC319),CH318),0)</f>
        <v>99170.679293695081</v>
      </c>
    </row>
    <row r="320" spans="40:86" x14ac:dyDescent="0.25">
      <c r="AN320" s="32">
        <f t="shared" ca="1" si="329"/>
        <v>80.916666666666671</v>
      </c>
      <c r="AO320" s="53">
        <f t="shared" ca="1" si="360"/>
        <v>55123</v>
      </c>
      <c r="AP320" s="22">
        <v>313</v>
      </c>
      <c r="AQ320" s="32">
        <f t="shared" ca="1" si="361"/>
        <v>640419.88567631296</v>
      </c>
      <c r="AR320" s="23">
        <f t="array" aca="1" ref="AR320" ca="1">SUM(IF(lsc_start_date=AO320,lsc_amount,0))</f>
        <v>0</v>
      </c>
      <c r="AS320" s="24">
        <f t="shared" ca="1" si="335"/>
        <v>0</v>
      </c>
      <c r="AT320" s="24">
        <f t="shared" ca="1" si="336"/>
        <v>0</v>
      </c>
      <c r="AU320" s="24">
        <f t="shared" ca="1" si="337"/>
        <v>0</v>
      </c>
      <c r="AV320" s="25">
        <f t="shared" ca="1" si="338"/>
        <v>0</v>
      </c>
      <c r="AW320" s="23">
        <f t="array" aca="1" ref="AW320" ca="1">SUM(IF(rcs_start_date&lt;=AO320,1,0)*IF(rcs_end_date&gt;=AO320,1,0)*rcs_amount*(1+rcs_escalation/100)^(INT((AP320-rcs_months_since_start)/12))*IF(MOD((AP320-rcs_months_since_start),rcs_frequency)=0,1,0)*IF(rcs_frequency=13,0,1))+SUM(IF(rcs_start_date=AO320,rcs_amount,0)*IF(rcs_frequency=13,1,0))</f>
        <v>0</v>
      </c>
      <c r="AX320" s="24">
        <f t="shared" ca="1" si="339"/>
        <v>0</v>
      </c>
      <c r="AY320" s="24">
        <f t="shared" ca="1" si="340"/>
        <v>0</v>
      </c>
      <c r="AZ320" s="24">
        <f t="shared" ca="1" si="341"/>
        <v>0</v>
      </c>
      <c r="BA320" s="25">
        <f t="shared" ca="1" si="342"/>
        <v>0</v>
      </c>
      <c r="BB320" s="23">
        <f t="array" aca="1" ref="BB320" ca="1">SUM(IF(w_start_date&lt;=AO320,1,0)*IF(w_end_date&gt;=AO320,1,0)*w_amount*(1+w_escalation/100)^(INT((AP320-w_months_since_start)/12))*IF(MOD(AP320-w_months_since_start,w_frequency)=0,1,0)*IF(w_frequency=13,0,1))+SUM(IF(w_start_date=AO320,w_amount,0)*IF(w_frequency=13,1,0))</f>
        <v>0</v>
      </c>
      <c r="BC320" s="25">
        <f t="shared" ca="1" si="343"/>
        <v>0</v>
      </c>
      <c r="BD320" s="24" t="b">
        <f t="shared" ca="1" si="344"/>
        <v>1</v>
      </c>
      <c r="BE320" s="24" t="b">
        <f t="shared" ca="1" si="345"/>
        <v>1</v>
      </c>
      <c r="BF320" s="23">
        <f t="array" aca="1" ref="BF320" ca="1">SUM(IF(BD320,1,0)*IF(ap_start_date&lt;=AO320,1,0)*IF(ap_end_date&gt;=AO320,1,0)*ap_amount*(1+ap_escalation/100)^(INT((AP320-ap_months_since_start)/12))*IF(MOD(AP320-ap_months_since_start,ap_frequency)=0,1,0))</f>
        <v>63033.022692742088</v>
      </c>
      <c r="BG320" s="24">
        <f t="shared" ca="1" si="346"/>
        <v>756396.27231290482</v>
      </c>
      <c r="BH320" s="24">
        <f t="shared" ca="1" si="347"/>
        <v>16131.17635660393</v>
      </c>
      <c r="BI320">
        <f t="shared" ca="1" si="348"/>
        <v>0</v>
      </c>
      <c r="BJ320" s="24">
        <f t="shared" ca="1" si="349"/>
        <v>112918.23449622751</v>
      </c>
      <c r="BK320">
        <f t="shared" ca="1" si="350"/>
        <v>1</v>
      </c>
      <c r="BL320" s="25">
        <f t="shared" ca="1" si="351"/>
        <v>9409.8528746856282</v>
      </c>
      <c r="BM320" s="32">
        <f t="shared" ca="1" si="330"/>
        <v>635557.9261237547</v>
      </c>
      <c r="BN320" s="23">
        <f t="shared" ca="1" si="352"/>
        <v>0</v>
      </c>
      <c r="BO320" s="24">
        <f t="shared" ca="1" si="353"/>
        <v>0</v>
      </c>
      <c r="BP320" s="25">
        <f t="shared" ca="1" si="354"/>
        <v>0</v>
      </c>
      <c r="BQ320" s="34">
        <f t="shared" ca="1" si="355"/>
        <v>55153</v>
      </c>
      <c r="BR320" s="23">
        <f t="shared" ca="1" si="356"/>
        <v>635557.9261237547</v>
      </c>
      <c r="BS320" s="24">
        <f t="shared" ca="1" si="357"/>
        <v>0</v>
      </c>
      <c r="BT320" s="24">
        <f t="shared" ca="1" si="362"/>
        <v>0</v>
      </c>
      <c r="BU320" s="24">
        <f t="shared" ca="1" si="358"/>
        <v>0</v>
      </c>
      <c r="BV320" s="24">
        <f t="shared" ca="1" si="363"/>
        <v>0</v>
      </c>
      <c r="BW320" s="24">
        <f t="shared" ca="1" si="359"/>
        <v>-9409.8528746856282</v>
      </c>
      <c r="BX320" s="25">
        <f t="shared" ca="1" si="364"/>
        <v>-122614.64811892253</v>
      </c>
      <c r="BY320" s="23">
        <f t="shared" ca="1" si="331"/>
        <v>228490.88117272739</v>
      </c>
      <c r="BZ320" s="24">
        <f t="shared" ca="1" si="332"/>
        <v>0</v>
      </c>
      <c r="CA320" s="24">
        <f t="shared" ca="1" si="365"/>
        <v>0</v>
      </c>
      <c r="CB320" s="24">
        <f t="shared" ca="1" si="333"/>
        <v>0</v>
      </c>
      <c r="CC320" s="24">
        <f t="shared" ca="1" si="366"/>
        <v>0</v>
      </c>
      <c r="CD320" s="24">
        <f t="shared" ca="1" si="334"/>
        <v>-3394.0326154157133</v>
      </c>
      <c r="CE320" s="25">
        <f t="shared" ca="1" si="367"/>
        <v>-45042.435822478794</v>
      </c>
      <c r="CF320" s="23">
        <f t="shared" ca="1" si="368"/>
        <v>732152.80204646557</v>
      </c>
      <c r="CG320" s="25">
        <f t="array" aca="1" ref="CG320" ca="1">SUM(BF309:BF320/(1+inflation/100)^(AP309:AP320/12))</f>
        <v>267980.53702225373</v>
      </c>
      <c r="CH320" s="32">
        <f ca="1">IFERROR(IF(MOD(AP320-ap_months_since_start,12)=0,ap_drawdown/100*(AQ320+AV320+BA320-BC320),CH319),0)</f>
        <v>99170.679293695081</v>
      </c>
    </row>
    <row r="321" spans="40:86" x14ac:dyDescent="0.25">
      <c r="AN321" s="32">
        <f t="shared" ca="1" si="329"/>
        <v>81</v>
      </c>
      <c r="AO321" s="53">
        <f t="shared" ca="1" si="360"/>
        <v>55154</v>
      </c>
      <c r="AP321" s="22">
        <v>314</v>
      </c>
      <c r="AQ321" s="32">
        <f t="shared" ca="1" si="361"/>
        <v>635557.9261237547</v>
      </c>
      <c r="AR321" s="23">
        <f t="array" aca="1" ref="AR321" ca="1">SUM(IF(lsc_start_date=AO321,lsc_amount,0))</f>
        <v>0</v>
      </c>
      <c r="AS321" s="24">
        <f t="shared" ca="1" si="335"/>
        <v>0</v>
      </c>
      <c r="AT321" s="24">
        <f t="shared" ca="1" si="336"/>
        <v>0</v>
      </c>
      <c r="AU321" s="24">
        <f t="shared" ca="1" si="337"/>
        <v>0</v>
      </c>
      <c r="AV321" s="25">
        <f t="shared" ca="1" si="338"/>
        <v>0</v>
      </c>
      <c r="AW321" s="23">
        <f t="array" aca="1" ref="AW321" ca="1">SUM(IF(rcs_start_date&lt;=AO321,1,0)*IF(rcs_end_date&gt;=AO321,1,0)*rcs_amount*(1+rcs_escalation/100)^(INT((AP321-rcs_months_since_start)/12))*IF(MOD((AP321-rcs_months_since_start),rcs_frequency)=0,1,0)*IF(rcs_frequency=13,0,1))+SUM(IF(rcs_start_date=AO321,rcs_amount,0)*IF(rcs_frequency=13,1,0))</f>
        <v>0</v>
      </c>
      <c r="AX321" s="24">
        <f t="shared" ca="1" si="339"/>
        <v>0</v>
      </c>
      <c r="AY321" s="24">
        <f t="shared" ca="1" si="340"/>
        <v>0</v>
      </c>
      <c r="AZ321" s="24">
        <f t="shared" ca="1" si="341"/>
        <v>0</v>
      </c>
      <c r="BA321" s="25">
        <f t="shared" ca="1" si="342"/>
        <v>0</v>
      </c>
      <c r="BB321" s="23">
        <f t="array" aca="1" ref="BB321" ca="1">SUM(IF(w_start_date&lt;=AO321,1,0)*IF(w_end_date&gt;=AO321,1,0)*w_amount*(1+w_escalation/100)^(INT((AP321-w_months_since_start)/12))*IF(MOD(AP321-w_months_since_start,w_frequency)=0,1,0)*IF(w_frequency=13,0,1))+SUM(IF(w_start_date=AO321,w_amount,0)*IF(w_frequency=13,1,0))</f>
        <v>0</v>
      </c>
      <c r="BC321" s="25">
        <f t="shared" ca="1" si="343"/>
        <v>0</v>
      </c>
      <c r="BD321" s="24" t="b">
        <f t="shared" ca="1" si="344"/>
        <v>1</v>
      </c>
      <c r="BE321" s="24" t="b">
        <f t="shared" ca="1" si="345"/>
        <v>1</v>
      </c>
      <c r="BF321" s="23">
        <f t="array" aca="1" ref="BF321" ca="1">SUM(IF(BD321,1,0)*IF(ap_start_date&lt;=AO321,1,0)*IF(ap_end_date&gt;=AO321,1,0)*ap_amount*(1+ap_escalation/100)^(INT((AP321-ap_months_since_start)/12))*IF(MOD(AP321-ap_months_since_start,ap_frequency)=0,1,0))</f>
        <v>63033.022692742088</v>
      </c>
      <c r="BG321" s="24">
        <f t="shared" ca="1" si="346"/>
        <v>756396.27231290482</v>
      </c>
      <c r="BH321" s="24">
        <f t="shared" ca="1" si="347"/>
        <v>16131.17635660393</v>
      </c>
      <c r="BI321">
        <f t="shared" ca="1" si="348"/>
        <v>0</v>
      </c>
      <c r="BJ321" s="24">
        <f t="shared" ca="1" si="349"/>
        <v>112918.23449622751</v>
      </c>
      <c r="BK321">
        <f t="shared" ca="1" si="350"/>
        <v>1</v>
      </c>
      <c r="BL321" s="25">
        <f t="shared" ca="1" si="351"/>
        <v>9409.8528746856282</v>
      </c>
      <c r="BM321" s="32">
        <f t="shared" ca="1" si="330"/>
        <v>630660.92485675111</v>
      </c>
      <c r="BN321" s="23">
        <f t="shared" ca="1" si="352"/>
        <v>0</v>
      </c>
      <c r="BO321" s="24">
        <f t="shared" ca="1" si="353"/>
        <v>0</v>
      </c>
      <c r="BP321" s="25">
        <f t="shared" ca="1" si="354"/>
        <v>0</v>
      </c>
      <c r="BQ321" s="34">
        <f t="shared" ca="1" si="355"/>
        <v>55184</v>
      </c>
      <c r="BR321" s="23">
        <f t="shared" ca="1" si="356"/>
        <v>630660.92485675111</v>
      </c>
      <c r="BS321" s="24">
        <f t="shared" ca="1" si="357"/>
        <v>0</v>
      </c>
      <c r="BT321" s="24">
        <f t="shared" ca="1" si="362"/>
        <v>0</v>
      </c>
      <c r="BU321" s="24">
        <f t="shared" ca="1" si="358"/>
        <v>0</v>
      </c>
      <c r="BV321" s="24">
        <f t="shared" ca="1" si="363"/>
        <v>0</v>
      </c>
      <c r="BW321" s="24">
        <f t="shared" ca="1" si="359"/>
        <v>-9409.8528746856282</v>
      </c>
      <c r="BX321" s="25">
        <f t="shared" ca="1" si="364"/>
        <v>-121645.00675665303</v>
      </c>
      <c r="BY321" s="23">
        <f t="shared" ca="1" si="331"/>
        <v>225990.51492692236</v>
      </c>
      <c r="BZ321" s="24">
        <f t="shared" ca="1" si="332"/>
        <v>0</v>
      </c>
      <c r="CA321" s="24">
        <f t="shared" ca="1" si="365"/>
        <v>0</v>
      </c>
      <c r="CB321" s="24">
        <f t="shared" ca="1" si="333"/>
        <v>0</v>
      </c>
      <c r="CC321" s="24">
        <f t="shared" ca="1" si="366"/>
        <v>0</v>
      </c>
      <c r="CD321" s="24">
        <f t="shared" ca="1" si="334"/>
        <v>-3382.9576922371421</v>
      </c>
      <c r="CE321" s="25">
        <f t="shared" ca="1" si="367"/>
        <v>-44544.575615480084</v>
      </c>
      <c r="CF321" s="23">
        <f t="shared" ca="1" si="368"/>
        <v>734577.1490731095</v>
      </c>
      <c r="CG321" s="25">
        <f t="array" aca="1" ref="CG321" ca="1">SUM(BF310:BF321/(1+inflation/100)^(AP310:AP321/12))</f>
        <v>267980.53702225379</v>
      </c>
      <c r="CH321" s="32">
        <f ca="1">IFERROR(IF(MOD(AP321-ap_months_since_start,12)=0,ap_drawdown/100*(AQ321+AV321+BA321-BC321),CH320),0)</f>
        <v>99170.679293695081</v>
      </c>
    </row>
    <row r="322" spans="40:86" x14ac:dyDescent="0.25">
      <c r="AN322" s="32">
        <f t="shared" ca="1" si="329"/>
        <v>81.083333333333329</v>
      </c>
      <c r="AO322" s="53">
        <f t="shared" ca="1" si="360"/>
        <v>55185</v>
      </c>
      <c r="AP322" s="22">
        <v>315</v>
      </c>
      <c r="AQ322" s="32">
        <f t="shared" ca="1" si="361"/>
        <v>630660.92485675111</v>
      </c>
      <c r="AR322" s="23">
        <f t="array" aca="1" ref="AR322" ca="1">SUM(IF(lsc_start_date=AO322,lsc_amount,0))</f>
        <v>0</v>
      </c>
      <c r="AS322" s="24">
        <f t="shared" ca="1" si="335"/>
        <v>0</v>
      </c>
      <c r="AT322" s="24">
        <f t="shared" ca="1" si="336"/>
        <v>0</v>
      </c>
      <c r="AU322" s="24">
        <f t="shared" ca="1" si="337"/>
        <v>0</v>
      </c>
      <c r="AV322" s="25">
        <f t="shared" ca="1" si="338"/>
        <v>0</v>
      </c>
      <c r="AW322" s="23">
        <f t="array" aca="1" ref="AW322" ca="1">SUM(IF(rcs_start_date&lt;=AO322,1,0)*IF(rcs_end_date&gt;=AO322,1,0)*rcs_amount*(1+rcs_escalation/100)^(INT((AP322-rcs_months_since_start)/12))*IF(MOD((AP322-rcs_months_since_start),rcs_frequency)=0,1,0)*IF(rcs_frequency=13,0,1))+SUM(IF(rcs_start_date=AO322,rcs_amount,0)*IF(rcs_frequency=13,1,0))</f>
        <v>0</v>
      </c>
      <c r="AX322" s="24">
        <f t="shared" ca="1" si="339"/>
        <v>0</v>
      </c>
      <c r="AY322" s="24">
        <f t="shared" ca="1" si="340"/>
        <v>0</v>
      </c>
      <c r="AZ322" s="24">
        <f t="shared" ca="1" si="341"/>
        <v>0</v>
      </c>
      <c r="BA322" s="25">
        <f t="shared" ca="1" si="342"/>
        <v>0</v>
      </c>
      <c r="BB322" s="23">
        <f t="array" aca="1" ref="BB322" ca="1">SUM(IF(w_start_date&lt;=AO322,1,0)*IF(w_end_date&gt;=AO322,1,0)*w_amount*(1+w_escalation/100)^(INT((AP322-w_months_since_start)/12))*IF(MOD(AP322-w_months_since_start,w_frequency)=0,1,0)*IF(w_frequency=13,0,1))+SUM(IF(w_start_date=AO322,w_amount,0)*IF(w_frequency=13,1,0))</f>
        <v>0</v>
      </c>
      <c r="BC322" s="25">
        <f t="shared" ca="1" si="343"/>
        <v>0</v>
      </c>
      <c r="BD322" s="24" t="b">
        <f t="shared" ca="1" si="344"/>
        <v>1</v>
      </c>
      <c r="BE322" s="24" t="b">
        <f t="shared" ca="1" si="345"/>
        <v>1</v>
      </c>
      <c r="BF322" s="23">
        <f t="array" aca="1" ref="BF322" ca="1">SUM(IF(BD322,1,0)*IF(ap_start_date&lt;=AO322,1,0)*IF(ap_end_date&gt;=AO322,1,0)*ap_amount*(1+ap_escalation/100)^(INT((AP322-ap_months_since_start)/12))*IF(MOD(AP322-ap_months_since_start,ap_frequency)=0,1,0))</f>
        <v>63033.022692742088</v>
      </c>
      <c r="BG322" s="24">
        <f t="shared" ca="1" si="346"/>
        <v>756396.27231290482</v>
      </c>
      <c r="BH322" s="24">
        <f t="shared" ca="1" si="347"/>
        <v>16131.17635660393</v>
      </c>
      <c r="BI322">
        <f t="shared" ca="1" si="348"/>
        <v>0</v>
      </c>
      <c r="BJ322" s="24">
        <f t="shared" ca="1" si="349"/>
        <v>112918.23449622751</v>
      </c>
      <c r="BK322">
        <f t="shared" ca="1" si="350"/>
        <v>1</v>
      </c>
      <c r="BL322" s="25">
        <f t="shared" ca="1" si="351"/>
        <v>9409.8528746856282</v>
      </c>
      <c r="BM322" s="32">
        <f t="shared" ca="1" si="330"/>
        <v>625728.62931833672</v>
      </c>
      <c r="BN322" s="23">
        <f t="shared" ca="1" si="352"/>
        <v>0</v>
      </c>
      <c r="BO322" s="24">
        <f t="shared" ca="1" si="353"/>
        <v>0</v>
      </c>
      <c r="BP322" s="25">
        <f t="shared" ca="1" si="354"/>
        <v>0</v>
      </c>
      <c r="BQ322" s="34">
        <f t="shared" ca="1" si="355"/>
        <v>55212</v>
      </c>
      <c r="BR322" s="23">
        <f t="shared" ca="1" si="356"/>
        <v>625728.62931833672</v>
      </c>
      <c r="BS322" s="24">
        <f t="shared" ca="1" si="357"/>
        <v>0</v>
      </c>
      <c r="BT322" s="24">
        <f t="shared" ca="1" si="362"/>
        <v>0</v>
      </c>
      <c r="BU322" s="24">
        <f t="shared" ca="1" si="358"/>
        <v>0</v>
      </c>
      <c r="BV322" s="24">
        <f t="shared" ca="1" si="363"/>
        <v>0</v>
      </c>
      <c r="BW322" s="24">
        <f t="shared" ca="1" si="359"/>
        <v>-9409.8528746856282</v>
      </c>
      <c r="BX322" s="25">
        <f t="shared" ca="1" si="364"/>
        <v>-120675.36539438354</v>
      </c>
      <c r="BY322" s="23">
        <f t="shared" ca="1" si="331"/>
        <v>223491.42744046054</v>
      </c>
      <c r="BZ322" s="24">
        <f t="shared" ca="1" si="332"/>
        <v>0</v>
      </c>
      <c r="CA322" s="24">
        <f t="shared" ca="1" si="365"/>
        <v>0</v>
      </c>
      <c r="CB322" s="24">
        <f t="shared" ca="1" si="333"/>
        <v>0</v>
      </c>
      <c r="CC322" s="24">
        <f t="shared" ca="1" si="366"/>
        <v>0</v>
      </c>
      <c r="CD322" s="24">
        <f t="shared" ca="1" si="334"/>
        <v>-3371.9189071683954</v>
      </c>
      <c r="CE322" s="25">
        <f t="shared" ca="1" si="367"/>
        <v>-44048.339954904732</v>
      </c>
      <c r="CF322" s="23">
        <f t="shared" ca="1" si="368"/>
        <v>737001.49609975342</v>
      </c>
      <c r="CG322" s="25">
        <f t="array" aca="1" ref="CG322" ca="1">SUM(BF311:BF322/(1+inflation/100)^(AP311:AP322/12))</f>
        <v>267980.53702225379</v>
      </c>
      <c r="CH322" s="32">
        <f ca="1">IFERROR(IF(MOD(AP322-ap_months_since_start,12)=0,ap_drawdown/100*(AQ322+AV322+BA322-BC322),CH321),0)</f>
        <v>99170.679293695081</v>
      </c>
    </row>
    <row r="323" spans="40:86" x14ac:dyDescent="0.25">
      <c r="AN323" s="32">
        <f t="shared" ca="1" si="329"/>
        <v>81.166666666666671</v>
      </c>
      <c r="AO323" s="53">
        <f t="shared" ca="1" si="360"/>
        <v>55213</v>
      </c>
      <c r="AP323" s="22">
        <v>316</v>
      </c>
      <c r="AQ323" s="32">
        <f t="shared" ca="1" si="361"/>
        <v>625728.62931833672</v>
      </c>
      <c r="AR323" s="23">
        <f t="array" aca="1" ref="AR323" ca="1">SUM(IF(lsc_start_date=AO323,lsc_amount,0))</f>
        <v>0</v>
      </c>
      <c r="AS323" s="24">
        <f t="shared" ca="1" si="335"/>
        <v>0</v>
      </c>
      <c r="AT323" s="24">
        <f t="shared" ca="1" si="336"/>
        <v>0</v>
      </c>
      <c r="AU323" s="24">
        <f t="shared" ca="1" si="337"/>
        <v>0</v>
      </c>
      <c r="AV323" s="25">
        <f t="shared" ca="1" si="338"/>
        <v>0</v>
      </c>
      <c r="AW323" s="23">
        <f t="array" aca="1" ref="AW323" ca="1">SUM(IF(rcs_start_date&lt;=AO323,1,0)*IF(rcs_end_date&gt;=AO323,1,0)*rcs_amount*(1+rcs_escalation/100)^(INT((AP323-rcs_months_since_start)/12))*IF(MOD((AP323-rcs_months_since_start),rcs_frequency)=0,1,0)*IF(rcs_frequency=13,0,1))+SUM(IF(rcs_start_date=AO323,rcs_amount,0)*IF(rcs_frequency=13,1,0))</f>
        <v>0</v>
      </c>
      <c r="AX323" s="24">
        <f t="shared" ca="1" si="339"/>
        <v>0</v>
      </c>
      <c r="AY323" s="24">
        <f t="shared" ca="1" si="340"/>
        <v>0</v>
      </c>
      <c r="AZ323" s="24">
        <f t="shared" ca="1" si="341"/>
        <v>0</v>
      </c>
      <c r="BA323" s="25">
        <f t="shared" ca="1" si="342"/>
        <v>0</v>
      </c>
      <c r="BB323" s="23">
        <f t="array" aca="1" ref="BB323" ca="1">SUM(IF(w_start_date&lt;=AO323,1,0)*IF(w_end_date&gt;=AO323,1,0)*w_amount*(1+w_escalation/100)^(INT((AP323-w_months_since_start)/12))*IF(MOD(AP323-w_months_since_start,w_frequency)=0,1,0)*IF(w_frequency=13,0,1))+SUM(IF(w_start_date=AO323,w_amount,0)*IF(w_frequency=13,1,0))</f>
        <v>0</v>
      </c>
      <c r="BC323" s="25">
        <f t="shared" ca="1" si="343"/>
        <v>0</v>
      </c>
      <c r="BD323" s="24" t="b">
        <f t="shared" ca="1" si="344"/>
        <v>1</v>
      </c>
      <c r="BE323" s="24" t="b">
        <f t="shared" ca="1" si="345"/>
        <v>1</v>
      </c>
      <c r="BF323" s="23">
        <f t="array" aca="1" ref="BF323" ca="1">SUM(IF(BD323,1,0)*IF(ap_start_date&lt;=AO323,1,0)*IF(ap_end_date&gt;=AO323,1,0)*ap_amount*(1+ap_escalation/100)^(INT((AP323-ap_months_since_start)/12))*IF(MOD(AP323-ap_months_since_start,ap_frequency)=0,1,0))</f>
        <v>63033.022692742088</v>
      </c>
      <c r="BG323" s="24">
        <f t="shared" ca="1" si="346"/>
        <v>756396.27231290482</v>
      </c>
      <c r="BH323" s="24">
        <f t="shared" ca="1" si="347"/>
        <v>16131.17635660393</v>
      </c>
      <c r="BI323">
        <f t="shared" ca="1" si="348"/>
        <v>0</v>
      </c>
      <c r="BJ323" s="24">
        <f t="shared" ca="1" si="349"/>
        <v>112918.23449622751</v>
      </c>
      <c r="BK323">
        <f t="shared" ca="1" si="350"/>
        <v>1</v>
      </c>
      <c r="BL323" s="25">
        <f t="shared" ca="1" si="351"/>
        <v>9409.8528746856282</v>
      </c>
      <c r="BM323" s="32">
        <f t="shared" ca="1" si="330"/>
        <v>620760.78513128625</v>
      </c>
      <c r="BN323" s="23">
        <f t="shared" ca="1" si="352"/>
        <v>0</v>
      </c>
      <c r="BO323" s="24">
        <f t="shared" ca="1" si="353"/>
        <v>0</v>
      </c>
      <c r="BP323" s="25">
        <f t="shared" ca="1" si="354"/>
        <v>0</v>
      </c>
      <c r="BQ323" s="34">
        <f t="shared" ca="1" si="355"/>
        <v>55243</v>
      </c>
      <c r="BR323" s="23">
        <f t="shared" ca="1" si="356"/>
        <v>620760.78513128625</v>
      </c>
      <c r="BS323" s="24">
        <f t="shared" ca="1" si="357"/>
        <v>0</v>
      </c>
      <c r="BT323" s="24">
        <f t="shared" ca="1" si="362"/>
        <v>0</v>
      </c>
      <c r="BU323" s="24">
        <f t="shared" ca="1" si="358"/>
        <v>0</v>
      </c>
      <c r="BV323" s="24">
        <f t="shared" ca="1" si="363"/>
        <v>0</v>
      </c>
      <c r="BW323" s="24">
        <f t="shared" ca="1" si="359"/>
        <v>-9409.8528746856282</v>
      </c>
      <c r="BX323" s="25">
        <f t="shared" ca="1" si="364"/>
        <v>-119705.72403211404</v>
      </c>
      <c r="BY323" s="23">
        <f t="shared" ca="1" si="331"/>
        <v>220993.58756561979</v>
      </c>
      <c r="BZ323" s="24">
        <f t="shared" ca="1" si="332"/>
        <v>0</v>
      </c>
      <c r="CA323" s="24">
        <f t="shared" ca="1" si="365"/>
        <v>0</v>
      </c>
      <c r="CB323" s="24">
        <f t="shared" ca="1" si="333"/>
        <v>0</v>
      </c>
      <c r="CC323" s="24">
        <f t="shared" ca="1" si="366"/>
        <v>0</v>
      </c>
      <c r="CD323" s="24">
        <f t="shared" ca="1" si="334"/>
        <v>-3360.916142288751</v>
      </c>
      <c r="CE323" s="25">
        <f t="shared" ca="1" si="367"/>
        <v>-43553.723539764564</v>
      </c>
      <c r="CF323" s="23">
        <f t="shared" ca="1" si="368"/>
        <v>739425.84312639735</v>
      </c>
      <c r="CG323" s="25">
        <f t="array" aca="1" ref="CG323" ca="1">SUM(BF312:BF323/(1+inflation/100)^(AP312:AP323/12))</f>
        <v>267980.53702225379</v>
      </c>
      <c r="CH323" s="32">
        <f ca="1">IFERROR(IF(MOD(AP323-ap_months_since_start,12)=0,ap_drawdown/100*(AQ323+AV323+BA323-BC323),CH322),0)</f>
        <v>99170.679293695081</v>
      </c>
    </row>
    <row r="324" spans="40:86" x14ac:dyDescent="0.25">
      <c r="AN324" s="32">
        <f t="shared" ca="1" si="329"/>
        <v>81.25</v>
      </c>
      <c r="AO324" s="53">
        <f t="shared" ca="1" si="360"/>
        <v>55244</v>
      </c>
      <c r="AP324" s="22">
        <v>317</v>
      </c>
      <c r="AQ324" s="32">
        <f t="shared" ca="1" si="361"/>
        <v>620760.78513128625</v>
      </c>
      <c r="AR324" s="23">
        <f t="array" aca="1" ref="AR324" ca="1">SUM(IF(lsc_start_date=AO324,lsc_amount,0))</f>
        <v>0</v>
      </c>
      <c r="AS324" s="24">
        <f t="shared" ca="1" si="335"/>
        <v>0</v>
      </c>
      <c r="AT324" s="24">
        <f t="shared" ca="1" si="336"/>
        <v>0</v>
      </c>
      <c r="AU324" s="24">
        <f t="shared" ca="1" si="337"/>
        <v>0</v>
      </c>
      <c r="AV324" s="25">
        <f t="shared" ca="1" si="338"/>
        <v>0</v>
      </c>
      <c r="AW324" s="23">
        <f t="array" aca="1" ref="AW324" ca="1">SUM(IF(rcs_start_date&lt;=AO324,1,0)*IF(rcs_end_date&gt;=AO324,1,0)*rcs_amount*(1+rcs_escalation/100)^(INT((AP324-rcs_months_since_start)/12))*IF(MOD((AP324-rcs_months_since_start),rcs_frequency)=0,1,0)*IF(rcs_frequency=13,0,1))+SUM(IF(rcs_start_date=AO324,rcs_amount,0)*IF(rcs_frequency=13,1,0))</f>
        <v>0</v>
      </c>
      <c r="AX324" s="24">
        <f t="shared" ca="1" si="339"/>
        <v>0</v>
      </c>
      <c r="AY324" s="24">
        <f t="shared" ca="1" si="340"/>
        <v>0</v>
      </c>
      <c r="AZ324" s="24">
        <f t="shared" ca="1" si="341"/>
        <v>0</v>
      </c>
      <c r="BA324" s="25">
        <f t="shared" ca="1" si="342"/>
        <v>0</v>
      </c>
      <c r="BB324" s="23">
        <f t="array" aca="1" ref="BB324" ca="1">SUM(IF(w_start_date&lt;=AO324,1,0)*IF(w_end_date&gt;=AO324,1,0)*w_amount*(1+w_escalation/100)^(INT((AP324-w_months_since_start)/12))*IF(MOD(AP324-w_months_since_start,w_frequency)=0,1,0)*IF(w_frequency=13,0,1))+SUM(IF(w_start_date=AO324,w_amount,0)*IF(w_frequency=13,1,0))</f>
        <v>0</v>
      </c>
      <c r="BC324" s="25">
        <f t="shared" ca="1" si="343"/>
        <v>0</v>
      </c>
      <c r="BD324" s="24" t="b">
        <f t="shared" ca="1" si="344"/>
        <v>1</v>
      </c>
      <c r="BE324" s="24" t="b">
        <f t="shared" ca="1" si="345"/>
        <v>1</v>
      </c>
      <c r="BF324" s="23">
        <f t="array" aca="1" ref="BF324" ca="1">SUM(IF(BD324,1,0)*IF(ap_start_date&lt;=AO324,1,0)*IF(ap_end_date&gt;=AO324,1,0)*ap_amount*(1+ap_escalation/100)^(INT((AP324-ap_months_since_start)/12))*IF(MOD(AP324-ap_months_since_start,ap_frequency)=0,1,0))</f>
        <v>63033.022692742088</v>
      </c>
      <c r="BG324" s="24">
        <f t="shared" ca="1" si="346"/>
        <v>756396.27231290482</v>
      </c>
      <c r="BH324" s="24">
        <f t="shared" ca="1" si="347"/>
        <v>16131.17635660393</v>
      </c>
      <c r="BI324">
        <f t="shared" ca="1" si="348"/>
        <v>0</v>
      </c>
      <c r="BJ324" s="24">
        <f t="shared" ca="1" si="349"/>
        <v>112918.23449622751</v>
      </c>
      <c r="BK324">
        <f t="shared" ca="1" si="350"/>
        <v>1</v>
      </c>
      <c r="BL324" s="25">
        <f t="shared" ca="1" si="351"/>
        <v>9409.8528746856282</v>
      </c>
      <c r="BM324" s="32">
        <f t="shared" ca="1" si="330"/>
        <v>615757.13608499547</v>
      </c>
      <c r="BN324" s="23">
        <f t="shared" ca="1" si="352"/>
        <v>0</v>
      </c>
      <c r="BO324" s="24">
        <f t="shared" ca="1" si="353"/>
        <v>0</v>
      </c>
      <c r="BP324" s="25">
        <f t="shared" ca="1" si="354"/>
        <v>0</v>
      </c>
      <c r="BQ324" s="34">
        <f t="shared" ca="1" si="355"/>
        <v>55273</v>
      </c>
      <c r="BR324" s="23">
        <f t="shared" ca="1" si="356"/>
        <v>615757.13608499547</v>
      </c>
      <c r="BS324" s="24">
        <f t="shared" ca="1" si="357"/>
        <v>0</v>
      </c>
      <c r="BT324" s="24">
        <f t="shared" ca="1" si="362"/>
        <v>0</v>
      </c>
      <c r="BU324" s="24">
        <f t="shared" ca="1" si="358"/>
        <v>0</v>
      </c>
      <c r="BV324" s="24">
        <f t="shared" ca="1" si="363"/>
        <v>0</v>
      </c>
      <c r="BW324" s="24">
        <f t="shared" ca="1" si="359"/>
        <v>-9409.8528746856282</v>
      </c>
      <c r="BX324" s="25">
        <f t="shared" ca="1" si="364"/>
        <v>-118736.08266984455</v>
      </c>
      <c r="BY324" s="23">
        <f t="shared" ca="1" si="331"/>
        <v>218496.96415055246</v>
      </c>
      <c r="BZ324" s="24">
        <f t="shared" ca="1" si="332"/>
        <v>0</v>
      </c>
      <c r="CA324" s="24">
        <f t="shared" ca="1" si="365"/>
        <v>0</v>
      </c>
      <c r="CB324" s="24">
        <f t="shared" ca="1" si="333"/>
        <v>0</v>
      </c>
      <c r="CC324" s="24">
        <f t="shared" ca="1" si="366"/>
        <v>0</v>
      </c>
      <c r="CD324" s="24">
        <f t="shared" ca="1" si="334"/>
        <v>-3349.9492800622629</v>
      </c>
      <c r="CE324" s="25">
        <f t="shared" ca="1" si="367"/>
        <v>-43060.721086368787</v>
      </c>
      <c r="CF324" s="23">
        <f t="shared" ca="1" si="368"/>
        <v>741850.19015304127</v>
      </c>
      <c r="CG324" s="25">
        <f t="array" aca="1" ref="CG324" ca="1">SUM(BF313:BF324/(1+inflation/100)^(AP313:AP324/12))</f>
        <v>267980.53702225373</v>
      </c>
      <c r="CH324" s="32">
        <f ca="1">IFERROR(IF(MOD(AP324-ap_months_since_start,12)=0,ap_drawdown/100*(AQ324+AV324+BA324-BC324),CH323),0)</f>
        <v>99170.679293695081</v>
      </c>
    </row>
    <row r="325" spans="40:86" x14ac:dyDescent="0.25">
      <c r="AN325" s="32">
        <f t="shared" ca="1" si="329"/>
        <v>81.333333333333329</v>
      </c>
      <c r="AO325" s="53">
        <f t="shared" ca="1" si="360"/>
        <v>55274</v>
      </c>
      <c r="AP325" s="22">
        <v>318</v>
      </c>
      <c r="AQ325" s="32">
        <f t="shared" ca="1" si="361"/>
        <v>615757.13608499547</v>
      </c>
      <c r="AR325" s="23">
        <f t="array" aca="1" ref="AR325" ca="1">SUM(IF(lsc_start_date=AO325,lsc_amount,0))</f>
        <v>0</v>
      </c>
      <c r="AS325" s="24">
        <f t="shared" ca="1" si="335"/>
        <v>0</v>
      </c>
      <c r="AT325" s="24">
        <f t="shared" ca="1" si="336"/>
        <v>0</v>
      </c>
      <c r="AU325" s="24">
        <f t="shared" ca="1" si="337"/>
        <v>0</v>
      </c>
      <c r="AV325" s="25">
        <f t="shared" ca="1" si="338"/>
        <v>0</v>
      </c>
      <c r="AW325" s="23">
        <f t="array" aca="1" ref="AW325" ca="1">SUM(IF(rcs_start_date&lt;=AO325,1,0)*IF(rcs_end_date&gt;=AO325,1,0)*rcs_amount*(1+rcs_escalation/100)^(INT((AP325-rcs_months_since_start)/12))*IF(MOD((AP325-rcs_months_since_start),rcs_frequency)=0,1,0)*IF(rcs_frequency=13,0,1))+SUM(IF(rcs_start_date=AO325,rcs_amount,0)*IF(rcs_frequency=13,1,0))</f>
        <v>0</v>
      </c>
      <c r="AX325" s="24">
        <f t="shared" ca="1" si="339"/>
        <v>0</v>
      </c>
      <c r="AY325" s="24">
        <f t="shared" ca="1" si="340"/>
        <v>0</v>
      </c>
      <c r="AZ325" s="24">
        <f t="shared" ca="1" si="341"/>
        <v>0</v>
      </c>
      <c r="BA325" s="25">
        <f t="shared" ca="1" si="342"/>
        <v>0</v>
      </c>
      <c r="BB325" s="23">
        <f t="array" aca="1" ref="BB325" ca="1">SUM(IF(w_start_date&lt;=AO325,1,0)*IF(w_end_date&gt;=AO325,1,0)*w_amount*(1+w_escalation/100)^(INT((AP325-w_months_since_start)/12))*IF(MOD(AP325-w_months_since_start,w_frequency)=0,1,0)*IF(w_frequency=13,0,1))+SUM(IF(w_start_date=AO325,w_amount,0)*IF(w_frequency=13,1,0))</f>
        <v>0</v>
      </c>
      <c r="BC325" s="25">
        <f t="shared" ca="1" si="343"/>
        <v>0</v>
      </c>
      <c r="BD325" s="24" t="b">
        <f t="shared" ca="1" si="344"/>
        <v>1</v>
      </c>
      <c r="BE325" s="24" t="b">
        <f t="shared" ca="1" si="345"/>
        <v>1</v>
      </c>
      <c r="BF325" s="23">
        <f t="array" aca="1" ref="BF325" ca="1">SUM(IF(BD325,1,0)*IF(ap_start_date&lt;=AO325,1,0)*IF(ap_end_date&gt;=AO325,1,0)*ap_amount*(1+ap_escalation/100)^(INT((AP325-ap_months_since_start)/12))*IF(MOD(AP325-ap_months_since_start,ap_frequency)=0,1,0))</f>
        <v>63033.022692742088</v>
      </c>
      <c r="BG325" s="24">
        <f t="shared" ca="1" si="346"/>
        <v>756396.27231290482</v>
      </c>
      <c r="BH325" s="24">
        <f t="shared" ca="1" si="347"/>
        <v>16131.17635660393</v>
      </c>
      <c r="BI325">
        <f t="shared" ca="1" si="348"/>
        <v>0</v>
      </c>
      <c r="BJ325" s="24">
        <f t="shared" ca="1" si="349"/>
        <v>112918.23449622751</v>
      </c>
      <c r="BK325">
        <f t="shared" ca="1" si="350"/>
        <v>1</v>
      </c>
      <c r="BL325" s="25">
        <f t="shared" ca="1" si="351"/>
        <v>9409.8528746856282</v>
      </c>
      <c r="BM325" s="32">
        <f t="shared" ca="1" si="330"/>
        <v>610717.42412226764</v>
      </c>
      <c r="BN325" s="23">
        <f t="shared" ca="1" si="352"/>
        <v>0</v>
      </c>
      <c r="BO325" s="24">
        <f t="shared" ca="1" si="353"/>
        <v>0</v>
      </c>
      <c r="BP325" s="25">
        <f t="shared" ca="1" si="354"/>
        <v>0</v>
      </c>
      <c r="BQ325" s="34">
        <f t="shared" ca="1" si="355"/>
        <v>55304</v>
      </c>
      <c r="BR325" s="23">
        <f t="shared" ca="1" si="356"/>
        <v>610717.42412226764</v>
      </c>
      <c r="BS325" s="24">
        <f t="shared" ca="1" si="357"/>
        <v>0</v>
      </c>
      <c r="BT325" s="24">
        <f t="shared" ca="1" si="362"/>
        <v>0</v>
      </c>
      <c r="BU325" s="24">
        <f t="shared" ca="1" si="358"/>
        <v>0</v>
      </c>
      <c r="BV325" s="24">
        <f t="shared" ca="1" si="363"/>
        <v>0</v>
      </c>
      <c r="BW325" s="24">
        <f t="shared" ca="1" si="359"/>
        <v>-9409.8528746856282</v>
      </c>
      <c r="BX325" s="25">
        <f t="shared" ca="1" si="364"/>
        <v>-117766.44130757505</v>
      </c>
      <c r="BY325" s="23">
        <f t="shared" ca="1" si="331"/>
        <v>216001.52603888424</v>
      </c>
      <c r="BZ325" s="24">
        <f t="shared" ca="1" si="332"/>
        <v>0</v>
      </c>
      <c r="CA325" s="24">
        <f t="shared" ca="1" si="365"/>
        <v>0</v>
      </c>
      <c r="CB325" s="24">
        <f t="shared" ca="1" si="333"/>
        <v>0</v>
      </c>
      <c r="CC325" s="24">
        <f t="shared" ca="1" si="366"/>
        <v>0</v>
      </c>
      <c r="CD325" s="24">
        <f t="shared" ca="1" si="334"/>
        <v>-3339.0182033365136</v>
      </c>
      <c r="CE325" s="25">
        <f t="shared" ca="1" si="367"/>
        <v>-42569.327328267645</v>
      </c>
      <c r="CF325" s="23">
        <f t="shared" ca="1" si="368"/>
        <v>744274.5371796852</v>
      </c>
      <c r="CG325" s="25">
        <f t="array" aca="1" ref="CG325" ca="1">SUM(BF314:BF325/(1+inflation/100)^(AP314:AP325/12))</f>
        <v>267980.53702225373</v>
      </c>
      <c r="CH325" s="32">
        <f ca="1">IFERROR(IF(MOD(AP325-ap_months_since_start,12)=0,ap_drawdown/100*(AQ325+AV325+BA325-BC325),CH324),0)</f>
        <v>99170.679293695081</v>
      </c>
    </row>
    <row r="326" spans="40:86" x14ac:dyDescent="0.25">
      <c r="AN326" s="32">
        <f t="shared" ca="1" si="329"/>
        <v>81.416666666666671</v>
      </c>
      <c r="AO326" s="53">
        <f t="shared" ca="1" si="360"/>
        <v>55305</v>
      </c>
      <c r="AP326" s="22">
        <v>319</v>
      </c>
      <c r="AQ326" s="32">
        <f t="shared" ca="1" si="361"/>
        <v>610717.42412226764</v>
      </c>
      <c r="AR326" s="23">
        <f t="array" aca="1" ref="AR326" ca="1">SUM(IF(lsc_start_date=AO326,lsc_amount,0))</f>
        <v>0</v>
      </c>
      <c r="AS326" s="24">
        <f t="shared" ca="1" si="335"/>
        <v>0</v>
      </c>
      <c r="AT326" s="24">
        <f t="shared" ca="1" si="336"/>
        <v>0</v>
      </c>
      <c r="AU326" s="24">
        <f t="shared" ca="1" si="337"/>
        <v>0</v>
      </c>
      <c r="AV326" s="25">
        <f t="shared" ca="1" si="338"/>
        <v>0</v>
      </c>
      <c r="AW326" s="23">
        <f t="array" aca="1" ref="AW326" ca="1">SUM(IF(rcs_start_date&lt;=AO326,1,0)*IF(rcs_end_date&gt;=AO326,1,0)*rcs_amount*(1+rcs_escalation/100)^(INT((AP326-rcs_months_since_start)/12))*IF(MOD((AP326-rcs_months_since_start),rcs_frequency)=0,1,0)*IF(rcs_frequency=13,0,1))+SUM(IF(rcs_start_date=AO326,rcs_amount,0)*IF(rcs_frequency=13,1,0))</f>
        <v>0</v>
      </c>
      <c r="AX326" s="24">
        <f t="shared" ca="1" si="339"/>
        <v>0</v>
      </c>
      <c r="AY326" s="24">
        <f t="shared" ca="1" si="340"/>
        <v>0</v>
      </c>
      <c r="AZ326" s="24">
        <f t="shared" ca="1" si="341"/>
        <v>0</v>
      </c>
      <c r="BA326" s="25">
        <f t="shared" ca="1" si="342"/>
        <v>0</v>
      </c>
      <c r="BB326" s="23">
        <f t="array" aca="1" ref="BB326" ca="1">SUM(IF(w_start_date&lt;=AO326,1,0)*IF(w_end_date&gt;=AO326,1,0)*w_amount*(1+w_escalation/100)^(INT((AP326-w_months_since_start)/12))*IF(MOD(AP326-w_months_since_start,w_frequency)=0,1,0)*IF(w_frequency=13,0,1))+SUM(IF(w_start_date=AO326,w_amount,0)*IF(w_frequency=13,1,0))</f>
        <v>0</v>
      </c>
      <c r="BC326" s="25">
        <f t="shared" ca="1" si="343"/>
        <v>0</v>
      </c>
      <c r="BD326" s="24" t="b">
        <f t="shared" ca="1" si="344"/>
        <v>1</v>
      </c>
      <c r="BE326" s="24" t="b">
        <f t="shared" ca="1" si="345"/>
        <v>1</v>
      </c>
      <c r="BF326" s="23">
        <f t="array" aca="1" ref="BF326" ca="1">SUM(IF(BD326,1,0)*IF(ap_start_date&lt;=AO326,1,0)*IF(ap_end_date&gt;=AO326,1,0)*ap_amount*(1+ap_escalation/100)^(INT((AP326-ap_months_since_start)/12))*IF(MOD(AP326-ap_months_since_start,ap_frequency)=0,1,0))</f>
        <v>63033.022692742088</v>
      </c>
      <c r="BG326" s="24">
        <f t="shared" ca="1" si="346"/>
        <v>756396.27231290482</v>
      </c>
      <c r="BH326" s="24">
        <f t="shared" ca="1" si="347"/>
        <v>16131.17635660393</v>
      </c>
      <c r="BI326">
        <f t="shared" ca="1" si="348"/>
        <v>0</v>
      </c>
      <c r="BJ326" s="24">
        <f t="shared" ca="1" si="349"/>
        <v>112918.23449622751</v>
      </c>
      <c r="BK326">
        <f t="shared" ca="1" si="350"/>
        <v>1</v>
      </c>
      <c r="BL326" s="25">
        <f t="shared" ca="1" si="351"/>
        <v>9409.8528746856282</v>
      </c>
      <c r="BM326" s="32">
        <f t="shared" ca="1" si="330"/>
        <v>605641.3893260042</v>
      </c>
      <c r="BN326" s="23">
        <f t="shared" ca="1" si="352"/>
        <v>0</v>
      </c>
      <c r="BO326" s="24">
        <f t="shared" ca="1" si="353"/>
        <v>0</v>
      </c>
      <c r="BP326" s="25">
        <f t="shared" ca="1" si="354"/>
        <v>0</v>
      </c>
      <c r="BQ326" s="34">
        <f t="shared" ca="1" si="355"/>
        <v>55334</v>
      </c>
      <c r="BR326" s="23">
        <f t="shared" ca="1" si="356"/>
        <v>605641.3893260042</v>
      </c>
      <c r="BS326" s="24">
        <f t="shared" ca="1" si="357"/>
        <v>0</v>
      </c>
      <c r="BT326" s="24">
        <f t="shared" ca="1" si="362"/>
        <v>0</v>
      </c>
      <c r="BU326" s="24">
        <f t="shared" ca="1" si="358"/>
        <v>0</v>
      </c>
      <c r="BV326" s="24">
        <f t="shared" ca="1" si="363"/>
        <v>0</v>
      </c>
      <c r="BW326" s="24">
        <f t="shared" ca="1" si="359"/>
        <v>-9409.8528746856282</v>
      </c>
      <c r="BX326" s="25">
        <f t="shared" ca="1" si="364"/>
        <v>-116796.79994530555</v>
      </c>
      <c r="BY326" s="23">
        <f t="shared" ca="1" si="331"/>
        <v>213507.24206931231</v>
      </c>
      <c r="BZ326" s="24">
        <f t="shared" ca="1" si="332"/>
        <v>0</v>
      </c>
      <c r="CA326" s="24">
        <f t="shared" ca="1" si="365"/>
        <v>0</v>
      </c>
      <c r="CB326" s="24">
        <f t="shared" ca="1" si="333"/>
        <v>0</v>
      </c>
      <c r="CC326" s="24">
        <f t="shared" ca="1" si="366"/>
        <v>0</v>
      </c>
      <c r="CD326" s="24">
        <f t="shared" ca="1" si="334"/>
        <v>-3328.1227953413618</v>
      </c>
      <c r="CE326" s="25">
        <f t="shared" ca="1" si="367"/>
        <v>-42079.537016196067</v>
      </c>
      <c r="CF326" s="23">
        <f t="shared" ca="1" si="368"/>
        <v>746698.88420632912</v>
      </c>
      <c r="CG326" s="25">
        <f t="array" aca="1" ref="CG326" ca="1">SUM(BF315:BF326/(1+inflation/100)^(AP315:AP326/12))</f>
        <v>267980.53702225373</v>
      </c>
      <c r="CH326" s="32">
        <f ca="1">IFERROR(IF(MOD(AP326-ap_months_since_start,12)=0,ap_drawdown/100*(AQ326+AV326+BA326-BC326),CH325),0)</f>
        <v>99170.679293695081</v>
      </c>
    </row>
    <row r="327" spans="40:86" x14ac:dyDescent="0.25">
      <c r="AN327" s="32">
        <f t="shared" ca="1" si="329"/>
        <v>81.5</v>
      </c>
      <c r="AO327" s="53">
        <f t="shared" ca="1" si="360"/>
        <v>55335</v>
      </c>
      <c r="AP327" s="22">
        <v>320</v>
      </c>
      <c r="AQ327" s="32">
        <f t="shared" ca="1" si="361"/>
        <v>605641.3893260042</v>
      </c>
      <c r="AR327" s="23">
        <f t="array" aca="1" ref="AR327" ca="1">SUM(IF(lsc_start_date=AO327,lsc_amount,0))</f>
        <v>0</v>
      </c>
      <c r="AS327" s="24">
        <f t="shared" ca="1" si="335"/>
        <v>0</v>
      </c>
      <c r="AT327" s="24">
        <f t="shared" ca="1" si="336"/>
        <v>0</v>
      </c>
      <c r="AU327" s="24">
        <f t="shared" ca="1" si="337"/>
        <v>0</v>
      </c>
      <c r="AV327" s="25">
        <f t="shared" ca="1" si="338"/>
        <v>0</v>
      </c>
      <c r="AW327" s="23">
        <f t="array" aca="1" ref="AW327" ca="1">SUM(IF(rcs_start_date&lt;=AO327,1,0)*IF(rcs_end_date&gt;=AO327,1,0)*rcs_amount*(1+rcs_escalation/100)^(INT((AP327-rcs_months_since_start)/12))*IF(MOD((AP327-rcs_months_since_start),rcs_frequency)=0,1,0)*IF(rcs_frequency=13,0,1))+SUM(IF(rcs_start_date=AO327,rcs_amount,0)*IF(rcs_frequency=13,1,0))</f>
        <v>0</v>
      </c>
      <c r="AX327" s="24">
        <f t="shared" ca="1" si="339"/>
        <v>0</v>
      </c>
      <c r="AY327" s="24">
        <f t="shared" ca="1" si="340"/>
        <v>0</v>
      </c>
      <c r="AZ327" s="24">
        <f t="shared" ca="1" si="341"/>
        <v>0</v>
      </c>
      <c r="BA327" s="25">
        <f t="shared" ca="1" si="342"/>
        <v>0</v>
      </c>
      <c r="BB327" s="23">
        <f t="array" aca="1" ref="BB327" ca="1">SUM(IF(w_start_date&lt;=AO327,1,0)*IF(w_end_date&gt;=AO327,1,0)*w_amount*(1+w_escalation/100)^(INT((AP327-w_months_since_start)/12))*IF(MOD(AP327-w_months_since_start,w_frequency)=0,1,0)*IF(w_frequency=13,0,1))+SUM(IF(w_start_date=AO327,w_amount,0)*IF(w_frequency=13,1,0))</f>
        <v>0</v>
      </c>
      <c r="BC327" s="25">
        <f t="shared" ca="1" si="343"/>
        <v>0</v>
      </c>
      <c r="BD327" s="24" t="b">
        <f t="shared" ca="1" si="344"/>
        <v>1</v>
      </c>
      <c r="BE327" s="24" t="b">
        <f t="shared" ca="1" si="345"/>
        <v>1</v>
      </c>
      <c r="BF327" s="23">
        <f t="array" aca="1" ref="BF327" ca="1">SUM(IF(BD327,1,0)*IF(ap_start_date&lt;=AO327,1,0)*IF(ap_end_date&gt;=AO327,1,0)*ap_amount*(1+ap_escalation/100)^(INT((AP327-ap_months_since_start)/12))*IF(MOD(AP327-ap_months_since_start,ap_frequency)=0,1,0))</f>
        <v>63033.022692742088</v>
      </c>
      <c r="BG327" s="24">
        <f t="shared" ca="1" si="346"/>
        <v>756396.27231290482</v>
      </c>
      <c r="BH327" s="24">
        <f t="shared" ca="1" si="347"/>
        <v>16131.17635660393</v>
      </c>
      <c r="BI327">
        <f t="shared" ca="1" si="348"/>
        <v>0</v>
      </c>
      <c r="BJ327" s="24">
        <f t="shared" ca="1" si="349"/>
        <v>112918.23449622751</v>
      </c>
      <c r="BK327">
        <f t="shared" ca="1" si="350"/>
        <v>1</v>
      </c>
      <c r="BL327" s="25">
        <f t="shared" ca="1" si="351"/>
        <v>9409.8528746856282</v>
      </c>
      <c r="BM327" s="32">
        <f t="shared" ca="1" si="330"/>
        <v>600528.76990580012</v>
      </c>
      <c r="BN327" s="23">
        <f t="shared" ca="1" si="352"/>
        <v>0</v>
      </c>
      <c r="BO327" s="24">
        <f t="shared" ca="1" si="353"/>
        <v>0</v>
      </c>
      <c r="BP327" s="25">
        <f t="shared" ca="1" si="354"/>
        <v>0</v>
      </c>
      <c r="BQ327" s="34">
        <f t="shared" ca="1" si="355"/>
        <v>55365</v>
      </c>
      <c r="BR327" s="23">
        <f t="shared" ca="1" si="356"/>
        <v>600528.76990580012</v>
      </c>
      <c r="BS327" s="24">
        <f t="shared" ca="1" si="357"/>
        <v>0</v>
      </c>
      <c r="BT327" s="24">
        <f t="shared" ca="1" si="362"/>
        <v>0</v>
      </c>
      <c r="BU327" s="24">
        <f t="shared" ca="1" si="358"/>
        <v>0</v>
      </c>
      <c r="BV327" s="24">
        <f t="shared" ca="1" si="363"/>
        <v>0</v>
      </c>
      <c r="BW327" s="24">
        <f t="shared" ca="1" si="359"/>
        <v>-9409.8528746856282</v>
      </c>
      <c r="BX327" s="25">
        <f t="shared" ca="1" si="364"/>
        <v>-115827.15858303606</v>
      </c>
      <c r="BY327" s="23">
        <f t="shared" ca="1" si="331"/>
        <v>211014.08107520381</v>
      </c>
      <c r="BZ327" s="24">
        <f t="shared" ca="1" si="332"/>
        <v>0</v>
      </c>
      <c r="CA327" s="24">
        <f t="shared" ca="1" si="365"/>
        <v>0</v>
      </c>
      <c r="CB327" s="24">
        <f t="shared" ca="1" si="333"/>
        <v>0</v>
      </c>
      <c r="CC327" s="24">
        <f t="shared" ca="1" si="366"/>
        <v>0</v>
      </c>
      <c r="CD327" s="24">
        <f t="shared" ca="1" si="334"/>
        <v>-3317.2629396876923</v>
      </c>
      <c r="CE327" s="25">
        <f t="shared" ca="1" si="367"/>
        <v>-41591.344918017647</v>
      </c>
      <c r="CF327" s="23">
        <f t="shared" ca="1" si="368"/>
        <v>749123.23123297305</v>
      </c>
      <c r="CG327" s="25">
        <f t="array" aca="1" ref="CG327" ca="1">SUM(BF316:BF327/(1+inflation/100)^(AP316:AP327/12))</f>
        <v>267980.53702225373</v>
      </c>
      <c r="CH327" s="32">
        <f ca="1">IFERROR(IF(MOD(AP327-ap_months_since_start,12)=0,ap_drawdown/100*(AQ327+AV327+BA327-BC327),CH326),0)</f>
        <v>99170.679293695081</v>
      </c>
    </row>
    <row r="328" spans="40:86" x14ac:dyDescent="0.25">
      <c r="AN328" s="32">
        <f t="shared" ref="AN328:AN391" ca="1" si="369">IF(AND(Date_of_birth&lt;&gt;"",Date_of_birth&lt;&gt;"Please enter date of birth"),YEARFRAC(Date_of_birth,AO328),AP328/12)</f>
        <v>81.583333333333329</v>
      </c>
      <c r="AO328" s="53">
        <f t="shared" ca="1" si="360"/>
        <v>55366</v>
      </c>
      <c r="AP328" s="22">
        <v>321</v>
      </c>
      <c r="AQ328" s="32">
        <f t="shared" ca="1" si="361"/>
        <v>600528.76990580012</v>
      </c>
      <c r="AR328" s="23">
        <f t="array" aca="1" ref="AR328" ca="1">SUM(IF(lsc_start_date=AO328,lsc_amount,0))</f>
        <v>0</v>
      </c>
      <c r="AS328" s="24">
        <f t="shared" ca="1" si="335"/>
        <v>0</v>
      </c>
      <c r="AT328" s="24">
        <f t="shared" ca="1" si="336"/>
        <v>0</v>
      </c>
      <c r="AU328" s="24">
        <f t="shared" ca="1" si="337"/>
        <v>0</v>
      </c>
      <c r="AV328" s="25">
        <f t="shared" ca="1" si="338"/>
        <v>0</v>
      </c>
      <c r="AW328" s="23">
        <f t="array" aca="1" ref="AW328" ca="1">SUM(IF(rcs_start_date&lt;=AO328,1,0)*IF(rcs_end_date&gt;=AO328,1,0)*rcs_amount*(1+rcs_escalation/100)^(INT((AP328-rcs_months_since_start)/12))*IF(MOD((AP328-rcs_months_since_start),rcs_frequency)=0,1,0)*IF(rcs_frequency=13,0,1))+SUM(IF(rcs_start_date=AO328,rcs_amount,0)*IF(rcs_frequency=13,1,0))</f>
        <v>0</v>
      </c>
      <c r="AX328" s="24">
        <f t="shared" ca="1" si="339"/>
        <v>0</v>
      </c>
      <c r="AY328" s="24">
        <f t="shared" ca="1" si="340"/>
        <v>0</v>
      </c>
      <c r="AZ328" s="24">
        <f t="shared" ca="1" si="341"/>
        <v>0</v>
      </c>
      <c r="BA328" s="25">
        <f t="shared" ca="1" si="342"/>
        <v>0</v>
      </c>
      <c r="BB328" s="23">
        <f t="array" aca="1" ref="BB328" ca="1">SUM(IF(w_start_date&lt;=AO328,1,0)*IF(w_end_date&gt;=AO328,1,0)*w_amount*(1+w_escalation/100)^(INT((AP328-w_months_since_start)/12))*IF(MOD(AP328-w_months_since_start,w_frequency)=0,1,0)*IF(w_frequency=13,0,1))+SUM(IF(w_start_date=AO328,w_amount,0)*IF(w_frequency=13,1,0))</f>
        <v>0</v>
      </c>
      <c r="BC328" s="25">
        <f t="shared" ca="1" si="343"/>
        <v>0</v>
      </c>
      <c r="BD328" s="24" t="b">
        <f t="shared" ca="1" si="344"/>
        <v>1</v>
      </c>
      <c r="BE328" s="24" t="b">
        <f t="shared" ca="1" si="345"/>
        <v>1</v>
      </c>
      <c r="BF328" s="23">
        <f t="array" aca="1" ref="BF328" ca="1">SUM(IF(BD328,1,0)*IF(ap_start_date&lt;=AO328,1,0)*IF(ap_end_date&gt;=AO328,1,0)*ap_amount*(1+ap_escalation/100)^(INT((AP328-ap_months_since_start)/12))*IF(MOD(AP328-ap_months_since_start,ap_frequency)=0,1,0))</f>
        <v>63033.022692742088</v>
      </c>
      <c r="BG328" s="24">
        <f t="shared" ca="1" si="346"/>
        <v>756396.27231290482</v>
      </c>
      <c r="BH328" s="24">
        <f t="shared" ca="1" si="347"/>
        <v>16131.17635660393</v>
      </c>
      <c r="BI328">
        <f t="shared" ca="1" si="348"/>
        <v>0</v>
      </c>
      <c r="BJ328" s="24">
        <f t="shared" ca="1" si="349"/>
        <v>112918.23449622751</v>
      </c>
      <c r="BK328">
        <f t="shared" ca="1" si="350"/>
        <v>1</v>
      </c>
      <c r="BL328" s="25">
        <f t="shared" ca="1" si="351"/>
        <v>9409.8528746856282</v>
      </c>
      <c r="BM328" s="32">
        <f t="shared" ref="BM328:BM391" ca="1" si="370">(AQ328+AV328+BA328-BC328-BL328)*(1+NomRetn/100)^(1/12)</f>
        <v>595379.30218444229</v>
      </c>
      <c r="BN328" s="23">
        <f t="shared" ca="1" si="352"/>
        <v>0</v>
      </c>
      <c r="BO328" s="24">
        <f t="shared" ca="1" si="353"/>
        <v>0</v>
      </c>
      <c r="BP328" s="25">
        <f t="shared" ca="1" si="354"/>
        <v>0</v>
      </c>
      <c r="BQ328" s="34">
        <f t="shared" ca="1" si="355"/>
        <v>55396</v>
      </c>
      <c r="BR328" s="23">
        <f t="shared" ca="1" si="356"/>
        <v>595379.30218444229</v>
      </c>
      <c r="BS328" s="24">
        <f t="shared" ca="1" si="357"/>
        <v>0</v>
      </c>
      <c r="BT328" s="24">
        <f t="shared" ca="1" si="362"/>
        <v>0</v>
      </c>
      <c r="BU328" s="24">
        <f t="shared" ca="1" si="358"/>
        <v>0</v>
      </c>
      <c r="BV328" s="24">
        <f t="shared" ca="1" si="363"/>
        <v>0</v>
      </c>
      <c r="BW328" s="24">
        <f t="shared" ca="1" si="359"/>
        <v>-9409.8528746856282</v>
      </c>
      <c r="BX328" s="25">
        <f t="shared" ca="1" si="364"/>
        <v>-114857.51722076656</v>
      </c>
      <c r="BY328" s="23">
        <f t="shared" ref="BY328:BY391" ca="1" si="371">BR328*(1+inflation/100)^(-$AP328/12)</f>
        <v>208522.01188419346</v>
      </c>
      <c r="BZ328" s="24">
        <f t="shared" ref="BZ328:BZ391" ca="1" si="372">BS328*(1+inflation/100)^(-(AP328-1)/12)</f>
        <v>0</v>
      </c>
      <c r="CA328" s="24">
        <f t="shared" ca="1" si="365"/>
        <v>0</v>
      </c>
      <c r="CB328" s="24">
        <f t="shared" ref="CB328:CB391" ca="1" si="373">BU328*(1+inflation/100)^(-($AP328-1)/12)</f>
        <v>0</v>
      </c>
      <c r="CC328" s="24">
        <f t="shared" ca="1" si="366"/>
        <v>0</v>
      </c>
      <c r="CD328" s="24">
        <f t="shared" ref="CD328:CD391" ca="1" si="374">BW328*(1+inflation/100)^(-($AP328-1)/12)</f>
        <v>-3306.4385203661745</v>
      </c>
      <c r="CE328" s="25">
        <f t="shared" ca="1" si="367"/>
        <v>-41104.745818668751</v>
      </c>
      <c r="CF328" s="23">
        <f t="shared" ca="1" si="368"/>
        <v>751547.57825961697</v>
      </c>
      <c r="CG328" s="25">
        <f t="array" aca="1" ref="CG328" ca="1">SUM(BF317:BF328/(1+inflation/100)^(AP317:AP328/12))</f>
        <v>267980.53702225373</v>
      </c>
      <c r="CH328" s="32">
        <f ca="1">IFERROR(IF(MOD(AP328-ap_months_since_start,12)=0,ap_drawdown/100*(AQ328+AV328+BA328-BC328),CH327),0)</f>
        <v>99170.679293695081</v>
      </c>
    </row>
    <row r="329" spans="40:86" x14ac:dyDescent="0.25">
      <c r="AN329" s="32">
        <f t="shared" ca="1" si="369"/>
        <v>81.666666666666671</v>
      </c>
      <c r="AO329" s="53">
        <f t="shared" ca="1" si="360"/>
        <v>55397</v>
      </c>
      <c r="AP329" s="22">
        <v>322</v>
      </c>
      <c r="AQ329" s="32">
        <f t="shared" ca="1" si="361"/>
        <v>595379.30218444229</v>
      </c>
      <c r="AR329" s="23">
        <f t="array" aca="1" ref="AR329" ca="1">SUM(IF(lsc_start_date=AO329,lsc_amount,0))</f>
        <v>0</v>
      </c>
      <c r="AS329" s="24">
        <f t="shared" ref="AS329:AS392" ca="1" si="375">AR329*$D$34/100</f>
        <v>0</v>
      </c>
      <c r="AT329" s="24">
        <f t="shared" ref="AT329:AT392" ca="1" si="376">AR329*$D$33/100</f>
        <v>0</v>
      </c>
      <c r="AU329" s="24">
        <f t="shared" ref="AU329:AU392" ca="1" si="377">AR329*$D$35/100</f>
        <v>0</v>
      </c>
      <c r="AV329" s="25">
        <f t="shared" ref="AV329:AV392" ca="1" si="378">AR329-AS329-AT329-AU329</f>
        <v>0</v>
      </c>
      <c r="AW329" s="23">
        <f t="array" aca="1" ref="AW329" ca="1">SUM(IF(rcs_start_date&lt;=AO329,1,0)*IF(rcs_end_date&gt;=AO329,1,0)*rcs_amount*(1+rcs_escalation/100)^(INT((AP329-rcs_months_since_start)/12))*IF(MOD((AP329-rcs_months_since_start),rcs_frequency)=0,1,0)*IF(rcs_frequency=13,0,1))+SUM(IF(rcs_start_date=AO329,rcs_amount,0)*IF(rcs_frequency=13,1,0))</f>
        <v>0</v>
      </c>
      <c r="AX329" s="24">
        <f t="shared" ref="AX329:AX392" ca="1" si="379">AW329*$D$34/100</f>
        <v>0</v>
      </c>
      <c r="AY329" s="24">
        <f t="shared" ref="AY329:AY392" ca="1" si="380">AW329*$D$33/100</f>
        <v>0</v>
      </c>
      <c r="AZ329" s="24">
        <f t="shared" ref="AZ329:AZ392" ca="1" si="381">AW329*$D$35/100</f>
        <v>0</v>
      </c>
      <c r="BA329" s="25">
        <f t="shared" ref="BA329:BA392" ca="1" si="382">AW329-AX329-AY329-AZ329</f>
        <v>0</v>
      </c>
      <c r="BB329" s="23">
        <f t="array" aca="1" ref="BB329" ca="1">SUM(IF(w_start_date&lt;=AO329,1,0)*IF(w_end_date&gt;=AO329,1,0)*w_amount*(1+w_escalation/100)^(INT((AP329-w_months_since_start)/12))*IF(MOD(AP329-w_months_since_start,w_frequency)=0,1,0)*IF(w_frequency=13,0,1))+SUM(IF(w_start_date=AO329,w_amount,0)*IF(w_frequency=13,1,0))</f>
        <v>0</v>
      </c>
      <c r="BC329" s="25">
        <f t="shared" ref="BC329:BC392" ca="1" si="383">IF(BB329&gt;AQ329+AV329+BA329,AQ329+AV329+BA329,BB329)</f>
        <v>0</v>
      </c>
      <c r="BD329" s="24" t="b">
        <f t="shared" ref="BD329:BD392" ca="1" si="384">AND($DV$11&lt;=AO329,$DV$11&lt;&gt;0)</f>
        <v>1</v>
      </c>
      <c r="BE329" s="24" t="b">
        <f t="shared" ref="BE329:BE392" ca="1" si="385">$DW$11&lt;&gt;""</f>
        <v>1</v>
      </c>
      <c r="BF329" s="23">
        <f t="array" aca="1" ref="BF329" ca="1">SUM(IF(BD329,1,0)*IF(ap_start_date&lt;=AO329,1,0)*IF(ap_end_date&gt;=AO329,1,0)*ap_amount*(1+ap_escalation/100)^(INT((AP329-ap_months_since_start)/12))*IF(MOD(AP329-ap_months_since_start,ap_frequency)=0,1,0))</f>
        <v>63033.022692742088</v>
      </c>
      <c r="BG329" s="24">
        <f t="shared" ref="BG329:BG392" ca="1" si="386">IF(MOD(YEAR(AO329)*12+MONTH(AO329)-YEAR(Earliest_annuity_payment)*12-MONTH(Earliest_annuity_payment),12)=0,SUM(BF329:BF340),BG328)</f>
        <v>756396.27231290482</v>
      </c>
      <c r="BH329" s="24">
        <f t="shared" ref="BH329:BH392" ca="1" si="387">IF(AO329&gt;=Earliest_annuity_payment,IF(MOD(YEAR(AO329)*12+MONTH(AO329)-YEAR(Earliest_annuity_payment)*12-MONTH(Earliest_annuity_payment),12)=0,(AQ329+AV329+BA329-BC329)*Annuity_min,BH328),0)</f>
        <v>16131.17635660393</v>
      </c>
      <c r="BI329">
        <f t="shared" ref="BI329:BI392" ca="1" si="388">IF(AND(BH329&gt;BG329,BD329),1,0)</f>
        <v>0</v>
      </c>
      <c r="BJ329" s="24">
        <f t="shared" ref="BJ329:BJ392" ca="1" si="389">IF(AO329&gt;=Earliest_annuity_payment,IF(MOD(YEAR(AO329)*12+MONTH(AO329)-YEAR(Earliest_annuity_payment)*12-MONTH(Earliest_annuity_payment),12)=0,(AQ329+AV329+BA329-BC329)*Annuity_cap,BJ328),0)</f>
        <v>112918.23449622751</v>
      </c>
      <c r="BK329">
        <f t="shared" ref="BK329:BK392" ca="1" si="390">IF(BJ329&lt;BG329,1,0)</f>
        <v>1</v>
      </c>
      <c r="BL329" s="25">
        <f t="shared" ref="BL329:BL392" ca="1" si="391">IF(BJ329&lt;BG329,BF329/BG329*BJ329,IF(AND(BH329&gt;BG329,BG329&lt;&gt;0),BF329/BG329*BH329,BF329))</f>
        <v>9409.8528746856282</v>
      </c>
      <c r="BM329" s="32">
        <f t="shared" ca="1" si="370"/>
        <v>590192.72058431059</v>
      </c>
      <c r="BN329" s="23">
        <f t="shared" ref="BN329:BN392" ca="1" si="392">BM329*$E$34/1200</f>
        <v>0</v>
      </c>
      <c r="BO329" s="24">
        <f t="shared" ref="BO329:BO392" ca="1" si="393">BM329*$E$33/1200</f>
        <v>0</v>
      </c>
      <c r="BP329" s="25">
        <f t="shared" ref="BP329:BP392" ca="1" si="394">BM329*$E$35/1200</f>
        <v>0</v>
      </c>
      <c r="BQ329" s="34">
        <f t="shared" ref="BQ329:BQ392" ca="1" si="395">EOMONTH(AO329,0)</f>
        <v>55426</v>
      </c>
      <c r="BR329" s="23">
        <f t="shared" ref="BR329:BR392" ca="1" si="396">BM329-BN329-BO329-BP329</f>
        <v>590192.72058431059</v>
      </c>
      <c r="BS329" s="24">
        <f t="shared" ref="BS329:BS392" ca="1" si="397">AV329+BA329</f>
        <v>0</v>
      </c>
      <c r="BT329" s="24">
        <f t="shared" ca="1" si="362"/>
        <v>0</v>
      </c>
      <c r="BU329" s="24">
        <f t="shared" ref="BU329:BU392" ca="1" si="398">-BC329</f>
        <v>0</v>
      </c>
      <c r="BV329" s="24">
        <f t="shared" ca="1" si="363"/>
        <v>0</v>
      </c>
      <c r="BW329" s="24">
        <f t="shared" ref="BW329:BW392" ca="1" si="399">-BL329</f>
        <v>-9409.8528746856282</v>
      </c>
      <c r="BX329" s="25">
        <f t="shared" ca="1" si="364"/>
        <v>-113887.87585849706</v>
      </c>
      <c r="BY329" s="23">
        <f t="shared" ca="1" si="371"/>
        <v>206031.0033177812</v>
      </c>
      <c r="BZ329" s="24">
        <f t="shared" ca="1" si="372"/>
        <v>0</v>
      </c>
      <c r="CA329" s="24">
        <f t="shared" ca="1" si="365"/>
        <v>0</v>
      </c>
      <c r="CB329" s="24">
        <f t="shared" ca="1" si="373"/>
        <v>0</v>
      </c>
      <c r="CC329" s="24">
        <f t="shared" ca="1" si="366"/>
        <v>0</v>
      </c>
      <c r="CD329" s="24">
        <f t="shared" ca="1" si="374"/>
        <v>-3295.649421746024</v>
      </c>
      <c r="CE329" s="25">
        <f t="shared" ca="1" si="367"/>
        <v>-40619.734520102778</v>
      </c>
      <c r="CF329" s="23">
        <f t="shared" ca="1" si="368"/>
        <v>753971.9252862609</v>
      </c>
      <c r="CG329" s="25">
        <f t="array" aca="1" ref="CG329" ca="1">SUM(BF318:BF329/(1+inflation/100)^(AP318:AP329/12))</f>
        <v>267980.53702225373</v>
      </c>
      <c r="CH329" s="32">
        <f ca="1">IFERROR(IF(MOD(AP329-ap_months_since_start,12)=0,ap_drawdown/100*(AQ329+AV329+BA329-BC329),CH328),0)</f>
        <v>99170.679293695081</v>
      </c>
    </row>
    <row r="330" spans="40:86" x14ac:dyDescent="0.25">
      <c r="AN330" s="32">
        <f t="shared" ca="1" si="369"/>
        <v>81.75</v>
      </c>
      <c r="AO330" s="53">
        <f t="shared" ref="AO330:AO393" ca="1" si="400">DATE(YEAR(AO329),MONTH(AO329)+1,1)</f>
        <v>55427</v>
      </c>
      <c r="AP330" s="22">
        <v>323</v>
      </c>
      <c r="AQ330" s="32">
        <f t="shared" ref="AQ330:AQ393" ca="1" si="401">IF(BR329&lt;0,0,BR329)</f>
        <v>590192.72058431059</v>
      </c>
      <c r="AR330" s="23">
        <f t="array" aca="1" ref="AR330" ca="1">SUM(IF(lsc_start_date=AO330,lsc_amount,0))</f>
        <v>0</v>
      </c>
      <c r="AS330" s="24">
        <f t="shared" ca="1" si="375"/>
        <v>0</v>
      </c>
      <c r="AT330" s="24">
        <f t="shared" ca="1" si="376"/>
        <v>0</v>
      </c>
      <c r="AU330" s="24">
        <f t="shared" ca="1" si="377"/>
        <v>0</v>
      </c>
      <c r="AV330" s="25">
        <f t="shared" ca="1" si="378"/>
        <v>0</v>
      </c>
      <c r="AW330" s="23">
        <f t="array" aca="1" ref="AW330" ca="1">SUM(IF(rcs_start_date&lt;=AO330,1,0)*IF(rcs_end_date&gt;=AO330,1,0)*rcs_amount*(1+rcs_escalation/100)^(INT((AP330-rcs_months_since_start)/12))*IF(MOD((AP330-rcs_months_since_start),rcs_frequency)=0,1,0)*IF(rcs_frequency=13,0,1))+SUM(IF(rcs_start_date=AO330,rcs_amount,0)*IF(rcs_frequency=13,1,0))</f>
        <v>0</v>
      </c>
      <c r="AX330" s="24">
        <f t="shared" ca="1" si="379"/>
        <v>0</v>
      </c>
      <c r="AY330" s="24">
        <f t="shared" ca="1" si="380"/>
        <v>0</v>
      </c>
      <c r="AZ330" s="24">
        <f t="shared" ca="1" si="381"/>
        <v>0</v>
      </c>
      <c r="BA330" s="25">
        <f t="shared" ca="1" si="382"/>
        <v>0</v>
      </c>
      <c r="BB330" s="23">
        <f t="array" aca="1" ref="BB330" ca="1">SUM(IF(w_start_date&lt;=AO330,1,0)*IF(w_end_date&gt;=AO330,1,0)*w_amount*(1+w_escalation/100)^(INT((AP330-w_months_since_start)/12))*IF(MOD(AP330-w_months_since_start,w_frequency)=0,1,0)*IF(w_frequency=13,0,1))+SUM(IF(w_start_date=AO330,w_amount,0)*IF(w_frequency=13,1,0))</f>
        <v>0</v>
      </c>
      <c r="BC330" s="25">
        <f t="shared" ca="1" si="383"/>
        <v>0</v>
      </c>
      <c r="BD330" s="24" t="b">
        <f t="shared" ca="1" si="384"/>
        <v>1</v>
      </c>
      <c r="BE330" s="24" t="b">
        <f t="shared" ca="1" si="385"/>
        <v>1</v>
      </c>
      <c r="BF330" s="23">
        <f t="array" aca="1" ref="BF330" ca="1">SUM(IF(BD330,1,0)*IF(ap_start_date&lt;=AO330,1,0)*IF(ap_end_date&gt;=AO330,1,0)*ap_amount*(1+ap_escalation/100)^(INT((AP330-ap_months_since_start)/12))*IF(MOD(AP330-ap_months_since_start,ap_frequency)=0,1,0))</f>
        <v>63033.022692742088</v>
      </c>
      <c r="BG330" s="24">
        <f t="shared" ca="1" si="386"/>
        <v>756396.27231290482</v>
      </c>
      <c r="BH330" s="24">
        <f t="shared" ca="1" si="387"/>
        <v>16131.17635660393</v>
      </c>
      <c r="BI330">
        <f t="shared" ca="1" si="388"/>
        <v>0</v>
      </c>
      <c r="BJ330" s="24">
        <f t="shared" ca="1" si="389"/>
        <v>112918.23449622751</v>
      </c>
      <c r="BK330">
        <f t="shared" ca="1" si="390"/>
        <v>1</v>
      </c>
      <c r="BL330" s="25">
        <f t="shared" ca="1" si="391"/>
        <v>9409.8528746856282</v>
      </c>
      <c r="BM330" s="32">
        <f t="shared" ca="1" si="370"/>
        <v>584968.75761368126</v>
      </c>
      <c r="BN330" s="23">
        <f t="shared" ca="1" si="392"/>
        <v>0</v>
      </c>
      <c r="BO330" s="24">
        <f t="shared" ca="1" si="393"/>
        <v>0</v>
      </c>
      <c r="BP330" s="25">
        <f t="shared" ca="1" si="394"/>
        <v>0</v>
      </c>
      <c r="BQ330" s="34">
        <f t="shared" ca="1" si="395"/>
        <v>55457</v>
      </c>
      <c r="BR330" s="23">
        <f t="shared" ca="1" si="396"/>
        <v>584968.75761368126</v>
      </c>
      <c r="BS330" s="24">
        <f t="shared" ca="1" si="397"/>
        <v>0</v>
      </c>
      <c r="BT330" s="24">
        <f t="shared" ca="1" si="362"/>
        <v>0</v>
      </c>
      <c r="BU330" s="24">
        <f t="shared" ca="1" si="398"/>
        <v>0</v>
      </c>
      <c r="BV330" s="24">
        <f t="shared" ca="1" si="363"/>
        <v>0</v>
      </c>
      <c r="BW330" s="24">
        <f t="shared" ca="1" si="399"/>
        <v>-9409.8528746856282</v>
      </c>
      <c r="BX330" s="25">
        <f t="shared" ca="1" si="364"/>
        <v>-112918.23449622757</v>
      </c>
      <c r="BY330" s="23">
        <f t="shared" ca="1" si="371"/>
        <v>203541.02419092914</v>
      </c>
      <c r="BZ330" s="24">
        <f t="shared" ca="1" si="372"/>
        <v>0</v>
      </c>
      <c r="CA330" s="24">
        <f t="shared" ca="1" si="365"/>
        <v>0</v>
      </c>
      <c r="CB330" s="24">
        <f t="shared" ca="1" si="373"/>
        <v>0</v>
      </c>
      <c r="CC330" s="24">
        <f t="shared" ca="1" si="366"/>
        <v>0</v>
      </c>
      <c r="CD330" s="24">
        <f t="shared" ca="1" si="374"/>
        <v>-3284.8955285737657</v>
      </c>
      <c r="CE330" s="25">
        <f t="shared" ca="1" si="367"/>
        <v>-40136.30584123468</v>
      </c>
      <c r="CF330" s="23">
        <f t="shared" ca="1" si="368"/>
        <v>756396.27231290482</v>
      </c>
      <c r="CG330" s="25">
        <f t="array" aca="1" ref="CG330" ca="1">SUM(BF319:BF330/(1+inflation/100)^(AP319:AP330/12))</f>
        <v>267980.53702225373</v>
      </c>
      <c r="CH330" s="32">
        <f ca="1">IFERROR(IF(MOD(AP330-ap_months_since_start,12)=0,ap_drawdown/100*(AQ330+AV330+BA330-BC330),CH329),0)</f>
        <v>99170.679293695081</v>
      </c>
    </row>
    <row r="331" spans="40:86" x14ac:dyDescent="0.25">
      <c r="AN331" s="32">
        <f t="shared" ca="1" si="369"/>
        <v>81.833333333333329</v>
      </c>
      <c r="AO331" s="53">
        <f t="shared" ca="1" si="400"/>
        <v>55458</v>
      </c>
      <c r="AP331" s="22">
        <v>324</v>
      </c>
      <c r="AQ331" s="32">
        <f t="shared" ca="1" si="401"/>
        <v>584968.75761368126</v>
      </c>
      <c r="AR331" s="23">
        <f t="array" aca="1" ref="AR331" ca="1">SUM(IF(lsc_start_date=AO331,lsc_amount,0))</f>
        <v>0</v>
      </c>
      <c r="AS331" s="24">
        <f t="shared" ca="1" si="375"/>
        <v>0</v>
      </c>
      <c r="AT331" s="24">
        <f t="shared" ca="1" si="376"/>
        <v>0</v>
      </c>
      <c r="AU331" s="24">
        <f t="shared" ca="1" si="377"/>
        <v>0</v>
      </c>
      <c r="AV331" s="25">
        <f t="shared" ca="1" si="378"/>
        <v>0</v>
      </c>
      <c r="AW331" s="23">
        <f t="array" aca="1" ref="AW331" ca="1">SUM(IF(rcs_start_date&lt;=AO331,1,0)*IF(rcs_end_date&gt;=AO331,1,0)*rcs_amount*(1+rcs_escalation/100)^(INT((AP331-rcs_months_since_start)/12))*IF(MOD((AP331-rcs_months_since_start),rcs_frequency)=0,1,0)*IF(rcs_frequency=13,0,1))+SUM(IF(rcs_start_date=AO331,rcs_amount,0)*IF(rcs_frequency=13,1,0))</f>
        <v>0</v>
      </c>
      <c r="AX331" s="24">
        <f t="shared" ca="1" si="379"/>
        <v>0</v>
      </c>
      <c r="AY331" s="24">
        <f t="shared" ca="1" si="380"/>
        <v>0</v>
      </c>
      <c r="AZ331" s="24">
        <f t="shared" ca="1" si="381"/>
        <v>0</v>
      </c>
      <c r="BA331" s="25">
        <f t="shared" ca="1" si="382"/>
        <v>0</v>
      </c>
      <c r="BB331" s="23">
        <f t="array" aca="1" ref="BB331" ca="1">SUM(IF(w_start_date&lt;=AO331,1,0)*IF(w_end_date&gt;=AO331,1,0)*w_amount*(1+w_escalation/100)^(INT((AP331-w_months_since_start)/12))*IF(MOD(AP331-w_months_since_start,w_frequency)=0,1,0)*IF(w_frequency=13,0,1))+SUM(IF(w_start_date=AO331,w_amount,0)*IF(w_frequency=13,1,0))</f>
        <v>0</v>
      </c>
      <c r="BC331" s="25">
        <f t="shared" ca="1" si="383"/>
        <v>0</v>
      </c>
      <c r="BD331" s="24" t="b">
        <f t="shared" ca="1" si="384"/>
        <v>1</v>
      </c>
      <c r="BE331" s="24" t="b">
        <f t="shared" ca="1" si="385"/>
        <v>1</v>
      </c>
      <c r="BF331" s="23">
        <f t="array" aca="1" ref="BF331" ca="1">SUM(IF(BD331,1,0)*IF(ap_start_date&lt;=AO331,1,0)*IF(ap_end_date&gt;=AO331,1,0)*ap_amount*(1+ap_escalation/100)^(INT((AP331-ap_months_since_start)/12))*IF(MOD(AP331-ap_months_since_start,ap_frequency)=0,1,0))</f>
        <v>65554.343600451786</v>
      </c>
      <c r="BG331" s="24">
        <f t="shared" ca="1" si="386"/>
        <v>786652.12320542161</v>
      </c>
      <c r="BH331" s="24">
        <f t="shared" ca="1" si="387"/>
        <v>14624.218940342033</v>
      </c>
      <c r="BI331">
        <f t="shared" ca="1" si="388"/>
        <v>0</v>
      </c>
      <c r="BJ331" s="24">
        <f t="shared" ca="1" si="389"/>
        <v>102369.53258239421</v>
      </c>
      <c r="BK331">
        <f t="shared" ca="1" si="390"/>
        <v>1</v>
      </c>
      <c r="BL331" s="25">
        <f t="shared" ca="1" si="391"/>
        <v>8530.7943818661824</v>
      </c>
      <c r="BM331" s="32">
        <f t="shared" ca="1" si="370"/>
        <v>580592.5380045221</v>
      </c>
      <c r="BN331" s="23">
        <f t="shared" ca="1" si="392"/>
        <v>0</v>
      </c>
      <c r="BO331" s="24">
        <f t="shared" ca="1" si="393"/>
        <v>0</v>
      </c>
      <c r="BP331" s="25">
        <f t="shared" ca="1" si="394"/>
        <v>0</v>
      </c>
      <c r="BQ331" s="34">
        <f t="shared" ca="1" si="395"/>
        <v>55487</v>
      </c>
      <c r="BR331" s="23">
        <f t="shared" ca="1" si="396"/>
        <v>580592.5380045221</v>
      </c>
      <c r="BS331" s="24">
        <f t="shared" ca="1" si="397"/>
        <v>0</v>
      </c>
      <c r="BT331" s="24">
        <f t="shared" ca="1" si="362"/>
        <v>0</v>
      </c>
      <c r="BU331" s="24">
        <f t="shared" ca="1" si="398"/>
        <v>0</v>
      </c>
      <c r="BV331" s="24">
        <f t="shared" ca="1" si="363"/>
        <v>0</v>
      </c>
      <c r="BW331" s="24">
        <f t="shared" ca="1" si="399"/>
        <v>-8530.7943818661824</v>
      </c>
      <c r="BX331" s="25">
        <f t="shared" ca="1" si="364"/>
        <v>-112039.17600340812</v>
      </c>
      <c r="BY331" s="23">
        <f t="shared" ca="1" si="371"/>
        <v>201359.1126745278</v>
      </c>
      <c r="BZ331" s="24">
        <f t="shared" ca="1" si="372"/>
        <v>0</v>
      </c>
      <c r="CA331" s="24">
        <f t="shared" ca="1" si="365"/>
        <v>0</v>
      </c>
      <c r="CB331" s="24">
        <f t="shared" ca="1" si="373"/>
        <v>0</v>
      </c>
      <c r="CC331" s="24">
        <f t="shared" ca="1" si="366"/>
        <v>0</v>
      </c>
      <c r="CD331" s="24">
        <f t="shared" ca="1" si="374"/>
        <v>-2968.3066027843824</v>
      </c>
      <c r="CE331" s="25">
        <f t="shared" ca="1" si="367"/>
        <v>-39699.46864900818</v>
      </c>
      <c r="CF331" s="23">
        <f t="shared" ca="1" si="368"/>
        <v>758917.5932206146</v>
      </c>
      <c r="CG331" s="25">
        <f t="array" aca="1" ref="CG331" ca="1">SUM(BF320:BF331/(1+inflation/100)^(AP320:AP331/12))</f>
        <v>267980.53702225379</v>
      </c>
      <c r="CH331" s="32">
        <f ca="1">IFERROR(IF(MOD(AP331-ap_months_since_start,12)=0,ap_drawdown/100*(AQ331+AV331+BA331-BC331),CH330),0)</f>
        <v>89906.259431582395</v>
      </c>
    </row>
    <row r="332" spans="40:86" x14ac:dyDescent="0.25">
      <c r="AN332" s="32">
        <f t="shared" ca="1" si="369"/>
        <v>81.916666666666671</v>
      </c>
      <c r="AO332" s="53">
        <f t="shared" ca="1" si="400"/>
        <v>55488</v>
      </c>
      <c r="AP332" s="22">
        <v>325</v>
      </c>
      <c r="AQ332" s="32">
        <f t="shared" ca="1" si="401"/>
        <v>580592.5380045221</v>
      </c>
      <c r="AR332" s="23">
        <f t="array" aca="1" ref="AR332" ca="1">SUM(IF(lsc_start_date=AO332,lsc_amount,0))</f>
        <v>0</v>
      </c>
      <c r="AS332" s="24">
        <f t="shared" ca="1" si="375"/>
        <v>0</v>
      </c>
      <c r="AT332" s="24">
        <f t="shared" ca="1" si="376"/>
        <v>0</v>
      </c>
      <c r="AU332" s="24">
        <f t="shared" ca="1" si="377"/>
        <v>0</v>
      </c>
      <c r="AV332" s="25">
        <f t="shared" ca="1" si="378"/>
        <v>0</v>
      </c>
      <c r="AW332" s="23">
        <f t="array" aca="1" ref="AW332" ca="1">SUM(IF(rcs_start_date&lt;=AO332,1,0)*IF(rcs_end_date&gt;=AO332,1,0)*rcs_amount*(1+rcs_escalation/100)^(INT((AP332-rcs_months_since_start)/12))*IF(MOD((AP332-rcs_months_since_start),rcs_frequency)=0,1,0)*IF(rcs_frequency=13,0,1))+SUM(IF(rcs_start_date=AO332,rcs_amount,0)*IF(rcs_frequency=13,1,0))</f>
        <v>0</v>
      </c>
      <c r="AX332" s="24">
        <f t="shared" ca="1" si="379"/>
        <v>0</v>
      </c>
      <c r="AY332" s="24">
        <f t="shared" ca="1" si="380"/>
        <v>0</v>
      </c>
      <c r="AZ332" s="24">
        <f t="shared" ca="1" si="381"/>
        <v>0</v>
      </c>
      <c r="BA332" s="25">
        <f t="shared" ca="1" si="382"/>
        <v>0</v>
      </c>
      <c r="BB332" s="23">
        <f t="array" aca="1" ref="BB332" ca="1">SUM(IF(w_start_date&lt;=AO332,1,0)*IF(w_end_date&gt;=AO332,1,0)*w_amount*(1+w_escalation/100)^(INT((AP332-w_months_since_start)/12))*IF(MOD(AP332-w_months_since_start,w_frequency)=0,1,0)*IF(w_frequency=13,0,1))+SUM(IF(w_start_date=AO332,w_amount,0)*IF(w_frequency=13,1,0))</f>
        <v>0</v>
      </c>
      <c r="BC332" s="25">
        <f t="shared" ca="1" si="383"/>
        <v>0</v>
      </c>
      <c r="BD332" s="24" t="b">
        <f t="shared" ca="1" si="384"/>
        <v>1</v>
      </c>
      <c r="BE332" s="24" t="b">
        <f t="shared" ca="1" si="385"/>
        <v>1</v>
      </c>
      <c r="BF332" s="23">
        <f t="array" aca="1" ref="BF332" ca="1">SUM(IF(BD332,1,0)*IF(ap_start_date&lt;=AO332,1,0)*IF(ap_end_date&gt;=AO332,1,0)*ap_amount*(1+ap_escalation/100)^(INT((AP332-ap_months_since_start)/12))*IF(MOD(AP332-ap_months_since_start,ap_frequency)=0,1,0))</f>
        <v>65554.343600451786</v>
      </c>
      <c r="BG332" s="24">
        <f t="shared" ca="1" si="386"/>
        <v>786652.12320542161</v>
      </c>
      <c r="BH332" s="24">
        <f t="shared" ca="1" si="387"/>
        <v>14624.218940342033</v>
      </c>
      <c r="BI332">
        <f t="shared" ca="1" si="388"/>
        <v>0</v>
      </c>
      <c r="BJ332" s="24">
        <f t="shared" ca="1" si="389"/>
        <v>102369.53258239421</v>
      </c>
      <c r="BK332">
        <f t="shared" ca="1" si="390"/>
        <v>1</v>
      </c>
      <c r="BL332" s="25">
        <f t="shared" ca="1" si="391"/>
        <v>8530.7943818661824</v>
      </c>
      <c r="BM332" s="32">
        <f t="shared" ca="1" si="370"/>
        <v>576184.77756573725</v>
      </c>
      <c r="BN332" s="23">
        <f t="shared" ca="1" si="392"/>
        <v>0</v>
      </c>
      <c r="BO332" s="24">
        <f t="shared" ca="1" si="393"/>
        <v>0</v>
      </c>
      <c r="BP332" s="25">
        <f t="shared" ca="1" si="394"/>
        <v>0</v>
      </c>
      <c r="BQ332" s="34">
        <f t="shared" ca="1" si="395"/>
        <v>55518</v>
      </c>
      <c r="BR332" s="23">
        <f t="shared" ca="1" si="396"/>
        <v>576184.77756573725</v>
      </c>
      <c r="BS332" s="24">
        <f t="shared" ca="1" si="397"/>
        <v>0</v>
      </c>
      <c r="BT332" s="24">
        <f t="shared" ca="1" si="362"/>
        <v>0</v>
      </c>
      <c r="BU332" s="24">
        <f t="shared" ca="1" si="398"/>
        <v>0</v>
      </c>
      <c r="BV332" s="24">
        <f t="shared" ca="1" si="363"/>
        <v>0</v>
      </c>
      <c r="BW332" s="24">
        <f t="shared" ca="1" si="399"/>
        <v>-8530.7943818661824</v>
      </c>
      <c r="BX332" s="25">
        <f t="shared" ca="1" si="364"/>
        <v>-111160.11751058868</v>
      </c>
      <c r="BY332" s="23">
        <f t="shared" ca="1" si="371"/>
        <v>199178.37016303203</v>
      </c>
      <c r="BZ332" s="24">
        <f t="shared" ca="1" si="372"/>
        <v>0</v>
      </c>
      <c r="CA332" s="24">
        <f t="shared" ca="1" si="365"/>
        <v>0</v>
      </c>
      <c r="CB332" s="24">
        <f t="shared" ca="1" si="373"/>
        <v>0</v>
      </c>
      <c r="CC332" s="24">
        <f t="shared" ca="1" si="366"/>
        <v>0</v>
      </c>
      <c r="CD332" s="24">
        <f t="shared" ca="1" si="374"/>
        <v>-2958.6208480137961</v>
      </c>
      <c r="CE332" s="25">
        <f t="shared" ca="1" si="367"/>
        <v>-39264.056881606259</v>
      </c>
      <c r="CF332" s="23">
        <f t="shared" ca="1" si="368"/>
        <v>761438.91412832437</v>
      </c>
      <c r="CG332" s="25">
        <f t="array" aca="1" ref="CG332" ca="1">SUM(BF321:BF332/(1+inflation/100)^(AP321:AP332/12))</f>
        <v>267980.53702225373</v>
      </c>
      <c r="CH332" s="32">
        <f ca="1">IFERROR(IF(MOD(AP332-ap_months_since_start,12)=0,ap_drawdown/100*(AQ332+AV332+BA332-BC332),CH331),0)</f>
        <v>89906.259431582395</v>
      </c>
    </row>
    <row r="333" spans="40:86" x14ac:dyDescent="0.25">
      <c r="AN333" s="32">
        <f t="shared" ca="1" si="369"/>
        <v>82</v>
      </c>
      <c r="AO333" s="53">
        <f t="shared" ca="1" si="400"/>
        <v>55519</v>
      </c>
      <c r="AP333" s="22">
        <v>326</v>
      </c>
      <c r="AQ333" s="32">
        <f t="shared" ca="1" si="401"/>
        <v>576184.77756573725</v>
      </c>
      <c r="AR333" s="23">
        <f t="array" aca="1" ref="AR333" ca="1">SUM(IF(lsc_start_date=AO333,lsc_amount,0))</f>
        <v>0</v>
      </c>
      <c r="AS333" s="24">
        <f t="shared" ca="1" si="375"/>
        <v>0</v>
      </c>
      <c r="AT333" s="24">
        <f t="shared" ca="1" si="376"/>
        <v>0</v>
      </c>
      <c r="AU333" s="24">
        <f t="shared" ca="1" si="377"/>
        <v>0</v>
      </c>
      <c r="AV333" s="25">
        <f t="shared" ca="1" si="378"/>
        <v>0</v>
      </c>
      <c r="AW333" s="23">
        <f t="array" aca="1" ref="AW333" ca="1">SUM(IF(rcs_start_date&lt;=AO333,1,0)*IF(rcs_end_date&gt;=AO333,1,0)*rcs_amount*(1+rcs_escalation/100)^(INT((AP333-rcs_months_since_start)/12))*IF(MOD((AP333-rcs_months_since_start),rcs_frequency)=0,1,0)*IF(rcs_frequency=13,0,1))+SUM(IF(rcs_start_date=AO333,rcs_amount,0)*IF(rcs_frequency=13,1,0))</f>
        <v>0</v>
      </c>
      <c r="AX333" s="24">
        <f t="shared" ca="1" si="379"/>
        <v>0</v>
      </c>
      <c r="AY333" s="24">
        <f t="shared" ca="1" si="380"/>
        <v>0</v>
      </c>
      <c r="AZ333" s="24">
        <f t="shared" ca="1" si="381"/>
        <v>0</v>
      </c>
      <c r="BA333" s="25">
        <f t="shared" ca="1" si="382"/>
        <v>0</v>
      </c>
      <c r="BB333" s="23">
        <f t="array" aca="1" ref="BB333" ca="1">SUM(IF(w_start_date&lt;=AO333,1,0)*IF(w_end_date&gt;=AO333,1,0)*w_amount*(1+w_escalation/100)^(INT((AP333-w_months_since_start)/12))*IF(MOD(AP333-w_months_since_start,w_frequency)=0,1,0)*IF(w_frequency=13,0,1))+SUM(IF(w_start_date=AO333,w_amount,0)*IF(w_frequency=13,1,0))</f>
        <v>0</v>
      </c>
      <c r="BC333" s="25">
        <f t="shared" ca="1" si="383"/>
        <v>0</v>
      </c>
      <c r="BD333" s="24" t="b">
        <f t="shared" ca="1" si="384"/>
        <v>1</v>
      </c>
      <c r="BE333" s="24" t="b">
        <f t="shared" ca="1" si="385"/>
        <v>1</v>
      </c>
      <c r="BF333" s="23">
        <f t="array" aca="1" ref="BF333" ca="1">SUM(IF(BD333,1,0)*IF(ap_start_date&lt;=AO333,1,0)*IF(ap_end_date&gt;=AO333,1,0)*ap_amount*(1+ap_escalation/100)^(INT((AP333-ap_months_since_start)/12))*IF(MOD(AP333-ap_months_since_start,ap_frequency)=0,1,0))</f>
        <v>65554.343600451786</v>
      </c>
      <c r="BG333" s="24">
        <f t="shared" ca="1" si="386"/>
        <v>786652.12320542161</v>
      </c>
      <c r="BH333" s="24">
        <f t="shared" ca="1" si="387"/>
        <v>14624.218940342033</v>
      </c>
      <c r="BI333">
        <f t="shared" ca="1" si="388"/>
        <v>0</v>
      </c>
      <c r="BJ333" s="24">
        <f t="shared" ca="1" si="389"/>
        <v>102369.53258239421</v>
      </c>
      <c r="BK333">
        <f t="shared" ca="1" si="390"/>
        <v>1</v>
      </c>
      <c r="BL333" s="25">
        <f t="shared" ca="1" si="391"/>
        <v>8530.7943818661824</v>
      </c>
      <c r="BM333" s="32">
        <f t="shared" ca="1" si="370"/>
        <v>571745.24897237006</v>
      </c>
      <c r="BN333" s="23">
        <f t="shared" ca="1" si="392"/>
        <v>0</v>
      </c>
      <c r="BO333" s="24">
        <f t="shared" ca="1" si="393"/>
        <v>0</v>
      </c>
      <c r="BP333" s="25">
        <f t="shared" ca="1" si="394"/>
        <v>0</v>
      </c>
      <c r="BQ333" s="34">
        <f t="shared" ca="1" si="395"/>
        <v>55549</v>
      </c>
      <c r="BR333" s="23">
        <f t="shared" ca="1" si="396"/>
        <v>571745.24897237006</v>
      </c>
      <c r="BS333" s="24">
        <f t="shared" ca="1" si="397"/>
        <v>0</v>
      </c>
      <c r="BT333" s="24">
        <f t="shared" ca="1" si="362"/>
        <v>0</v>
      </c>
      <c r="BU333" s="24">
        <f t="shared" ca="1" si="398"/>
        <v>0</v>
      </c>
      <c r="BV333" s="24">
        <f t="shared" ca="1" si="363"/>
        <v>0</v>
      </c>
      <c r="BW333" s="24">
        <f t="shared" ca="1" si="399"/>
        <v>-8530.7943818661824</v>
      </c>
      <c r="BX333" s="25">
        <f t="shared" ca="1" si="364"/>
        <v>-110281.05901776924</v>
      </c>
      <c r="BY333" s="23">
        <f t="shared" ca="1" si="371"/>
        <v>196998.76951072586</v>
      </c>
      <c r="BZ333" s="24">
        <f t="shared" ca="1" si="372"/>
        <v>0</v>
      </c>
      <c r="CA333" s="24">
        <f t="shared" ca="1" si="365"/>
        <v>0</v>
      </c>
      <c r="CB333" s="24">
        <f t="shared" ca="1" si="373"/>
        <v>0</v>
      </c>
      <c r="CC333" s="24">
        <f t="shared" ca="1" si="366"/>
        <v>0</v>
      </c>
      <c r="CD333" s="24">
        <f t="shared" ca="1" si="374"/>
        <v>-2948.9666984168107</v>
      </c>
      <c r="CE333" s="25">
        <f t="shared" ca="1" si="367"/>
        <v>-38830.065887785924</v>
      </c>
      <c r="CF333" s="23">
        <f t="shared" ca="1" si="368"/>
        <v>763960.23503603414</v>
      </c>
      <c r="CG333" s="25">
        <f t="array" aca="1" ref="CG333" ca="1">SUM(BF322:BF333/(1+inflation/100)^(AP322:AP333/12))</f>
        <v>267980.53702225379</v>
      </c>
      <c r="CH333" s="32">
        <f ca="1">IFERROR(IF(MOD(AP333-ap_months_since_start,12)=0,ap_drawdown/100*(AQ333+AV333+BA333-BC333),CH332),0)</f>
        <v>89906.259431582395</v>
      </c>
    </row>
    <row r="334" spans="40:86" x14ac:dyDescent="0.25">
      <c r="AN334" s="32">
        <f t="shared" ca="1" si="369"/>
        <v>82.083333333333329</v>
      </c>
      <c r="AO334" s="53">
        <f t="shared" ca="1" si="400"/>
        <v>55550</v>
      </c>
      <c r="AP334" s="22">
        <v>327</v>
      </c>
      <c r="AQ334" s="32">
        <f t="shared" ca="1" si="401"/>
        <v>571745.24897237006</v>
      </c>
      <c r="AR334" s="23">
        <f t="array" aca="1" ref="AR334" ca="1">SUM(IF(lsc_start_date=AO334,lsc_amount,0))</f>
        <v>0</v>
      </c>
      <c r="AS334" s="24">
        <f t="shared" ca="1" si="375"/>
        <v>0</v>
      </c>
      <c r="AT334" s="24">
        <f t="shared" ca="1" si="376"/>
        <v>0</v>
      </c>
      <c r="AU334" s="24">
        <f t="shared" ca="1" si="377"/>
        <v>0</v>
      </c>
      <c r="AV334" s="25">
        <f t="shared" ca="1" si="378"/>
        <v>0</v>
      </c>
      <c r="AW334" s="23">
        <f t="array" aca="1" ref="AW334" ca="1">SUM(IF(rcs_start_date&lt;=AO334,1,0)*IF(rcs_end_date&gt;=AO334,1,0)*rcs_amount*(1+rcs_escalation/100)^(INT((AP334-rcs_months_since_start)/12))*IF(MOD((AP334-rcs_months_since_start),rcs_frequency)=0,1,0)*IF(rcs_frequency=13,0,1))+SUM(IF(rcs_start_date=AO334,rcs_amount,0)*IF(rcs_frequency=13,1,0))</f>
        <v>0</v>
      </c>
      <c r="AX334" s="24">
        <f t="shared" ca="1" si="379"/>
        <v>0</v>
      </c>
      <c r="AY334" s="24">
        <f t="shared" ca="1" si="380"/>
        <v>0</v>
      </c>
      <c r="AZ334" s="24">
        <f t="shared" ca="1" si="381"/>
        <v>0</v>
      </c>
      <c r="BA334" s="25">
        <f t="shared" ca="1" si="382"/>
        <v>0</v>
      </c>
      <c r="BB334" s="23">
        <f t="array" aca="1" ref="BB334" ca="1">SUM(IF(w_start_date&lt;=AO334,1,0)*IF(w_end_date&gt;=AO334,1,0)*w_amount*(1+w_escalation/100)^(INT((AP334-w_months_since_start)/12))*IF(MOD(AP334-w_months_since_start,w_frequency)=0,1,0)*IF(w_frequency=13,0,1))+SUM(IF(w_start_date=AO334,w_amount,0)*IF(w_frequency=13,1,0))</f>
        <v>0</v>
      </c>
      <c r="BC334" s="25">
        <f t="shared" ca="1" si="383"/>
        <v>0</v>
      </c>
      <c r="BD334" s="24" t="b">
        <f t="shared" ca="1" si="384"/>
        <v>1</v>
      </c>
      <c r="BE334" s="24" t="b">
        <f t="shared" ca="1" si="385"/>
        <v>1</v>
      </c>
      <c r="BF334" s="23">
        <f t="array" aca="1" ref="BF334" ca="1">SUM(IF(BD334,1,0)*IF(ap_start_date&lt;=AO334,1,0)*IF(ap_end_date&gt;=AO334,1,0)*ap_amount*(1+ap_escalation/100)^(INT((AP334-ap_months_since_start)/12))*IF(MOD(AP334-ap_months_since_start,ap_frequency)=0,1,0))</f>
        <v>65554.343600451786</v>
      </c>
      <c r="BG334" s="24">
        <f t="shared" ca="1" si="386"/>
        <v>786652.12320542161</v>
      </c>
      <c r="BH334" s="24">
        <f t="shared" ca="1" si="387"/>
        <v>14624.218940342033</v>
      </c>
      <c r="BI334">
        <f t="shared" ca="1" si="388"/>
        <v>0</v>
      </c>
      <c r="BJ334" s="24">
        <f t="shared" ca="1" si="389"/>
        <v>102369.53258239421</v>
      </c>
      <c r="BK334">
        <f t="shared" ca="1" si="390"/>
        <v>1</v>
      </c>
      <c r="BL334" s="25">
        <f t="shared" ca="1" si="391"/>
        <v>8530.7943818661824</v>
      </c>
      <c r="BM334" s="32">
        <f t="shared" ca="1" si="370"/>
        <v>567273.72326105915</v>
      </c>
      <c r="BN334" s="23">
        <f t="shared" ca="1" si="392"/>
        <v>0</v>
      </c>
      <c r="BO334" s="24">
        <f t="shared" ca="1" si="393"/>
        <v>0</v>
      </c>
      <c r="BP334" s="25">
        <f t="shared" ca="1" si="394"/>
        <v>0</v>
      </c>
      <c r="BQ334" s="34">
        <f t="shared" ca="1" si="395"/>
        <v>55578</v>
      </c>
      <c r="BR334" s="23">
        <f t="shared" ca="1" si="396"/>
        <v>567273.72326105915</v>
      </c>
      <c r="BS334" s="24">
        <f t="shared" ca="1" si="397"/>
        <v>0</v>
      </c>
      <c r="BT334" s="24">
        <f t="shared" ca="1" si="362"/>
        <v>0</v>
      </c>
      <c r="BU334" s="24">
        <f t="shared" ca="1" si="398"/>
        <v>0</v>
      </c>
      <c r="BV334" s="24">
        <f t="shared" ca="1" si="363"/>
        <v>0</v>
      </c>
      <c r="BW334" s="24">
        <f t="shared" ca="1" si="399"/>
        <v>-8530.7943818661824</v>
      </c>
      <c r="BX334" s="25">
        <f t="shared" ca="1" si="364"/>
        <v>-109402.00052494979</v>
      </c>
      <c r="BY334" s="23">
        <f t="shared" ca="1" si="371"/>
        <v>194820.28356899577</v>
      </c>
      <c r="BZ334" s="24">
        <f t="shared" ca="1" si="372"/>
        <v>0</v>
      </c>
      <c r="CA334" s="24">
        <f t="shared" ca="1" si="365"/>
        <v>0</v>
      </c>
      <c r="CB334" s="24">
        <f t="shared" ca="1" si="373"/>
        <v>0</v>
      </c>
      <c r="CC334" s="24">
        <f t="shared" ca="1" si="366"/>
        <v>0</v>
      </c>
      <c r="CD334" s="24">
        <f t="shared" ca="1" si="374"/>
        <v>-2939.3440508639278</v>
      </c>
      <c r="CE334" s="25">
        <f t="shared" ca="1" si="367"/>
        <v>-38397.491031481455</v>
      </c>
      <c r="CF334" s="23">
        <f t="shared" ca="1" si="368"/>
        <v>766481.55594374391</v>
      </c>
      <c r="CG334" s="25">
        <f t="array" aca="1" ref="CG334" ca="1">SUM(BF323:BF334/(1+inflation/100)^(AP323:AP334/12))</f>
        <v>267980.53702225373</v>
      </c>
      <c r="CH334" s="32">
        <f ca="1">IFERROR(IF(MOD(AP334-ap_months_since_start,12)=0,ap_drawdown/100*(AQ334+AV334+BA334-BC334),CH333),0)</f>
        <v>89906.259431582395</v>
      </c>
    </row>
    <row r="335" spans="40:86" x14ac:dyDescent="0.25">
      <c r="AN335" s="32">
        <f t="shared" ca="1" si="369"/>
        <v>82.166666666666671</v>
      </c>
      <c r="AO335" s="53">
        <f t="shared" ca="1" si="400"/>
        <v>55579</v>
      </c>
      <c r="AP335" s="22">
        <v>328</v>
      </c>
      <c r="AQ335" s="32">
        <f t="shared" ca="1" si="401"/>
        <v>567273.72326105915</v>
      </c>
      <c r="AR335" s="23">
        <f t="array" aca="1" ref="AR335" ca="1">SUM(IF(lsc_start_date=AO335,lsc_amount,0))</f>
        <v>0</v>
      </c>
      <c r="AS335" s="24">
        <f t="shared" ca="1" si="375"/>
        <v>0</v>
      </c>
      <c r="AT335" s="24">
        <f t="shared" ca="1" si="376"/>
        <v>0</v>
      </c>
      <c r="AU335" s="24">
        <f t="shared" ca="1" si="377"/>
        <v>0</v>
      </c>
      <c r="AV335" s="25">
        <f t="shared" ca="1" si="378"/>
        <v>0</v>
      </c>
      <c r="AW335" s="23">
        <f t="array" aca="1" ref="AW335" ca="1">SUM(IF(rcs_start_date&lt;=AO335,1,0)*IF(rcs_end_date&gt;=AO335,1,0)*rcs_amount*(1+rcs_escalation/100)^(INT((AP335-rcs_months_since_start)/12))*IF(MOD((AP335-rcs_months_since_start),rcs_frequency)=0,1,0)*IF(rcs_frequency=13,0,1))+SUM(IF(rcs_start_date=AO335,rcs_amount,0)*IF(rcs_frequency=13,1,0))</f>
        <v>0</v>
      </c>
      <c r="AX335" s="24">
        <f t="shared" ca="1" si="379"/>
        <v>0</v>
      </c>
      <c r="AY335" s="24">
        <f t="shared" ca="1" si="380"/>
        <v>0</v>
      </c>
      <c r="AZ335" s="24">
        <f t="shared" ca="1" si="381"/>
        <v>0</v>
      </c>
      <c r="BA335" s="25">
        <f t="shared" ca="1" si="382"/>
        <v>0</v>
      </c>
      <c r="BB335" s="23">
        <f t="array" aca="1" ref="BB335" ca="1">SUM(IF(w_start_date&lt;=AO335,1,0)*IF(w_end_date&gt;=AO335,1,0)*w_amount*(1+w_escalation/100)^(INT((AP335-w_months_since_start)/12))*IF(MOD(AP335-w_months_since_start,w_frequency)=0,1,0)*IF(w_frequency=13,0,1))+SUM(IF(w_start_date=AO335,w_amount,0)*IF(w_frequency=13,1,0))</f>
        <v>0</v>
      </c>
      <c r="BC335" s="25">
        <f t="shared" ca="1" si="383"/>
        <v>0</v>
      </c>
      <c r="BD335" s="24" t="b">
        <f t="shared" ca="1" si="384"/>
        <v>1</v>
      </c>
      <c r="BE335" s="24" t="b">
        <f t="shared" ca="1" si="385"/>
        <v>1</v>
      </c>
      <c r="BF335" s="23">
        <f t="array" aca="1" ref="BF335" ca="1">SUM(IF(BD335,1,0)*IF(ap_start_date&lt;=AO335,1,0)*IF(ap_end_date&gt;=AO335,1,0)*ap_amount*(1+ap_escalation/100)^(INT((AP335-ap_months_since_start)/12))*IF(MOD(AP335-ap_months_since_start,ap_frequency)=0,1,0))</f>
        <v>65554.343600451786</v>
      </c>
      <c r="BG335" s="24">
        <f t="shared" ca="1" si="386"/>
        <v>786652.12320542161</v>
      </c>
      <c r="BH335" s="24">
        <f t="shared" ca="1" si="387"/>
        <v>14624.218940342033</v>
      </c>
      <c r="BI335">
        <f t="shared" ca="1" si="388"/>
        <v>0</v>
      </c>
      <c r="BJ335" s="24">
        <f t="shared" ca="1" si="389"/>
        <v>102369.53258239421</v>
      </c>
      <c r="BK335">
        <f t="shared" ca="1" si="390"/>
        <v>1</v>
      </c>
      <c r="BL335" s="25">
        <f t="shared" ca="1" si="391"/>
        <v>8530.7943818661824</v>
      </c>
      <c r="BM335" s="32">
        <f t="shared" ca="1" si="370"/>
        <v>562769.96981823049</v>
      </c>
      <c r="BN335" s="23">
        <f t="shared" ca="1" si="392"/>
        <v>0</v>
      </c>
      <c r="BO335" s="24">
        <f t="shared" ca="1" si="393"/>
        <v>0</v>
      </c>
      <c r="BP335" s="25">
        <f t="shared" ca="1" si="394"/>
        <v>0</v>
      </c>
      <c r="BQ335" s="34">
        <f t="shared" ca="1" si="395"/>
        <v>55609</v>
      </c>
      <c r="BR335" s="23">
        <f t="shared" ca="1" si="396"/>
        <v>562769.96981823049</v>
      </c>
      <c r="BS335" s="24">
        <f t="shared" ca="1" si="397"/>
        <v>0</v>
      </c>
      <c r="BT335" s="24">
        <f t="shared" ca="1" si="362"/>
        <v>0</v>
      </c>
      <c r="BU335" s="24">
        <f t="shared" ca="1" si="398"/>
        <v>0</v>
      </c>
      <c r="BV335" s="24">
        <f t="shared" ca="1" si="363"/>
        <v>0</v>
      </c>
      <c r="BW335" s="24">
        <f t="shared" ca="1" si="399"/>
        <v>-8530.7943818661824</v>
      </c>
      <c r="BX335" s="25">
        <f t="shared" ca="1" si="364"/>
        <v>-108522.94203213035</v>
      </c>
      <c r="BY335" s="23">
        <f t="shared" ca="1" si="371"/>
        <v>192642.88518598143</v>
      </c>
      <c r="BZ335" s="24">
        <f t="shared" ca="1" si="372"/>
        <v>0</v>
      </c>
      <c r="CA335" s="24">
        <f t="shared" ca="1" si="365"/>
        <v>0</v>
      </c>
      <c r="CB335" s="24">
        <f t="shared" ca="1" si="373"/>
        <v>0</v>
      </c>
      <c r="CC335" s="24">
        <f t="shared" ca="1" si="366"/>
        <v>0</v>
      </c>
      <c r="CD335" s="24">
        <f t="shared" ca="1" si="374"/>
        <v>-2929.7528025621714</v>
      </c>
      <c r="CE335" s="25">
        <f t="shared" ca="1" si="367"/>
        <v>-37966.327691754886</v>
      </c>
      <c r="CF335" s="23">
        <f t="shared" ca="1" si="368"/>
        <v>769002.87685145356</v>
      </c>
      <c r="CG335" s="25">
        <f t="array" aca="1" ref="CG335" ca="1">SUM(BF324:BF335/(1+inflation/100)^(AP324:AP335/12))</f>
        <v>267980.53702225379</v>
      </c>
      <c r="CH335" s="32">
        <f ca="1">IFERROR(IF(MOD(AP335-ap_months_since_start,12)=0,ap_drawdown/100*(AQ335+AV335+BA335-BC335),CH334),0)</f>
        <v>89906.259431582395</v>
      </c>
    </row>
    <row r="336" spans="40:86" x14ac:dyDescent="0.25">
      <c r="AN336" s="32">
        <f t="shared" ca="1" si="369"/>
        <v>82.25</v>
      </c>
      <c r="AO336" s="53">
        <f t="shared" ca="1" si="400"/>
        <v>55610</v>
      </c>
      <c r="AP336" s="22">
        <v>329</v>
      </c>
      <c r="AQ336" s="32">
        <f t="shared" ca="1" si="401"/>
        <v>562769.96981823049</v>
      </c>
      <c r="AR336" s="23">
        <f t="array" aca="1" ref="AR336" ca="1">SUM(IF(lsc_start_date=AO336,lsc_amount,0))</f>
        <v>0</v>
      </c>
      <c r="AS336" s="24">
        <f t="shared" ca="1" si="375"/>
        <v>0</v>
      </c>
      <c r="AT336" s="24">
        <f t="shared" ca="1" si="376"/>
        <v>0</v>
      </c>
      <c r="AU336" s="24">
        <f t="shared" ca="1" si="377"/>
        <v>0</v>
      </c>
      <c r="AV336" s="25">
        <f t="shared" ca="1" si="378"/>
        <v>0</v>
      </c>
      <c r="AW336" s="23">
        <f t="array" aca="1" ref="AW336" ca="1">SUM(IF(rcs_start_date&lt;=AO336,1,0)*IF(rcs_end_date&gt;=AO336,1,0)*rcs_amount*(1+rcs_escalation/100)^(INT((AP336-rcs_months_since_start)/12))*IF(MOD((AP336-rcs_months_since_start),rcs_frequency)=0,1,0)*IF(rcs_frequency=13,0,1))+SUM(IF(rcs_start_date=AO336,rcs_amount,0)*IF(rcs_frequency=13,1,0))</f>
        <v>0</v>
      </c>
      <c r="AX336" s="24">
        <f t="shared" ca="1" si="379"/>
        <v>0</v>
      </c>
      <c r="AY336" s="24">
        <f t="shared" ca="1" si="380"/>
        <v>0</v>
      </c>
      <c r="AZ336" s="24">
        <f t="shared" ca="1" si="381"/>
        <v>0</v>
      </c>
      <c r="BA336" s="25">
        <f t="shared" ca="1" si="382"/>
        <v>0</v>
      </c>
      <c r="BB336" s="23">
        <f t="array" aca="1" ref="BB336" ca="1">SUM(IF(w_start_date&lt;=AO336,1,0)*IF(w_end_date&gt;=AO336,1,0)*w_amount*(1+w_escalation/100)^(INT((AP336-w_months_since_start)/12))*IF(MOD(AP336-w_months_since_start,w_frequency)=0,1,0)*IF(w_frequency=13,0,1))+SUM(IF(w_start_date=AO336,w_amount,0)*IF(w_frequency=13,1,0))</f>
        <v>0</v>
      </c>
      <c r="BC336" s="25">
        <f t="shared" ca="1" si="383"/>
        <v>0</v>
      </c>
      <c r="BD336" s="24" t="b">
        <f t="shared" ca="1" si="384"/>
        <v>1</v>
      </c>
      <c r="BE336" s="24" t="b">
        <f t="shared" ca="1" si="385"/>
        <v>1</v>
      </c>
      <c r="BF336" s="23">
        <f t="array" aca="1" ref="BF336" ca="1">SUM(IF(BD336,1,0)*IF(ap_start_date&lt;=AO336,1,0)*IF(ap_end_date&gt;=AO336,1,0)*ap_amount*(1+ap_escalation/100)^(INT((AP336-ap_months_since_start)/12))*IF(MOD(AP336-ap_months_since_start,ap_frequency)=0,1,0))</f>
        <v>65554.343600451786</v>
      </c>
      <c r="BG336" s="24">
        <f t="shared" ca="1" si="386"/>
        <v>786652.12320542161</v>
      </c>
      <c r="BH336" s="24">
        <f t="shared" ca="1" si="387"/>
        <v>14624.218940342033</v>
      </c>
      <c r="BI336">
        <f t="shared" ca="1" si="388"/>
        <v>0</v>
      </c>
      <c r="BJ336" s="24">
        <f t="shared" ca="1" si="389"/>
        <v>102369.53258239421</v>
      </c>
      <c r="BK336">
        <f t="shared" ca="1" si="390"/>
        <v>1</v>
      </c>
      <c r="BL336" s="25">
        <f t="shared" ca="1" si="391"/>
        <v>8530.7943818661824</v>
      </c>
      <c r="BM336" s="32">
        <f t="shared" ca="1" si="370"/>
        <v>558233.75636820321</v>
      </c>
      <c r="BN336" s="23">
        <f t="shared" ca="1" si="392"/>
        <v>0</v>
      </c>
      <c r="BO336" s="24">
        <f t="shared" ca="1" si="393"/>
        <v>0</v>
      </c>
      <c r="BP336" s="25">
        <f t="shared" ca="1" si="394"/>
        <v>0</v>
      </c>
      <c r="BQ336" s="34">
        <f t="shared" ca="1" si="395"/>
        <v>55639</v>
      </c>
      <c r="BR336" s="23">
        <f t="shared" ca="1" si="396"/>
        <v>558233.75636820321</v>
      </c>
      <c r="BS336" s="24">
        <f t="shared" ca="1" si="397"/>
        <v>0</v>
      </c>
      <c r="BT336" s="24">
        <f t="shared" ca="1" si="362"/>
        <v>0</v>
      </c>
      <c r="BU336" s="24">
        <f t="shared" ca="1" si="398"/>
        <v>0</v>
      </c>
      <c r="BV336" s="24">
        <f t="shared" ca="1" si="363"/>
        <v>0</v>
      </c>
      <c r="BW336" s="24">
        <f t="shared" ca="1" si="399"/>
        <v>-8530.7943818661824</v>
      </c>
      <c r="BX336" s="25">
        <f t="shared" ca="1" si="364"/>
        <v>-107643.88353931089</v>
      </c>
      <c r="BY336" s="23">
        <f t="shared" ca="1" si="371"/>
        <v>190466.54720622613</v>
      </c>
      <c r="BZ336" s="24">
        <f t="shared" ca="1" si="372"/>
        <v>0</v>
      </c>
      <c r="CA336" s="24">
        <f t="shared" ca="1" si="365"/>
        <v>0</v>
      </c>
      <c r="CB336" s="24">
        <f t="shared" ca="1" si="373"/>
        <v>0</v>
      </c>
      <c r="CC336" s="24">
        <f t="shared" ca="1" si="366"/>
        <v>0</v>
      </c>
      <c r="CD336" s="24">
        <f t="shared" ca="1" si="374"/>
        <v>-2920.1928510539828</v>
      </c>
      <c r="CE336" s="25">
        <f t="shared" ca="1" si="367"/>
        <v>-37536.571262746598</v>
      </c>
      <c r="CF336" s="23">
        <f t="shared" ca="1" si="368"/>
        <v>771524.19775916333</v>
      </c>
      <c r="CG336" s="25">
        <f t="array" aca="1" ref="CG336" ca="1">SUM(BF325:BF336/(1+inflation/100)^(AP325:AP336/12))</f>
        <v>267980.53702225379</v>
      </c>
      <c r="CH336" s="32">
        <f ca="1">IFERROR(IF(MOD(AP336-ap_months_since_start,12)=0,ap_drawdown/100*(AQ336+AV336+BA336-BC336),CH335),0)</f>
        <v>89906.259431582395</v>
      </c>
    </row>
    <row r="337" spans="40:86" x14ac:dyDescent="0.25">
      <c r="AN337" s="32">
        <f t="shared" ca="1" si="369"/>
        <v>82.333333333333329</v>
      </c>
      <c r="AO337" s="53">
        <f t="shared" ca="1" si="400"/>
        <v>55640</v>
      </c>
      <c r="AP337" s="22">
        <v>330</v>
      </c>
      <c r="AQ337" s="32">
        <f t="shared" ca="1" si="401"/>
        <v>558233.75636820321</v>
      </c>
      <c r="AR337" s="23">
        <f t="array" aca="1" ref="AR337" ca="1">SUM(IF(lsc_start_date=AO337,lsc_amount,0))</f>
        <v>0</v>
      </c>
      <c r="AS337" s="24">
        <f t="shared" ca="1" si="375"/>
        <v>0</v>
      </c>
      <c r="AT337" s="24">
        <f t="shared" ca="1" si="376"/>
        <v>0</v>
      </c>
      <c r="AU337" s="24">
        <f t="shared" ca="1" si="377"/>
        <v>0</v>
      </c>
      <c r="AV337" s="25">
        <f t="shared" ca="1" si="378"/>
        <v>0</v>
      </c>
      <c r="AW337" s="23">
        <f t="array" aca="1" ref="AW337" ca="1">SUM(IF(rcs_start_date&lt;=AO337,1,0)*IF(rcs_end_date&gt;=AO337,1,0)*rcs_amount*(1+rcs_escalation/100)^(INT((AP337-rcs_months_since_start)/12))*IF(MOD((AP337-rcs_months_since_start),rcs_frequency)=0,1,0)*IF(rcs_frequency=13,0,1))+SUM(IF(rcs_start_date=AO337,rcs_amount,0)*IF(rcs_frequency=13,1,0))</f>
        <v>0</v>
      </c>
      <c r="AX337" s="24">
        <f t="shared" ca="1" si="379"/>
        <v>0</v>
      </c>
      <c r="AY337" s="24">
        <f t="shared" ca="1" si="380"/>
        <v>0</v>
      </c>
      <c r="AZ337" s="24">
        <f t="shared" ca="1" si="381"/>
        <v>0</v>
      </c>
      <c r="BA337" s="25">
        <f t="shared" ca="1" si="382"/>
        <v>0</v>
      </c>
      <c r="BB337" s="23">
        <f t="array" aca="1" ref="BB337" ca="1">SUM(IF(w_start_date&lt;=AO337,1,0)*IF(w_end_date&gt;=AO337,1,0)*w_amount*(1+w_escalation/100)^(INT((AP337-w_months_since_start)/12))*IF(MOD(AP337-w_months_since_start,w_frequency)=0,1,0)*IF(w_frequency=13,0,1))+SUM(IF(w_start_date=AO337,w_amount,0)*IF(w_frequency=13,1,0))</f>
        <v>0</v>
      </c>
      <c r="BC337" s="25">
        <f t="shared" ca="1" si="383"/>
        <v>0</v>
      </c>
      <c r="BD337" s="24" t="b">
        <f t="shared" ca="1" si="384"/>
        <v>1</v>
      </c>
      <c r="BE337" s="24" t="b">
        <f t="shared" ca="1" si="385"/>
        <v>1</v>
      </c>
      <c r="BF337" s="23">
        <f t="array" aca="1" ref="BF337" ca="1">SUM(IF(BD337,1,0)*IF(ap_start_date&lt;=AO337,1,0)*IF(ap_end_date&gt;=AO337,1,0)*ap_amount*(1+ap_escalation/100)^(INT((AP337-ap_months_since_start)/12))*IF(MOD(AP337-ap_months_since_start,ap_frequency)=0,1,0))</f>
        <v>65554.343600451786</v>
      </c>
      <c r="BG337" s="24">
        <f t="shared" ca="1" si="386"/>
        <v>786652.12320542161</v>
      </c>
      <c r="BH337" s="24">
        <f t="shared" ca="1" si="387"/>
        <v>14624.218940342033</v>
      </c>
      <c r="BI337">
        <f t="shared" ca="1" si="388"/>
        <v>0</v>
      </c>
      <c r="BJ337" s="24">
        <f t="shared" ca="1" si="389"/>
        <v>102369.53258239421</v>
      </c>
      <c r="BK337">
        <f t="shared" ca="1" si="390"/>
        <v>1</v>
      </c>
      <c r="BL337" s="25">
        <f t="shared" ca="1" si="391"/>
        <v>8530.7943818661824</v>
      </c>
      <c r="BM337" s="32">
        <f t="shared" ca="1" si="370"/>
        <v>553664.84896121046</v>
      </c>
      <c r="BN337" s="23">
        <f t="shared" ca="1" si="392"/>
        <v>0</v>
      </c>
      <c r="BO337" s="24">
        <f t="shared" ca="1" si="393"/>
        <v>0</v>
      </c>
      <c r="BP337" s="25">
        <f t="shared" ca="1" si="394"/>
        <v>0</v>
      </c>
      <c r="BQ337" s="34">
        <f t="shared" ca="1" si="395"/>
        <v>55670</v>
      </c>
      <c r="BR337" s="23">
        <f t="shared" ca="1" si="396"/>
        <v>553664.84896121046</v>
      </c>
      <c r="BS337" s="24">
        <f t="shared" ca="1" si="397"/>
        <v>0</v>
      </c>
      <c r="BT337" s="24">
        <f t="shared" ca="1" si="362"/>
        <v>0</v>
      </c>
      <c r="BU337" s="24">
        <f t="shared" ca="1" si="398"/>
        <v>0</v>
      </c>
      <c r="BV337" s="24">
        <f t="shared" ca="1" si="363"/>
        <v>0</v>
      </c>
      <c r="BW337" s="24">
        <f t="shared" ca="1" si="399"/>
        <v>-8530.7943818661824</v>
      </c>
      <c r="BX337" s="25">
        <f t="shared" ca="1" si="364"/>
        <v>-106764.82504649145</v>
      </c>
      <c r="BY337" s="23">
        <f t="shared" ca="1" si="371"/>
        <v>188291.24247032701</v>
      </c>
      <c r="BZ337" s="24">
        <f t="shared" ca="1" si="372"/>
        <v>0</v>
      </c>
      <c r="CA337" s="24">
        <f t="shared" ca="1" si="365"/>
        <v>0</v>
      </c>
      <c r="CB337" s="24">
        <f t="shared" ca="1" si="373"/>
        <v>0</v>
      </c>
      <c r="CC337" s="24">
        <f t="shared" ca="1" si="366"/>
        <v>0</v>
      </c>
      <c r="CD337" s="24">
        <f t="shared" ca="1" si="374"/>
        <v>-2910.6640942161298</v>
      </c>
      <c r="CE337" s="25">
        <f t="shared" ca="1" si="367"/>
        <v>-37108.217153626225</v>
      </c>
      <c r="CF337" s="23">
        <f t="shared" ca="1" si="368"/>
        <v>774045.51866687299</v>
      </c>
      <c r="CG337" s="25">
        <f t="array" aca="1" ref="CG337" ca="1">SUM(BF326:BF337/(1+inflation/100)^(AP326:AP337/12))</f>
        <v>267980.53702225373</v>
      </c>
      <c r="CH337" s="32">
        <f ca="1">IFERROR(IF(MOD(AP337-ap_months_since_start,12)=0,ap_drawdown/100*(AQ337+AV337+BA337-BC337),CH336),0)</f>
        <v>89906.259431582395</v>
      </c>
    </row>
    <row r="338" spans="40:86" x14ac:dyDescent="0.25">
      <c r="AN338" s="32">
        <f t="shared" ca="1" si="369"/>
        <v>82.416666666666671</v>
      </c>
      <c r="AO338" s="53">
        <f t="shared" ca="1" si="400"/>
        <v>55671</v>
      </c>
      <c r="AP338" s="22">
        <v>331</v>
      </c>
      <c r="AQ338" s="32">
        <f t="shared" ca="1" si="401"/>
        <v>553664.84896121046</v>
      </c>
      <c r="AR338" s="23">
        <f t="array" aca="1" ref="AR338" ca="1">SUM(IF(lsc_start_date=AO338,lsc_amount,0))</f>
        <v>0</v>
      </c>
      <c r="AS338" s="24">
        <f t="shared" ca="1" si="375"/>
        <v>0</v>
      </c>
      <c r="AT338" s="24">
        <f t="shared" ca="1" si="376"/>
        <v>0</v>
      </c>
      <c r="AU338" s="24">
        <f t="shared" ca="1" si="377"/>
        <v>0</v>
      </c>
      <c r="AV338" s="25">
        <f t="shared" ca="1" si="378"/>
        <v>0</v>
      </c>
      <c r="AW338" s="23">
        <f t="array" aca="1" ref="AW338" ca="1">SUM(IF(rcs_start_date&lt;=AO338,1,0)*IF(rcs_end_date&gt;=AO338,1,0)*rcs_amount*(1+rcs_escalation/100)^(INT((AP338-rcs_months_since_start)/12))*IF(MOD((AP338-rcs_months_since_start),rcs_frequency)=0,1,0)*IF(rcs_frequency=13,0,1))+SUM(IF(rcs_start_date=AO338,rcs_amount,0)*IF(rcs_frequency=13,1,0))</f>
        <v>0</v>
      </c>
      <c r="AX338" s="24">
        <f t="shared" ca="1" si="379"/>
        <v>0</v>
      </c>
      <c r="AY338" s="24">
        <f t="shared" ca="1" si="380"/>
        <v>0</v>
      </c>
      <c r="AZ338" s="24">
        <f t="shared" ca="1" si="381"/>
        <v>0</v>
      </c>
      <c r="BA338" s="25">
        <f t="shared" ca="1" si="382"/>
        <v>0</v>
      </c>
      <c r="BB338" s="23">
        <f t="array" aca="1" ref="BB338" ca="1">SUM(IF(w_start_date&lt;=AO338,1,0)*IF(w_end_date&gt;=AO338,1,0)*w_amount*(1+w_escalation/100)^(INT((AP338-w_months_since_start)/12))*IF(MOD(AP338-w_months_since_start,w_frequency)=0,1,0)*IF(w_frequency=13,0,1))+SUM(IF(w_start_date=AO338,w_amount,0)*IF(w_frequency=13,1,0))</f>
        <v>0</v>
      </c>
      <c r="BC338" s="25">
        <f t="shared" ca="1" si="383"/>
        <v>0</v>
      </c>
      <c r="BD338" s="24" t="b">
        <f t="shared" ca="1" si="384"/>
        <v>1</v>
      </c>
      <c r="BE338" s="24" t="b">
        <f t="shared" ca="1" si="385"/>
        <v>1</v>
      </c>
      <c r="BF338" s="23">
        <f t="array" aca="1" ref="BF338" ca="1">SUM(IF(BD338,1,0)*IF(ap_start_date&lt;=AO338,1,0)*IF(ap_end_date&gt;=AO338,1,0)*ap_amount*(1+ap_escalation/100)^(INT((AP338-ap_months_since_start)/12))*IF(MOD(AP338-ap_months_since_start,ap_frequency)=0,1,0))</f>
        <v>65554.343600451786</v>
      </c>
      <c r="BG338" s="24">
        <f t="shared" ca="1" si="386"/>
        <v>786652.12320542161</v>
      </c>
      <c r="BH338" s="24">
        <f t="shared" ca="1" si="387"/>
        <v>14624.218940342033</v>
      </c>
      <c r="BI338">
        <f t="shared" ca="1" si="388"/>
        <v>0</v>
      </c>
      <c r="BJ338" s="24">
        <f t="shared" ca="1" si="389"/>
        <v>102369.53258239421</v>
      </c>
      <c r="BK338">
        <f t="shared" ca="1" si="390"/>
        <v>1</v>
      </c>
      <c r="BL338" s="25">
        <f t="shared" ca="1" si="391"/>
        <v>8530.7943818661824</v>
      </c>
      <c r="BM338" s="32">
        <f t="shared" ca="1" si="370"/>
        <v>549063.01196133404</v>
      </c>
      <c r="BN338" s="23">
        <f t="shared" ca="1" si="392"/>
        <v>0</v>
      </c>
      <c r="BO338" s="24">
        <f t="shared" ca="1" si="393"/>
        <v>0</v>
      </c>
      <c r="BP338" s="25">
        <f t="shared" ca="1" si="394"/>
        <v>0</v>
      </c>
      <c r="BQ338" s="34">
        <f t="shared" ca="1" si="395"/>
        <v>55700</v>
      </c>
      <c r="BR338" s="23">
        <f t="shared" ca="1" si="396"/>
        <v>549063.01196133404</v>
      </c>
      <c r="BS338" s="24">
        <f t="shared" ca="1" si="397"/>
        <v>0</v>
      </c>
      <c r="BT338" s="24">
        <f t="shared" ca="1" si="362"/>
        <v>0</v>
      </c>
      <c r="BU338" s="24">
        <f t="shared" ca="1" si="398"/>
        <v>0</v>
      </c>
      <c r="BV338" s="24">
        <f t="shared" ca="1" si="363"/>
        <v>0</v>
      </c>
      <c r="BW338" s="24">
        <f t="shared" ca="1" si="399"/>
        <v>-8530.7943818661824</v>
      </c>
      <c r="BX338" s="25">
        <f t="shared" ca="1" si="364"/>
        <v>-105885.76655367199</v>
      </c>
      <c r="BY338" s="23">
        <f t="shared" ca="1" si="371"/>
        <v>186116.94381458522</v>
      </c>
      <c r="BZ338" s="24">
        <f t="shared" ca="1" si="372"/>
        <v>0</v>
      </c>
      <c r="CA338" s="24">
        <f t="shared" ca="1" si="365"/>
        <v>0</v>
      </c>
      <c r="CB338" s="24">
        <f t="shared" ca="1" si="373"/>
        <v>0</v>
      </c>
      <c r="CC338" s="24">
        <f t="shared" ca="1" si="366"/>
        <v>0</v>
      </c>
      <c r="CD338" s="24">
        <f t="shared" ca="1" si="374"/>
        <v>-2901.1664302586123</v>
      </c>
      <c r="CE338" s="25">
        <f t="shared" ca="1" si="367"/>
        <v>-36681.260788543477</v>
      </c>
      <c r="CF338" s="23">
        <f t="shared" ca="1" si="368"/>
        <v>776566.83957458276</v>
      </c>
      <c r="CG338" s="25">
        <f t="array" aca="1" ref="CG338" ca="1">SUM(BF327:BF338/(1+inflation/100)^(AP327:AP338/12))</f>
        <v>267980.53702225373</v>
      </c>
      <c r="CH338" s="32">
        <f ca="1">IFERROR(IF(MOD(AP338-ap_months_since_start,12)=0,ap_drawdown/100*(AQ338+AV338+BA338-BC338),CH337),0)</f>
        <v>89906.259431582395</v>
      </c>
    </row>
    <row r="339" spans="40:86" x14ac:dyDescent="0.25">
      <c r="AN339" s="32">
        <f t="shared" ca="1" si="369"/>
        <v>82.5</v>
      </c>
      <c r="AO339" s="53">
        <f t="shared" ca="1" si="400"/>
        <v>55701</v>
      </c>
      <c r="AP339" s="22">
        <v>332</v>
      </c>
      <c r="AQ339" s="32">
        <f t="shared" ca="1" si="401"/>
        <v>549063.01196133404</v>
      </c>
      <c r="AR339" s="23">
        <f t="array" aca="1" ref="AR339" ca="1">SUM(IF(lsc_start_date=AO339,lsc_amount,0))</f>
        <v>0</v>
      </c>
      <c r="AS339" s="24">
        <f t="shared" ca="1" si="375"/>
        <v>0</v>
      </c>
      <c r="AT339" s="24">
        <f t="shared" ca="1" si="376"/>
        <v>0</v>
      </c>
      <c r="AU339" s="24">
        <f t="shared" ca="1" si="377"/>
        <v>0</v>
      </c>
      <c r="AV339" s="25">
        <f t="shared" ca="1" si="378"/>
        <v>0</v>
      </c>
      <c r="AW339" s="23">
        <f t="array" aca="1" ref="AW339" ca="1">SUM(IF(rcs_start_date&lt;=AO339,1,0)*IF(rcs_end_date&gt;=AO339,1,0)*rcs_amount*(1+rcs_escalation/100)^(INT((AP339-rcs_months_since_start)/12))*IF(MOD((AP339-rcs_months_since_start),rcs_frequency)=0,1,0)*IF(rcs_frequency=13,0,1))+SUM(IF(rcs_start_date=AO339,rcs_amount,0)*IF(rcs_frequency=13,1,0))</f>
        <v>0</v>
      </c>
      <c r="AX339" s="24">
        <f t="shared" ca="1" si="379"/>
        <v>0</v>
      </c>
      <c r="AY339" s="24">
        <f t="shared" ca="1" si="380"/>
        <v>0</v>
      </c>
      <c r="AZ339" s="24">
        <f t="shared" ca="1" si="381"/>
        <v>0</v>
      </c>
      <c r="BA339" s="25">
        <f t="shared" ca="1" si="382"/>
        <v>0</v>
      </c>
      <c r="BB339" s="23">
        <f t="array" aca="1" ref="BB339" ca="1">SUM(IF(w_start_date&lt;=AO339,1,0)*IF(w_end_date&gt;=AO339,1,0)*w_amount*(1+w_escalation/100)^(INT((AP339-w_months_since_start)/12))*IF(MOD(AP339-w_months_since_start,w_frequency)=0,1,0)*IF(w_frequency=13,0,1))+SUM(IF(w_start_date=AO339,w_amount,0)*IF(w_frequency=13,1,0))</f>
        <v>0</v>
      </c>
      <c r="BC339" s="25">
        <f t="shared" ca="1" si="383"/>
        <v>0</v>
      </c>
      <c r="BD339" s="24" t="b">
        <f t="shared" ca="1" si="384"/>
        <v>1</v>
      </c>
      <c r="BE339" s="24" t="b">
        <f t="shared" ca="1" si="385"/>
        <v>1</v>
      </c>
      <c r="BF339" s="23">
        <f t="array" aca="1" ref="BF339" ca="1">SUM(IF(BD339,1,0)*IF(ap_start_date&lt;=AO339,1,0)*IF(ap_end_date&gt;=AO339,1,0)*ap_amount*(1+ap_escalation/100)^(INT((AP339-ap_months_since_start)/12))*IF(MOD(AP339-ap_months_since_start,ap_frequency)=0,1,0))</f>
        <v>65554.343600451786</v>
      </c>
      <c r="BG339" s="24">
        <f t="shared" ca="1" si="386"/>
        <v>786652.12320542161</v>
      </c>
      <c r="BH339" s="24">
        <f t="shared" ca="1" si="387"/>
        <v>14624.218940342033</v>
      </c>
      <c r="BI339">
        <f t="shared" ca="1" si="388"/>
        <v>0</v>
      </c>
      <c r="BJ339" s="24">
        <f t="shared" ca="1" si="389"/>
        <v>102369.53258239421</v>
      </c>
      <c r="BK339">
        <f t="shared" ca="1" si="390"/>
        <v>1</v>
      </c>
      <c r="BL339" s="25">
        <f t="shared" ca="1" si="391"/>
        <v>8530.7943818661824</v>
      </c>
      <c r="BM339" s="32">
        <f t="shared" ca="1" si="370"/>
        <v>544428.0080343514</v>
      </c>
      <c r="BN339" s="23">
        <f t="shared" ca="1" si="392"/>
        <v>0</v>
      </c>
      <c r="BO339" s="24">
        <f t="shared" ca="1" si="393"/>
        <v>0</v>
      </c>
      <c r="BP339" s="25">
        <f t="shared" ca="1" si="394"/>
        <v>0</v>
      </c>
      <c r="BQ339" s="34">
        <f t="shared" ca="1" si="395"/>
        <v>55731</v>
      </c>
      <c r="BR339" s="23">
        <f t="shared" ca="1" si="396"/>
        <v>544428.0080343514</v>
      </c>
      <c r="BS339" s="24">
        <f t="shared" ca="1" si="397"/>
        <v>0</v>
      </c>
      <c r="BT339" s="24">
        <f t="shared" ca="1" si="362"/>
        <v>0</v>
      </c>
      <c r="BU339" s="24">
        <f t="shared" ca="1" si="398"/>
        <v>0</v>
      </c>
      <c r="BV339" s="24">
        <f t="shared" ca="1" si="363"/>
        <v>0</v>
      </c>
      <c r="BW339" s="24">
        <f t="shared" ca="1" si="399"/>
        <v>-8530.7943818661824</v>
      </c>
      <c r="BX339" s="25">
        <f t="shared" ca="1" si="364"/>
        <v>-105006.70806085254</v>
      </c>
      <c r="BY339" s="23">
        <f t="shared" ca="1" si="371"/>
        <v>183943.62407065553</v>
      </c>
      <c r="BZ339" s="24">
        <f t="shared" ca="1" si="372"/>
        <v>0</v>
      </c>
      <c r="CA339" s="24">
        <f t="shared" ca="1" si="365"/>
        <v>0</v>
      </c>
      <c r="CB339" s="24">
        <f t="shared" ca="1" si="373"/>
        <v>0</v>
      </c>
      <c r="CC339" s="24">
        <f t="shared" ca="1" si="366"/>
        <v>0</v>
      </c>
      <c r="CD339" s="24">
        <f t="shared" ca="1" si="374"/>
        <v>-2891.6997577235779</v>
      </c>
      <c r="CE339" s="25">
        <f t="shared" ca="1" si="367"/>
        <v>-36255.697606579357</v>
      </c>
      <c r="CF339" s="23">
        <f t="shared" ca="1" si="368"/>
        <v>779088.16048229241</v>
      </c>
      <c r="CG339" s="25">
        <f t="array" aca="1" ref="CG339" ca="1">SUM(BF328:BF339/(1+inflation/100)^(AP328:AP339/12))</f>
        <v>267980.53702225379</v>
      </c>
      <c r="CH339" s="32">
        <f ca="1">IFERROR(IF(MOD(AP339-ap_months_since_start,12)=0,ap_drawdown/100*(AQ339+AV339+BA339-BC339),CH338),0)</f>
        <v>89906.259431582395</v>
      </c>
    </row>
    <row r="340" spans="40:86" x14ac:dyDescent="0.25">
      <c r="AN340" s="32">
        <f t="shared" ca="1" si="369"/>
        <v>82.583333333333329</v>
      </c>
      <c r="AO340" s="53">
        <f t="shared" ca="1" si="400"/>
        <v>55732</v>
      </c>
      <c r="AP340" s="22">
        <v>333</v>
      </c>
      <c r="AQ340" s="32">
        <f t="shared" ca="1" si="401"/>
        <v>544428.0080343514</v>
      </c>
      <c r="AR340" s="23">
        <f t="array" aca="1" ref="AR340" ca="1">SUM(IF(lsc_start_date=AO340,lsc_amount,0))</f>
        <v>0</v>
      </c>
      <c r="AS340" s="24">
        <f t="shared" ca="1" si="375"/>
        <v>0</v>
      </c>
      <c r="AT340" s="24">
        <f t="shared" ca="1" si="376"/>
        <v>0</v>
      </c>
      <c r="AU340" s="24">
        <f t="shared" ca="1" si="377"/>
        <v>0</v>
      </c>
      <c r="AV340" s="25">
        <f t="shared" ca="1" si="378"/>
        <v>0</v>
      </c>
      <c r="AW340" s="23">
        <f t="array" aca="1" ref="AW340" ca="1">SUM(IF(rcs_start_date&lt;=AO340,1,0)*IF(rcs_end_date&gt;=AO340,1,0)*rcs_amount*(1+rcs_escalation/100)^(INT((AP340-rcs_months_since_start)/12))*IF(MOD((AP340-rcs_months_since_start),rcs_frequency)=0,1,0)*IF(rcs_frequency=13,0,1))+SUM(IF(rcs_start_date=AO340,rcs_amount,0)*IF(rcs_frequency=13,1,0))</f>
        <v>0</v>
      </c>
      <c r="AX340" s="24">
        <f t="shared" ca="1" si="379"/>
        <v>0</v>
      </c>
      <c r="AY340" s="24">
        <f t="shared" ca="1" si="380"/>
        <v>0</v>
      </c>
      <c r="AZ340" s="24">
        <f t="shared" ca="1" si="381"/>
        <v>0</v>
      </c>
      <c r="BA340" s="25">
        <f t="shared" ca="1" si="382"/>
        <v>0</v>
      </c>
      <c r="BB340" s="23">
        <f t="array" aca="1" ref="BB340" ca="1">SUM(IF(w_start_date&lt;=AO340,1,0)*IF(w_end_date&gt;=AO340,1,0)*w_amount*(1+w_escalation/100)^(INT((AP340-w_months_since_start)/12))*IF(MOD(AP340-w_months_since_start,w_frequency)=0,1,0)*IF(w_frequency=13,0,1))+SUM(IF(w_start_date=AO340,w_amount,0)*IF(w_frequency=13,1,0))</f>
        <v>0</v>
      </c>
      <c r="BC340" s="25">
        <f t="shared" ca="1" si="383"/>
        <v>0</v>
      </c>
      <c r="BD340" s="24" t="b">
        <f t="shared" ca="1" si="384"/>
        <v>1</v>
      </c>
      <c r="BE340" s="24" t="b">
        <f t="shared" ca="1" si="385"/>
        <v>1</v>
      </c>
      <c r="BF340" s="23">
        <f t="array" aca="1" ref="BF340" ca="1">SUM(IF(BD340,1,0)*IF(ap_start_date&lt;=AO340,1,0)*IF(ap_end_date&gt;=AO340,1,0)*ap_amount*(1+ap_escalation/100)^(INT((AP340-ap_months_since_start)/12))*IF(MOD(AP340-ap_months_since_start,ap_frequency)=0,1,0))</f>
        <v>65554.343600451786</v>
      </c>
      <c r="BG340" s="24">
        <f t="shared" ca="1" si="386"/>
        <v>786652.12320542161</v>
      </c>
      <c r="BH340" s="24">
        <f t="shared" ca="1" si="387"/>
        <v>14624.218940342033</v>
      </c>
      <c r="BI340">
        <f t="shared" ca="1" si="388"/>
        <v>0</v>
      </c>
      <c r="BJ340" s="24">
        <f t="shared" ca="1" si="389"/>
        <v>102369.53258239421</v>
      </c>
      <c r="BK340">
        <f t="shared" ca="1" si="390"/>
        <v>1</v>
      </c>
      <c r="BL340" s="25">
        <f t="shared" ca="1" si="391"/>
        <v>8530.7943818661824</v>
      </c>
      <c r="BM340" s="32">
        <f t="shared" ca="1" si="370"/>
        <v>539759.59813549544</v>
      </c>
      <c r="BN340" s="23">
        <f t="shared" ca="1" si="392"/>
        <v>0</v>
      </c>
      <c r="BO340" s="24">
        <f t="shared" ca="1" si="393"/>
        <v>0</v>
      </c>
      <c r="BP340" s="25">
        <f t="shared" ca="1" si="394"/>
        <v>0</v>
      </c>
      <c r="BQ340" s="34">
        <f t="shared" ca="1" si="395"/>
        <v>55762</v>
      </c>
      <c r="BR340" s="23">
        <f t="shared" ca="1" si="396"/>
        <v>539759.59813549544</v>
      </c>
      <c r="BS340" s="24">
        <f t="shared" ca="1" si="397"/>
        <v>0</v>
      </c>
      <c r="BT340" s="24">
        <f t="shared" ref="BT340:BT403" ca="1" si="402">SUM(BS329:BS340)</f>
        <v>0</v>
      </c>
      <c r="BU340" s="24">
        <f t="shared" ca="1" si="398"/>
        <v>0</v>
      </c>
      <c r="BV340" s="24">
        <f t="shared" ref="BV340:BV403" ca="1" si="403">SUM(BU329:BU340)</f>
        <v>0</v>
      </c>
      <c r="BW340" s="24">
        <f t="shared" ca="1" si="399"/>
        <v>-8530.7943818661824</v>
      </c>
      <c r="BX340" s="25">
        <f t="shared" ref="BX340:BX403" ca="1" si="404">SUM(BW329:BW340)</f>
        <v>-104127.6495680331</v>
      </c>
      <c r="BY340" s="23">
        <f t="shared" ca="1" si="371"/>
        <v>181771.25606519575</v>
      </c>
      <c r="BZ340" s="24">
        <f t="shared" ca="1" si="372"/>
        <v>0</v>
      </c>
      <c r="CA340" s="24">
        <f t="shared" ref="CA340:CA403" ca="1" si="405">SUM(BZ329:BZ340)</f>
        <v>0</v>
      </c>
      <c r="CB340" s="24">
        <f t="shared" ca="1" si="373"/>
        <v>0</v>
      </c>
      <c r="CC340" s="24">
        <f t="shared" ref="CC340:CC403" ca="1" si="406">SUM(CB329:CB340)</f>
        <v>0</v>
      </c>
      <c r="CD340" s="24">
        <f t="shared" ca="1" si="374"/>
        <v>-2882.2639754842362</v>
      </c>
      <c r="CE340" s="25">
        <f t="shared" ref="CE340:CE403" ca="1" si="407">SUM(CD329:CD340)</f>
        <v>-35831.523061697415</v>
      </c>
      <c r="CF340" s="23">
        <f t="shared" ref="CF340:CF403" ca="1" si="408">SUM(BF329:BF340)</f>
        <v>781609.48139000207</v>
      </c>
      <c r="CG340" s="25">
        <f t="array" aca="1" ref="CG340" ca="1">SUM(BF329:BF340/(1+inflation/100)^(AP329:AP340/12))</f>
        <v>267980.53702225379</v>
      </c>
      <c r="CH340" s="32">
        <f ca="1">IFERROR(IF(MOD(AP340-ap_months_since_start,12)=0,ap_drawdown/100*(AQ340+AV340+BA340-BC340),CH339),0)</f>
        <v>89906.259431582395</v>
      </c>
    </row>
    <row r="341" spans="40:86" x14ac:dyDescent="0.25">
      <c r="AN341" s="32">
        <f t="shared" ca="1" si="369"/>
        <v>82.666666666666671</v>
      </c>
      <c r="AO341" s="53">
        <f t="shared" ca="1" si="400"/>
        <v>55763</v>
      </c>
      <c r="AP341" s="22">
        <v>334</v>
      </c>
      <c r="AQ341" s="32">
        <f t="shared" ca="1" si="401"/>
        <v>539759.59813549544</v>
      </c>
      <c r="AR341" s="23">
        <f t="array" aca="1" ref="AR341" ca="1">SUM(IF(lsc_start_date=AO341,lsc_amount,0))</f>
        <v>0</v>
      </c>
      <c r="AS341" s="24">
        <f t="shared" ca="1" si="375"/>
        <v>0</v>
      </c>
      <c r="AT341" s="24">
        <f t="shared" ca="1" si="376"/>
        <v>0</v>
      </c>
      <c r="AU341" s="24">
        <f t="shared" ca="1" si="377"/>
        <v>0</v>
      </c>
      <c r="AV341" s="25">
        <f t="shared" ca="1" si="378"/>
        <v>0</v>
      </c>
      <c r="AW341" s="23">
        <f t="array" aca="1" ref="AW341" ca="1">SUM(IF(rcs_start_date&lt;=AO341,1,0)*IF(rcs_end_date&gt;=AO341,1,0)*rcs_amount*(1+rcs_escalation/100)^(INT((AP341-rcs_months_since_start)/12))*IF(MOD((AP341-rcs_months_since_start),rcs_frequency)=0,1,0)*IF(rcs_frequency=13,0,1))+SUM(IF(rcs_start_date=AO341,rcs_amount,0)*IF(rcs_frequency=13,1,0))</f>
        <v>0</v>
      </c>
      <c r="AX341" s="24">
        <f t="shared" ca="1" si="379"/>
        <v>0</v>
      </c>
      <c r="AY341" s="24">
        <f t="shared" ca="1" si="380"/>
        <v>0</v>
      </c>
      <c r="AZ341" s="24">
        <f t="shared" ca="1" si="381"/>
        <v>0</v>
      </c>
      <c r="BA341" s="25">
        <f t="shared" ca="1" si="382"/>
        <v>0</v>
      </c>
      <c r="BB341" s="23">
        <f t="array" aca="1" ref="BB341" ca="1">SUM(IF(w_start_date&lt;=AO341,1,0)*IF(w_end_date&gt;=AO341,1,0)*w_amount*(1+w_escalation/100)^(INT((AP341-w_months_since_start)/12))*IF(MOD(AP341-w_months_since_start,w_frequency)=0,1,0)*IF(w_frequency=13,0,1))+SUM(IF(w_start_date=AO341,w_amount,0)*IF(w_frequency=13,1,0))</f>
        <v>0</v>
      </c>
      <c r="BC341" s="25">
        <f t="shared" ca="1" si="383"/>
        <v>0</v>
      </c>
      <c r="BD341" s="24" t="b">
        <f t="shared" ca="1" si="384"/>
        <v>1</v>
      </c>
      <c r="BE341" s="24" t="b">
        <f t="shared" ca="1" si="385"/>
        <v>1</v>
      </c>
      <c r="BF341" s="23">
        <f t="array" aca="1" ref="BF341" ca="1">SUM(IF(BD341,1,0)*IF(ap_start_date&lt;=AO341,1,0)*IF(ap_end_date&gt;=AO341,1,0)*ap_amount*(1+ap_escalation/100)^(INT((AP341-ap_months_since_start)/12))*IF(MOD(AP341-ap_months_since_start,ap_frequency)=0,1,0))</f>
        <v>65554.343600451786</v>
      </c>
      <c r="BG341" s="24">
        <f t="shared" ca="1" si="386"/>
        <v>786652.12320542161</v>
      </c>
      <c r="BH341" s="24">
        <f t="shared" ca="1" si="387"/>
        <v>14624.218940342033</v>
      </c>
      <c r="BI341">
        <f t="shared" ca="1" si="388"/>
        <v>0</v>
      </c>
      <c r="BJ341" s="24">
        <f t="shared" ca="1" si="389"/>
        <v>102369.53258239421</v>
      </c>
      <c r="BK341">
        <f t="shared" ca="1" si="390"/>
        <v>1</v>
      </c>
      <c r="BL341" s="25">
        <f t="shared" ca="1" si="391"/>
        <v>8530.7943818661824</v>
      </c>
      <c r="BM341" s="32">
        <f t="shared" ca="1" si="370"/>
        <v>535057.54149712611</v>
      </c>
      <c r="BN341" s="23">
        <f t="shared" ca="1" si="392"/>
        <v>0</v>
      </c>
      <c r="BO341" s="24">
        <f t="shared" ca="1" si="393"/>
        <v>0</v>
      </c>
      <c r="BP341" s="25">
        <f t="shared" ca="1" si="394"/>
        <v>0</v>
      </c>
      <c r="BQ341" s="34">
        <f t="shared" ca="1" si="395"/>
        <v>55792</v>
      </c>
      <c r="BR341" s="23">
        <f t="shared" ca="1" si="396"/>
        <v>535057.54149712611</v>
      </c>
      <c r="BS341" s="24">
        <f t="shared" ca="1" si="397"/>
        <v>0</v>
      </c>
      <c r="BT341" s="24">
        <f t="shared" ca="1" si="402"/>
        <v>0</v>
      </c>
      <c r="BU341" s="24">
        <f t="shared" ca="1" si="398"/>
        <v>0</v>
      </c>
      <c r="BV341" s="24">
        <f t="shared" ca="1" si="403"/>
        <v>0</v>
      </c>
      <c r="BW341" s="24">
        <f t="shared" ca="1" si="399"/>
        <v>-8530.7943818661824</v>
      </c>
      <c r="BX341" s="25">
        <f t="shared" ca="1" si="404"/>
        <v>-103248.59107521366</v>
      </c>
      <c r="BY341" s="23">
        <f t="shared" ca="1" si="371"/>
        <v>179599.81261951587</v>
      </c>
      <c r="BZ341" s="24">
        <f t="shared" ca="1" si="372"/>
        <v>0</v>
      </c>
      <c r="CA341" s="24">
        <f t="shared" ca="1" si="405"/>
        <v>0</v>
      </c>
      <c r="CB341" s="24">
        <f t="shared" ca="1" si="373"/>
        <v>0</v>
      </c>
      <c r="CC341" s="24">
        <f t="shared" ca="1" si="406"/>
        <v>0</v>
      </c>
      <c r="CD341" s="24">
        <f t="shared" ca="1" si="374"/>
        <v>-2872.8589827437804</v>
      </c>
      <c r="CE341" s="25">
        <f t="shared" ca="1" si="407"/>
        <v>-35408.732622695177</v>
      </c>
      <c r="CF341" s="23">
        <f t="shared" ca="1" si="408"/>
        <v>784130.80229771184</v>
      </c>
      <c r="CG341" s="25">
        <f t="array" aca="1" ref="CG341" ca="1">SUM(BF330:BF341/(1+inflation/100)^(AP330:AP341/12))</f>
        <v>267980.53702225379</v>
      </c>
      <c r="CH341" s="32">
        <f ca="1">IFERROR(IF(MOD(AP341-ap_months_since_start,12)=0,ap_drawdown/100*(AQ341+AV341+BA341-BC341),CH340),0)</f>
        <v>89906.259431582395</v>
      </c>
    </row>
    <row r="342" spans="40:86" x14ac:dyDescent="0.25">
      <c r="AN342" s="32">
        <f t="shared" ca="1" si="369"/>
        <v>82.75</v>
      </c>
      <c r="AO342" s="53">
        <f t="shared" ca="1" si="400"/>
        <v>55793</v>
      </c>
      <c r="AP342" s="22">
        <v>335</v>
      </c>
      <c r="AQ342" s="32">
        <f t="shared" ca="1" si="401"/>
        <v>535057.54149712611</v>
      </c>
      <c r="AR342" s="23">
        <f t="array" aca="1" ref="AR342" ca="1">SUM(IF(lsc_start_date=AO342,lsc_amount,0))</f>
        <v>0</v>
      </c>
      <c r="AS342" s="24">
        <f t="shared" ca="1" si="375"/>
        <v>0</v>
      </c>
      <c r="AT342" s="24">
        <f t="shared" ca="1" si="376"/>
        <v>0</v>
      </c>
      <c r="AU342" s="24">
        <f t="shared" ca="1" si="377"/>
        <v>0</v>
      </c>
      <c r="AV342" s="25">
        <f t="shared" ca="1" si="378"/>
        <v>0</v>
      </c>
      <c r="AW342" s="23">
        <f t="array" aca="1" ref="AW342" ca="1">SUM(IF(rcs_start_date&lt;=AO342,1,0)*IF(rcs_end_date&gt;=AO342,1,0)*rcs_amount*(1+rcs_escalation/100)^(INT((AP342-rcs_months_since_start)/12))*IF(MOD((AP342-rcs_months_since_start),rcs_frequency)=0,1,0)*IF(rcs_frequency=13,0,1))+SUM(IF(rcs_start_date=AO342,rcs_amount,0)*IF(rcs_frequency=13,1,0))</f>
        <v>0</v>
      </c>
      <c r="AX342" s="24">
        <f t="shared" ca="1" si="379"/>
        <v>0</v>
      </c>
      <c r="AY342" s="24">
        <f t="shared" ca="1" si="380"/>
        <v>0</v>
      </c>
      <c r="AZ342" s="24">
        <f t="shared" ca="1" si="381"/>
        <v>0</v>
      </c>
      <c r="BA342" s="25">
        <f t="shared" ca="1" si="382"/>
        <v>0</v>
      </c>
      <c r="BB342" s="23">
        <f t="array" aca="1" ref="BB342" ca="1">SUM(IF(w_start_date&lt;=AO342,1,0)*IF(w_end_date&gt;=AO342,1,0)*w_amount*(1+w_escalation/100)^(INT((AP342-w_months_since_start)/12))*IF(MOD(AP342-w_months_since_start,w_frequency)=0,1,0)*IF(w_frequency=13,0,1))+SUM(IF(w_start_date=AO342,w_amount,0)*IF(w_frequency=13,1,0))</f>
        <v>0</v>
      </c>
      <c r="BC342" s="25">
        <f t="shared" ca="1" si="383"/>
        <v>0</v>
      </c>
      <c r="BD342" s="24" t="b">
        <f t="shared" ca="1" si="384"/>
        <v>1</v>
      </c>
      <c r="BE342" s="24" t="b">
        <f t="shared" ca="1" si="385"/>
        <v>1</v>
      </c>
      <c r="BF342" s="23">
        <f t="array" aca="1" ref="BF342" ca="1">SUM(IF(BD342,1,0)*IF(ap_start_date&lt;=AO342,1,0)*IF(ap_end_date&gt;=AO342,1,0)*ap_amount*(1+ap_escalation/100)^(INT((AP342-ap_months_since_start)/12))*IF(MOD(AP342-ap_months_since_start,ap_frequency)=0,1,0))</f>
        <v>65554.343600451786</v>
      </c>
      <c r="BG342" s="24">
        <f t="shared" ca="1" si="386"/>
        <v>786652.12320542161</v>
      </c>
      <c r="BH342" s="24">
        <f t="shared" ca="1" si="387"/>
        <v>14624.218940342033</v>
      </c>
      <c r="BI342">
        <f t="shared" ca="1" si="388"/>
        <v>0</v>
      </c>
      <c r="BJ342" s="24">
        <f t="shared" ca="1" si="389"/>
        <v>102369.53258239421</v>
      </c>
      <c r="BK342">
        <f t="shared" ca="1" si="390"/>
        <v>1</v>
      </c>
      <c r="BL342" s="25">
        <f t="shared" ca="1" si="391"/>
        <v>8530.7943818661824</v>
      </c>
      <c r="BM342" s="32">
        <f t="shared" ca="1" si="370"/>
        <v>530321.59561631328</v>
      </c>
      <c r="BN342" s="23">
        <f t="shared" ca="1" si="392"/>
        <v>0</v>
      </c>
      <c r="BO342" s="24">
        <f t="shared" ca="1" si="393"/>
        <v>0</v>
      </c>
      <c r="BP342" s="25">
        <f t="shared" ca="1" si="394"/>
        <v>0</v>
      </c>
      <c r="BQ342" s="34">
        <f t="shared" ca="1" si="395"/>
        <v>55823</v>
      </c>
      <c r="BR342" s="23">
        <f t="shared" ca="1" si="396"/>
        <v>530321.59561631328</v>
      </c>
      <c r="BS342" s="24">
        <f t="shared" ca="1" si="397"/>
        <v>0</v>
      </c>
      <c r="BT342" s="24">
        <f t="shared" ca="1" si="402"/>
        <v>0</v>
      </c>
      <c r="BU342" s="24">
        <f t="shared" ca="1" si="398"/>
        <v>0</v>
      </c>
      <c r="BV342" s="24">
        <f t="shared" ca="1" si="403"/>
        <v>0</v>
      </c>
      <c r="BW342" s="24">
        <f t="shared" ca="1" si="399"/>
        <v>-8530.7943818661824</v>
      </c>
      <c r="BX342" s="25">
        <f t="shared" ca="1" si="404"/>
        <v>-102369.53258239421</v>
      </c>
      <c r="BY342" s="23">
        <f t="shared" ca="1" si="371"/>
        <v>177429.26654922674</v>
      </c>
      <c r="BZ342" s="24">
        <f t="shared" ca="1" si="372"/>
        <v>0</v>
      </c>
      <c r="CA342" s="24">
        <f t="shared" ca="1" si="405"/>
        <v>0</v>
      </c>
      <c r="CB342" s="24">
        <f t="shared" ca="1" si="373"/>
        <v>0</v>
      </c>
      <c r="CC342" s="24">
        <f t="shared" ca="1" si="406"/>
        <v>0</v>
      </c>
      <c r="CD342" s="24">
        <f t="shared" ca="1" si="374"/>
        <v>-2863.4846790343095</v>
      </c>
      <c r="CE342" s="25">
        <f t="shared" ca="1" si="407"/>
        <v>-34987.321773155716</v>
      </c>
      <c r="CF342" s="23">
        <f t="shared" ca="1" si="408"/>
        <v>786652.12320542161</v>
      </c>
      <c r="CG342" s="25">
        <f t="array" aca="1" ref="CG342" ca="1">SUM(BF331:BF342/(1+inflation/100)^(AP331:AP342/12))</f>
        <v>267980.53702225379</v>
      </c>
      <c r="CH342" s="32">
        <f ca="1">IFERROR(IF(MOD(AP342-ap_months_since_start,12)=0,ap_drawdown/100*(AQ342+AV342+BA342-BC342),CH341),0)</f>
        <v>89906.259431582395</v>
      </c>
    </row>
    <row r="343" spans="40:86" x14ac:dyDescent="0.25">
      <c r="AN343" s="32">
        <f t="shared" ca="1" si="369"/>
        <v>82.833333333333329</v>
      </c>
      <c r="AO343" s="53">
        <f t="shared" ca="1" si="400"/>
        <v>55824</v>
      </c>
      <c r="AP343" s="22">
        <v>336</v>
      </c>
      <c r="AQ343" s="32">
        <f t="shared" ca="1" si="401"/>
        <v>530321.59561631328</v>
      </c>
      <c r="AR343" s="23">
        <f t="array" aca="1" ref="AR343" ca="1">SUM(IF(lsc_start_date=AO343,lsc_amount,0))</f>
        <v>0</v>
      </c>
      <c r="AS343" s="24">
        <f t="shared" ca="1" si="375"/>
        <v>0</v>
      </c>
      <c r="AT343" s="24">
        <f t="shared" ca="1" si="376"/>
        <v>0</v>
      </c>
      <c r="AU343" s="24">
        <f t="shared" ca="1" si="377"/>
        <v>0</v>
      </c>
      <c r="AV343" s="25">
        <f t="shared" ca="1" si="378"/>
        <v>0</v>
      </c>
      <c r="AW343" s="23">
        <f t="array" aca="1" ref="AW343" ca="1">SUM(IF(rcs_start_date&lt;=AO343,1,0)*IF(rcs_end_date&gt;=AO343,1,0)*rcs_amount*(1+rcs_escalation/100)^(INT((AP343-rcs_months_since_start)/12))*IF(MOD((AP343-rcs_months_since_start),rcs_frequency)=0,1,0)*IF(rcs_frequency=13,0,1))+SUM(IF(rcs_start_date=AO343,rcs_amount,0)*IF(rcs_frequency=13,1,0))</f>
        <v>0</v>
      </c>
      <c r="AX343" s="24">
        <f t="shared" ca="1" si="379"/>
        <v>0</v>
      </c>
      <c r="AY343" s="24">
        <f t="shared" ca="1" si="380"/>
        <v>0</v>
      </c>
      <c r="AZ343" s="24">
        <f t="shared" ca="1" si="381"/>
        <v>0</v>
      </c>
      <c r="BA343" s="25">
        <f t="shared" ca="1" si="382"/>
        <v>0</v>
      </c>
      <c r="BB343" s="23">
        <f t="array" aca="1" ref="BB343" ca="1">SUM(IF(w_start_date&lt;=AO343,1,0)*IF(w_end_date&gt;=AO343,1,0)*w_amount*(1+w_escalation/100)^(INT((AP343-w_months_since_start)/12))*IF(MOD(AP343-w_months_since_start,w_frequency)=0,1,0)*IF(w_frequency=13,0,1))+SUM(IF(w_start_date=AO343,w_amount,0)*IF(w_frequency=13,1,0))</f>
        <v>0</v>
      </c>
      <c r="BC343" s="25">
        <f t="shared" ca="1" si="383"/>
        <v>0</v>
      </c>
      <c r="BD343" s="24" t="b">
        <f t="shared" ca="1" si="384"/>
        <v>1</v>
      </c>
      <c r="BE343" s="24" t="b">
        <f t="shared" ca="1" si="385"/>
        <v>1</v>
      </c>
      <c r="BF343" s="23">
        <f t="array" aca="1" ref="BF343" ca="1">SUM(IF(BD343,1,0)*IF(ap_start_date&lt;=AO343,1,0)*IF(ap_end_date&gt;=AO343,1,0)*ap_amount*(1+ap_escalation/100)^(INT((AP343-ap_months_since_start)/12))*IF(MOD(AP343-ap_months_since_start,ap_frequency)=0,1,0))</f>
        <v>68176.517344469859</v>
      </c>
      <c r="BG343" s="24">
        <f t="shared" ca="1" si="386"/>
        <v>818118.20813363849</v>
      </c>
      <c r="BH343" s="24">
        <f t="shared" ca="1" si="387"/>
        <v>13258.039890407832</v>
      </c>
      <c r="BI343">
        <f t="shared" ca="1" si="388"/>
        <v>0</v>
      </c>
      <c r="BJ343" s="24">
        <f t="shared" ca="1" si="389"/>
        <v>92806.279232854824</v>
      </c>
      <c r="BK343">
        <f t="shared" ca="1" si="390"/>
        <v>1</v>
      </c>
      <c r="BL343" s="25">
        <f t="shared" ca="1" si="391"/>
        <v>7733.8566027379002</v>
      </c>
      <c r="BM343" s="32">
        <f t="shared" ca="1" si="370"/>
        <v>526354.19780969503</v>
      </c>
      <c r="BN343" s="23">
        <f t="shared" ca="1" si="392"/>
        <v>0</v>
      </c>
      <c r="BO343" s="24">
        <f t="shared" ca="1" si="393"/>
        <v>0</v>
      </c>
      <c r="BP343" s="25">
        <f t="shared" ca="1" si="394"/>
        <v>0</v>
      </c>
      <c r="BQ343" s="34">
        <f t="shared" ca="1" si="395"/>
        <v>55853</v>
      </c>
      <c r="BR343" s="23">
        <f t="shared" ca="1" si="396"/>
        <v>526354.19780969503</v>
      </c>
      <c r="BS343" s="24">
        <f t="shared" ca="1" si="397"/>
        <v>0</v>
      </c>
      <c r="BT343" s="24">
        <f t="shared" ca="1" si="402"/>
        <v>0</v>
      </c>
      <c r="BU343" s="24">
        <f t="shared" ca="1" si="398"/>
        <v>0</v>
      </c>
      <c r="BV343" s="24">
        <f t="shared" ca="1" si="403"/>
        <v>0</v>
      </c>
      <c r="BW343" s="24">
        <f t="shared" ca="1" si="399"/>
        <v>-7733.8566027379002</v>
      </c>
      <c r="BX343" s="25">
        <f t="shared" ca="1" si="404"/>
        <v>-101572.59480326592</v>
      </c>
      <c r="BY343" s="23">
        <f t="shared" ca="1" si="371"/>
        <v>175527.26688321706</v>
      </c>
      <c r="BZ343" s="24">
        <f t="shared" ca="1" si="372"/>
        <v>0</v>
      </c>
      <c r="CA343" s="24">
        <f t="shared" ca="1" si="405"/>
        <v>0</v>
      </c>
      <c r="CB343" s="24">
        <f t="shared" ca="1" si="373"/>
        <v>0</v>
      </c>
      <c r="CC343" s="24">
        <f t="shared" ca="1" si="406"/>
        <v>0</v>
      </c>
      <c r="CD343" s="24">
        <f t="shared" ca="1" si="374"/>
        <v>-2587.5101371762225</v>
      </c>
      <c r="CE343" s="25">
        <f t="shared" ca="1" si="407"/>
        <v>-34606.525307547556</v>
      </c>
      <c r="CF343" s="23">
        <f t="shared" ca="1" si="408"/>
        <v>789274.29694943968</v>
      </c>
      <c r="CG343" s="25">
        <f t="array" aca="1" ref="CG343" ca="1">SUM(BF332:BF343/(1+inflation/100)^(AP332:AP343/12))</f>
        <v>267980.53702225379</v>
      </c>
      <c r="CH343" s="32">
        <f ca="1">IFERROR(IF(MOD(AP343-ap_months_since_start,12)=0,ap_drawdown/100*(AQ343+AV343+BA343-BC343),CH342),0)</f>
        <v>81507.311864232572</v>
      </c>
    </row>
    <row r="344" spans="40:86" x14ac:dyDescent="0.25">
      <c r="AN344" s="32">
        <f t="shared" ca="1" si="369"/>
        <v>82.916666666666671</v>
      </c>
      <c r="AO344" s="53">
        <f t="shared" ca="1" si="400"/>
        <v>55854</v>
      </c>
      <c r="AP344" s="22">
        <v>337</v>
      </c>
      <c r="AQ344" s="32">
        <f t="shared" ca="1" si="401"/>
        <v>526354.19780969503</v>
      </c>
      <c r="AR344" s="23">
        <f t="array" aca="1" ref="AR344" ca="1">SUM(IF(lsc_start_date=AO344,lsc_amount,0))</f>
        <v>0</v>
      </c>
      <c r="AS344" s="24">
        <f t="shared" ca="1" si="375"/>
        <v>0</v>
      </c>
      <c r="AT344" s="24">
        <f t="shared" ca="1" si="376"/>
        <v>0</v>
      </c>
      <c r="AU344" s="24">
        <f t="shared" ca="1" si="377"/>
        <v>0</v>
      </c>
      <c r="AV344" s="25">
        <f t="shared" ca="1" si="378"/>
        <v>0</v>
      </c>
      <c r="AW344" s="23">
        <f t="array" aca="1" ref="AW344" ca="1">SUM(IF(rcs_start_date&lt;=AO344,1,0)*IF(rcs_end_date&gt;=AO344,1,0)*rcs_amount*(1+rcs_escalation/100)^(INT((AP344-rcs_months_since_start)/12))*IF(MOD((AP344-rcs_months_since_start),rcs_frequency)=0,1,0)*IF(rcs_frequency=13,0,1))+SUM(IF(rcs_start_date=AO344,rcs_amount,0)*IF(rcs_frequency=13,1,0))</f>
        <v>0</v>
      </c>
      <c r="AX344" s="24">
        <f t="shared" ca="1" si="379"/>
        <v>0</v>
      </c>
      <c r="AY344" s="24">
        <f t="shared" ca="1" si="380"/>
        <v>0</v>
      </c>
      <c r="AZ344" s="24">
        <f t="shared" ca="1" si="381"/>
        <v>0</v>
      </c>
      <c r="BA344" s="25">
        <f t="shared" ca="1" si="382"/>
        <v>0</v>
      </c>
      <c r="BB344" s="23">
        <f t="array" aca="1" ref="BB344" ca="1">SUM(IF(w_start_date&lt;=AO344,1,0)*IF(w_end_date&gt;=AO344,1,0)*w_amount*(1+w_escalation/100)^(INT((AP344-w_months_since_start)/12))*IF(MOD(AP344-w_months_since_start,w_frequency)=0,1,0)*IF(w_frequency=13,0,1))+SUM(IF(w_start_date=AO344,w_amount,0)*IF(w_frequency=13,1,0))</f>
        <v>0</v>
      </c>
      <c r="BC344" s="25">
        <f t="shared" ca="1" si="383"/>
        <v>0</v>
      </c>
      <c r="BD344" s="24" t="b">
        <f t="shared" ca="1" si="384"/>
        <v>1</v>
      </c>
      <c r="BE344" s="24" t="b">
        <f t="shared" ca="1" si="385"/>
        <v>1</v>
      </c>
      <c r="BF344" s="23">
        <f t="array" aca="1" ref="BF344" ca="1">SUM(IF(BD344,1,0)*IF(ap_start_date&lt;=AO344,1,0)*IF(ap_end_date&gt;=AO344,1,0)*ap_amount*(1+ap_escalation/100)^(INT((AP344-ap_months_since_start)/12))*IF(MOD(AP344-ap_months_since_start,ap_frequency)=0,1,0))</f>
        <v>68176.517344469859</v>
      </c>
      <c r="BG344" s="24">
        <f t="shared" ca="1" si="386"/>
        <v>818118.20813363849</v>
      </c>
      <c r="BH344" s="24">
        <f t="shared" ca="1" si="387"/>
        <v>13258.039890407832</v>
      </c>
      <c r="BI344">
        <f t="shared" ca="1" si="388"/>
        <v>0</v>
      </c>
      <c r="BJ344" s="24">
        <f t="shared" ca="1" si="389"/>
        <v>92806.279232854824</v>
      </c>
      <c r="BK344">
        <f t="shared" ca="1" si="390"/>
        <v>1</v>
      </c>
      <c r="BL344" s="25">
        <f t="shared" ca="1" si="391"/>
        <v>7733.8566027379002</v>
      </c>
      <c r="BM344" s="32">
        <f t="shared" ca="1" si="370"/>
        <v>522358.20568436082</v>
      </c>
      <c r="BN344" s="23">
        <f t="shared" ca="1" si="392"/>
        <v>0</v>
      </c>
      <c r="BO344" s="24">
        <f t="shared" ca="1" si="393"/>
        <v>0</v>
      </c>
      <c r="BP344" s="25">
        <f t="shared" ca="1" si="394"/>
        <v>0</v>
      </c>
      <c r="BQ344" s="34">
        <f t="shared" ca="1" si="395"/>
        <v>55884</v>
      </c>
      <c r="BR344" s="23">
        <f t="shared" ca="1" si="396"/>
        <v>522358.20568436082</v>
      </c>
      <c r="BS344" s="24">
        <f t="shared" ca="1" si="397"/>
        <v>0</v>
      </c>
      <c r="BT344" s="24">
        <f t="shared" ca="1" si="402"/>
        <v>0</v>
      </c>
      <c r="BU344" s="24">
        <f t="shared" ca="1" si="398"/>
        <v>0</v>
      </c>
      <c r="BV344" s="24">
        <f t="shared" ca="1" si="403"/>
        <v>0</v>
      </c>
      <c r="BW344" s="24">
        <f t="shared" ca="1" si="399"/>
        <v>-7733.8566027379002</v>
      </c>
      <c r="BX344" s="25">
        <f t="shared" ca="1" si="404"/>
        <v>-100775.65702413763</v>
      </c>
      <c r="BY344" s="23">
        <f t="shared" ca="1" si="371"/>
        <v>173626.28625346228</v>
      </c>
      <c r="BZ344" s="24">
        <f t="shared" ca="1" si="372"/>
        <v>0</v>
      </c>
      <c r="CA344" s="24">
        <f t="shared" ca="1" si="405"/>
        <v>0</v>
      </c>
      <c r="CB344" s="24">
        <f t="shared" ca="1" si="373"/>
        <v>0</v>
      </c>
      <c r="CC344" s="24">
        <f t="shared" ca="1" si="406"/>
        <v>0</v>
      </c>
      <c r="CD344" s="24">
        <f t="shared" ca="1" si="374"/>
        <v>-2579.0669431235638</v>
      </c>
      <c r="CE344" s="25">
        <f t="shared" ca="1" si="407"/>
        <v>-34226.97140265732</v>
      </c>
      <c r="CF344" s="23">
        <f t="shared" ca="1" si="408"/>
        <v>791896.47069345776</v>
      </c>
      <c r="CG344" s="25">
        <f t="array" aca="1" ref="CG344" ca="1">SUM(BF333:BF344/(1+inflation/100)^(AP333:AP344/12))</f>
        <v>267980.53702225379</v>
      </c>
      <c r="CH344" s="32">
        <f ca="1">IFERROR(IF(MOD(AP344-ap_months_since_start,12)=0,ap_drawdown/100*(AQ344+AV344+BA344-BC344),CH343),0)</f>
        <v>81507.311864232572</v>
      </c>
    </row>
    <row r="345" spans="40:86" x14ac:dyDescent="0.25">
      <c r="AN345" s="32">
        <f t="shared" ca="1" si="369"/>
        <v>83</v>
      </c>
      <c r="AO345" s="53">
        <f t="shared" ca="1" si="400"/>
        <v>55885</v>
      </c>
      <c r="AP345" s="22">
        <v>338</v>
      </c>
      <c r="AQ345" s="32">
        <f t="shared" ca="1" si="401"/>
        <v>522358.20568436082</v>
      </c>
      <c r="AR345" s="23">
        <f t="array" aca="1" ref="AR345" ca="1">SUM(IF(lsc_start_date=AO345,lsc_amount,0))</f>
        <v>0</v>
      </c>
      <c r="AS345" s="24">
        <f t="shared" ca="1" si="375"/>
        <v>0</v>
      </c>
      <c r="AT345" s="24">
        <f t="shared" ca="1" si="376"/>
        <v>0</v>
      </c>
      <c r="AU345" s="24">
        <f t="shared" ca="1" si="377"/>
        <v>0</v>
      </c>
      <c r="AV345" s="25">
        <f t="shared" ca="1" si="378"/>
        <v>0</v>
      </c>
      <c r="AW345" s="23">
        <f t="array" aca="1" ref="AW345" ca="1">SUM(IF(rcs_start_date&lt;=AO345,1,0)*IF(rcs_end_date&gt;=AO345,1,0)*rcs_amount*(1+rcs_escalation/100)^(INT((AP345-rcs_months_since_start)/12))*IF(MOD((AP345-rcs_months_since_start),rcs_frequency)=0,1,0)*IF(rcs_frequency=13,0,1))+SUM(IF(rcs_start_date=AO345,rcs_amount,0)*IF(rcs_frequency=13,1,0))</f>
        <v>0</v>
      </c>
      <c r="AX345" s="24">
        <f t="shared" ca="1" si="379"/>
        <v>0</v>
      </c>
      <c r="AY345" s="24">
        <f t="shared" ca="1" si="380"/>
        <v>0</v>
      </c>
      <c r="AZ345" s="24">
        <f t="shared" ca="1" si="381"/>
        <v>0</v>
      </c>
      <c r="BA345" s="25">
        <f t="shared" ca="1" si="382"/>
        <v>0</v>
      </c>
      <c r="BB345" s="23">
        <f t="array" aca="1" ref="BB345" ca="1">SUM(IF(w_start_date&lt;=AO345,1,0)*IF(w_end_date&gt;=AO345,1,0)*w_amount*(1+w_escalation/100)^(INT((AP345-w_months_since_start)/12))*IF(MOD(AP345-w_months_since_start,w_frequency)=0,1,0)*IF(w_frequency=13,0,1))+SUM(IF(w_start_date=AO345,w_amount,0)*IF(w_frequency=13,1,0))</f>
        <v>0</v>
      </c>
      <c r="BC345" s="25">
        <f t="shared" ca="1" si="383"/>
        <v>0</v>
      </c>
      <c r="BD345" s="24" t="b">
        <f t="shared" ca="1" si="384"/>
        <v>1</v>
      </c>
      <c r="BE345" s="24" t="b">
        <f t="shared" ca="1" si="385"/>
        <v>1</v>
      </c>
      <c r="BF345" s="23">
        <f t="array" aca="1" ref="BF345" ca="1">SUM(IF(BD345,1,0)*IF(ap_start_date&lt;=AO345,1,0)*IF(ap_end_date&gt;=AO345,1,0)*ap_amount*(1+ap_escalation/100)^(INT((AP345-ap_months_since_start)/12))*IF(MOD(AP345-ap_months_since_start,ap_frequency)=0,1,0))</f>
        <v>68176.517344469859</v>
      </c>
      <c r="BG345" s="24">
        <f t="shared" ca="1" si="386"/>
        <v>818118.20813363849</v>
      </c>
      <c r="BH345" s="24">
        <f t="shared" ca="1" si="387"/>
        <v>13258.039890407832</v>
      </c>
      <c r="BI345">
        <f t="shared" ca="1" si="388"/>
        <v>0</v>
      </c>
      <c r="BJ345" s="24">
        <f t="shared" ca="1" si="389"/>
        <v>92806.279232854824</v>
      </c>
      <c r="BK345">
        <f t="shared" ca="1" si="390"/>
        <v>1</v>
      </c>
      <c r="BL345" s="25">
        <f t="shared" ca="1" si="391"/>
        <v>7733.8566027379002</v>
      </c>
      <c r="BM345" s="32">
        <f t="shared" ca="1" si="370"/>
        <v>518333.41315181059</v>
      </c>
      <c r="BN345" s="23">
        <f t="shared" ca="1" si="392"/>
        <v>0</v>
      </c>
      <c r="BO345" s="24">
        <f t="shared" ca="1" si="393"/>
        <v>0</v>
      </c>
      <c r="BP345" s="25">
        <f t="shared" ca="1" si="394"/>
        <v>0</v>
      </c>
      <c r="BQ345" s="34">
        <f t="shared" ca="1" si="395"/>
        <v>55915</v>
      </c>
      <c r="BR345" s="23">
        <f t="shared" ca="1" si="396"/>
        <v>518333.41315181059</v>
      </c>
      <c r="BS345" s="24">
        <f t="shared" ca="1" si="397"/>
        <v>0</v>
      </c>
      <c r="BT345" s="24">
        <f t="shared" ca="1" si="402"/>
        <v>0</v>
      </c>
      <c r="BU345" s="24">
        <f t="shared" ca="1" si="398"/>
        <v>0</v>
      </c>
      <c r="BV345" s="24">
        <f t="shared" ca="1" si="403"/>
        <v>0</v>
      </c>
      <c r="BW345" s="24">
        <f t="shared" ca="1" si="399"/>
        <v>-7733.8566027379002</v>
      </c>
      <c r="BX345" s="25">
        <f t="shared" ca="1" si="404"/>
        <v>-99978.719245009343</v>
      </c>
      <c r="BY345" s="23">
        <f t="shared" ca="1" si="371"/>
        <v>171726.30099670077</v>
      </c>
      <c r="BZ345" s="24">
        <f t="shared" ca="1" si="372"/>
        <v>0</v>
      </c>
      <c r="CA345" s="24">
        <f t="shared" ca="1" si="405"/>
        <v>0</v>
      </c>
      <c r="CB345" s="24">
        <f t="shared" ca="1" si="373"/>
        <v>0</v>
      </c>
      <c r="CC345" s="24">
        <f t="shared" ca="1" si="406"/>
        <v>0</v>
      </c>
      <c r="CD345" s="24">
        <f t="shared" ca="1" si="374"/>
        <v>-2570.6512996975839</v>
      </c>
      <c r="CE345" s="25">
        <f t="shared" ca="1" si="407"/>
        <v>-33848.6560039381</v>
      </c>
      <c r="CF345" s="23">
        <f t="shared" ca="1" si="408"/>
        <v>794518.64443747583</v>
      </c>
      <c r="CG345" s="25">
        <f t="array" aca="1" ref="CG345" ca="1">SUM(BF334:BF345/(1+inflation/100)^(AP334:AP345/12))</f>
        <v>267980.53702225379</v>
      </c>
      <c r="CH345" s="32">
        <f ca="1">IFERROR(IF(MOD(AP345-ap_months_since_start,12)=0,ap_drawdown/100*(AQ345+AV345+BA345-BC345),CH344),0)</f>
        <v>81507.311864232572</v>
      </c>
    </row>
    <row r="346" spans="40:86" x14ac:dyDescent="0.25">
      <c r="AN346" s="32">
        <f t="shared" ca="1" si="369"/>
        <v>83.083333333333329</v>
      </c>
      <c r="AO346" s="53">
        <f t="shared" ca="1" si="400"/>
        <v>55916</v>
      </c>
      <c r="AP346" s="22">
        <v>339</v>
      </c>
      <c r="AQ346" s="32">
        <f t="shared" ca="1" si="401"/>
        <v>518333.41315181059</v>
      </c>
      <c r="AR346" s="23">
        <f t="array" aca="1" ref="AR346" ca="1">SUM(IF(lsc_start_date=AO346,lsc_amount,0))</f>
        <v>0</v>
      </c>
      <c r="AS346" s="24">
        <f t="shared" ca="1" si="375"/>
        <v>0</v>
      </c>
      <c r="AT346" s="24">
        <f t="shared" ca="1" si="376"/>
        <v>0</v>
      </c>
      <c r="AU346" s="24">
        <f t="shared" ca="1" si="377"/>
        <v>0</v>
      </c>
      <c r="AV346" s="25">
        <f t="shared" ca="1" si="378"/>
        <v>0</v>
      </c>
      <c r="AW346" s="23">
        <f t="array" aca="1" ref="AW346" ca="1">SUM(IF(rcs_start_date&lt;=AO346,1,0)*IF(rcs_end_date&gt;=AO346,1,0)*rcs_amount*(1+rcs_escalation/100)^(INT((AP346-rcs_months_since_start)/12))*IF(MOD((AP346-rcs_months_since_start),rcs_frequency)=0,1,0)*IF(rcs_frequency=13,0,1))+SUM(IF(rcs_start_date=AO346,rcs_amount,0)*IF(rcs_frequency=13,1,0))</f>
        <v>0</v>
      </c>
      <c r="AX346" s="24">
        <f t="shared" ca="1" si="379"/>
        <v>0</v>
      </c>
      <c r="AY346" s="24">
        <f t="shared" ca="1" si="380"/>
        <v>0</v>
      </c>
      <c r="AZ346" s="24">
        <f t="shared" ca="1" si="381"/>
        <v>0</v>
      </c>
      <c r="BA346" s="25">
        <f t="shared" ca="1" si="382"/>
        <v>0</v>
      </c>
      <c r="BB346" s="23">
        <f t="array" aca="1" ref="BB346" ca="1">SUM(IF(w_start_date&lt;=AO346,1,0)*IF(w_end_date&gt;=AO346,1,0)*w_amount*(1+w_escalation/100)^(INT((AP346-w_months_since_start)/12))*IF(MOD(AP346-w_months_since_start,w_frequency)=0,1,0)*IF(w_frequency=13,0,1))+SUM(IF(w_start_date=AO346,w_amount,0)*IF(w_frequency=13,1,0))</f>
        <v>0</v>
      </c>
      <c r="BC346" s="25">
        <f t="shared" ca="1" si="383"/>
        <v>0</v>
      </c>
      <c r="BD346" s="24" t="b">
        <f t="shared" ca="1" si="384"/>
        <v>1</v>
      </c>
      <c r="BE346" s="24" t="b">
        <f t="shared" ca="1" si="385"/>
        <v>1</v>
      </c>
      <c r="BF346" s="23">
        <f t="array" aca="1" ref="BF346" ca="1">SUM(IF(BD346,1,0)*IF(ap_start_date&lt;=AO346,1,0)*IF(ap_end_date&gt;=AO346,1,0)*ap_amount*(1+ap_escalation/100)^(INT((AP346-ap_months_since_start)/12))*IF(MOD(AP346-ap_months_since_start,ap_frequency)=0,1,0))</f>
        <v>68176.517344469859</v>
      </c>
      <c r="BG346" s="24">
        <f t="shared" ca="1" si="386"/>
        <v>818118.20813363849</v>
      </c>
      <c r="BH346" s="24">
        <f t="shared" ca="1" si="387"/>
        <v>13258.039890407832</v>
      </c>
      <c r="BI346">
        <f t="shared" ca="1" si="388"/>
        <v>0</v>
      </c>
      <c r="BJ346" s="24">
        <f t="shared" ca="1" si="389"/>
        <v>92806.279232854824</v>
      </c>
      <c r="BK346">
        <f t="shared" ca="1" si="390"/>
        <v>1</v>
      </c>
      <c r="BL346" s="25">
        <f t="shared" ca="1" si="391"/>
        <v>7733.8566027379002</v>
      </c>
      <c r="BM346" s="32">
        <f t="shared" ca="1" si="370"/>
        <v>514279.6126381979</v>
      </c>
      <c r="BN346" s="23">
        <f t="shared" ca="1" si="392"/>
        <v>0</v>
      </c>
      <c r="BO346" s="24">
        <f t="shared" ca="1" si="393"/>
        <v>0</v>
      </c>
      <c r="BP346" s="25">
        <f t="shared" ca="1" si="394"/>
        <v>0</v>
      </c>
      <c r="BQ346" s="34">
        <f t="shared" ca="1" si="395"/>
        <v>55943</v>
      </c>
      <c r="BR346" s="23">
        <f t="shared" ca="1" si="396"/>
        <v>514279.6126381979</v>
      </c>
      <c r="BS346" s="24">
        <f t="shared" ca="1" si="397"/>
        <v>0</v>
      </c>
      <c r="BT346" s="24">
        <f t="shared" ca="1" si="402"/>
        <v>0</v>
      </c>
      <c r="BU346" s="24">
        <f t="shared" ca="1" si="398"/>
        <v>0</v>
      </c>
      <c r="BV346" s="24">
        <f t="shared" ca="1" si="403"/>
        <v>0</v>
      </c>
      <c r="BW346" s="24">
        <f t="shared" ca="1" si="399"/>
        <v>-7733.8566027379002</v>
      </c>
      <c r="BX346" s="25">
        <f t="shared" ca="1" si="404"/>
        <v>-99181.781465881053</v>
      </c>
      <c r="BY346" s="23">
        <f t="shared" ca="1" si="371"/>
        <v>169827.28744714538</v>
      </c>
      <c r="BZ346" s="24">
        <f t="shared" ca="1" si="372"/>
        <v>0</v>
      </c>
      <c r="CA346" s="24">
        <f t="shared" ca="1" si="405"/>
        <v>0</v>
      </c>
      <c r="CB346" s="24">
        <f t="shared" ca="1" si="373"/>
        <v>0</v>
      </c>
      <c r="CC346" s="24">
        <f t="shared" ca="1" si="406"/>
        <v>0</v>
      </c>
      <c r="CD346" s="24">
        <f t="shared" ca="1" si="374"/>
        <v>-2562.2631169990032</v>
      </c>
      <c r="CE346" s="25">
        <f t="shared" ca="1" si="407"/>
        <v>-33471.575070073173</v>
      </c>
      <c r="CF346" s="23">
        <f t="shared" ca="1" si="408"/>
        <v>797140.8181814939</v>
      </c>
      <c r="CG346" s="25">
        <f t="array" aca="1" ref="CG346" ca="1">SUM(BF335:BF346/(1+inflation/100)^(AP335:AP346/12))</f>
        <v>267980.53702225379</v>
      </c>
      <c r="CH346" s="32">
        <f ca="1">IFERROR(IF(MOD(AP346-ap_months_since_start,12)=0,ap_drawdown/100*(AQ346+AV346+BA346-BC346),CH345),0)</f>
        <v>81507.311864232572</v>
      </c>
    </row>
    <row r="347" spans="40:86" x14ac:dyDescent="0.25">
      <c r="AN347" s="32">
        <f t="shared" ca="1" si="369"/>
        <v>83.166666666666671</v>
      </c>
      <c r="AO347" s="53">
        <f t="shared" ca="1" si="400"/>
        <v>55944</v>
      </c>
      <c r="AP347" s="22">
        <v>340</v>
      </c>
      <c r="AQ347" s="32">
        <f t="shared" ca="1" si="401"/>
        <v>514279.6126381979</v>
      </c>
      <c r="AR347" s="23">
        <f t="array" aca="1" ref="AR347" ca="1">SUM(IF(lsc_start_date=AO347,lsc_amount,0))</f>
        <v>0</v>
      </c>
      <c r="AS347" s="24">
        <f t="shared" ca="1" si="375"/>
        <v>0</v>
      </c>
      <c r="AT347" s="24">
        <f t="shared" ca="1" si="376"/>
        <v>0</v>
      </c>
      <c r="AU347" s="24">
        <f t="shared" ca="1" si="377"/>
        <v>0</v>
      </c>
      <c r="AV347" s="25">
        <f t="shared" ca="1" si="378"/>
        <v>0</v>
      </c>
      <c r="AW347" s="23">
        <f t="array" aca="1" ref="AW347" ca="1">SUM(IF(rcs_start_date&lt;=AO347,1,0)*IF(rcs_end_date&gt;=AO347,1,0)*rcs_amount*(1+rcs_escalation/100)^(INT((AP347-rcs_months_since_start)/12))*IF(MOD((AP347-rcs_months_since_start),rcs_frequency)=0,1,0)*IF(rcs_frequency=13,0,1))+SUM(IF(rcs_start_date=AO347,rcs_amount,0)*IF(rcs_frequency=13,1,0))</f>
        <v>0</v>
      </c>
      <c r="AX347" s="24">
        <f t="shared" ca="1" si="379"/>
        <v>0</v>
      </c>
      <c r="AY347" s="24">
        <f t="shared" ca="1" si="380"/>
        <v>0</v>
      </c>
      <c r="AZ347" s="24">
        <f t="shared" ca="1" si="381"/>
        <v>0</v>
      </c>
      <c r="BA347" s="25">
        <f t="shared" ca="1" si="382"/>
        <v>0</v>
      </c>
      <c r="BB347" s="23">
        <f t="array" aca="1" ref="BB347" ca="1">SUM(IF(w_start_date&lt;=AO347,1,0)*IF(w_end_date&gt;=AO347,1,0)*w_amount*(1+w_escalation/100)^(INT((AP347-w_months_since_start)/12))*IF(MOD(AP347-w_months_since_start,w_frequency)=0,1,0)*IF(w_frequency=13,0,1))+SUM(IF(w_start_date=AO347,w_amount,0)*IF(w_frequency=13,1,0))</f>
        <v>0</v>
      </c>
      <c r="BC347" s="25">
        <f t="shared" ca="1" si="383"/>
        <v>0</v>
      </c>
      <c r="BD347" s="24" t="b">
        <f t="shared" ca="1" si="384"/>
        <v>1</v>
      </c>
      <c r="BE347" s="24" t="b">
        <f t="shared" ca="1" si="385"/>
        <v>1</v>
      </c>
      <c r="BF347" s="23">
        <f t="array" aca="1" ref="BF347" ca="1">SUM(IF(BD347,1,0)*IF(ap_start_date&lt;=AO347,1,0)*IF(ap_end_date&gt;=AO347,1,0)*ap_amount*(1+ap_escalation/100)^(INT((AP347-ap_months_since_start)/12))*IF(MOD(AP347-ap_months_since_start,ap_frequency)=0,1,0))</f>
        <v>68176.517344469859</v>
      </c>
      <c r="BG347" s="24">
        <f t="shared" ca="1" si="386"/>
        <v>818118.20813363849</v>
      </c>
      <c r="BH347" s="24">
        <f t="shared" ca="1" si="387"/>
        <v>13258.039890407832</v>
      </c>
      <c r="BI347">
        <f t="shared" ca="1" si="388"/>
        <v>0</v>
      </c>
      <c r="BJ347" s="24">
        <f t="shared" ca="1" si="389"/>
        <v>92806.279232854824</v>
      </c>
      <c r="BK347">
        <f t="shared" ca="1" si="390"/>
        <v>1</v>
      </c>
      <c r="BL347" s="25">
        <f t="shared" ca="1" si="391"/>
        <v>7733.8566027379002</v>
      </c>
      <c r="BM347" s="32">
        <f t="shared" ca="1" si="370"/>
        <v>510196.59507362446</v>
      </c>
      <c r="BN347" s="23">
        <f t="shared" ca="1" si="392"/>
        <v>0</v>
      </c>
      <c r="BO347" s="24">
        <f t="shared" ca="1" si="393"/>
        <v>0</v>
      </c>
      <c r="BP347" s="25">
        <f t="shared" ca="1" si="394"/>
        <v>0</v>
      </c>
      <c r="BQ347" s="34">
        <f t="shared" ca="1" si="395"/>
        <v>55974</v>
      </c>
      <c r="BR347" s="23">
        <f t="shared" ca="1" si="396"/>
        <v>510196.59507362446</v>
      </c>
      <c r="BS347" s="24">
        <f t="shared" ca="1" si="397"/>
        <v>0</v>
      </c>
      <c r="BT347" s="24">
        <f t="shared" ca="1" si="402"/>
        <v>0</v>
      </c>
      <c r="BU347" s="24">
        <f t="shared" ca="1" si="398"/>
        <v>0</v>
      </c>
      <c r="BV347" s="24">
        <f t="shared" ca="1" si="403"/>
        <v>0</v>
      </c>
      <c r="BW347" s="24">
        <f t="shared" ca="1" si="399"/>
        <v>-7733.8566027379002</v>
      </c>
      <c r="BX347" s="25">
        <f t="shared" ca="1" si="404"/>
        <v>-98384.843686752763</v>
      </c>
      <c r="BY347" s="23">
        <f t="shared" ca="1" si="371"/>
        <v>167929.22193617834</v>
      </c>
      <c r="BZ347" s="24">
        <f t="shared" ca="1" si="372"/>
        <v>0</v>
      </c>
      <c r="CA347" s="24">
        <f t="shared" ca="1" si="405"/>
        <v>0</v>
      </c>
      <c r="CB347" s="24">
        <f t="shared" ca="1" si="373"/>
        <v>0</v>
      </c>
      <c r="CC347" s="24">
        <f t="shared" ca="1" si="406"/>
        <v>0</v>
      </c>
      <c r="CD347" s="24">
        <f t="shared" ca="1" si="374"/>
        <v>-2553.9023054218947</v>
      </c>
      <c r="CE347" s="25">
        <f t="shared" ca="1" si="407"/>
        <v>-33095.724572932893</v>
      </c>
      <c r="CF347" s="23">
        <f t="shared" ca="1" si="408"/>
        <v>799762.99192551197</v>
      </c>
      <c r="CG347" s="25">
        <f t="array" aca="1" ref="CG347" ca="1">SUM(BF336:BF347/(1+inflation/100)^(AP336:AP347/12))</f>
        <v>267980.53702225385</v>
      </c>
      <c r="CH347" s="32">
        <f ca="1">IFERROR(IF(MOD(AP347-ap_months_since_start,12)=0,ap_drawdown/100*(AQ347+AV347+BA347-BC347),CH346),0)</f>
        <v>81507.311864232572</v>
      </c>
    </row>
    <row r="348" spans="40:86" x14ac:dyDescent="0.25">
      <c r="AN348" s="32">
        <f t="shared" ca="1" si="369"/>
        <v>83.25</v>
      </c>
      <c r="AO348" s="53">
        <f t="shared" ca="1" si="400"/>
        <v>55975</v>
      </c>
      <c r="AP348" s="22">
        <v>341</v>
      </c>
      <c r="AQ348" s="32">
        <f t="shared" ca="1" si="401"/>
        <v>510196.59507362446</v>
      </c>
      <c r="AR348" s="23">
        <f t="array" aca="1" ref="AR348" ca="1">SUM(IF(lsc_start_date=AO348,lsc_amount,0))</f>
        <v>0</v>
      </c>
      <c r="AS348" s="24">
        <f t="shared" ca="1" si="375"/>
        <v>0</v>
      </c>
      <c r="AT348" s="24">
        <f t="shared" ca="1" si="376"/>
        <v>0</v>
      </c>
      <c r="AU348" s="24">
        <f t="shared" ca="1" si="377"/>
        <v>0</v>
      </c>
      <c r="AV348" s="25">
        <f t="shared" ca="1" si="378"/>
        <v>0</v>
      </c>
      <c r="AW348" s="23">
        <f t="array" aca="1" ref="AW348" ca="1">SUM(IF(rcs_start_date&lt;=AO348,1,0)*IF(rcs_end_date&gt;=AO348,1,0)*rcs_amount*(1+rcs_escalation/100)^(INT((AP348-rcs_months_since_start)/12))*IF(MOD((AP348-rcs_months_since_start),rcs_frequency)=0,1,0)*IF(rcs_frequency=13,0,1))+SUM(IF(rcs_start_date=AO348,rcs_amount,0)*IF(rcs_frequency=13,1,0))</f>
        <v>0</v>
      </c>
      <c r="AX348" s="24">
        <f t="shared" ca="1" si="379"/>
        <v>0</v>
      </c>
      <c r="AY348" s="24">
        <f t="shared" ca="1" si="380"/>
        <v>0</v>
      </c>
      <c r="AZ348" s="24">
        <f t="shared" ca="1" si="381"/>
        <v>0</v>
      </c>
      <c r="BA348" s="25">
        <f t="shared" ca="1" si="382"/>
        <v>0</v>
      </c>
      <c r="BB348" s="23">
        <f t="array" aca="1" ref="BB348" ca="1">SUM(IF(w_start_date&lt;=AO348,1,0)*IF(w_end_date&gt;=AO348,1,0)*w_amount*(1+w_escalation/100)^(INT((AP348-w_months_since_start)/12))*IF(MOD(AP348-w_months_since_start,w_frequency)=0,1,0)*IF(w_frequency=13,0,1))+SUM(IF(w_start_date=AO348,w_amount,0)*IF(w_frequency=13,1,0))</f>
        <v>0</v>
      </c>
      <c r="BC348" s="25">
        <f t="shared" ca="1" si="383"/>
        <v>0</v>
      </c>
      <c r="BD348" s="24" t="b">
        <f t="shared" ca="1" si="384"/>
        <v>1</v>
      </c>
      <c r="BE348" s="24" t="b">
        <f t="shared" ca="1" si="385"/>
        <v>1</v>
      </c>
      <c r="BF348" s="23">
        <f t="array" aca="1" ref="BF348" ca="1">SUM(IF(BD348,1,0)*IF(ap_start_date&lt;=AO348,1,0)*IF(ap_end_date&gt;=AO348,1,0)*ap_amount*(1+ap_escalation/100)^(INT((AP348-ap_months_since_start)/12))*IF(MOD(AP348-ap_months_since_start,ap_frequency)=0,1,0))</f>
        <v>68176.517344469859</v>
      </c>
      <c r="BG348" s="24">
        <f t="shared" ca="1" si="386"/>
        <v>818118.20813363849</v>
      </c>
      <c r="BH348" s="24">
        <f t="shared" ca="1" si="387"/>
        <v>13258.039890407832</v>
      </c>
      <c r="BI348">
        <f t="shared" ca="1" si="388"/>
        <v>0</v>
      </c>
      <c r="BJ348" s="24">
        <f t="shared" ca="1" si="389"/>
        <v>92806.279232854824</v>
      </c>
      <c r="BK348">
        <f t="shared" ca="1" si="390"/>
        <v>1</v>
      </c>
      <c r="BL348" s="25">
        <f t="shared" ca="1" si="391"/>
        <v>7733.8566027379002</v>
      </c>
      <c r="BM348" s="32">
        <f t="shared" ca="1" si="370"/>
        <v>506084.14988135768</v>
      </c>
      <c r="BN348" s="23">
        <f t="shared" ca="1" si="392"/>
        <v>0</v>
      </c>
      <c r="BO348" s="24">
        <f t="shared" ca="1" si="393"/>
        <v>0</v>
      </c>
      <c r="BP348" s="25">
        <f t="shared" ca="1" si="394"/>
        <v>0</v>
      </c>
      <c r="BQ348" s="34">
        <f t="shared" ca="1" si="395"/>
        <v>56004</v>
      </c>
      <c r="BR348" s="23">
        <f t="shared" ca="1" si="396"/>
        <v>506084.14988135768</v>
      </c>
      <c r="BS348" s="24">
        <f t="shared" ca="1" si="397"/>
        <v>0</v>
      </c>
      <c r="BT348" s="24">
        <f t="shared" ca="1" si="402"/>
        <v>0</v>
      </c>
      <c r="BU348" s="24">
        <f t="shared" ca="1" si="398"/>
        <v>0</v>
      </c>
      <c r="BV348" s="24">
        <f t="shared" ca="1" si="403"/>
        <v>0</v>
      </c>
      <c r="BW348" s="24">
        <f t="shared" ca="1" si="399"/>
        <v>-7733.8566027379002</v>
      </c>
      <c r="BX348" s="25">
        <f t="shared" ca="1" si="404"/>
        <v>-97587.905907624488</v>
      </c>
      <c r="BY348" s="23">
        <f t="shared" ca="1" si="371"/>
        <v>166032.08079204714</v>
      </c>
      <c r="BZ348" s="24">
        <f t="shared" ca="1" si="372"/>
        <v>0</v>
      </c>
      <c r="CA348" s="24">
        <f t="shared" ca="1" si="405"/>
        <v>0</v>
      </c>
      <c r="CB348" s="24">
        <f t="shared" ca="1" si="373"/>
        <v>0</v>
      </c>
      <c r="CC348" s="24">
        <f t="shared" ca="1" si="406"/>
        <v>0</v>
      </c>
      <c r="CD348" s="24">
        <f t="shared" ca="1" si="374"/>
        <v>-2545.5687756527168</v>
      </c>
      <c r="CE348" s="25">
        <f t="shared" ca="1" si="407"/>
        <v>-32721.100497531632</v>
      </c>
      <c r="CF348" s="23">
        <f t="shared" ca="1" si="408"/>
        <v>802385.16566953005</v>
      </c>
      <c r="CG348" s="25">
        <f t="array" aca="1" ref="CG348" ca="1">SUM(BF337:BF348/(1+inflation/100)^(AP337:AP348/12))</f>
        <v>267980.53702225379</v>
      </c>
      <c r="CH348" s="32">
        <f ca="1">IFERROR(IF(MOD(AP348-ap_months_since_start,12)=0,ap_drawdown/100*(AQ348+AV348+BA348-BC348),CH347),0)</f>
        <v>81507.311864232572</v>
      </c>
    </row>
    <row r="349" spans="40:86" x14ac:dyDescent="0.25">
      <c r="AN349" s="32">
        <f t="shared" ca="1" si="369"/>
        <v>83.333333333333329</v>
      </c>
      <c r="AO349" s="53">
        <f t="shared" ca="1" si="400"/>
        <v>56005</v>
      </c>
      <c r="AP349" s="22">
        <v>342</v>
      </c>
      <c r="AQ349" s="32">
        <f t="shared" ca="1" si="401"/>
        <v>506084.14988135768</v>
      </c>
      <c r="AR349" s="23">
        <f t="array" aca="1" ref="AR349" ca="1">SUM(IF(lsc_start_date=AO349,lsc_amount,0))</f>
        <v>0</v>
      </c>
      <c r="AS349" s="24">
        <f t="shared" ca="1" si="375"/>
        <v>0</v>
      </c>
      <c r="AT349" s="24">
        <f t="shared" ca="1" si="376"/>
        <v>0</v>
      </c>
      <c r="AU349" s="24">
        <f t="shared" ca="1" si="377"/>
        <v>0</v>
      </c>
      <c r="AV349" s="25">
        <f t="shared" ca="1" si="378"/>
        <v>0</v>
      </c>
      <c r="AW349" s="23">
        <f t="array" aca="1" ref="AW349" ca="1">SUM(IF(rcs_start_date&lt;=AO349,1,0)*IF(rcs_end_date&gt;=AO349,1,0)*rcs_amount*(1+rcs_escalation/100)^(INT((AP349-rcs_months_since_start)/12))*IF(MOD((AP349-rcs_months_since_start),rcs_frequency)=0,1,0)*IF(rcs_frequency=13,0,1))+SUM(IF(rcs_start_date=AO349,rcs_amount,0)*IF(rcs_frequency=13,1,0))</f>
        <v>0</v>
      </c>
      <c r="AX349" s="24">
        <f t="shared" ca="1" si="379"/>
        <v>0</v>
      </c>
      <c r="AY349" s="24">
        <f t="shared" ca="1" si="380"/>
        <v>0</v>
      </c>
      <c r="AZ349" s="24">
        <f t="shared" ca="1" si="381"/>
        <v>0</v>
      </c>
      <c r="BA349" s="25">
        <f t="shared" ca="1" si="382"/>
        <v>0</v>
      </c>
      <c r="BB349" s="23">
        <f t="array" aca="1" ref="BB349" ca="1">SUM(IF(w_start_date&lt;=AO349,1,0)*IF(w_end_date&gt;=AO349,1,0)*w_amount*(1+w_escalation/100)^(INT((AP349-w_months_since_start)/12))*IF(MOD(AP349-w_months_since_start,w_frequency)=0,1,0)*IF(w_frequency=13,0,1))+SUM(IF(w_start_date=AO349,w_amount,0)*IF(w_frequency=13,1,0))</f>
        <v>0</v>
      </c>
      <c r="BC349" s="25">
        <f t="shared" ca="1" si="383"/>
        <v>0</v>
      </c>
      <c r="BD349" s="24" t="b">
        <f t="shared" ca="1" si="384"/>
        <v>1</v>
      </c>
      <c r="BE349" s="24" t="b">
        <f t="shared" ca="1" si="385"/>
        <v>1</v>
      </c>
      <c r="BF349" s="23">
        <f t="array" aca="1" ref="BF349" ca="1">SUM(IF(BD349,1,0)*IF(ap_start_date&lt;=AO349,1,0)*IF(ap_end_date&gt;=AO349,1,0)*ap_amount*(1+ap_escalation/100)^(INT((AP349-ap_months_since_start)/12))*IF(MOD(AP349-ap_months_since_start,ap_frequency)=0,1,0))</f>
        <v>68176.517344469859</v>
      </c>
      <c r="BG349" s="24">
        <f t="shared" ca="1" si="386"/>
        <v>818118.20813363849</v>
      </c>
      <c r="BH349" s="24">
        <f t="shared" ca="1" si="387"/>
        <v>13258.039890407832</v>
      </c>
      <c r="BI349">
        <f t="shared" ca="1" si="388"/>
        <v>0</v>
      </c>
      <c r="BJ349" s="24">
        <f t="shared" ca="1" si="389"/>
        <v>92806.279232854824</v>
      </c>
      <c r="BK349">
        <f t="shared" ca="1" si="390"/>
        <v>1</v>
      </c>
      <c r="BL349" s="25">
        <f t="shared" ca="1" si="391"/>
        <v>7733.8566027379002</v>
      </c>
      <c r="BM349" s="32">
        <f t="shared" ca="1" si="370"/>
        <v>501942.06496697036</v>
      </c>
      <c r="BN349" s="23">
        <f t="shared" ca="1" si="392"/>
        <v>0</v>
      </c>
      <c r="BO349" s="24">
        <f t="shared" ca="1" si="393"/>
        <v>0</v>
      </c>
      <c r="BP349" s="25">
        <f t="shared" ca="1" si="394"/>
        <v>0</v>
      </c>
      <c r="BQ349" s="34">
        <f t="shared" ca="1" si="395"/>
        <v>56035</v>
      </c>
      <c r="BR349" s="23">
        <f t="shared" ca="1" si="396"/>
        <v>501942.06496697036</v>
      </c>
      <c r="BS349" s="24">
        <f t="shared" ca="1" si="397"/>
        <v>0</v>
      </c>
      <c r="BT349" s="24">
        <f t="shared" ca="1" si="402"/>
        <v>0</v>
      </c>
      <c r="BU349" s="24">
        <f t="shared" ca="1" si="398"/>
        <v>0</v>
      </c>
      <c r="BV349" s="24">
        <f t="shared" ca="1" si="403"/>
        <v>0</v>
      </c>
      <c r="BW349" s="24">
        <f t="shared" ca="1" si="399"/>
        <v>-7733.8566027379002</v>
      </c>
      <c r="BX349" s="25">
        <f t="shared" ca="1" si="404"/>
        <v>-96790.968128496199</v>
      </c>
      <c r="BY349" s="23">
        <f t="shared" ca="1" si="371"/>
        <v>164135.84033955936</v>
      </c>
      <c r="BZ349" s="24">
        <f t="shared" ca="1" si="372"/>
        <v>0</v>
      </c>
      <c r="CA349" s="24">
        <f t="shared" ca="1" si="405"/>
        <v>0</v>
      </c>
      <c r="CB349" s="24">
        <f t="shared" ca="1" si="373"/>
        <v>0</v>
      </c>
      <c r="CC349" s="24">
        <f t="shared" ca="1" si="406"/>
        <v>0</v>
      </c>
      <c r="CD349" s="24">
        <f t="shared" ca="1" si="374"/>
        <v>-2537.2624386693656</v>
      </c>
      <c r="CE349" s="25">
        <f t="shared" ca="1" si="407"/>
        <v>-32347.698841984864</v>
      </c>
      <c r="CF349" s="23">
        <f t="shared" ca="1" si="408"/>
        <v>805007.33941354812</v>
      </c>
      <c r="CG349" s="25">
        <f t="array" aca="1" ref="CG349" ca="1">SUM(BF338:BF349/(1+inflation/100)^(AP338:AP349/12))</f>
        <v>267980.53702225379</v>
      </c>
      <c r="CH349" s="32">
        <f ca="1">IFERROR(IF(MOD(AP349-ap_months_since_start,12)=0,ap_drawdown/100*(AQ349+AV349+BA349-BC349),CH348),0)</f>
        <v>81507.311864232572</v>
      </c>
    </row>
    <row r="350" spans="40:86" x14ac:dyDescent="0.25">
      <c r="AN350" s="32">
        <f t="shared" ca="1" si="369"/>
        <v>83.416666666666671</v>
      </c>
      <c r="AO350" s="53">
        <f t="shared" ca="1" si="400"/>
        <v>56036</v>
      </c>
      <c r="AP350" s="22">
        <v>343</v>
      </c>
      <c r="AQ350" s="32">
        <f t="shared" ca="1" si="401"/>
        <v>501942.06496697036</v>
      </c>
      <c r="AR350" s="23">
        <f t="array" aca="1" ref="AR350" ca="1">SUM(IF(lsc_start_date=AO350,lsc_amount,0))</f>
        <v>0</v>
      </c>
      <c r="AS350" s="24">
        <f t="shared" ca="1" si="375"/>
        <v>0</v>
      </c>
      <c r="AT350" s="24">
        <f t="shared" ca="1" si="376"/>
        <v>0</v>
      </c>
      <c r="AU350" s="24">
        <f t="shared" ca="1" si="377"/>
        <v>0</v>
      </c>
      <c r="AV350" s="25">
        <f t="shared" ca="1" si="378"/>
        <v>0</v>
      </c>
      <c r="AW350" s="23">
        <f t="array" aca="1" ref="AW350" ca="1">SUM(IF(rcs_start_date&lt;=AO350,1,0)*IF(rcs_end_date&gt;=AO350,1,0)*rcs_amount*(1+rcs_escalation/100)^(INT((AP350-rcs_months_since_start)/12))*IF(MOD((AP350-rcs_months_since_start),rcs_frequency)=0,1,0)*IF(rcs_frequency=13,0,1))+SUM(IF(rcs_start_date=AO350,rcs_amount,0)*IF(rcs_frequency=13,1,0))</f>
        <v>0</v>
      </c>
      <c r="AX350" s="24">
        <f t="shared" ca="1" si="379"/>
        <v>0</v>
      </c>
      <c r="AY350" s="24">
        <f t="shared" ca="1" si="380"/>
        <v>0</v>
      </c>
      <c r="AZ350" s="24">
        <f t="shared" ca="1" si="381"/>
        <v>0</v>
      </c>
      <c r="BA350" s="25">
        <f t="shared" ca="1" si="382"/>
        <v>0</v>
      </c>
      <c r="BB350" s="23">
        <f t="array" aca="1" ref="BB350" ca="1">SUM(IF(w_start_date&lt;=AO350,1,0)*IF(w_end_date&gt;=AO350,1,0)*w_amount*(1+w_escalation/100)^(INT((AP350-w_months_since_start)/12))*IF(MOD(AP350-w_months_since_start,w_frequency)=0,1,0)*IF(w_frequency=13,0,1))+SUM(IF(w_start_date=AO350,w_amount,0)*IF(w_frequency=13,1,0))</f>
        <v>0</v>
      </c>
      <c r="BC350" s="25">
        <f t="shared" ca="1" si="383"/>
        <v>0</v>
      </c>
      <c r="BD350" s="24" t="b">
        <f t="shared" ca="1" si="384"/>
        <v>1</v>
      </c>
      <c r="BE350" s="24" t="b">
        <f t="shared" ca="1" si="385"/>
        <v>1</v>
      </c>
      <c r="BF350" s="23">
        <f t="array" aca="1" ref="BF350" ca="1">SUM(IF(BD350,1,0)*IF(ap_start_date&lt;=AO350,1,0)*IF(ap_end_date&gt;=AO350,1,0)*ap_amount*(1+ap_escalation/100)^(INT((AP350-ap_months_since_start)/12))*IF(MOD(AP350-ap_months_since_start,ap_frequency)=0,1,0))</f>
        <v>68176.517344469859</v>
      </c>
      <c r="BG350" s="24">
        <f t="shared" ca="1" si="386"/>
        <v>818118.20813363849</v>
      </c>
      <c r="BH350" s="24">
        <f t="shared" ca="1" si="387"/>
        <v>13258.039890407832</v>
      </c>
      <c r="BI350">
        <f t="shared" ca="1" si="388"/>
        <v>0</v>
      </c>
      <c r="BJ350" s="24">
        <f t="shared" ca="1" si="389"/>
        <v>92806.279232854824</v>
      </c>
      <c r="BK350">
        <f t="shared" ca="1" si="390"/>
        <v>1</v>
      </c>
      <c r="BL350" s="25">
        <f t="shared" ca="1" si="391"/>
        <v>7733.8566027379002</v>
      </c>
      <c r="BM350" s="32">
        <f t="shared" ca="1" si="370"/>
        <v>497770.12670740212</v>
      </c>
      <c r="BN350" s="23">
        <f t="shared" ca="1" si="392"/>
        <v>0</v>
      </c>
      <c r="BO350" s="24">
        <f t="shared" ca="1" si="393"/>
        <v>0</v>
      </c>
      <c r="BP350" s="25">
        <f t="shared" ca="1" si="394"/>
        <v>0</v>
      </c>
      <c r="BQ350" s="34">
        <f t="shared" ca="1" si="395"/>
        <v>56065</v>
      </c>
      <c r="BR350" s="23">
        <f t="shared" ca="1" si="396"/>
        <v>497770.12670740212</v>
      </c>
      <c r="BS350" s="24">
        <f t="shared" ca="1" si="397"/>
        <v>0</v>
      </c>
      <c r="BT350" s="24">
        <f t="shared" ca="1" si="402"/>
        <v>0</v>
      </c>
      <c r="BU350" s="24">
        <f t="shared" ca="1" si="398"/>
        <v>0</v>
      </c>
      <c r="BV350" s="24">
        <f t="shared" ca="1" si="403"/>
        <v>0</v>
      </c>
      <c r="BW350" s="24">
        <f t="shared" ca="1" si="399"/>
        <v>-7733.8566027379002</v>
      </c>
      <c r="BX350" s="25">
        <f t="shared" ca="1" si="404"/>
        <v>-95994.030349367924</v>
      </c>
      <c r="BY350" s="23">
        <f t="shared" ca="1" si="371"/>
        <v>162240.47689977757</v>
      </c>
      <c r="BZ350" s="24">
        <f t="shared" ca="1" si="372"/>
        <v>0</v>
      </c>
      <c r="CA350" s="24">
        <f t="shared" ca="1" si="405"/>
        <v>0</v>
      </c>
      <c r="CB350" s="24">
        <f t="shared" ca="1" si="373"/>
        <v>0</v>
      </c>
      <c r="CC350" s="24">
        <f t="shared" ca="1" si="406"/>
        <v>0</v>
      </c>
      <c r="CD350" s="24">
        <f t="shared" ca="1" si="374"/>
        <v>-2528.9832057402209</v>
      </c>
      <c r="CE350" s="25">
        <f t="shared" ca="1" si="407"/>
        <v>-31975.51561746647</v>
      </c>
      <c r="CF350" s="23">
        <f t="shared" ca="1" si="408"/>
        <v>807629.51315756619</v>
      </c>
      <c r="CG350" s="25">
        <f t="array" aca="1" ref="CG350" ca="1">SUM(BF339:BF350/(1+inflation/100)^(AP339:AP350/12))</f>
        <v>267980.53702225373</v>
      </c>
      <c r="CH350" s="32">
        <f ca="1">IFERROR(IF(MOD(AP350-ap_months_since_start,12)=0,ap_drawdown/100*(AQ350+AV350+BA350-BC350),CH349),0)</f>
        <v>81507.311864232572</v>
      </c>
    </row>
    <row r="351" spans="40:86" x14ac:dyDescent="0.25">
      <c r="AN351" s="32">
        <f t="shared" ca="1" si="369"/>
        <v>83.5</v>
      </c>
      <c r="AO351" s="53">
        <f t="shared" ca="1" si="400"/>
        <v>56066</v>
      </c>
      <c r="AP351" s="22">
        <v>344</v>
      </c>
      <c r="AQ351" s="32">
        <f t="shared" ca="1" si="401"/>
        <v>497770.12670740212</v>
      </c>
      <c r="AR351" s="23">
        <f t="array" aca="1" ref="AR351" ca="1">SUM(IF(lsc_start_date=AO351,lsc_amount,0))</f>
        <v>0</v>
      </c>
      <c r="AS351" s="24">
        <f t="shared" ca="1" si="375"/>
        <v>0</v>
      </c>
      <c r="AT351" s="24">
        <f t="shared" ca="1" si="376"/>
        <v>0</v>
      </c>
      <c r="AU351" s="24">
        <f t="shared" ca="1" si="377"/>
        <v>0</v>
      </c>
      <c r="AV351" s="25">
        <f t="shared" ca="1" si="378"/>
        <v>0</v>
      </c>
      <c r="AW351" s="23">
        <f t="array" aca="1" ref="AW351" ca="1">SUM(IF(rcs_start_date&lt;=AO351,1,0)*IF(rcs_end_date&gt;=AO351,1,0)*rcs_amount*(1+rcs_escalation/100)^(INT((AP351-rcs_months_since_start)/12))*IF(MOD((AP351-rcs_months_since_start),rcs_frequency)=0,1,0)*IF(rcs_frequency=13,0,1))+SUM(IF(rcs_start_date=AO351,rcs_amount,0)*IF(rcs_frequency=13,1,0))</f>
        <v>0</v>
      </c>
      <c r="AX351" s="24">
        <f t="shared" ca="1" si="379"/>
        <v>0</v>
      </c>
      <c r="AY351" s="24">
        <f t="shared" ca="1" si="380"/>
        <v>0</v>
      </c>
      <c r="AZ351" s="24">
        <f t="shared" ca="1" si="381"/>
        <v>0</v>
      </c>
      <c r="BA351" s="25">
        <f t="shared" ca="1" si="382"/>
        <v>0</v>
      </c>
      <c r="BB351" s="23">
        <f t="array" aca="1" ref="BB351" ca="1">SUM(IF(w_start_date&lt;=AO351,1,0)*IF(w_end_date&gt;=AO351,1,0)*w_amount*(1+w_escalation/100)^(INT((AP351-w_months_since_start)/12))*IF(MOD(AP351-w_months_since_start,w_frequency)=0,1,0)*IF(w_frequency=13,0,1))+SUM(IF(w_start_date=AO351,w_amount,0)*IF(w_frequency=13,1,0))</f>
        <v>0</v>
      </c>
      <c r="BC351" s="25">
        <f t="shared" ca="1" si="383"/>
        <v>0</v>
      </c>
      <c r="BD351" s="24" t="b">
        <f t="shared" ca="1" si="384"/>
        <v>1</v>
      </c>
      <c r="BE351" s="24" t="b">
        <f t="shared" ca="1" si="385"/>
        <v>1</v>
      </c>
      <c r="BF351" s="23">
        <f t="array" aca="1" ref="BF351" ca="1">SUM(IF(BD351,1,0)*IF(ap_start_date&lt;=AO351,1,0)*IF(ap_end_date&gt;=AO351,1,0)*ap_amount*(1+ap_escalation/100)^(INT((AP351-ap_months_since_start)/12))*IF(MOD(AP351-ap_months_since_start,ap_frequency)=0,1,0))</f>
        <v>68176.517344469859</v>
      </c>
      <c r="BG351" s="24">
        <f t="shared" ca="1" si="386"/>
        <v>818118.20813363849</v>
      </c>
      <c r="BH351" s="24">
        <f t="shared" ca="1" si="387"/>
        <v>13258.039890407832</v>
      </c>
      <c r="BI351">
        <f t="shared" ca="1" si="388"/>
        <v>0</v>
      </c>
      <c r="BJ351" s="24">
        <f t="shared" ca="1" si="389"/>
        <v>92806.279232854824</v>
      </c>
      <c r="BK351">
        <f t="shared" ca="1" si="390"/>
        <v>1</v>
      </c>
      <c r="BL351" s="25">
        <f t="shared" ca="1" si="391"/>
        <v>7733.8566027379002</v>
      </c>
      <c r="BM351" s="32">
        <f t="shared" ca="1" si="370"/>
        <v>493568.1199399422</v>
      </c>
      <c r="BN351" s="23">
        <f t="shared" ca="1" si="392"/>
        <v>0</v>
      </c>
      <c r="BO351" s="24">
        <f t="shared" ca="1" si="393"/>
        <v>0</v>
      </c>
      <c r="BP351" s="25">
        <f t="shared" ca="1" si="394"/>
        <v>0</v>
      </c>
      <c r="BQ351" s="34">
        <f t="shared" ca="1" si="395"/>
        <v>56096</v>
      </c>
      <c r="BR351" s="23">
        <f t="shared" ca="1" si="396"/>
        <v>493568.1199399422</v>
      </c>
      <c r="BS351" s="24">
        <f t="shared" ca="1" si="397"/>
        <v>0</v>
      </c>
      <c r="BT351" s="24">
        <f t="shared" ca="1" si="402"/>
        <v>0</v>
      </c>
      <c r="BU351" s="24">
        <f t="shared" ca="1" si="398"/>
        <v>0</v>
      </c>
      <c r="BV351" s="24">
        <f t="shared" ca="1" si="403"/>
        <v>0</v>
      </c>
      <c r="BW351" s="24">
        <f t="shared" ca="1" si="399"/>
        <v>-7733.8566027379002</v>
      </c>
      <c r="BX351" s="25">
        <f t="shared" ca="1" si="404"/>
        <v>-95197.092570239634</v>
      </c>
      <c r="BY351" s="23">
        <f t="shared" ca="1" si="371"/>
        <v>160345.96678971406</v>
      </c>
      <c r="BZ351" s="24">
        <f t="shared" ca="1" si="372"/>
        <v>0</v>
      </c>
      <c r="CA351" s="24">
        <f t="shared" ca="1" si="405"/>
        <v>0</v>
      </c>
      <c r="CB351" s="24">
        <f t="shared" ca="1" si="373"/>
        <v>0</v>
      </c>
      <c r="CC351" s="24">
        <f t="shared" ca="1" si="406"/>
        <v>0</v>
      </c>
      <c r="CD351" s="24">
        <f t="shared" ca="1" si="374"/>
        <v>-2520.7309884231986</v>
      </c>
      <c r="CE351" s="25">
        <f t="shared" ca="1" si="407"/>
        <v>-31604.546848166094</v>
      </c>
      <c r="CF351" s="23">
        <f t="shared" ca="1" si="408"/>
        <v>810251.68690158427</v>
      </c>
      <c r="CG351" s="25">
        <f t="array" aca="1" ref="CG351" ca="1">SUM(BF340:BF351/(1+inflation/100)^(AP340:AP351/12))</f>
        <v>267980.53702225373</v>
      </c>
      <c r="CH351" s="32">
        <f ca="1">IFERROR(IF(MOD(AP351-ap_months_since_start,12)=0,ap_drawdown/100*(AQ351+AV351+BA351-BC351),CH350),0)</f>
        <v>81507.311864232572</v>
      </c>
    </row>
    <row r="352" spans="40:86" x14ac:dyDescent="0.25">
      <c r="AN352" s="32">
        <f t="shared" ca="1" si="369"/>
        <v>83.583333333333329</v>
      </c>
      <c r="AO352" s="53">
        <f t="shared" ca="1" si="400"/>
        <v>56097</v>
      </c>
      <c r="AP352" s="22">
        <v>345</v>
      </c>
      <c r="AQ352" s="32">
        <f t="shared" ca="1" si="401"/>
        <v>493568.1199399422</v>
      </c>
      <c r="AR352" s="23">
        <f t="array" aca="1" ref="AR352" ca="1">SUM(IF(lsc_start_date=AO352,lsc_amount,0))</f>
        <v>0</v>
      </c>
      <c r="AS352" s="24">
        <f t="shared" ca="1" si="375"/>
        <v>0</v>
      </c>
      <c r="AT352" s="24">
        <f t="shared" ca="1" si="376"/>
        <v>0</v>
      </c>
      <c r="AU352" s="24">
        <f t="shared" ca="1" si="377"/>
        <v>0</v>
      </c>
      <c r="AV352" s="25">
        <f t="shared" ca="1" si="378"/>
        <v>0</v>
      </c>
      <c r="AW352" s="23">
        <f t="array" aca="1" ref="AW352" ca="1">SUM(IF(rcs_start_date&lt;=AO352,1,0)*IF(rcs_end_date&gt;=AO352,1,0)*rcs_amount*(1+rcs_escalation/100)^(INT((AP352-rcs_months_since_start)/12))*IF(MOD((AP352-rcs_months_since_start),rcs_frequency)=0,1,0)*IF(rcs_frequency=13,0,1))+SUM(IF(rcs_start_date=AO352,rcs_amount,0)*IF(rcs_frequency=13,1,0))</f>
        <v>0</v>
      </c>
      <c r="AX352" s="24">
        <f t="shared" ca="1" si="379"/>
        <v>0</v>
      </c>
      <c r="AY352" s="24">
        <f t="shared" ca="1" si="380"/>
        <v>0</v>
      </c>
      <c r="AZ352" s="24">
        <f t="shared" ca="1" si="381"/>
        <v>0</v>
      </c>
      <c r="BA352" s="25">
        <f t="shared" ca="1" si="382"/>
        <v>0</v>
      </c>
      <c r="BB352" s="23">
        <f t="array" aca="1" ref="BB352" ca="1">SUM(IF(w_start_date&lt;=AO352,1,0)*IF(w_end_date&gt;=AO352,1,0)*w_amount*(1+w_escalation/100)^(INT((AP352-w_months_since_start)/12))*IF(MOD(AP352-w_months_since_start,w_frequency)=0,1,0)*IF(w_frequency=13,0,1))+SUM(IF(w_start_date=AO352,w_amount,0)*IF(w_frequency=13,1,0))</f>
        <v>0</v>
      </c>
      <c r="BC352" s="25">
        <f t="shared" ca="1" si="383"/>
        <v>0</v>
      </c>
      <c r="BD352" s="24" t="b">
        <f t="shared" ca="1" si="384"/>
        <v>1</v>
      </c>
      <c r="BE352" s="24" t="b">
        <f t="shared" ca="1" si="385"/>
        <v>1</v>
      </c>
      <c r="BF352" s="23">
        <f t="array" aca="1" ref="BF352" ca="1">SUM(IF(BD352,1,0)*IF(ap_start_date&lt;=AO352,1,0)*IF(ap_end_date&gt;=AO352,1,0)*ap_amount*(1+ap_escalation/100)^(INT((AP352-ap_months_since_start)/12))*IF(MOD(AP352-ap_months_since_start,ap_frequency)=0,1,0))</f>
        <v>68176.517344469859</v>
      </c>
      <c r="BG352" s="24">
        <f t="shared" ca="1" si="386"/>
        <v>818118.20813363849</v>
      </c>
      <c r="BH352" s="24">
        <f t="shared" ca="1" si="387"/>
        <v>13258.039890407832</v>
      </c>
      <c r="BI352">
        <f t="shared" ca="1" si="388"/>
        <v>0</v>
      </c>
      <c r="BJ352" s="24">
        <f t="shared" ca="1" si="389"/>
        <v>92806.279232854824</v>
      </c>
      <c r="BK352">
        <f t="shared" ca="1" si="390"/>
        <v>1</v>
      </c>
      <c r="BL352" s="25">
        <f t="shared" ca="1" si="391"/>
        <v>7733.8566027379002</v>
      </c>
      <c r="BM352" s="32">
        <f t="shared" ca="1" si="370"/>
        <v>489335.82795113261</v>
      </c>
      <c r="BN352" s="23">
        <f t="shared" ca="1" si="392"/>
        <v>0</v>
      </c>
      <c r="BO352" s="24">
        <f t="shared" ca="1" si="393"/>
        <v>0</v>
      </c>
      <c r="BP352" s="25">
        <f t="shared" ca="1" si="394"/>
        <v>0</v>
      </c>
      <c r="BQ352" s="34">
        <f t="shared" ca="1" si="395"/>
        <v>56127</v>
      </c>
      <c r="BR352" s="23">
        <f t="shared" ca="1" si="396"/>
        <v>489335.82795113261</v>
      </c>
      <c r="BS352" s="24">
        <f t="shared" ca="1" si="397"/>
        <v>0</v>
      </c>
      <c r="BT352" s="24">
        <f t="shared" ca="1" si="402"/>
        <v>0</v>
      </c>
      <c r="BU352" s="24">
        <f t="shared" ca="1" si="398"/>
        <v>0</v>
      </c>
      <c r="BV352" s="24">
        <f t="shared" ca="1" si="403"/>
        <v>0</v>
      </c>
      <c r="BW352" s="24">
        <f t="shared" ca="1" si="399"/>
        <v>-7733.8566027379002</v>
      </c>
      <c r="BX352" s="25">
        <f t="shared" ca="1" si="404"/>
        <v>-94400.154791111359</v>
      </c>
      <c r="BY352" s="23">
        <f t="shared" ca="1" si="371"/>
        <v>158452.28632202526</v>
      </c>
      <c r="BZ352" s="24">
        <f t="shared" ca="1" si="372"/>
        <v>0</v>
      </c>
      <c r="CA352" s="24">
        <f t="shared" ca="1" si="405"/>
        <v>0</v>
      </c>
      <c r="CB352" s="24">
        <f t="shared" ca="1" si="373"/>
        <v>0</v>
      </c>
      <c r="CC352" s="24">
        <f t="shared" ca="1" si="406"/>
        <v>0</v>
      </c>
      <c r="CD352" s="24">
        <f t="shared" ca="1" si="374"/>
        <v>-2512.5056985648057</v>
      </c>
      <c r="CE352" s="25">
        <f t="shared" ca="1" si="407"/>
        <v>-31234.78857124666</v>
      </c>
      <c r="CF352" s="23">
        <f t="shared" ca="1" si="408"/>
        <v>812873.86064560234</v>
      </c>
      <c r="CG352" s="25">
        <f t="array" aca="1" ref="CG352" ca="1">SUM(BF341:BF352/(1+inflation/100)^(AP341:AP352/12))</f>
        <v>267980.53702225379</v>
      </c>
      <c r="CH352" s="32">
        <f ca="1">IFERROR(IF(MOD(AP352-ap_months_since_start,12)=0,ap_drawdown/100*(AQ352+AV352+BA352-BC352),CH351),0)</f>
        <v>81507.311864232572</v>
      </c>
    </row>
    <row r="353" spans="40:86" x14ac:dyDescent="0.25">
      <c r="AN353" s="32">
        <f t="shared" ca="1" si="369"/>
        <v>83.666666666666671</v>
      </c>
      <c r="AO353" s="53">
        <f t="shared" ca="1" si="400"/>
        <v>56128</v>
      </c>
      <c r="AP353" s="22">
        <v>346</v>
      </c>
      <c r="AQ353" s="32">
        <f t="shared" ca="1" si="401"/>
        <v>489335.82795113261</v>
      </c>
      <c r="AR353" s="23">
        <f t="array" aca="1" ref="AR353" ca="1">SUM(IF(lsc_start_date=AO353,lsc_amount,0))</f>
        <v>0</v>
      </c>
      <c r="AS353" s="24">
        <f t="shared" ca="1" si="375"/>
        <v>0</v>
      </c>
      <c r="AT353" s="24">
        <f t="shared" ca="1" si="376"/>
        <v>0</v>
      </c>
      <c r="AU353" s="24">
        <f t="shared" ca="1" si="377"/>
        <v>0</v>
      </c>
      <c r="AV353" s="25">
        <f t="shared" ca="1" si="378"/>
        <v>0</v>
      </c>
      <c r="AW353" s="23">
        <f t="array" aca="1" ref="AW353" ca="1">SUM(IF(rcs_start_date&lt;=AO353,1,0)*IF(rcs_end_date&gt;=AO353,1,0)*rcs_amount*(1+rcs_escalation/100)^(INT((AP353-rcs_months_since_start)/12))*IF(MOD((AP353-rcs_months_since_start),rcs_frequency)=0,1,0)*IF(rcs_frequency=13,0,1))+SUM(IF(rcs_start_date=AO353,rcs_amount,0)*IF(rcs_frequency=13,1,0))</f>
        <v>0</v>
      </c>
      <c r="AX353" s="24">
        <f t="shared" ca="1" si="379"/>
        <v>0</v>
      </c>
      <c r="AY353" s="24">
        <f t="shared" ca="1" si="380"/>
        <v>0</v>
      </c>
      <c r="AZ353" s="24">
        <f t="shared" ca="1" si="381"/>
        <v>0</v>
      </c>
      <c r="BA353" s="25">
        <f t="shared" ca="1" si="382"/>
        <v>0</v>
      </c>
      <c r="BB353" s="23">
        <f t="array" aca="1" ref="BB353" ca="1">SUM(IF(w_start_date&lt;=AO353,1,0)*IF(w_end_date&gt;=AO353,1,0)*w_amount*(1+w_escalation/100)^(INT((AP353-w_months_since_start)/12))*IF(MOD(AP353-w_months_since_start,w_frequency)=0,1,0)*IF(w_frequency=13,0,1))+SUM(IF(w_start_date=AO353,w_amount,0)*IF(w_frequency=13,1,0))</f>
        <v>0</v>
      </c>
      <c r="BC353" s="25">
        <f t="shared" ca="1" si="383"/>
        <v>0</v>
      </c>
      <c r="BD353" s="24" t="b">
        <f t="shared" ca="1" si="384"/>
        <v>1</v>
      </c>
      <c r="BE353" s="24" t="b">
        <f t="shared" ca="1" si="385"/>
        <v>1</v>
      </c>
      <c r="BF353" s="23">
        <f t="array" aca="1" ref="BF353" ca="1">SUM(IF(BD353,1,0)*IF(ap_start_date&lt;=AO353,1,0)*IF(ap_end_date&gt;=AO353,1,0)*ap_amount*(1+ap_escalation/100)^(INT((AP353-ap_months_since_start)/12))*IF(MOD(AP353-ap_months_since_start,ap_frequency)=0,1,0))</f>
        <v>68176.517344469859</v>
      </c>
      <c r="BG353" s="24">
        <f t="shared" ca="1" si="386"/>
        <v>818118.20813363849</v>
      </c>
      <c r="BH353" s="24">
        <f t="shared" ca="1" si="387"/>
        <v>13258.039890407832</v>
      </c>
      <c r="BI353">
        <f t="shared" ca="1" si="388"/>
        <v>0</v>
      </c>
      <c r="BJ353" s="24">
        <f t="shared" ca="1" si="389"/>
        <v>92806.279232854824</v>
      </c>
      <c r="BK353">
        <f t="shared" ca="1" si="390"/>
        <v>1</v>
      </c>
      <c r="BL353" s="25">
        <f t="shared" ca="1" si="391"/>
        <v>7733.8566027379002</v>
      </c>
      <c r="BM353" s="32">
        <f t="shared" ca="1" si="370"/>
        <v>485073.03246559139</v>
      </c>
      <c r="BN353" s="23">
        <f t="shared" ca="1" si="392"/>
        <v>0</v>
      </c>
      <c r="BO353" s="24">
        <f t="shared" ca="1" si="393"/>
        <v>0</v>
      </c>
      <c r="BP353" s="25">
        <f t="shared" ca="1" si="394"/>
        <v>0</v>
      </c>
      <c r="BQ353" s="34">
        <f t="shared" ca="1" si="395"/>
        <v>56157</v>
      </c>
      <c r="BR353" s="23">
        <f t="shared" ca="1" si="396"/>
        <v>485073.03246559139</v>
      </c>
      <c r="BS353" s="24">
        <f t="shared" ca="1" si="397"/>
        <v>0</v>
      </c>
      <c r="BT353" s="24">
        <f t="shared" ca="1" si="402"/>
        <v>0</v>
      </c>
      <c r="BU353" s="24">
        <f t="shared" ca="1" si="398"/>
        <v>0</v>
      </c>
      <c r="BV353" s="24">
        <f t="shared" ca="1" si="403"/>
        <v>0</v>
      </c>
      <c r="BW353" s="24">
        <f t="shared" ca="1" si="399"/>
        <v>-7733.8566027379002</v>
      </c>
      <c r="BX353" s="25">
        <f t="shared" ca="1" si="404"/>
        <v>-93603.21701198307</v>
      </c>
      <c r="BY353" s="23">
        <f t="shared" ca="1" si="371"/>
        <v>156559.41180470586</v>
      </c>
      <c r="BZ353" s="24">
        <f t="shared" ca="1" si="372"/>
        <v>0</v>
      </c>
      <c r="CA353" s="24">
        <f t="shared" ca="1" si="405"/>
        <v>0</v>
      </c>
      <c r="CB353" s="24">
        <f t="shared" ca="1" si="373"/>
        <v>0</v>
      </c>
      <c r="CC353" s="24">
        <f t="shared" ca="1" si="406"/>
        <v>0</v>
      </c>
      <c r="CD353" s="24">
        <f t="shared" ca="1" si="374"/>
        <v>-2504.3072482991993</v>
      </c>
      <c r="CE353" s="25">
        <f t="shared" ca="1" si="407"/>
        <v>-30866.23683680208</v>
      </c>
      <c r="CF353" s="23">
        <f t="shared" ca="1" si="408"/>
        <v>815496.03438962041</v>
      </c>
      <c r="CG353" s="25">
        <f t="array" aca="1" ref="CG353" ca="1">SUM(BF342:BF353/(1+inflation/100)^(AP342:AP353/12))</f>
        <v>267980.53702225373</v>
      </c>
      <c r="CH353" s="32">
        <f ca="1">IFERROR(IF(MOD(AP353-ap_months_since_start,12)=0,ap_drawdown/100*(AQ353+AV353+BA353-BC353),CH352),0)</f>
        <v>81507.311864232572</v>
      </c>
    </row>
    <row r="354" spans="40:86" x14ac:dyDescent="0.25">
      <c r="AN354" s="32">
        <f t="shared" ca="1" si="369"/>
        <v>83.75</v>
      </c>
      <c r="AO354" s="53">
        <f t="shared" ca="1" si="400"/>
        <v>56158</v>
      </c>
      <c r="AP354" s="22">
        <v>347</v>
      </c>
      <c r="AQ354" s="32">
        <f t="shared" ca="1" si="401"/>
        <v>485073.03246559139</v>
      </c>
      <c r="AR354" s="23">
        <f t="array" aca="1" ref="AR354" ca="1">SUM(IF(lsc_start_date=AO354,lsc_amount,0))</f>
        <v>0</v>
      </c>
      <c r="AS354" s="24">
        <f t="shared" ca="1" si="375"/>
        <v>0</v>
      </c>
      <c r="AT354" s="24">
        <f t="shared" ca="1" si="376"/>
        <v>0</v>
      </c>
      <c r="AU354" s="24">
        <f t="shared" ca="1" si="377"/>
        <v>0</v>
      </c>
      <c r="AV354" s="25">
        <f t="shared" ca="1" si="378"/>
        <v>0</v>
      </c>
      <c r="AW354" s="23">
        <f t="array" aca="1" ref="AW354" ca="1">SUM(IF(rcs_start_date&lt;=AO354,1,0)*IF(rcs_end_date&gt;=AO354,1,0)*rcs_amount*(1+rcs_escalation/100)^(INT((AP354-rcs_months_since_start)/12))*IF(MOD((AP354-rcs_months_since_start),rcs_frequency)=0,1,0)*IF(rcs_frequency=13,0,1))+SUM(IF(rcs_start_date=AO354,rcs_amount,0)*IF(rcs_frequency=13,1,0))</f>
        <v>0</v>
      </c>
      <c r="AX354" s="24">
        <f t="shared" ca="1" si="379"/>
        <v>0</v>
      </c>
      <c r="AY354" s="24">
        <f t="shared" ca="1" si="380"/>
        <v>0</v>
      </c>
      <c r="AZ354" s="24">
        <f t="shared" ca="1" si="381"/>
        <v>0</v>
      </c>
      <c r="BA354" s="25">
        <f t="shared" ca="1" si="382"/>
        <v>0</v>
      </c>
      <c r="BB354" s="23">
        <f t="array" aca="1" ref="BB354" ca="1">SUM(IF(w_start_date&lt;=AO354,1,0)*IF(w_end_date&gt;=AO354,1,0)*w_amount*(1+w_escalation/100)^(INT((AP354-w_months_since_start)/12))*IF(MOD(AP354-w_months_since_start,w_frequency)=0,1,0)*IF(w_frequency=13,0,1))+SUM(IF(w_start_date=AO354,w_amount,0)*IF(w_frequency=13,1,0))</f>
        <v>0</v>
      </c>
      <c r="BC354" s="25">
        <f t="shared" ca="1" si="383"/>
        <v>0</v>
      </c>
      <c r="BD354" s="24" t="b">
        <f t="shared" ca="1" si="384"/>
        <v>1</v>
      </c>
      <c r="BE354" s="24" t="b">
        <f t="shared" ca="1" si="385"/>
        <v>1</v>
      </c>
      <c r="BF354" s="23">
        <f t="array" aca="1" ref="BF354" ca="1">SUM(IF(BD354,1,0)*IF(ap_start_date&lt;=AO354,1,0)*IF(ap_end_date&gt;=AO354,1,0)*ap_amount*(1+ap_escalation/100)^(INT((AP354-ap_months_since_start)/12))*IF(MOD(AP354-ap_months_since_start,ap_frequency)=0,1,0))</f>
        <v>68176.517344469859</v>
      </c>
      <c r="BG354" s="24">
        <f t="shared" ca="1" si="386"/>
        <v>818118.20813363849</v>
      </c>
      <c r="BH354" s="24">
        <f t="shared" ca="1" si="387"/>
        <v>13258.039890407832</v>
      </c>
      <c r="BI354">
        <f t="shared" ca="1" si="388"/>
        <v>0</v>
      </c>
      <c r="BJ354" s="24">
        <f t="shared" ca="1" si="389"/>
        <v>92806.279232854824</v>
      </c>
      <c r="BK354">
        <f t="shared" ca="1" si="390"/>
        <v>1</v>
      </c>
      <c r="BL354" s="25">
        <f t="shared" ca="1" si="391"/>
        <v>7733.8566027379002</v>
      </c>
      <c r="BM354" s="32">
        <f t="shared" ca="1" si="370"/>
        <v>480779.51363475528</v>
      </c>
      <c r="BN354" s="23">
        <f t="shared" ca="1" si="392"/>
        <v>0</v>
      </c>
      <c r="BO354" s="24">
        <f t="shared" ca="1" si="393"/>
        <v>0</v>
      </c>
      <c r="BP354" s="25">
        <f t="shared" ca="1" si="394"/>
        <v>0</v>
      </c>
      <c r="BQ354" s="34">
        <f t="shared" ca="1" si="395"/>
        <v>56188</v>
      </c>
      <c r="BR354" s="23">
        <f t="shared" ca="1" si="396"/>
        <v>480779.51363475528</v>
      </c>
      <c r="BS354" s="24">
        <f t="shared" ca="1" si="397"/>
        <v>0</v>
      </c>
      <c r="BT354" s="24">
        <f t="shared" ca="1" si="402"/>
        <v>0</v>
      </c>
      <c r="BU354" s="24">
        <f t="shared" ca="1" si="398"/>
        <v>0</v>
      </c>
      <c r="BV354" s="24">
        <f t="shared" ca="1" si="403"/>
        <v>0</v>
      </c>
      <c r="BW354" s="24">
        <f t="shared" ca="1" si="399"/>
        <v>-7733.8566027379002</v>
      </c>
      <c r="BX354" s="25">
        <f t="shared" ca="1" si="404"/>
        <v>-92806.279232854795</v>
      </c>
      <c r="BY354" s="23">
        <f t="shared" ca="1" si="371"/>
        <v>154667.31954078242</v>
      </c>
      <c r="BZ354" s="24">
        <f t="shared" ca="1" si="372"/>
        <v>0</v>
      </c>
      <c r="CA354" s="24">
        <f t="shared" ca="1" si="405"/>
        <v>0</v>
      </c>
      <c r="CB354" s="24">
        <f t="shared" ca="1" si="373"/>
        <v>0</v>
      </c>
      <c r="CC354" s="24">
        <f t="shared" ca="1" si="406"/>
        <v>0</v>
      </c>
      <c r="CD354" s="24">
        <f t="shared" ca="1" si="374"/>
        <v>-2496.1355500472496</v>
      </c>
      <c r="CE354" s="25">
        <f t="shared" ca="1" si="407"/>
        <v>-30498.887707815022</v>
      </c>
      <c r="CF354" s="23">
        <f t="shared" ca="1" si="408"/>
        <v>818118.20813363849</v>
      </c>
      <c r="CG354" s="25">
        <f t="array" aca="1" ref="CG354" ca="1">SUM(BF343:BF354/(1+inflation/100)^(AP343:AP354/12))</f>
        <v>267980.53702225379</v>
      </c>
      <c r="CH354" s="32">
        <f ca="1">IFERROR(IF(MOD(AP354-ap_months_since_start,12)=0,ap_drawdown/100*(AQ354+AV354+BA354-BC354),CH353),0)</f>
        <v>81507.311864232572</v>
      </c>
    </row>
    <row r="355" spans="40:86" x14ac:dyDescent="0.25">
      <c r="AN355" s="32">
        <f t="shared" ca="1" si="369"/>
        <v>83.833333333333329</v>
      </c>
      <c r="AO355" s="53">
        <f t="shared" ca="1" si="400"/>
        <v>56189</v>
      </c>
      <c r="AP355" s="22">
        <v>348</v>
      </c>
      <c r="AQ355" s="32">
        <f t="shared" ca="1" si="401"/>
        <v>480779.51363475528</v>
      </c>
      <c r="AR355" s="23">
        <f t="array" aca="1" ref="AR355" ca="1">SUM(IF(lsc_start_date=AO355,lsc_amount,0))</f>
        <v>0</v>
      </c>
      <c r="AS355" s="24">
        <f t="shared" ca="1" si="375"/>
        <v>0</v>
      </c>
      <c r="AT355" s="24">
        <f t="shared" ca="1" si="376"/>
        <v>0</v>
      </c>
      <c r="AU355" s="24">
        <f t="shared" ca="1" si="377"/>
        <v>0</v>
      </c>
      <c r="AV355" s="25">
        <f t="shared" ca="1" si="378"/>
        <v>0</v>
      </c>
      <c r="AW355" s="23">
        <f t="array" aca="1" ref="AW355" ca="1">SUM(IF(rcs_start_date&lt;=AO355,1,0)*IF(rcs_end_date&gt;=AO355,1,0)*rcs_amount*(1+rcs_escalation/100)^(INT((AP355-rcs_months_since_start)/12))*IF(MOD((AP355-rcs_months_since_start),rcs_frequency)=0,1,0)*IF(rcs_frequency=13,0,1))+SUM(IF(rcs_start_date=AO355,rcs_amount,0)*IF(rcs_frequency=13,1,0))</f>
        <v>0</v>
      </c>
      <c r="AX355" s="24">
        <f t="shared" ca="1" si="379"/>
        <v>0</v>
      </c>
      <c r="AY355" s="24">
        <f t="shared" ca="1" si="380"/>
        <v>0</v>
      </c>
      <c r="AZ355" s="24">
        <f t="shared" ca="1" si="381"/>
        <v>0</v>
      </c>
      <c r="BA355" s="25">
        <f t="shared" ca="1" si="382"/>
        <v>0</v>
      </c>
      <c r="BB355" s="23">
        <f t="array" aca="1" ref="BB355" ca="1">SUM(IF(w_start_date&lt;=AO355,1,0)*IF(w_end_date&gt;=AO355,1,0)*w_amount*(1+w_escalation/100)^(INT((AP355-w_months_since_start)/12))*IF(MOD(AP355-w_months_since_start,w_frequency)=0,1,0)*IF(w_frequency=13,0,1))+SUM(IF(w_start_date=AO355,w_amount,0)*IF(w_frequency=13,1,0))</f>
        <v>0</v>
      </c>
      <c r="BC355" s="25">
        <f t="shared" ca="1" si="383"/>
        <v>0</v>
      </c>
      <c r="BD355" s="24" t="b">
        <f t="shared" ca="1" si="384"/>
        <v>1</v>
      </c>
      <c r="BE355" s="24" t="b">
        <f t="shared" ca="1" si="385"/>
        <v>1</v>
      </c>
      <c r="BF355" s="23">
        <f t="array" aca="1" ref="BF355" ca="1">SUM(IF(BD355,1,0)*IF(ap_start_date&lt;=AO355,1,0)*IF(ap_end_date&gt;=AO355,1,0)*ap_amount*(1+ap_escalation/100)^(INT((AP355-ap_months_since_start)/12))*IF(MOD(AP355-ap_months_since_start,ap_frequency)=0,1,0))</f>
        <v>70903.578038248656</v>
      </c>
      <c r="BG355" s="24">
        <f t="shared" ca="1" si="386"/>
        <v>850842.93645898404</v>
      </c>
      <c r="BH355" s="24">
        <f t="shared" ca="1" si="387"/>
        <v>12019.487840868882</v>
      </c>
      <c r="BI355">
        <f t="shared" ca="1" si="388"/>
        <v>0</v>
      </c>
      <c r="BJ355" s="24">
        <f t="shared" ca="1" si="389"/>
        <v>84136.414886082173</v>
      </c>
      <c r="BK355">
        <f t="shared" ca="1" si="390"/>
        <v>1</v>
      </c>
      <c r="BL355" s="25">
        <f t="shared" ca="1" si="391"/>
        <v>7011.3679071735132</v>
      </c>
      <c r="BM355" s="32">
        <f t="shared" ca="1" si="370"/>
        <v>477182.74593072699</v>
      </c>
      <c r="BN355" s="23">
        <f t="shared" ca="1" si="392"/>
        <v>0</v>
      </c>
      <c r="BO355" s="24">
        <f t="shared" ca="1" si="393"/>
        <v>0</v>
      </c>
      <c r="BP355" s="25">
        <f t="shared" ca="1" si="394"/>
        <v>0</v>
      </c>
      <c r="BQ355" s="34">
        <f t="shared" ca="1" si="395"/>
        <v>56218</v>
      </c>
      <c r="BR355" s="23">
        <f t="shared" ca="1" si="396"/>
        <v>477182.74593072699</v>
      </c>
      <c r="BS355" s="24">
        <f t="shared" ca="1" si="397"/>
        <v>0</v>
      </c>
      <c r="BT355" s="24">
        <f t="shared" ca="1" si="402"/>
        <v>0</v>
      </c>
      <c r="BU355" s="24">
        <f t="shared" ca="1" si="398"/>
        <v>0</v>
      </c>
      <c r="BV355" s="24">
        <f t="shared" ca="1" si="403"/>
        <v>0</v>
      </c>
      <c r="BW355" s="24">
        <f t="shared" ca="1" si="399"/>
        <v>-7011.3679071735132</v>
      </c>
      <c r="BX355" s="25">
        <f t="shared" ca="1" si="404"/>
        <v>-92083.790537290406</v>
      </c>
      <c r="BY355" s="23">
        <f t="shared" ca="1" si="371"/>
        <v>153009.32254947122</v>
      </c>
      <c r="BZ355" s="24">
        <f t="shared" ca="1" si="372"/>
        <v>0</v>
      </c>
      <c r="CA355" s="24">
        <f t="shared" ca="1" si="405"/>
        <v>0</v>
      </c>
      <c r="CB355" s="24">
        <f t="shared" ca="1" si="373"/>
        <v>0</v>
      </c>
      <c r="CC355" s="24">
        <f t="shared" ca="1" si="406"/>
        <v>0</v>
      </c>
      <c r="CD355" s="24">
        <f t="shared" ca="1" si="374"/>
        <v>-2255.5650766364101</v>
      </c>
      <c r="CE355" s="25">
        <f t="shared" ca="1" si="407"/>
        <v>-30166.942647275209</v>
      </c>
      <c r="CF355" s="23">
        <f t="shared" ca="1" si="408"/>
        <v>820845.26882741728</v>
      </c>
      <c r="CG355" s="25">
        <f t="array" aca="1" ref="CG355" ca="1">SUM(BF344:BF355/(1+inflation/100)^(AP344:AP355/12))</f>
        <v>267980.53702225379</v>
      </c>
      <c r="CH355" s="32">
        <f ca="1">IFERROR(IF(MOD(AP355-ap_months_since_start,12)=0,ap_drawdown/100*(AQ355+AV355+BA355-BC355),CH354),0)</f>
        <v>73892.985086192508</v>
      </c>
    </row>
    <row r="356" spans="40:86" x14ac:dyDescent="0.25">
      <c r="AN356" s="32">
        <f t="shared" ca="1" si="369"/>
        <v>83.916666666666671</v>
      </c>
      <c r="AO356" s="53">
        <f t="shared" ca="1" si="400"/>
        <v>56219</v>
      </c>
      <c r="AP356" s="22">
        <v>349</v>
      </c>
      <c r="AQ356" s="32">
        <f t="shared" ca="1" si="401"/>
        <v>477182.74593072699</v>
      </c>
      <c r="AR356" s="23">
        <f t="array" aca="1" ref="AR356" ca="1">SUM(IF(lsc_start_date=AO356,lsc_amount,0))</f>
        <v>0</v>
      </c>
      <c r="AS356" s="24">
        <f t="shared" ca="1" si="375"/>
        <v>0</v>
      </c>
      <c r="AT356" s="24">
        <f t="shared" ca="1" si="376"/>
        <v>0</v>
      </c>
      <c r="AU356" s="24">
        <f t="shared" ca="1" si="377"/>
        <v>0</v>
      </c>
      <c r="AV356" s="25">
        <f t="shared" ca="1" si="378"/>
        <v>0</v>
      </c>
      <c r="AW356" s="23">
        <f t="array" aca="1" ref="AW356" ca="1">SUM(IF(rcs_start_date&lt;=AO356,1,0)*IF(rcs_end_date&gt;=AO356,1,0)*rcs_amount*(1+rcs_escalation/100)^(INT((AP356-rcs_months_since_start)/12))*IF(MOD((AP356-rcs_months_since_start),rcs_frequency)=0,1,0)*IF(rcs_frequency=13,0,1))+SUM(IF(rcs_start_date=AO356,rcs_amount,0)*IF(rcs_frequency=13,1,0))</f>
        <v>0</v>
      </c>
      <c r="AX356" s="24">
        <f t="shared" ca="1" si="379"/>
        <v>0</v>
      </c>
      <c r="AY356" s="24">
        <f t="shared" ca="1" si="380"/>
        <v>0</v>
      </c>
      <c r="AZ356" s="24">
        <f t="shared" ca="1" si="381"/>
        <v>0</v>
      </c>
      <c r="BA356" s="25">
        <f t="shared" ca="1" si="382"/>
        <v>0</v>
      </c>
      <c r="BB356" s="23">
        <f t="array" aca="1" ref="BB356" ca="1">SUM(IF(w_start_date&lt;=AO356,1,0)*IF(w_end_date&gt;=AO356,1,0)*w_amount*(1+w_escalation/100)^(INT((AP356-w_months_since_start)/12))*IF(MOD(AP356-w_months_since_start,w_frequency)=0,1,0)*IF(w_frequency=13,0,1))+SUM(IF(w_start_date=AO356,w_amount,0)*IF(w_frequency=13,1,0))</f>
        <v>0</v>
      </c>
      <c r="BC356" s="25">
        <f t="shared" ca="1" si="383"/>
        <v>0</v>
      </c>
      <c r="BD356" s="24" t="b">
        <f t="shared" ca="1" si="384"/>
        <v>1</v>
      </c>
      <c r="BE356" s="24" t="b">
        <f t="shared" ca="1" si="385"/>
        <v>1</v>
      </c>
      <c r="BF356" s="23">
        <f t="array" aca="1" ref="BF356" ca="1">SUM(IF(BD356,1,0)*IF(ap_start_date&lt;=AO356,1,0)*IF(ap_end_date&gt;=AO356,1,0)*ap_amount*(1+ap_escalation/100)^(INT((AP356-ap_months_since_start)/12))*IF(MOD(AP356-ap_months_since_start,ap_frequency)=0,1,0))</f>
        <v>70903.578038248656</v>
      </c>
      <c r="BG356" s="24">
        <f t="shared" ca="1" si="386"/>
        <v>850842.93645898404</v>
      </c>
      <c r="BH356" s="24">
        <f t="shared" ca="1" si="387"/>
        <v>12019.487840868882</v>
      </c>
      <c r="BI356">
        <f t="shared" ca="1" si="388"/>
        <v>0</v>
      </c>
      <c r="BJ356" s="24">
        <f t="shared" ca="1" si="389"/>
        <v>84136.414886082173</v>
      </c>
      <c r="BK356">
        <f t="shared" ca="1" si="390"/>
        <v>1</v>
      </c>
      <c r="BL356" s="25">
        <f t="shared" ca="1" si="391"/>
        <v>7011.3679071735132</v>
      </c>
      <c r="BM356" s="32">
        <f t="shared" ca="1" si="370"/>
        <v>473560.05515896273</v>
      </c>
      <c r="BN356" s="23">
        <f t="shared" ca="1" si="392"/>
        <v>0</v>
      </c>
      <c r="BO356" s="24">
        <f t="shared" ca="1" si="393"/>
        <v>0</v>
      </c>
      <c r="BP356" s="25">
        <f t="shared" ca="1" si="394"/>
        <v>0</v>
      </c>
      <c r="BQ356" s="34">
        <f t="shared" ca="1" si="395"/>
        <v>56249</v>
      </c>
      <c r="BR356" s="23">
        <f t="shared" ca="1" si="396"/>
        <v>473560.05515896273</v>
      </c>
      <c r="BS356" s="24">
        <f t="shared" ca="1" si="397"/>
        <v>0</v>
      </c>
      <c r="BT356" s="24">
        <f t="shared" ca="1" si="402"/>
        <v>0</v>
      </c>
      <c r="BU356" s="24">
        <f t="shared" ca="1" si="398"/>
        <v>0</v>
      </c>
      <c r="BV356" s="24">
        <f t="shared" ca="1" si="403"/>
        <v>0</v>
      </c>
      <c r="BW356" s="24">
        <f t="shared" ca="1" si="399"/>
        <v>-7011.3679071735132</v>
      </c>
      <c r="BX356" s="25">
        <f t="shared" ca="1" si="404"/>
        <v>-91361.301841726017</v>
      </c>
      <c r="BY356" s="23">
        <f t="shared" ca="1" si="371"/>
        <v>151352.21386485887</v>
      </c>
      <c r="BZ356" s="24">
        <f t="shared" ca="1" si="372"/>
        <v>0</v>
      </c>
      <c r="CA356" s="24">
        <f t="shared" ca="1" si="405"/>
        <v>0</v>
      </c>
      <c r="CB356" s="24">
        <f t="shared" ca="1" si="373"/>
        <v>0</v>
      </c>
      <c r="CC356" s="24">
        <f t="shared" ca="1" si="406"/>
        <v>0</v>
      </c>
      <c r="CD356" s="24">
        <f t="shared" ca="1" si="374"/>
        <v>-2248.2050383637779</v>
      </c>
      <c r="CE356" s="25">
        <f t="shared" ca="1" si="407"/>
        <v>-29836.08074251542</v>
      </c>
      <c r="CF356" s="23">
        <f t="shared" ca="1" si="408"/>
        <v>823572.32952119608</v>
      </c>
      <c r="CG356" s="25">
        <f t="array" aca="1" ref="CG356" ca="1">SUM(BF345:BF356/(1+inflation/100)^(AP345:AP356/12))</f>
        <v>267980.53702225379</v>
      </c>
      <c r="CH356" s="32">
        <f ca="1">IFERROR(IF(MOD(AP356-ap_months_since_start,12)=0,ap_drawdown/100*(AQ356+AV356+BA356-BC356),CH355),0)</f>
        <v>73892.985086192508</v>
      </c>
    </row>
    <row r="357" spans="40:86" x14ac:dyDescent="0.25">
      <c r="AN357" s="32">
        <f t="shared" ca="1" si="369"/>
        <v>84</v>
      </c>
      <c r="AO357" s="53">
        <f t="shared" ca="1" si="400"/>
        <v>56250</v>
      </c>
      <c r="AP357" s="22">
        <v>350</v>
      </c>
      <c r="AQ357" s="32">
        <f t="shared" ca="1" si="401"/>
        <v>473560.05515896273</v>
      </c>
      <c r="AR357" s="23">
        <f t="array" aca="1" ref="AR357" ca="1">SUM(IF(lsc_start_date=AO357,lsc_amount,0))</f>
        <v>0</v>
      </c>
      <c r="AS357" s="24">
        <f t="shared" ca="1" si="375"/>
        <v>0</v>
      </c>
      <c r="AT357" s="24">
        <f t="shared" ca="1" si="376"/>
        <v>0</v>
      </c>
      <c r="AU357" s="24">
        <f t="shared" ca="1" si="377"/>
        <v>0</v>
      </c>
      <c r="AV357" s="25">
        <f t="shared" ca="1" si="378"/>
        <v>0</v>
      </c>
      <c r="AW357" s="23">
        <f t="array" aca="1" ref="AW357" ca="1">SUM(IF(rcs_start_date&lt;=AO357,1,0)*IF(rcs_end_date&gt;=AO357,1,0)*rcs_amount*(1+rcs_escalation/100)^(INT((AP357-rcs_months_since_start)/12))*IF(MOD((AP357-rcs_months_since_start),rcs_frequency)=0,1,0)*IF(rcs_frequency=13,0,1))+SUM(IF(rcs_start_date=AO357,rcs_amount,0)*IF(rcs_frequency=13,1,0))</f>
        <v>0</v>
      </c>
      <c r="AX357" s="24">
        <f t="shared" ca="1" si="379"/>
        <v>0</v>
      </c>
      <c r="AY357" s="24">
        <f t="shared" ca="1" si="380"/>
        <v>0</v>
      </c>
      <c r="AZ357" s="24">
        <f t="shared" ca="1" si="381"/>
        <v>0</v>
      </c>
      <c r="BA357" s="25">
        <f t="shared" ca="1" si="382"/>
        <v>0</v>
      </c>
      <c r="BB357" s="23">
        <f t="array" aca="1" ref="BB357" ca="1">SUM(IF(w_start_date&lt;=AO357,1,0)*IF(w_end_date&gt;=AO357,1,0)*w_amount*(1+w_escalation/100)^(INT((AP357-w_months_since_start)/12))*IF(MOD(AP357-w_months_since_start,w_frequency)=0,1,0)*IF(w_frequency=13,0,1))+SUM(IF(w_start_date=AO357,w_amount,0)*IF(w_frequency=13,1,0))</f>
        <v>0</v>
      </c>
      <c r="BC357" s="25">
        <f t="shared" ca="1" si="383"/>
        <v>0</v>
      </c>
      <c r="BD357" s="24" t="b">
        <f t="shared" ca="1" si="384"/>
        <v>1</v>
      </c>
      <c r="BE357" s="24" t="b">
        <f t="shared" ca="1" si="385"/>
        <v>1</v>
      </c>
      <c r="BF357" s="23">
        <f t="array" aca="1" ref="BF357" ca="1">SUM(IF(BD357,1,0)*IF(ap_start_date&lt;=AO357,1,0)*IF(ap_end_date&gt;=AO357,1,0)*ap_amount*(1+ap_escalation/100)^(INT((AP357-ap_months_since_start)/12))*IF(MOD(AP357-ap_months_since_start,ap_frequency)=0,1,0))</f>
        <v>70903.578038248656</v>
      </c>
      <c r="BG357" s="24">
        <f t="shared" ca="1" si="386"/>
        <v>850842.93645898404</v>
      </c>
      <c r="BH357" s="24">
        <f t="shared" ca="1" si="387"/>
        <v>12019.487840868882</v>
      </c>
      <c r="BI357">
        <f t="shared" ca="1" si="388"/>
        <v>0</v>
      </c>
      <c r="BJ357" s="24">
        <f t="shared" ca="1" si="389"/>
        <v>84136.414886082173</v>
      </c>
      <c r="BK357">
        <f t="shared" ca="1" si="390"/>
        <v>1</v>
      </c>
      <c r="BL357" s="25">
        <f t="shared" ca="1" si="391"/>
        <v>7011.3679071735132</v>
      </c>
      <c r="BM357" s="32">
        <f t="shared" ca="1" si="370"/>
        <v>469911.25448353199</v>
      </c>
      <c r="BN357" s="23">
        <f t="shared" ca="1" si="392"/>
        <v>0</v>
      </c>
      <c r="BO357" s="24">
        <f t="shared" ca="1" si="393"/>
        <v>0</v>
      </c>
      <c r="BP357" s="25">
        <f t="shared" ca="1" si="394"/>
        <v>0</v>
      </c>
      <c r="BQ357" s="34">
        <f t="shared" ca="1" si="395"/>
        <v>56280</v>
      </c>
      <c r="BR357" s="23">
        <f t="shared" ca="1" si="396"/>
        <v>469911.25448353199</v>
      </c>
      <c r="BS357" s="24">
        <f t="shared" ca="1" si="397"/>
        <v>0</v>
      </c>
      <c r="BT357" s="24">
        <f t="shared" ca="1" si="402"/>
        <v>0</v>
      </c>
      <c r="BU357" s="24">
        <f t="shared" ca="1" si="398"/>
        <v>0</v>
      </c>
      <c r="BV357" s="24">
        <f t="shared" ca="1" si="403"/>
        <v>0</v>
      </c>
      <c r="BW357" s="24">
        <f t="shared" ca="1" si="399"/>
        <v>-7011.3679071735132</v>
      </c>
      <c r="BX357" s="25">
        <f t="shared" ca="1" si="404"/>
        <v>-90638.813146161629</v>
      </c>
      <c r="BY357" s="23">
        <f t="shared" ca="1" si="371"/>
        <v>149695.97285938318</v>
      </c>
      <c r="BZ357" s="24">
        <f t="shared" ca="1" si="372"/>
        <v>0</v>
      </c>
      <c r="CA357" s="24">
        <f t="shared" ca="1" si="405"/>
        <v>0</v>
      </c>
      <c r="CB357" s="24">
        <f t="shared" ca="1" si="373"/>
        <v>0</v>
      </c>
      <c r="CC357" s="24">
        <f t="shared" ca="1" si="406"/>
        <v>0</v>
      </c>
      <c r="CD357" s="24">
        <f t="shared" ca="1" si="374"/>
        <v>-2240.869016318361</v>
      </c>
      <c r="CE357" s="25">
        <f t="shared" ca="1" si="407"/>
        <v>-29506.2984591362</v>
      </c>
      <c r="CF357" s="23">
        <f t="shared" ca="1" si="408"/>
        <v>826299.39021497488</v>
      </c>
      <c r="CG357" s="25">
        <f t="array" aca="1" ref="CG357" ca="1">SUM(BF346:BF357/(1+inflation/100)^(AP346:AP357/12))</f>
        <v>267980.53702225379</v>
      </c>
      <c r="CH357" s="32">
        <f ca="1">IFERROR(IF(MOD(AP357-ap_months_since_start,12)=0,ap_drawdown/100*(AQ357+AV357+BA357-BC357),CH356),0)</f>
        <v>73892.985086192508</v>
      </c>
    </row>
    <row r="358" spans="40:86" x14ac:dyDescent="0.25">
      <c r="AN358" s="32">
        <f t="shared" ca="1" si="369"/>
        <v>84.083333333333329</v>
      </c>
      <c r="AO358" s="53">
        <f t="shared" ca="1" si="400"/>
        <v>56281</v>
      </c>
      <c r="AP358" s="22">
        <v>351</v>
      </c>
      <c r="AQ358" s="32">
        <f t="shared" ca="1" si="401"/>
        <v>469911.25448353199</v>
      </c>
      <c r="AR358" s="23">
        <f t="array" aca="1" ref="AR358" ca="1">SUM(IF(lsc_start_date=AO358,lsc_amount,0))</f>
        <v>0</v>
      </c>
      <c r="AS358" s="24">
        <f t="shared" ca="1" si="375"/>
        <v>0</v>
      </c>
      <c r="AT358" s="24">
        <f t="shared" ca="1" si="376"/>
        <v>0</v>
      </c>
      <c r="AU358" s="24">
        <f t="shared" ca="1" si="377"/>
        <v>0</v>
      </c>
      <c r="AV358" s="25">
        <f t="shared" ca="1" si="378"/>
        <v>0</v>
      </c>
      <c r="AW358" s="23">
        <f t="array" aca="1" ref="AW358" ca="1">SUM(IF(rcs_start_date&lt;=AO358,1,0)*IF(rcs_end_date&gt;=AO358,1,0)*rcs_amount*(1+rcs_escalation/100)^(INT((AP358-rcs_months_since_start)/12))*IF(MOD((AP358-rcs_months_since_start),rcs_frequency)=0,1,0)*IF(rcs_frequency=13,0,1))+SUM(IF(rcs_start_date=AO358,rcs_amount,0)*IF(rcs_frequency=13,1,0))</f>
        <v>0</v>
      </c>
      <c r="AX358" s="24">
        <f t="shared" ca="1" si="379"/>
        <v>0</v>
      </c>
      <c r="AY358" s="24">
        <f t="shared" ca="1" si="380"/>
        <v>0</v>
      </c>
      <c r="AZ358" s="24">
        <f t="shared" ca="1" si="381"/>
        <v>0</v>
      </c>
      <c r="BA358" s="25">
        <f t="shared" ca="1" si="382"/>
        <v>0</v>
      </c>
      <c r="BB358" s="23">
        <f t="array" aca="1" ref="BB358" ca="1">SUM(IF(w_start_date&lt;=AO358,1,0)*IF(w_end_date&gt;=AO358,1,0)*w_amount*(1+w_escalation/100)^(INT((AP358-w_months_since_start)/12))*IF(MOD(AP358-w_months_since_start,w_frequency)=0,1,0)*IF(w_frequency=13,0,1))+SUM(IF(w_start_date=AO358,w_amount,0)*IF(w_frequency=13,1,0))</f>
        <v>0</v>
      </c>
      <c r="BC358" s="25">
        <f t="shared" ca="1" si="383"/>
        <v>0</v>
      </c>
      <c r="BD358" s="24" t="b">
        <f t="shared" ca="1" si="384"/>
        <v>1</v>
      </c>
      <c r="BE358" s="24" t="b">
        <f t="shared" ca="1" si="385"/>
        <v>1</v>
      </c>
      <c r="BF358" s="23">
        <f t="array" aca="1" ref="BF358" ca="1">SUM(IF(BD358,1,0)*IF(ap_start_date&lt;=AO358,1,0)*IF(ap_end_date&gt;=AO358,1,0)*ap_amount*(1+ap_escalation/100)^(INT((AP358-ap_months_since_start)/12))*IF(MOD(AP358-ap_months_since_start,ap_frequency)=0,1,0))</f>
        <v>70903.578038248656</v>
      </c>
      <c r="BG358" s="24">
        <f t="shared" ca="1" si="386"/>
        <v>850842.93645898404</v>
      </c>
      <c r="BH358" s="24">
        <f t="shared" ca="1" si="387"/>
        <v>12019.487840868882</v>
      </c>
      <c r="BI358">
        <f t="shared" ca="1" si="388"/>
        <v>0</v>
      </c>
      <c r="BJ358" s="24">
        <f t="shared" ca="1" si="389"/>
        <v>84136.414886082173</v>
      </c>
      <c r="BK358">
        <f t="shared" ca="1" si="390"/>
        <v>1</v>
      </c>
      <c r="BL358" s="25">
        <f t="shared" ca="1" si="391"/>
        <v>7011.3679071735132</v>
      </c>
      <c r="BM358" s="32">
        <f t="shared" ca="1" si="370"/>
        <v>466236.15572191728</v>
      </c>
      <c r="BN358" s="23">
        <f t="shared" ca="1" si="392"/>
        <v>0</v>
      </c>
      <c r="BO358" s="24">
        <f t="shared" ca="1" si="393"/>
        <v>0</v>
      </c>
      <c r="BP358" s="25">
        <f t="shared" ca="1" si="394"/>
        <v>0</v>
      </c>
      <c r="BQ358" s="34">
        <f t="shared" ca="1" si="395"/>
        <v>56308</v>
      </c>
      <c r="BR358" s="23">
        <f t="shared" ca="1" si="396"/>
        <v>466236.15572191728</v>
      </c>
      <c r="BS358" s="24">
        <f t="shared" ca="1" si="397"/>
        <v>0</v>
      </c>
      <c r="BT358" s="24">
        <f t="shared" ca="1" si="402"/>
        <v>0</v>
      </c>
      <c r="BU358" s="24">
        <f t="shared" ca="1" si="398"/>
        <v>0</v>
      </c>
      <c r="BV358" s="24">
        <f t="shared" ca="1" si="403"/>
        <v>0</v>
      </c>
      <c r="BW358" s="24">
        <f t="shared" ca="1" si="399"/>
        <v>-7011.3679071735132</v>
      </c>
      <c r="BX358" s="25">
        <f t="shared" ca="1" si="404"/>
        <v>-89916.32445059724</v>
      </c>
      <c r="BY358" s="23">
        <f t="shared" ca="1" si="371"/>
        <v>148040.57890328023</v>
      </c>
      <c r="BZ358" s="24">
        <f t="shared" ca="1" si="372"/>
        <v>0</v>
      </c>
      <c r="CA358" s="24">
        <f t="shared" ca="1" si="405"/>
        <v>0</v>
      </c>
      <c r="CB358" s="24">
        <f t="shared" ca="1" si="373"/>
        <v>0</v>
      </c>
      <c r="CC358" s="24">
        <f t="shared" ca="1" si="406"/>
        <v>0</v>
      </c>
      <c r="CD358" s="24">
        <f t="shared" ca="1" si="374"/>
        <v>-2233.5569321338285</v>
      </c>
      <c r="CE358" s="25">
        <f t="shared" ca="1" si="407"/>
        <v>-29177.592274271032</v>
      </c>
      <c r="CF358" s="23">
        <f t="shared" ca="1" si="408"/>
        <v>829026.45090875367</v>
      </c>
      <c r="CG358" s="25">
        <f t="array" aca="1" ref="CG358" ca="1">SUM(BF347:BF358/(1+inflation/100)^(AP347:AP358/12))</f>
        <v>267980.53702225379</v>
      </c>
      <c r="CH358" s="32">
        <f ca="1">IFERROR(IF(MOD(AP358-ap_months_since_start,12)=0,ap_drawdown/100*(AQ358+AV358+BA358-BC358),CH357),0)</f>
        <v>73892.985086192508</v>
      </c>
    </row>
    <row r="359" spans="40:86" x14ac:dyDescent="0.25">
      <c r="AN359" s="32">
        <f t="shared" ca="1" si="369"/>
        <v>84.166666666666671</v>
      </c>
      <c r="AO359" s="53">
        <f t="shared" ca="1" si="400"/>
        <v>56309</v>
      </c>
      <c r="AP359" s="22">
        <v>352</v>
      </c>
      <c r="AQ359" s="32">
        <f t="shared" ca="1" si="401"/>
        <v>466236.15572191728</v>
      </c>
      <c r="AR359" s="23">
        <f t="array" aca="1" ref="AR359" ca="1">SUM(IF(lsc_start_date=AO359,lsc_amount,0))</f>
        <v>0</v>
      </c>
      <c r="AS359" s="24">
        <f t="shared" ca="1" si="375"/>
        <v>0</v>
      </c>
      <c r="AT359" s="24">
        <f t="shared" ca="1" si="376"/>
        <v>0</v>
      </c>
      <c r="AU359" s="24">
        <f t="shared" ca="1" si="377"/>
        <v>0</v>
      </c>
      <c r="AV359" s="25">
        <f t="shared" ca="1" si="378"/>
        <v>0</v>
      </c>
      <c r="AW359" s="23">
        <f t="array" aca="1" ref="AW359" ca="1">SUM(IF(rcs_start_date&lt;=AO359,1,0)*IF(rcs_end_date&gt;=AO359,1,0)*rcs_amount*(1+rcs_escalation/100)^(INT((AP359-rcs_months_since_start)/12))*IF(MOD((AP359-rcs_months_since_start),rcs_frequency)=0,1,0)*IF(rcs_frequency=13,0,1))+SUM(IF(rcs_start_date=AO359,rcs_amount,0)*IF(rcs_frequency=13,1,0))</f>
        <v>0</v>
      </c>
      <c r="AX359" s="24">
        <f t="shared" ca="1" si="379"/>
        <v>0</v>
      </c>
      <c r="AY359" s="24">
        <f t="shared" ca="1" si="380"/>
        <v>0</v>
      </c>
      <c r="AZ359" s="24">
        <f t="shared" ca="1" si="381"/>
        <v>0</v>
      </c>
      <c r="BA359" s="25">
        <f t="shared" ca="1" si="382"/>
        <v>0</v>
      </c>
      <c r="BB359" s="23">
        <f t="array" aca="1" ref="BB359" ca="1">SUM(IF(w_start_date&lt;=AO359,1,0)*IF(w_end_date&gt;=AO359,1,0)*w_amount*(1+w_escalation/100)^(INT((AP359-w_months_since_start)/12))*IF(MOD(AP359-w_months_since_start,w_frequency)=0,1,0)*IF(w_frequency=13,0,1))+SUM(IF(w_start_date=AO359,w_amount,0)*IF(w_frequency=13,1,0))</f>
        <v>0</v>
      </c>
      <c r="BC359" s="25">
        <f t="shared" ca="1" si="383"/>
        <v>0</v>
      </c>
      <c r="BD359" s="24" t="b">
        <f t="shared" ca="1" si="384"/>
        <v>1</v>
      </c>
      <c r="BE359" s="24" t="b">
        <f t="shared" ca="1" si="385"/>
        <v>1</v>
      </c>
      <c r="BF359" s="23">
        <f t="array" aca="1" ref="BF359" ca="1">SUM(IF(BD359,1,0)*IF(ap_start_date&lt;=AO359,1,0)*IF(ap_end_date&gt;=AO359,1,0)*ap_amount*(1+ap_escalation/100)^(INT((AP359-ap_months_since_start)/12))*IF(MOD(AP359-ap_months_since_start,ap_frequency)=0,1,0))</f>
        <v>70903.578038248656</v>
      </c>
      <c r="BG359" s="24">
        <f t="shared" ca="1" si="386"/>
        <v>850842.93645898404</v>
      </c>
      <c r="BH359" s="24">
        <f t="shared" ca="1" si="387"/>
        <v>12019.487840868882</v>
      </c>
      <c r="BI359">
        <f t="shared" ca="1" si="388"/>
        <v>0</v>
      </c>
      <c r="BJ359" s="24">
        <f t="shared" ca="1" si="389"/>
        <v>84136.414886082173</v>
      </c>
      <c r="BK359">
        <f t="shared" ca="1" si="390"/>
        <v>1</v>
      </c>
      <c r="BL359" s="25">
        <f t="shared" ca="1" si="391"/>
        <v>7011.3679071735132</v>
      </c>
      <c r="BM359" s="32">
        <f t="shared" ca="1" si="370"/>
        <v>462534.56933530892</v>
      </c>
      <c r="BN359" s="23">
        <f t="shared" ca="1" si="392"/>
        <v>0</v>
      </c>
      <c r="BO359" s="24">
        <f t="shared" ca="1" si="393"/>
        <v>0</v>
      </c>
      <c r="BP359" s="25">
        <f t="shared" ca="1" si="394"/>
        <v>0</v>
      </c>
      <c r="BQ359" s="34">
        <f t="shared" ca="1" si="395"/>
        <v>56339</v>
      </c>
      <c r="BR359" s="23">
        <f t="shared" ca="1" si="396"/>
        <v>462534.56933530892</v>
      </c>
      <c r="BS359" s="24">
        <f t="shared" ca="1" si="397"/>
        <v>0</v>
      </c>
      <c r="BT359" s="24">
        <f t="shared" ca="1" si="402"/>
        <v>0</v>
      </c>
      <c r="BU359" s="24">
        <f t="shared" ca="1" si="398"/>
        <v>0</v>
      </c>
      <c r="BV359" s="24">
        <f t="shared" ca="1" si="403"/>
        <v>0</v>
      </c>
      <c r="BW359" s="24">
        <f t="shared" ca="1" si="399"/>
        <v>-7011.3679071735132</v>
      </c>
      <c r="BX359" s="25">
        <f t="shared" ca="1" si="404"/>
        <v>-89193.835755032851</v>
      </c>
      <c r="BY359" s="23">
        <f t="shared" ca="1" si="371"/>
        <v>146386.01136431887</v>
      </c>
      <c r="BZ359" s="24">
        <f t="shared" ca="1" si="372"/>
        <v>0</v>
      </c>
      <c r="CA359" s="24">
        <f t="shared" ca="1" si="405"/>
        <v>0</v>
      </c>
      <c r="CB359" s="24">
        <f t="shared" ca="1" si="373"/>
        <v>0</v>
      </c>
      <c r="CC359" s="24">
        <f t="shared" ca="1" si="406"/>
        <v>0</v>
      </c>
      <c r="CD359" s="24">
        <f t="shared" ca="1" si="374"/>
        <v>-2226.268707699568</v>
      </c>
      <c r="CE359" s="25">
        <f t="shared" ca="1" si="407"/>
        <v>-28849.9586765487</v>
      </c>
      <c r="CF359" s="23">
        <f t="shared" ca="1" si="408"/>
        <v>831753.51160253247</v>
      </c>
      <c r="CG359" s="25">
        <f t="array" aca="1" ref="CG359" ca="1">SUM(BF348:BF359/(1+inflation/100)^(AP348:AP359/12))</f>
        <v>267980.53702225379</v>
      </c>
      <c r="CH359" s="32">
        <f ca="1">IFERROR(IF(MOD(AP359-ap_months_since_start,12)=0,ap_drawdown/100*(AQ359+AV359+BA359-BC359),CH358),0)</f>
        <v>73892.985086192508</v>
      </c>
    </row>
    <row r="360" spans="40:86" x14ac:dyDescent="0.25">
      <c r="AN360" s="32">
        <f t="shared" ca="1" si="369"/>
        <v>84.25</v>
      </c>
      <c r="AO360" s="53">
        <f t="shared" ca="1" si="400"/>
        <v>56340</v>
      </c>
      <c r="AP360" s="22">
        <v>353</v>
      </c>
      <c r="AQ360" s="32">
        <f t="shared" ca="1" si="401"/>
        <v>462534.56933530892</v>
      </c>
      <c r="AR360" s="23">
        <f t="array" aca="1" ref="AR360" ca="1">SUM(IF(lsc_start_date=AO360,lsc_amount,0))</f>
        <v>0</v>
      </c>
      <c r="AS360" s="24">
        <f t="shared" ca="1" si="375"/>
        <v>0</v>
      </c>
      <c r="AT360" s="24">
        <f t="shared" ca="1" si="376"/>
        <v>0</v>
      </c>
      <c r="AU360" s="24">
        <f t="shared" ca="1" si="377"/>
        <v>0</v>
      </c>
      <c r="AV360" s="25">
        <f t="shared" ca="1" si="378"/>
        <v>0</v>
      </c>
      <c r="AW360" s="23">
        <f t="array" aca="1" ref="AW360" ca="1">SUM(IF(rcs_start_date&lt;=AO360,1,0)*IF(rcs_end_date&gt;=AO360,1,0)*rcs_amount*(1+rcs_escalation/100)^(INT((AP360-rcs_months_since_start)/12))*IF(MOD((AP360-rcs_months_since_start),rcs_frequency)=0,1,0)*IF(rcs_frequency=13,0,1))+SUM(IF(rcs_start_date=AO360,rcs_amount,0)*IF(rcs_frequency=13,1,0))</f>
        <v>0</v>
      </c>
      <c r="AX360" s="24">
        <f t="shared" ca="1" si="379"/>
        <v>0</v>
      </c>
      <c r="AY360" s="24">
        <f t="shared" ca="1" si="380"/>
        <v>0</v>
      </c>
      <c r="AZ360" s="24">
        <f t="shared" ca="1" si="381"/>
        <v>0</v>
      </c>
      <c r="BA360" s="25">
        <f t="shared" ca="1" si="382"/>
        <v>0</v>
      </c>
      <c r="BB360" s="23">
        <f t="array" aca="1" ref="BB360" ca="1">SUM(IF(w_start_date&lt;=AO360,1,0)*IF(w_end_date&gt;=AO360,1,0)*w_amount*(1+w_escalation/100)^(INT((AP360-w_months_since_start)/12))*IF(MOD(AP360-w_months_since_start,w_frequency)=0,1,0)*IF(w_frequency=13,0,1))+SUM(IF(w_start_date=AO360,w_amount,0)*IF(w_frequency=13,1,0))</f>
        <v>0</v>
      </c>
      <c r="BC360" s="25">
        <f t="shared" ca="1" si="383"/>
        <v>0</v>
      </c>
      <c r="BD360" s="24" t="b">
        <f t="shared" ca="1" si="384"/>
        <v>1</v>
      </c>
      <c r="BE360" s="24" t="b">
        <f t="shared" ca="1" si="385"/>
        <v>1</v>
      </c>
      <c r="BF360" s="23">
        <f t="array" aca="1" ref="BF360" ca="1">SUM(IF(BD360,1,0)*IF(ap_start_date&lt;=AO360,1,0)*IF(ap_end_date&gt;=AO360,1,0)*ap_amount*(1+ap_escalation/100)^(INT((AP360-ap_months_since_start)/12))*IF(MOD(AP360-ap_months_since_start,ap_frequency)=0,1,0))</f>
        <v>70903.578038248656</v>
      </c>
      <c r="BG360" s="24">
        <f t="shared" ca="1" si="386"/>
        <v>850842.93645898404</v>
      </c>
      <c r="BH360" s="24">
        <f t="shared" ca="1" si="387"/>
        <v>12019.487840868882</v>
      </c>
      <c r="BI360">
        <f t="shared" ca="1" si="388"/>
        <v>0</v>
      </c>
      <c r="BJ360" s="24">
        <f t="shared" ca="1" si="389"/>
        <v>84136.414886082173</v>
      </c>
      <c r="BK360">
        <f t="shared" ca="1" si="390"/>
        <v>1</v>
      </c>
      <c r="BL360" s="25">
        <f t="shared" ca="1" si="391"/>
        <v>7011.3679071735132</v>
      </c>
      <c r="BM360" s="32">
        <f t="shared" ca="1" si="370"/>
        <v>458806.30441882962</v>
      </c>
      <c r="BN360" s="23">
        <f t="shared" ca="1" si="392"/>
        <v>0</v>
      </c>
      <c r="BO360" s="24">
        <f t="shared" ca="1" si="393"/>
        <v>0</v>
      </c>
      <c r="BP360" s="25">
        <f t="shared" ca="1" si="394"/>
        <v>0</v>
      </c>
      <c r="BQ360" s="34">
        <f t="shared" ca="1" si="395"/>
        <v>56369</v>
      </c>
      <c r="BR360" s="23">
        <f t="shared" ca="1" si="396"/>
        <v>458806.30441882962</v>
      </c>
      <c r="BS360" s="24">
        <f t="shared" ca="1" si="397"/>
        <v>0</v>
      </c>
      <c r="BT360" s="24">
        <f t="shared" ca="1" si="402"/>
        <v>0</v>
      </c>
      <c r="BU360" s="24">
        <f t="shared" ca="1" si="398"/>
        <v>0</v>
      </c>
      <c r="BV360" s="24">
        <f t="shared" ca="1" si="403"/>
        <v>0</v>
      </c>
      <c r="BW360" s="24">
        <f t="shared" ca="1" si="399"/>
        <v>-7011.3679071735132</v>
      </c>
      <c r="BX360" s="25">
        <f t="shared" ca="1" si="404"/>
        <v>-88471.347059468462</v>
      </c>
      <c r="BY360" s="23">
        <f t="shared" ca="1" si="371"/>
        <v>144732.24960753511</v>
      </c>
      <c r="BZ360" s="24">
        <f t="shared" ca="1" si="372"/>
        <v>0</v>
      </c>
      <c r="CA360" s="24">
        <f t="shared" ca="1" si="405"/>
        <v>0</v>
      </c>
      <c r="CB360" s="24">
        <f t="shared" ca="1" si="373"/>
        <v>0</v>
      </c>
      <c r="CC360" s="24">
        <f t="shared" ca="1" si="406"/>
        <v>0</v>
      </c>
      <c r="CD360" s="24">
        <f t="shared" ca="1" si="374"/>
        <v>-2219.0042651598451</v>
      </c>
      <c r="CE360" s="25">
        <f t="shared" ca="1" si="407"/>
        <v>-28523.394166055827</v>
      </c>
      <c r="CF360" s="23">
        <f t="shared" ca="1" si="408"/>
        <v>834480.57229631126</v>
      </c>
      <c r="CG360" s="25">
        <f t="array" aca="1" ref="CG360" ca="1">SUM(BF349:BF360/(1+inflation/100)^(AP349:AP360/12))</f>
        <v>267980.53702225379</v>
      </c>
      <c r="CH360" s="32">
        <f ca="1">IFERROR(IF(MOD(AP360-ap_months_since_start,12)=0,ap_drawdown/100*(AQ360+AV360+BA360-BC360),CH359),0)</f>
        <v>73892.985086192508</v>
      </c>
    </row>
    <row r="361" spans="40:86" x14ac:dyDescent="0.25">
      <c r="AN361" s="32">
        <f t="shared" ca="1" si="369"/>
        <v>84.333333333333329</v>
      </c>
      <c r="AO361" s="53">
        <f t="shared" ca="1" si="400"/>
        <v>56370</v>
      </c>
      <c r="AP361" s="22">
        <v>354</v>
      </c>
      <c r="AQ361" s="32">
        <f t="shared" ca="1" si="401"/>
        <v>458806.30441882962</v>
      </c>
      <c r="AR361" s="23">
        <f t="array" aca="1" ref="AR361" ca="1">SUM(IF(lsc_start_date=AO361,lsc_amount,0))</f>
        <v>0</v>
      </c>
      <c r="AS361" s="24">
        <f t="shared" ca="1" si="375"/>
        <v>0</v>
      </c>
      <c r="AT361" s="24">
        <f t="shared" ca="1" si="376"/>
        <v>0</v>
      </c>
      <c r="AU361" s="24">
        <f t="shared" ca="1" si="377"/>
        <v>0</v>
      </c>
      <c r="AV361" s="25">
        <f t="shared" ca="1" si="378"/>
        <v>0</v>
      </c>
      <c r="AW361" s="23">
        <f t="array" aca="1" ref="AW361" ca="1">SUM(IF(rcs_start_date&lt;=AO361,1,0)*IF(rcs_end_date&gt;=AO361,1,0)*rcs_amount*(1+rcs_escalation/100)^(INT((AP361-rcs_months_since_start)/12))*IF(MOD((AP361-rcs_months_since_start),rcs_frequency)=0,1,0)*IF(rcs_frequency=13,0,1))+SUM(IF(rcs_start_date=AO361,rcs_amount,0)*IF(rcs_frequency=13,1,0))</f>
        <v>0</v>
      </c>
      <c r="AX361" s="24">
        <f t="shared" ca="1" si="379"/>
        <v>0</v>
      </c>
      <c r="AY361" s="24">
        <f t="shared" ca="1" si="380"/>
        <v>0</v>
      </c>
      <c r="AZ361" s="24">
        <f t="shared" ca="1" si="381"/>
        <v>0</v>
      </c>
      <c r="BA361" s="25">
        <f t="shared" ca="1" si="382"/>
        <v>0</v>
      </c>
      <c r="BB361" s="23">
        <f t="array" aca="1" ref="BB361" ca="1">SUM(IF(w_start_date&lt;=AO361,1,0)*IF(w_end_date&gt;=AO361,1,0)*w_amount*(1+w_escalation/100)^(INT((AP361-w_months_since_start)/12))*IF(MOD(AP361-w_months_since_start,w_frequency)=0,1,0)*IF(w_frequency=13,0,1))+SUM(IF(w_start_date=AO361,w_amount,0)*IF(w_frequency=13,1,0))</f>
        <v>0</v>
      </c>
      <c r="BC361" s="25">
        <f t="shared" ca="1" si="383"/>
        <v>0</v>
      </c>
      <c r="BD361" s="24" t="b">
        <f t="shared" ca="1" si="384"/>
        <v>1</v>
      </c>
      <c r="BE361" s="24" t="b">
        <f t="shared" ca="1" si="385"/>
        <v>1</v>
      </c>
      <c r="BF361" s="23">
        <f t="array" aca="1" ref="BF361" ca="1">SUM(IF(BD361,1,0)*IF(ap_start_date&lt;=AO361,1,0)*IF(ap_end_date&gt;=AO361,1,0)*ap_amount*(1+ap_escalation/100)^(INT((AP361-ap_months_since_start)/12))*IF(MOD(AP361-ap_months_since_start,ap_frequency)=0,1,0))</f>
        <v>70903.578038248656</v>
      </c>
      <c r="BG361" s="24">
        <f t="shared" ca="1" si="386"/>
        <v>850842.93645898404</v>
      </c>
      <c r="BH361" s="24">
        <f t="shared" ca="1" si="387"/>
        <v>12019.487840868882</v>
      </c>
      <c r="BI361">
        <f t="shared" ca="1" si="388"/>
        <v>0</v>
      </c>
      <c r="BJ361" s="24">
        <f t="shared" ca="1" si="389"/>
        <v>84136.414886082173</v>
      </c>
      <c r="BK361">
        <f t="shared" ca="1" si="390"/>
        <v>1</v>
      </c>
      <c r="BL361" s="25">
        <f t="shared" ca="1" si="391"/>
        <v>7011.3679071735132</v>
      </c>
      <c r="BM361" s="32">
        <f t="shared" ca="1" si="370"/>
        <v>455051.16869168903</v>
      </c>
      <c r="BN361" s="23">
        <f t="shared" ca="1" si="392"/>
        <v>0</v>
      </c>
      <c r="BO361" s="24">
        <f t="shared" ca="1" si="393"/>
        <v>0</v>
      </c>
      <c r="BP361" s="25">
        <f t="shared" ca="1" si="394"/>
        <v>0</v>
      </c>
      <c r="BQ361" s="34">
        <f t="shared" ca="1" si="395"/>
        <v>56400</v>
      </c>
      <c r="BR361" s="23">
        <f t="shared" ca="1" si="396"/>
        <v>455051.16869168903</v>
      </c>
      <c r="BS361" s="24">
        <f t="shared" ca="1" si="397"/>
        <v>0</v>
      </c>
      <c r="BT361" s="24">
        <f t="shared" ca="1" si="402"/>
        <v>0</v>
      </c>
      <c r="BU361" s="24">
        <f t="shared" ca="1" si="398"/>
        <v>0</v>
      </c>
      <c r="BV361" s="24">
        <f t="shared" ca="1" si="403"/>
        <v>0</v>
      </c>
      <c r="BW361" s="24">
        <f t="shared" ca="1" si="399"/>
        <v>-7011.3679071735132</v>
      </c>
      <c r="BX361" s="25">
        <f t="shared" ca="1" si="404"/>
        <v>-87748.858363904073</v>
      </c>
      <c r="BY361" s="23">
        <f t="shared" ca="1" si="371"/>
        <v>143079.27299496642</v>
      </c>
      <c r="BZ361" s="24">
        <f t="shared" ca="1" si="372"/>
        <v>0</v>
      </c>
      <c r="CA361" s="24">
        <f t="shared" ca="1" si="405"/>
        <v>0</v>
      </c>
      <c r="CB361" s="24">
        <f t="shared" ca="1" si="373"/>
        <v>0</v>
      </c>
      <c r="CC361" s="24">
        <f t="shared" ca="1" si="406"/>
        <v>0</v>
      </c>
      <c r="CD361" s="24">
        <f t="shared" ca="1" si="374"/>
        <v>-2211.7635269129732</v>
      </c>
      <c r="CE361" s="25">
        <f t="shared" ca="1" si="407"/>
        <v>-28197.895254299438</v>
      </c>
      <c r="CF361" s="23">
        <f t="shared" ca="1" si="408"/>
        <v>837207.63299009006</v>
      </c>
      <c r="CG361" s="25">
        <f t="array" aca="1" ref="CG361" ca="1">SUM(BF350:BF361/(1+inflation/100)^(AP350:AP361/12))</f>
        <v>267980.53702225379</v>
      </c>
      <c r="CH361" s="32">
        <f ca="1">IFERROR(IF(MOD(AP361-ap_months_since_start,12)=0,ap_drawdown/100*(AQ361+AV361+BA361-BC361),CH360),0)</f>
        <v>73892.985086192508</v>
      </c>
    </row>
    <row r="362" spans="40:86" x14ac:dyDescent="0.25">
      <c r="AN362" s="32">
        <f t="shared" ca="1" si="369"/>
        <v>84.416666666666671</v>
      </c>
      <c r="AO362" s="53">
        <f t="shared" ca="1" si="400"/>
        <v>56401</v>
      </c>
      <c r="AP362" s="22">
        <v>355</v>
      </c>
      <c r="AQ362" s="32">
        <f t="shared" ca="1" si="401"/>
        <v>455051.16869168903</v>
      </c>
      <c r="AR362" s="23">
        <f t="array" aca="1" ref="AR362" ca="1">SUM(IF(lsc_start_date=AO362,lsc_amount,0))</f>
        <v>0</v>
      </c>
      <c r="AS362" s="24">
        <f t="shared" ca="1" si="375"/>
        <v>0</v>
      </c>
      <c r="AT362" s="24">
        <f t="shared" ca="1" si="376"/>
        <v>0</v>
      </c>
      <c r="AU362" s="24">
        <f t="shared" ca="1" si="377"/>
        <v>0</v>
      </c>
      <c r="AV362" s="25">
        <f t="shared" ca="1" si="378"/>
        <v>0</v>
      </c>
      <c r="AW362" s="23">
        <f t="array" aca="1" ref="AW362" ca="1">SUM(IF(rcs_start_date&lt;=AO362,1,0)*IF(rcs_end_date&gt;=AO362,1,0)*rcs_amount*(1+rcs_escalation/100)^(INT((AP362-rcs_months_since_start)/12))*IF(MOD((AP362-rcs_months_since_start),rcs_frequency)=0,1,0)*IF(rcs_frequency=13,0,1))+SUM(IF(rcs_start_date=AO362,rcs_amount,0)*IF(rcs_frequency=13,1,0))</f>
        <v>0</v>
      </c>
      <c r="AX362" s="24">
        <f t="shared" ca="1" si="379"/>
        <v>0</v>
      </c>
      <c r="AY362" s="24">
        <f t="shared" ca="1" si="380"/>
        <v>0</v>
      </c>
      <c r="AZ362" s="24">
        <f t="shared" ca="1" si="381"/>
        <v>0</v>
      </c>
      <c r="BA362" s="25">
        <f t="shared" ca="1" si="382"/>
        <v>0</v>
      </c>
      <c r="BB362" s="23">
        <f t="array" aca="1" ref="BB362" ca="1">SUM(IF(w_start_date&lt;=AO362,1,0)*IF(w_end_date&gt;=AO362,1,0)*w_amount*(1+w_escalation/100)^(INT((AP362-w_months_since_start)/12))*IF(MOD(AP362-w_months_since_start,w_frequency)=0,1,0)*IF(w_frequency=13,0,1))+SUM(IF(w_start_date=AO362,w_amount,0)*IF(w_frequency=13,1,0))</f>
        <v>0</v>
      </c>
      <c r="BC362" s="25">
        <f t="shared" ca="1" si="383"/>
        <v>0</v>
      </c>
      <c r="BD362" s="24" t="b">
        <f t="shared" ca="1" si="384"/>
        <v>1</v>
      </c>
      <c r="BE362" s="24" t="b">
        <f t="shared" ca="1" si="385"/>
        <v>1</v>
      </c>
      <c r="BF362" s="23">
        <f t="array" aca="1" ref="BF362" ca="1">SUM(IF(BD362,1,0)*IF(ap_start_date&lt;=AO362,1,0)*IF(ap_end_date&gt;=AO362,1,0)*ap_amount*(1+ap_escalation/100)^(INT((AP362-ap_months_since_start)/12))*IF(MOD(AP362-ap_months_since_start,ap_frequency)=0,1,0))</f>
        <v>70903.578038248656</v>
      </c>
      <c r="BG362" s="24">
        <f t="shared" ca="1" si="386"/>
        <v>850842.93645898404</v>
      </c>
      <c r="BH362" s="24">
        <f t="shared" ca="1" si="387"/>
        <v>12019.487840868882</v>
      </c>
      <c r="BI362">
        <f t="shared" ca="1" si="388"/>
        <v>0</v>
      </c>
      <c r="BJ362" s="24">
        <f t="shared" ca="1" si="389"/>
        <v>84136.414886082173</v>
      </c>
      <c r="BK362">
        <f t="shared" ca="1" si="390"/>
        <v>1</v>
      </c>
      <c r="BL362" s="25">
        <f t="shared" ca="1" si="391"/>
        <v>7011.3679071735132</v>
      </c>
      <c r="BM362" s="32">
        <f t="shared" ca="1" si="370"/>
        <v>451268.96848726697</v>
      </c>
      <c r="BN362" s="23">
        <f t="shared" ca="1" si="392"/>
        <v>0</v>
      </c>
      <c r="BO362" s="24">
        <f t="shared" ca="1" si="393"/>
        <v>0</v>
      </c>
      <c r="BP362" s="25">
        <f t="shared" ca="1" si="394"/>
        <v>0</v>
      </c>
      <c r="BQ362" s="34">
        <f t="shared" ca="1" si="395"/>
        <v>56430</v>
      </c>
      <c r="BR362" s="23">
        <f t="shared" ca="1" si="396"/>
        <v>451268.96848726697</v>
      </c>
      <c r="BS362" s="24">
        <f t="shared" ca="1" si="397"/>
        <v>0</v>
      </c>
      <c r="BT362" s="24">
        <f t="shared" ca="1" si="402"/>
        <v>0</v>
      </c>
      <c r="BU362" s="24">
        <f t="shared" ca="1" si="398"/>
        <v>0</v>
      </c>
      <c r="BV362" s="24">
        <f t="shared" ca="1" si="403"/>
        <v>0</v>
      </c>
      <c r="BW362" s="24">
        <f t="shared" ca="1" si="399"/>
        <v>-7011.3679071735132</v>
      </c>
      <c r="BX362" s="25">
        <f t="shared" ca="1" si="404"/>
        <v>-87026.369668339685</v>
      </c>
      <c r="BY362" s="23">
        <f t="shared" ca="1" si="371"/>
        <v>141427.06088538576</v>
      </c>
      <c r="BZ362" s="24">
        <f t="shared" ca="1" si="372"/>
        <v>0</v>
      </c>
      <c r="CA362" s="24">
        <f t="shared" ca="1" si="405"/>
        <v>0</v>
      </c>
      <c r="CB362" s="24">
        <f t="shared" ca="1" si="373"/>
        <v>0</v>
      </c>
      <c r="CC362" s="24">
        <f t="shared" ca="1" si="406"/>
        <v>0</v>
      </c>
      <c r="CD362" s="24">
        <f t="shared" ca="1" si="374"/>
        <v>-2204.5464156104854</v>
      </c>
      <c r="CE362" s="25">
        <f t="shared" ca="1" si="407"/>
        <v>-27873.458464169707</v>
      </c>
      <c r="CF362" s="23">
        <f t="shared" ca="1" si="408"/>
        <v>839934.69368386886</v>
      </c>
      <c r="CG362" s="25">
        <f t="array" aca="1" ref="CG362" ca="1">SUM(BF351:BF362/(1+inflation/100)^(AP351:AP362/12))</f>
        <v>267980.53702225373</v>
      </c>
      <c r="CH362" s="32">
        <f ca="1">IFERROR(IF(MOD(AP362-ap_months_since_start,12)=0,ap_drawdown/100*(AQ362+AV362+BA362-BC362),CH361),0)</f>
        <v>73892.985086192508</v>
      </c>
    </row>
    <row r="363" spans="40:86" x14ac:dyDescent="0.25">
      <c r="AN363" s="32">
        <f t="shared" ca="1" si="369"/>
        <v>84.5</v>
      </c>
      <c r="AO363" s="53">
        <f t="shared" ca="1" si="400"/>
        <v>56431</v>
      </c>
      <c r="AP363" s="22">
        <v>356</v>
      </c>
      <c r="AQ363" s="32">
        <f t="shared" ca="1" si="401"/>
        <v>451268.96848726697</v>
      </c>
      <c r="AR363" s="23">
        <f t="array" aca="1" ref="AR363" ca="1">SUM(IF(lsc_start_date=AO363,lsc_amount,0))</f>
        <v>0</v>
      </c>
      <c r="AS363" s="24">
        <f t="shared" ca="1" si="375"/>
        <v>0</v>
      </c>
      <c r="AT363" s="24">
        <f t="shared" ca="1" si="376"/>
        <v>0</v>
      </c>
      <c r="AU363" s="24">
        <f t="shared" ca="1" si="377"/>
        <v>0</v>
      </c>
      <c r="AV363" s="25">
        <f t="shared" ca="1" si="378"/>
        <v>0</v>
      </c>
      <c r="AW363" s="23">
        <f t="array" aca="1" ref="AW363" ca="1">SUM(IF(rcs_start_date&lt;=AO363,1,0)*IF(rcs_end_date&gt;=AO363,1,0)*rcs_amount*(1+rcs_escalation/100)^(INT((AP363-rcs_months_since_start)/12))*IF(MOD((AP363-rcs_months_since_start),rcs_frequency)=0,1,0)*IF(rcs_frequency=13,0,1))+SUM(IF(rcs_start_date=AO363,rcs_amount,0)*IF(rcs_frequency=13,1,0))</f>
        <v>0</v>
      </c>
      <c r="AX363" s="24">
        <f t="shared" ca="1" si="379"/>
        <v>0</v>
      </c>
      <c r="AY363" s="24">
        <f t="shared" ca="1" si="380"/>
        <v>0</v>
      </c>
      <c r="AZ363" s="24">
        <f t="shared" ca="1" si="381"/>
        <v>0</v>
      </c>
      <c r="BA363" s="25">
        <f t="shared" ca="1" si="382"/>
        <v>0</v>
      </c>
      <c r="BB363" s="23">
        <f t="array" aca="1" ref="BB363" ca="1">SUM(IF(w_start_date&lt;=AO363,1,0)*IF(w_end_date&gt;=AO363,1,0)*w_amount*(1+w_escalation/100)^(INT((AP363-w_months_since_start)/12))*IF(MOD(AP363-w_months_since_start,w_frequency)=0,1,0)*IF(w_frequency=13,0,1))+SUM(IF(w_start_date=AO363,w_amount,0)*IF(w_frequency=13,1,0))</f>
        <v>0</v>
      </c>
      <c r="BC363" s="25">
        <f t="shared" ca="1" si="383"/>
        <v>0</v>
      </c>
      <c r="BD363" s="24" t="b">
        <f t="shared" ca="1" si="384"/>
        <v>1</v>
      </c>
      <c r="BE363" s="24" t="b">
        <f t="shared" ca="1" si="385"/>
        <v>1</v>
      </c>
      <c r="BF363" s="23">
        <f t="array" aca="1" ref="BF363" ca="1">SUM(IF(BD363,1,0)*IF(ap_start_date&lt;=AO363,1,0)*IF(ap_end_date&gt;=AO363,1,0)*ap_amount*(1+ap_escalation/100)^(INT((AP363-ap_months_since_start)/12))*IF(MOD(AP363-ap_months_since_start,ap_frequency)=0,1,0))</f>
        <v>70903.578038248656</v>
      </c>
      <c r="BG363" s="24">
        <f t="shared" ca="1" si="386"/>
        <v>850842.93645898404</v>
      </c>
      <c r="BH363" s="24">
        <f t="shared" ca="1" si="387"/>
        <v>12019.487840868882</v>
      </c>
      <c r="BI363">
        <f t="shared" ca="1" si="388"/>
        <v>0</v>
      </c>
      <c r="BJ363" s="24">
        <f t="shared" ca="1" si="389"/>
        <v>84136.414886082173</v>
      </c>
      <c r="BK363">
        <f t="shared" ca="1" si="390"/>
        <v>1</v>
      </c>
      <c r="BL363" s="25">
        <f t="shared" ca="1" si="391"/>
        <v>7011.3679071735132</v>
      </c>
      <c r="BM363" s="32">
        <f t="shared" ca="1" si="370"/>
        <v>447459.50874312531</v>
      </c>
      <c r="BN363" s="23">
        <f t="shared" ca="1" si="392"/>
        <v>0</v>
      </c>
      <c r="BO363" s="24">
        <f t="shared" ca="1" si="393"/>
        <v>0</v>
      </c>
      <c r="BP363" s="25">
        <f t="shared" ca="1" si="394"/>
        <v>0</v>
      </c>
      <c r="BQ363" s="34">
        <f t="shared" ca="1" si="395"/>
        <v>56461</v>
      </c>
      <c r="BR363" s="23">
        <f t="shared" ca="1" si="396"/>
        <v>447459.50874312531</v>
      </c>
      <c r="BS363" s="24">
        <f t="shared" ca="1" si="397"/>
        <v>0</v>
      </c>
      <c r="BT363" s="24">
        <f t="shared" ca="1" si="402"/>
        <v>0</v>
      </c>
      <c r="BU363" s="24">
        <f t="shared" ca="1" si="398"/>
        <v>0</v>
      </c>
      <c r="BV363" s="24">
        <f t="shared" ca="1" si="403"/>
        <v>0</v>
      </c>
      <c r="BW363" s="24">
        <f t="shared" ca="1" si="399"/>
        <v>-7011.3679071735132</v>
      </c>
      <c r="BX363" s="25">
        <f t="shared" ca="1" si="404"/>
        <v>-86303.880972775296</v>
      </c>
      <c r="BY363" s="23">
        <f t="shared" ca="1" si="371"/>
        <v>139775.59263403533</v>
      </c>
      <c r="BZ363" s="24">
        <f t="shared" ca="1" si="372"/>
        <v>0</v>
      </c>
      <c r="CA363" s="24">
        <f t="shared" ca="1" si="405"/>
        <v>0</v>
      </c>
      <c r="CB363" s="24">
        <f t="shared" ca="1" si="373"/>
        <v>0</v>
      </c>
      <c r="CC363" s="24">
        <f t="shared" ca="1" si="406"/>
        <v>0</v>
      </c>
      <c r="CD363" s="24">
        <f t="shared" ca="1" si="374"/>
        <v>-2197.352854156306</v>
      </c>
      <c r="CE363" s="25">
        <f t="shared" ca="1" si="407"/>
        <v>-27550.080329902812</v>
      </c>
      <c r="CF363" s="23">
        <f t="shared" ca="1" si="408"/>
        <v>842661.75437764765</v>
      </c>
      <c r="CG363" s="25">
        <f t="array" aca="1" ref="CG363" ca="1">SUM(BF352:BF363/(1+inflation/100)^(AP352:AP363/12))</f>
        <v>267980.53702225373</v>
      </c>
      <c r="CH363" s="32">
        <f ca="1">IFERROR(IF(MOD(AP363-ap_months_since_start,12)=0,ap_drawdown/100*(AQ363+AV363+BA363-BC363),CH362),0)</f>
        <v>73892.985086192508</v>
      </c>
    </row>
    <row r="364" spans="40:86" x14ac:dyDescent="0.25">
      <c r="AN364" s="32">
        <f t="shared" ca="1" si="369"/>
        <v>84.583333333333329</v>
      </c>
      <c r="AO364" s="53">
        <f t="shared" ca="1" si="400"/>
        <v>56462</v>
      </c>
      <c r="AP364" s="22">
        <v>357</v>
      </c>
      <c r="AQ364" s="32">
        <f t="shared" ca="1" si="401"/>
        <v>447459.50874312531</v>
      </c>
      <c r="AR364" s="23">
        <f t="array" aca="1" ref="AR364" ca="1">SUM(IF(lsc_start_date=AO364,lsc_amount,0))</f>
        <v>0</v>
      </c>
      <c r="AS364" s="24">
        <f t="shared" ca="1" si="375"/>
        <v>0</v>
      </c>
      <c r="AT364" s="24">
        <f t="shared" ca="1" si="376"/>
        <v>0</v>
      </c>
      <c r="AU364" s="24">
        <f t="shared" ca="1" si="377"/>
        <v>0</v>
      </c>
      <c r="AV364" s="25">
        <f t="shared" ca="1" si="378"/>
        <v>0</v>
      </c>
      <c r="AW364" s="23">
        <f t="array" aca="1" ref="AW364" ca="1">SUM(IF(rcs_start_date&lt;=AO364,1,0)*IF(rcs_end_date&gt;=AO364,1,0)*rcs_amount*(1+rcs_escalation/100)^(INT((AP364-rcs_months_since_start)/12))*IF(MOD((AP364-rcs_months_since_start),rcs_frequency)=0,1,0)*IF(rcs_frequency=13,0,1))+SUM(IF(rcs_start_date=AO364,rcs_amount,0)*IF(rcs_frequency=13,1,0))</f>
        <v>0</v>
      </c>
      <c r="AX364" s="24">
        <f t="shared" ca="1" si="379"/>
        <v>0</v>
      </c>
      <c r="AY364" s="24">
        <f t="shared" ca="1" si="380"/>
        <v>0</v>
      </c>
      <c r="AZ364" s="24">
        <f t="shared" ca="1" si="381"/>
        <v>0</v>
      </c>
      <c r="BA364" s="25">
        <f t="shared" ca="1" si="382"/>
        <v>0</v>
      </c>
      <c r="BB364" s="23">
        <f t="array" aca="1" ref="BB364" ca="1">SUM(IF(w_start_date&lt;=AO364,1,0)*IF(w_end_date&gt;=AO364,1,0)*w_amount*(1+w_escalation/100)^(INT((AP364-w_months_since_start)/12))*IF(MOD(AP364-w_months_since_start,w_frequency)=0,1,0)*IF(w_frequency=13,0,1))+SUM(IF(w_start_date=AO364,w_amount,0)*IF(w_frequency=13,1,0))</f>
        <v>0</v>
      </c>
      <c r="BC364" s="25">
        <f t="shared" ca="1" si="383"/>
        <v>0</v>
      </c>
      <c r="BD364" s="24" t="b">
        <f t="shared" ca="1" si="384"/>
        <v>1</v>
      </c>
      <c r="BE364" s="24" t="b">
        <f t="shared" ca="1" si="385"/>
        <v>1</v>
      </c>
      <c r="BF364" s="23">
        <f t="array" aca="1" ref="BF364" ca="1">SUM(IF(BD364,1,0)*IF(ap_start_date&lt;=AO364,1,0)*IF(ap_end_date&gt;=AO364,1,0)*ap_amount*(1+ap_escalation/100)^(INT((AP364-ap_months_since_start)/12))*IF(MOD(AP364-ap_months_since_start,ap_frequency)=0,1,0))</f>
        <v>70903.578038248656</v>
      </c>
      <c r="BG364" s="24">
        <f t="shared" ca="1" si="386"/>
        <v>850842.93645898404</v>
      </c>
      <c r="BH364" s="24">
        <f t="shared" ca="1" si="387"/>
        <v>12019.487840868882</v>
      </c>
      <c r="BI364">
        <f t="shared" ca="1" si="388"/>
        <v>0</v>
      </c>
      <c r="BJ364" s="24">
        <f t="shared" ca="1" si="389"/>
        <v>84136.414886082173</v>
      </c>
      <c r="BK364">
        <f t="shared" ca="1" si="390"/>
        <v>1</v>
      </c>
      <c r="BL364" s="25">
        <f t="shared" ca="1" si="391"/>
        <v>7011.3679071735132</v>
      </c>
      <c r="BM364" s="32">
        <f t="shared" ca="1" si="370"/>
        <v>443622.59299094783</v>
      </c>
      <c r="BN364" s="23">
        <f t="shared" ca="1" si="392"/>
        <v>0</v>
      </c>
      <c r="BO364" s="24">
        <f t="shared" ca="1" si="393"/>
        <v>0</v>
      </c>
      <c r="BP364" s="25">
        <f t="shared" ca="1" si="394"/>
        <v>0</v>
      </c>
      <c r="BQ364" s="34">
        <f t="shared" ca="1" si="395"/>
        <v>56492</v>
      </c>
      <c r="BR364" s="23">
        <f t="shared" ca="1" si="396"/>
        <v>443622.59299094783</v>
      </c>
      <c r="BS364" s="24">
        <f t="shared" ca="1" si="397"/>
        <v>0</v>
      </c>
      <c r="BT364" s="24">
        <f t="shared" ca="1" si="402"/>
        <v>0</v>
      </c>
      <c r="BU364" s="24">
        <f t="shared" ca="1" si="398"/>
        <v>0</v>
      </c>
      <c r="BV364" s="24">
        <f t="shared" ca="1" si="403"/>
        <v>0</v>
      </c>
      <c r="BW364" s="24">
        <f t="shared" ca="1" si="399"/>
        <v>-7011.3679071735132</v>
      </c>
      <c r="BX364" s="25">
        <f t="shared" ca="1" si="404"/>
        <v>-85581.392277210907</v>
      </c>
      <c r="BY364" s="23">
        <f t="shared" ca="1" si="371"/>
        <v>138124.84759236043</v>
      </c>
      <c r="BZ364" s="24">
        <f t="shared" ca="1" si="372"/>
        <v>0</v>
      </c>
      <c r="CA364" s="24">
        <f t="shared" ca="1" si="405"/>
        <v>0</v>
      </c>
      <c r="CB364" s="24">
        <f t="shared" ca="1" si="373"/>
        <v>0</v>
      </c>
      <c r="CC364" s="24">
        <f t="shared" ca="1" si="406"/>
        <v>0</v>
      </c>
      <c r="CD364" s="24">
        <f t="shared" ca="1" si="374"/>
        <v>-2190.1827657059275</v>
      </c>
      <c r="CE364" s="25">
        <f t="shared" ca="1" si="407"/>
        <v>-27227.757397043933</v>
      </c>
      <c r="CF364" s="23">
        <f t="shared" ca="1" si="408"/>
        <v>845388.81507142645</v>
      </c>
      <c r="CG364" s="25">
        <f t="array" aca="1" ref="CG364" ca="1">SUM(BF353:BF364/(1+inflation/100)^(AP353:AP364/12))</f>
        <v>267980.53702225379</v>
      </c>
      <c r="CH364" s="32">
        <f ca="1">IFERROR(IF(MOD(AP364-ap_months_since_start,12)=0,ap_drawdown/100*(AQ364+AV364+BA364-BC364),CH363),0)</f>
        <v>73892.985086192508</v>
      </c>
    </row>
    <row r="365" spans="40:86" x14ac:dyDescent="0.25">
      <c r="AN365" s="32">
        <f t="shared" ca="1" si="369"/>
        <v>84.666666666666671</v>
      </c>
      <c r="AO365" s="53">
        <f t="shared" ca="1" si="400"/>
        <v>56493</v>
      </c>
      <c r="AP365" s="22">
        <v>358</v>
      </c>
      <c r="AQ365" s="32">
        <f t="shared" ca="1" si="401"/>
        <v>443622.59299094783</v>
      </c>
      <c r="AR365" s="23">
        <f t="array" aca="1" ref="AR365" ca="1">SUM(IF(lsc_start_date=AO365,lsc_amount,0))</f>
        <v>0</v>
      </c>
      <c r="AS365" s="24">
        <f t="shared" ca="1" si="375"/>
        <v>0</v>
      </c>
      <c r="AT365" s="24">
        <f t="shared" ca="1" si="376"/>
        <v>0</v>
      </c>
      <c r="AU365" s="24">
        <f t="shared" ca="1" si="377"/>
        <v>0</v>
      </c>
      <c r="AV365" s="25">
        <f t="shared" ca="1" si="378"/>
        <v>0</v>
      </c>
      <c r="AW365" s="23">
        <f t="array" aca="1" ref="AW365" ca="1">SUM(IF(rcs_start_date&lt;=AO365,1,0)*IF(rcs_end_date&gt;=AO365,1,0)*rcs_amount*(1+rcs_escalation/100)^(INT((AP365-rcs_months_since_start)/12))*IF(MOD((AP365-rcs_months_since_start),rcs_frequency)=0,1,0)*IF(rcs_frequency=13,0,1))+SUM(IF(rcs_start_date=AO365,rcs_amount,0)*IF(rcs_frequency=13,1,0))</f>
        <v>0</v>
      </c>
      <c r="AX365" s="24">
        <f t="shared" ca="1" si="379"/>
        <v>0</v>
      </c>
      <c r="AY365" s="24">
        <f t="shared" ca="1" si="380"/>
        <v>0</v>
      </c>
      <c r="AZ365" s="24">
        <f t="shared" ca="1" si="381"/>
        <v>0</v>
      </c>
      <c r="BA365" s="25">
        <f t="shared" ca="1" si="382"/>
        <v>0</v>
      </c>
      <c r="BB365" s="23">
        <f t="array" aca="1" ref="BB365" ca="1">SUM(IF(w_start_date&lt;=AO365,1,0)*IF(w_end_date&gt;=AO365,1,0)*w_amount*(1+w_escalation/100)^(INT((AP365-w_months_since_start)/12))*IF(MOD(AP365-w_months_since_start,w_frequency)=0,1,0)*IF(w_frequency=13,0,1))+SUM(IF(w_start_date=AO365,w_amount,0)*IF(w_frequency=13,1,0))</f>
        <v>0</v>
      </c>
      <c r="BC365" s="25">
        <f t="shared" ca="1" si="383"/>
        <v>0</v>
      </c>
      <c r="BD365" s="24" t="b">
        <f t="shared" ca="1" si="384"/>
        <v>1</v>
      </c>
      <c r="BE365" s="24" t="b">
        <f t="shared" ca="1" si="385"/>
        <v>1</v>
      </c>
      <c r="BF365" s="23">
        <f t="array" aca="1" ref="BF365" ca="1">SUM(IF(BD365,1,0)*IF(ap_start_date&lt;=AO365,1,0)*IF(ap_end_date&gt;=AO365,1,0)*ap_amount*(1+ap_escalation/100)^(INT((AP365-ap_months_since_start)/12))*IF(MOD(AP365-ap_months_since_start,ap_frequency)=0,1,0))</f>
        <v>70903.578038248656</v>
      </c>
      <c r="BG365" s="24">
        <f t="shared" ca="1" si="386"/>
        <v>850842.93645898404</v>
      </c>
      <c r="BH365" s="24">
        <f t="shared" ca="1" si="387"/>
        <v>12019.487840868882</v>
      </c>
      <c r="BI365">
        <f t="shared" ca="1" si="388"/>
        <v>0</v>
      </c>
      <c r="BJ365" s="24">
        <f t="shared" ca="1" si="389"/>
        <v>84136.414886082173</v>
      </c>
      <c r="BK365">
        <f t="shared" ca="1" si="390"/>
        <v>1</v>
      </c>
      <c r="BL365" s="25">
        <f t="shared" ca="1" si="391"/>
        <v>7011.3679071735132</v>
      </c>
      <c r="BM365" s="32">
        <f t="shared" ca="1" si="370"/>
        <v>439758.02334640763</v>
      </c>
      <c r="BN365" s="23">
        <f t="shared" ca="1" si="392"/>
        <v>0</v>
      </c>
      <c r="BO365" s="24">
        <f t="shared" ca="1" si="393"/>
        <v>0</v>
      </c>
      <c r="BP365" s="25">
        <f t="shared" ca="1" si="394"/>
        <v>0</v>
      </c>
      <c r="BQ365" s="34">
        <f t="shared" ca="1" si="395"/>
        <v>56522</v>
      </c>
      <c r="BR365" s="23">
        <f t="shared" ca="1" si="396"/>
        <v>439758.02334640763</v>
      </c>
      <c r="BS365" s="24">
        <f t="shared" ca="1" si="397"/>
        <v>0</v>
      </c>
      <c r="BT365" s="24">
        <f t="shared" ca="1" si="402"/>
        <v>0</v>
      </c>
      <c r="BU365" s="24">
        <f t="shared" ca="1" si="398"/>
        <v>0</v>
      </c>
      <c r="BV365" s="24">
        <f t="shared" ca="1" si="403"/>
        <v>0</v>
      </c>
      <c r="BW365" s="24">
        <f t="shared" ca="1" si="399"/>
        <v>-7011.3679071735132</v>
      </c>
      <c r="BX365" s="25">
        <f t="shared" ca="1" si="404"/>
        <v>-84858.903581646518</v>
      </c>
      <c r="BY365" s="23">
        <f t="shared" ca="1" si="371"/>
        <v>136474.80510774232</v>
      </c>
      <c r="BZ365" s="24">
        <f t="shared" ca="1" si="372"/>
        <v>0</v>
      </c>
      <c r="CA365" s="24">
        <f t="shared" ca="1" si="405"/>
        <v>0</v>
      </c>
      <c r="CB365" s="24">
        <f t="shared" ca="1" si="373"/>
        <v>0</v>
      </c>
      <c r="CC365" s="24">
        <f t="shared" ca="1" si="406"/>
        <v>0</v>
      </c>
      <c r="CD365" s="24">
        <f t="shared" ca="1" si="374"/>
        <v>-2183.0360736655939</v>
      </c>
      <c r="CE365" s="25">
        <f t="shared" ca="1" si="407"/>
        <v>-26906.486222410327</v>
      </c>
      <c r="CF365" s="23">
        <f t="shared" ca="1" si="408"/>
        <v>848115.87576520524</v>
      </c>
      <c r="CG365" s="25">
        <f t="array" aca="1" ref="CG365" ca="1">SUM(BF354:BF365/(1+inflation/100)^(AP354:AP365/12))</f>
        <v>267980.53702225373</v>
      </c>
      <c r="CH365" s="32">
        <f ca="1">IFERROR(IF(MOD(AP365-ap_months_since_start,12)=0,ap_drawdown/100*(AQ365+AV365+BA365-BC365),CH364),0)</f>
        <v>73892.985086192508</v>
      </c>
    </row>
    <row r="366" spans="40:86" x14ac:dyDescent="0.25">
      <c r="AN366" s="32">
        <f t="shared" ca="1" si="369"/>
        <v>84.75</v>
      </c>
      <c r="AO366" s="53">
        <f t="shared" ca="1" si="400"/>
        <v>56523</v>
      </c>
      <c r="AP366" s="22">
        <v>359</v>
      </c>
      <c r="AQ366" s="32">
        <f t="shared" ca="1" si="401"/>
        <v>439758.02334640763</v>
      </c>
      <c r="AR366" s="23">
        <f t="array" aca="1" ref="AR366" ca="1">SUM(IF(lsc_start_date=AO366,lsc_amount,0))</f>
        <v>0</v>
      </c>
      <c r="AS366" s="24">
        <f t="shared" ca="1" si="375"/>
        <v>0</v>
      </c>
      <c r="AT366" s="24">
        <f t="shared" ca="1" si="376"/>
        <v>0</v>
      </c>
      <c r="AU366" s="24">
        <f t="shared" ca="1" si="377"/>
        <v>0</v>
      </c>
      <c r="AV366" s="25">
        <f t="shared" ca="1" si="378"/>
        <v>0</v>
      </c>
      <c r="AW366" s="23">
        <f t="array" aca="1" ref="AW366" ca="1">SUM(IF(rcs_start_date&lt;=AO366,1,0)*IF(rcs_end_date&gt;=AO366,1,0)*rcs_amount*(1+rcs_escalation/100)^(INT((AP366-rcs_months_since_start)/12))*IF(MOD((AP366-rcs_months_since_start),rcs_frequency)=0,1,0)*IF(rcs_frequency=13,0,1))+SUM(IF(rcs_start_date=AO366,rcs_amount,0)*IF(rcs_frequency=13,1,0))</f>
        <v>0</v>
      </c>
      <c r="AX366" s="24">
        <f t="shared" ca="1" si="379"/>
        <v>0</v>
      </c>
      <c r="AY366" s="24">
        <f t="shared" ca="1" si="380"/>
        <v>0</v>
      </c>
      <c r="AZ366" s="24">
        <f t="shared" ca="1" si="381"/>
        <v>0</v>
      </c>
      <c r="BA366" s="25">
        <f t="shared" ca="1" si="382"/>
        <v>0</v>
      </c>
      <c r="BB366" s="23">
        <f t="array" aca="1" ref="BB366" ca="1">SUM(IF(w_start_date&lt;=AO366,1,0)*IF(w_end_date&gt;=AO366,1,0)*w_amount*(1+w_escalation/100)^(INT((AP366-w_months_since_start)/12))*IF(MOD(AP366-w_months_since_start,w_frequency)=0,1,0)*IF(w_frequency=13,0,1))+SUM(IF(w_start_date=AO366,w_amount,0)*IF(w_frequency=13,1,0))</f>
        <v>0</v>
      </c>
      <c r="BC366" s="25">
        <f t="shared" ca="1" si="383"/>
        <v>0</v>
      </c>
      <c r="BD366" s="24" t="b">
        <f t="shared" ca="1" si="384"/>
        <v>1</v>
      </c>
      <c r="BE366" s="24" t="b">
        <f t="shared" ca="1" si="385"/>
        <v>1</v>
      </c>
      <c r="BF366" s="23">
        <f t="array" aca="1" ref="BF366" ca="1">SUM(IF(BD366,1,0)*IF(ap_start_date&lt;=AO366,1,0)*IF(ap_end_date&gt;=AO366,1,0)*ap_amount*(1+ap_escalation/100)^(INT((AP366-ap_months_since_start)/12))*IF(MOD(AP366-ap_months_since_start,ap_frequency)=0,1,0))</f>
        <v>70903.578038248656</v>
      </c>
      <c r="BG366" s="24">
        <f t="shared" ca="1" si="386"/>
        <v>850842.93645898404</v>
      </c>
      <c r="BH366" s="24">
        <f t="shared" ca="1" si="387"/>
        <v>12019.487840868882</v>
      </c>
      <c r="BI366">
        <f t="shared" ca="1" si="388"/>
        <v>0</v>
      </c>
      <c r="BJ366" s="24">
        <f t="shared" ca="1" si="389"/>
        <v>84136.414886082173</v>
      </c>
      <c r="BK366">
        <f t="shared" ca="1" si="390"/>
        <v>1</v>
      </c>
      <c r="BL366" s="25">
        <f t="shared" ca="1" si="391"/>
        <v>7011.3679071735132</v>
      </c>
      <c r="BM366" s="32">
        <f t="shared" ca="1" si="370"/>
        <v>435865.60049896146</v>
      </c>
      <c r="BN366" s="23">
        <f t="shared" ca="1" si="392"/>
        <v>0</v>
      </c>
      <c r="BO366" s="24">
        <f t="shared" ca="1" si="393"/>
        <v>0</v>
      </c>
      <c r="BP366" s="25">
        <f t="shared" ca="1" si="394"/>
        <v>0</v>
      </c>
      <c r="BQ366" s="34">
        <f t="shared" ca="1" si="395"/>
        <v>56553</v>
      </c>
      <c r="BR366" s="23">
        <f t="shared" ca="1" si="396"/>
        <v>435865.60049896146</v>
      </c>
      <c r="BS366" s="24">
        <f t="shared" ca="1" si="397"/>
        <v>0</v>
      </c>
      <c r="BT366" s="24">
        <f t="shared" ca="1" si="402"/>
        <v>0</v>
      </c>
      <c r="BU366" s="24">
        <f t="shared" ca="1" si="398"/>
        <v>0</v>
      </c>
      <c r="BV366" s="24">
        <f t="shared" ca="1" si="403"/>
        <v>0</v>
      </c>
      <c r="BW366" s="24">
        <f t="shared" ca="1" si="399"/>
        <v>-7011.3679071735132</v>
      </c>
      <c r="BX366" s="25">
        <f t="shared" ca="1" si="404"/>
        <v>-84136.41488608213</v>
      </c>
      <c r="BY366" s="23">
        <f t="shared" ca="1" si="371"/>
        <v>134825.44452323194</v>
      </c>
      <c r="BZ366" s="24">
        <f t="shared" ca="1" si="372"/>
        <v>0</v>
      </c>
      <c r="CA366" s="24">
        <f t="shared" ca="1" si="405"/>
        <v>0</v>
      </c>
      <c r="CB366" s="24">
        <f t="shared" ca="1" si="373"/>
        <v>0</v>
      </c>
      <c r="CC366" s="24">
        <f t="shared" ca="1" si="406"/>
        <v>0</v>
      </c>
      <c r="CD366" s="24">
        <f t="shared" ca="1" si="374"/>
        <v>-2175.9127016914745</v>
      </c>
      <c r="CE366" s="25">
        <f t="shared" ca="1" si="407"/>
        <v>-26586.263374054553</v>
      </c>
      <c r="CF366" s="23">
        <f t="shared" ca="1" si="408"/>
        <v>850842.93645898404</v>
      </c>
      <c r="CG366" s="25">
        <f t="array" aca="1" ref="CG366" ca="1">SUM(BF355:BF366/(1+inflation/100)^(AP355:AP366/12))</f>
        <v>267980.53702225379</v>
      </c>
      <c r="CH366" s="32">
        <f ca="1">IFERROR(IF(MOD(AP366-ap_months_since_start,12)=0,ap_drawdown/100*(AQ366+AV366+BA366-BC366),CH365),0)</f>
        <v>73892.985086192508</v>
      </c>
    </row>
    <row r="367" spans="40:86" x14ac:dyDescent="0.25">
      <c r="AN367" s="32">
        <f t="shared" ca="1" si="369"/>
        <v>84.833333333333329</v>
      </c>
      <c r="AO367" s="53">
        <f t="shared" ca="1" si="400"/>
        <v>56554</v>
      </c>
      <c r="AP367" s="22">
        <v>360</v>
      </c>
      <c r="AQ367" s="32">
        <f t="shared" ca="1" si="401"/>
        <v>435865.60049896146</v>
      </c>
      <c r="AR367" s="23">
        <f t="array" aca="1" ref="AR367" ca="1">SUM(IF(lsc_start_date=AO367,lsc_amount,0))</f>
        <v>0</v>
      </c>
      <c r="AS367" s="24">
        <f t="shared" ca="1" si="375"/>
        <v>0</v>
      </c>
      <c r="AT367" s="24">
        <f t="shared" ca="1" si="376"/>
        <v>0</v>
      </c>
      <c r="AU367" s="24">
        <f t="shared" ca="1" si="377"/>
        <v>0</v>
      </c>
      <c r="AV367" s="25">
        <f t="shared" ca="1" si="378"/>
        <v>0</v>
      </c>
      <c r="AW367" s="23">
        <f t="array" aca="1" ref="AW367" ca="1">SUM(IF(rcs_start_date&lt;=AO367,1,0)*IF(rcs_end_date&gt;=AO367,1,0)*rcs_amount*(1+rcs_escalation/100)^(INT((AP367-rcs_months_since_start)/12))*IF(MOD((AP367-rcs_months_since_start),rcs_frequency)=0,1,0)*IF(rcs_frequency=13,0,1))+SUM(IF(rcs_start_date=AO367,rcs_amount,0)*IF(rcs_frequency=13,1,0))</f>
        <v>0</v>
      </c>
      <c r="AX367" s="24">
        <f t="shared" ca="1" si="379"/>
        <v>0</v>
      </c>
      <c r="AY367" s="24">
        <f t="shared" ca="1" si="380"/>
        <v>0</v>
      </c>
      <c r="AZ367" s="24">
        <f t="shared" ca="1" si="381"/>
        <v>0</v>
      </c>
      <c r="BA367" s="25">
        <f t="shared" ca="1" si="382"/>
        <v>0</v>
      </c>
      <c r="BB367" s="23">
        <f t="array" aca="1" ref="BB367" ca="1">SUM(IF(w_start_date&lt;=AO367,1,0)*IF(w_end_date&gt;=AO367,1,0)*w_amount*(1+w_escalation/100)^(INT((AP367-w_months_since_start)/12))*IF(MOD(AP367-w_months_since_start,w_frequency)=0,1,0)*IF(w_frequency=13,0,1))+SUM(IF(w_start_date=AO367,w_amount,0)*IF(w_frequency=13,1,0))</f>
        <v>0</v>
      </c>
      <c r="BC367" s="25">
        <f t="shared" ca="1" si="383"/>
        <v>0</v>
      </c>
      <c r="BD367" s="24" t="b">
        <f t="shared" ca="1" si="384"/>
        <v>1</v>
      </c>
      <c r="BE367" s="24" t="b">
        <f t="shared" ca="1" si="385"/>
        <v>1</v>
      </c>
      <c r="BF367" s="23">
        <f t="array" aca="1" ref="BF367" ca="1">SUM(IF(BD367,1,0)*IF(ap_start_date&lt;=AO367,1,0)*IF(ap_end_date&gt;=AO367,1,0)*ap_amount*(1+ap_escalation/100)^(INT((AP367-ap_months_since_start)/12))*IF(MOD(AP367-ap_months_since_start,ap_frequency)=0,1,0))</f>
        <v>73739.721159778594</v>
      </c>
      <c r="BG367" s="24">
        <f t="shared" ca="1" si="386"/>
        <v>884876.65391734289</v>
      </c>
      <c r="BH367" s="24">
        <f t="shared" ca="1" si="387"/>
        <v>10896.640012474038</v>
      </c>
      <c r="BI367">
        <f t="shared" ca="1" si="388"/>
        <v>0</v>
      </c>
      <c r="BJ367" s="24">
        <f t="shared" ca="1" si="389"/>
        <v>76276.480087318254</v>
      </c>
      <c r="BK367">
        <f t="shared" ca="1" si="390"/>
        <v>1</v>
      </c>
      <c r="BL367" s="25">
        <f t="shared" ca="1" si="391"/>
        <v>6356.3733406098563</v>
      </c>
      <c r="BM367" s="32">
        <f t="shared" ca="1" si="370"/>
        <v>432604.83902574587</v>
      </c>
      <c r="BN367" s="23">
        <f t="shared" ca="1" si="392"/>
        <v>0</v>
      </c>
      <c r="BO367" s="24">
        <f t="shared" ca="1" si="393"/>
        <v>0</v>
      </c>
      <c r="BP367" s="25">
        <f t="shared" ca="1" si="394"/>
        <v>0</v>
      </c>
      <c r="BQ367" s="34">
        <f t="shared" ca="1" si="395"/>
        <v>56583</v>
      </c>
      <c r="BR367" s="23">
        <f t="shared" ca="1" si="396"/>
        <v>432604.83902574587</v>
      </c>
      <c r="BS367" s="24">
        <f t="shared" ca="1" si="397"/>
        <v>0</v>
      </c>
      <c r="BT367" s="24">
        <f t="shared" ca="1" si="402"/>
        <v>0</v>
      </c>
      <c r="BU367" s="24">
        <f t="shared" ca="1" si="398"/>
        <v>0</v>
      </c>
      <c r="BV367" s="24">
        <f t="shared" ca="1" si="403"/>
        <v>0</v>
      </c>
      <c r="BW367" s="24">
        <f t="shared" ca="1" si="399"/>
        <v>-6356.3733406098563</v>
      </c>
      <c r="BX367" s="25">
        <f t="shared" ca="1" si="404"/>
        <v>-83481.420319518482</v>
      </c>
      <c r="BY367" s="23">
        <f t="shared" ca="1" si="371"/>
        <v>133380.1477272739</v>
      </c>
      <c r="BZ367" s="24">
        <f t="shared" ca="1" si="372"/>
        <v>0</v>
      </c>
      <c r="CA367" s="24">
        <f t="shared" ca="1" si="405"/>
        <v>0</v>
      </c>
      <c r="CB367" s="24">
        <f t="shared" ca="1" si="373"/>
        <v>0</v>
      </c>
      <c r="CC367" s="24">
        <f t="shared" ca="1" si="406"/>
        <v>0</v>
      </c>
      <c r="CD367" s="24">
        <f t="shared" ca="1" si="374"/>
        <v>-1966.2043992971333</v>
      </c>
      <c r="CE367" s="25">
        <f t="shared" ca="1" si="407"/>
        <v>-26296.902696715275</v>
      </c>
      <c r="CF367" s="23">
        <f t="shared" ca="1" si="408"/>
        <v>853679.07958051399</v>
      </c>
      <c r="CG367" s="25">
        <f t="array" aca="1" ref="CG367" ca="1">SUM(BF356:BF367/(1+inflation/100)^(AP356:AP367/12))</f>
        <v>267980.53702225379</v>
      </c>
      <c r="CH367" s="32">
        <f ca="1">IFERROR(IF(MOD(AP367-ap_months_since_start,12)=0,ap_drawdown/100*(AQ367+AV367+BA367-BC367),CH366),0)</f>
        <v>66989.98065404642</v>
      </c>
    </row>
    <row r="368" spans="40:86" x14ac:dyDescent="0.25">
      <c r="AN368" s="32">
        <f t="shared" ca="1" si="369"/>
        <v>84.916666666666671</v>
      </c>
      <c r="AO368" s="53">
        <f t="shared" ca="1" si="400"/>
        <v>56584</v>
      </c>
      <c r="AP368" s="22">
        <v>361</v>
      </c>
      <c r="AQ368" s="32">
        <f t="shared" ca="1" si="401"/>
        <v>432604.83902574587</v>
      </c>
      <c r="AR368" s="23">
        <f t="array" aca="1" ref="AR368" ca="1">SUM(IF(lsc_start_date=AO368,lsc_amount,0))</f>
        <v>0</v>
      </c>
      <c r="AS368" s="24">
        <f t="shared" ca="1" si="375"/>
        <v>0</v>
      </c>
      <c r="AT368" s="24">
        <f t="shared" ca="1" si="376"/>
        <v>0</v>
      </c>
      <c r="AU368" s="24">
        <f t="shared" ca="1" si="377"/>
        <v>0</v>
      </c>
      <c r="AV368" s="25">
        <f t="shared" ca="1" si="378"/>
        <v>0</v>
      </c>
      <c r="AW368" s="23">
        <f t="array" aca="1" ref="AW368" ca="1">SUM(IF(rcs_start_date&lt;=AO368,1,0)*IF(rcs_end_date&gt;=AO368,1,0)*rcs_amount*(1+rcs_escalation/100)^(INT((AP368-rcs_months_since_start)/12))*IF(MOD((AP368-rcs_months_since_start),rcs_frequency)=0,1,0)*IF(rcs_frequency=13,0,1))+SUM(IF(rcs_start_date=AO368,rcs_amount,0)*IF(rcs_frequency=13,1,0))</f>
        <v>0</v>
      </c>
      <c r="AX368" s="24">
        <f t="shared" ca="1" si="379"/>
        <v>0</v>
      </c>
      <c r="AY368" s="24">
        <f t="shared" ca="1" si="380"/>
        <v>0</v>
      </c>
      <c r="AZ368" s="24">
        <f t="shared" ca="1" si="381"/>
        <v>0</v>
      </c>
      <c r="BA368" s="25">
        <f t="shared" ca="1" si="382"/>
        <v>0</v>
      </c>
      <c r="BB368" s="23">
        <f t="array" aca="1" ref="BB368" ca="1">SUM(IF(w_start_date&lt;=AO368,1,0)*IF(w_end_date&gt;=AO368,1,0)*w_amount*(1+w_escalation/100)^(INT((AP368-w_months_since_start)/12))*IF(MOD(AP368-w_months_since_start,w_frequency)=0,1,0)*IF(w_frequency=13,0,1))+SUM(IF(w_start_date=AO368,w_amount,0)*IF(w_frequency=13,1,0))</f>
        <v>0</v>
      </c>
      <c r="BC368" s="25">
        <f t="shared" ca="1" si="383"/>
        <v>0</v>
      </c>
      <c r="BD368" s="24" t="b">
        <f t="shared" ca="1" si="384"/>
        <v>1</v>
      </c>
      <c r="BE368" s="24" t="b">
        <f t="shared" ca="1" si="385"/>
        <v>1</v>
      </c>
      <c r="BF368" s="23">
        <f t="array" aca="1" ref="BF368" ca="1">SUM(IF(BD368,1,0)*IF(ap_start_date&lt;=AO368,1,0)*IF(ap_end_date&gt;=AO368,1,0)*ap_amount*(1+ap_escalation/100)^(INT((AP368-ap_months_since_start)/12))*IF(MOD(AP368-ap_months_since_start,ap_frequency)=0,1,0))</f>
        <v>73739.721159778594</v>
      </c>
      <c r="BG368" s="24">
        <f t="shared" ca="1" si="386"/>
        <v>884876.65391734289</v>
      </c>
      <c r="BH368" s="24">
        <f t="shared" ca="1" si="387"/>
        <v>10896.640012474038</v>
      </c>
      <c r="BI368">
        <f t="shared" ca="1" si="388"/>
        <v>0</v>
      </c>
      <c r="BJ368" s="24">
        <f t="shared" ca="1" si="389"/>
        <v>76276.480087318254</v>
      </c>
      <c r="BK368">
        <f t="shared" ca="1" si="390"/>
        <v>1</v>
      </c>
      <c r="BL368" s="25">
        <f t="shared" ca="1" si="391"/>
        <v>6356.3733406098563</v>
      </c>
      <c r="BM368" s="32">
        <f t="shared" ca="1" si="370"/>
        <v>429320.57619033603</v>
      </c>
      <c r="BN368" s="23">
        <f t="shared" ca="1" si="392"/>
        <v>0</v>
      </c>
      <c r="BO368" s="24">
        <f t="shared" ca="1" si="393"/>
        <v>0</v>
      </c>
      <c r="BP368" s="25">
        <f t="shared" ca="1" si="394"/>
        <v>0</v>
      </c>
      <c r="BQ368" s="34">
        <f t="shared" ca="1" si="395"/>
        <v>56614</v>
      </c>
      <c r="BR368" s="23">
        <f t="shared" ca="1" si="396"/>
        <v>429320.57619033603</v>
      </c>
      <c r="BS368" s="24">
        <f t="shared" ca="1" si="397"/>
        <v>0</v>
      </c>
      <c r="BT368" s="24">
        <f t="shared" ca="1" si="402"/>
        <v>0</v>
      </c>
      <c r="BU368" s="24">
        <f t="shared" ca="1" si="398"/>
        <v>0</v>
      </c>
      <c r="BV368" s="24">
        <f t="shared" ca="1" si="403"/>
        <v>0</v>
      </c>
      <c r="BW368" s="24">
        <f t="shared" ca="1" si="399"/>
        <v>-6356.3733406098563</v>
      </c>
      <c r="BX368" s="25">
        <f t="shared" ca="1" si="404"/>
        <v>-82826.425752954834</v>
      </c>
      <c r="BY368" s="23">
        <f t="shared" ca="1" si="371"/>
        <v>131935.62527941924</v>
      </c>
      <c r="BZ368" s="24">
        <f t="shared" ca="1" si="372"/>
        <v>0</v>
      </c>
      <c r="CA368" s="24">
        <f t="shared" ca="1" si="405"/>
        <v>0</v>
      </c>
      <c r="CB368" s="24">
        <f t="shared" ca="1" si="373"/>
        <v>0</v>
      </c>
      <c r="CC368" s="24">
        <f t="shared" ca="1" si="406"/>
        <v>0</v>
      </c>
      <c r="CD368" s="24">
        <f t="shared" ca="1" si="374"/>
        <v>-1959.788561518591</v>
      </c>
      <c r="CE368" s="25">
        <f t="shared" ca="1" si="407"/>
        <v>-26008.48621987009</v>
      </c>
      <c r="CF368" s="23">
        <f t="shared" ca="1" si="408"/>
        <v>856515.22270204383</v>
      </c>
      <c r="CG368" s="25">
        <f t="array" aca="1" ref="CG368" ca="1">SUM(BF357:BF368/(1+inflation/100)^(AP357:AP368/12))</f>
        <v>267980.53702225379</v>
      </c>
      <c r="CH368" s="32">
        <f ca="1">IFERROR(IF(MOD(AP368-ap_months_since_start,12)=0,ap_drawdown/100*(AQ368+AV368+BA368-BC368),CH367),0)</f>
        <v>66989.98065404642</v>
      </c>
    </row>
    <row r="369" spans="40:86" x14ac:dyDescent="0.25">
      <c r="AN369" s="32">
        <f t="shared" ca="1" si="369"/>
        <v>85</v>
      </c>
      <c r="AO369" s="53">
        <f t="shared" ca="1" si="400"/>
        <v>56615</v>
      </c>
      <c r="AP369" s="22">
        <v>362</v>
      </c>
      <c r="AQ369" s="32">
        <f t="shared" ca="1" si="401"/>
        <v>429320.57619033603</v>
      </c>
      <c r="AR369" s="23">
        <f t="array" aca="1" ref="AR369" ca="1">SUM(IF(lsc_start_date=AO369,lsc_amount,0))</f>
        <v>0</v>
      </c>
      <c r="AS369" s="24">
        <f t="shared" ca="1" si="375"/>
        <v>0</v>
      </c>
      <c r="AT369" s="24">
        <f t="shared" ca="1" si="376"/>
        <v>0</v>
      </c>
      <c r="AU369" s="24">
        <f t="shared" ca="1" si="377"/>
        <v>0</v>
      </c>
      <c r="AV369" s="25">
        <f t="shared" ca="1" si="378"/>
        <v>0</v>
      </c>
      <c r="AW369" s="23">
        <f t="array" aca="1" ref="AW369" ca="1">SUM(IF(rcs_start_date&lt;=AO369,1,0)*IF(rcs_end_date&gt;=AO369,1,0)*rcs_amount*(1+rcs_escalation/100)^(INT((AP369-rcs_months_since_start)/12))*IF(MOD((AP369-rcs_months_since_start),rcs_frequency)=0,1,0)*IF(rcs_frequency=13,0,1))+SUM(IF(rcs_start_date=AO369,rcs_amount,0)*IF(rcs_frequency=13,1,0))</f>
        <v>0</v>
      </c>
      <c r="AX369" s="24">
        <f t="shared" ca="1" si="379"/>
        <v>0</v>
      </c>
      <c r="AY369" s="24">
        <f t="shared" ca="1" si="380"/>
        <v>0</v>
      </c>
      <c r="AZ369" s="24">
        <f t="shared" ca="1" si="381"/>
        <v>0</v>
      </c>
      <c r="BA369" s="25">
        <f t="shared" ca="1" si="382"/>
        <v>0</v>
      </c>
      <c r="BB369" s="23">
        <f t="array" aca="1" ref="BB369" ca="1">SUM(IF(w_start_date&lt;=AO369,1,0)*IF(w_end_date&gt;=AO369,1,0)*w_amount*(1+w_escalation/100)^(INT((AP369-w_months_since_start)/12))*IF(MOD(AP369-w_months_since_start,w_frequency)=0,1,0)*IF(w_frequency=13,0,1))+SUM(IF(w_start_date=AO369,w_amount,0)*IF(w_frequency=13,1,0))</f>
        <v>0</v>
      </c>
      <c r="BC369" s="25">
        <f t="shared" ca="1" si="383"/>
        <v>0</v>
      </c>
      <c r="BD369" s="24" t="b">
        <f t="shared" ca="1" si="384"/>
        <v>1</v>
      </c>
      <c r="BE369" s="24" t="b">
        <f t="shared" ca="1" si="385"/>
        <v>1</v>
      </c>
      <c r="BF369" s="23">
        <f t="array" aca="1" ref="BF369" ca="1">SUM(IF(BD369,1,0)*IF(ap_start_date&lt;=AO369,1,0)*IF(ap_end_date&gt;=AO369,1,0)*ap_amount*(1+ap_escalation/100)^(INT((AP369-ap_months_since_start)/12))*IF(MOD(AP369-ap_months_since_start,ap_frequency)=0,1,0))</f>
        <v>73739.721159778594</v>
      </c>
      <c r="BG369" s="24">
        <f t="shared" ca="1" si="386"/>
        <v>884876.65391734289</v>
      </c>
      <c r="BH369" s="24">
        <f t="shared" ca="1" si="387"/>
        <v>10896.640012474038</v>
      </c>
      <c r="BI369">
        <f t="shared" ca="1" si="388"/>
        <v>0</v>
      </c>
      <c r="BJ369" s="24">
        <f t="shared" ca="1" si="389"/>
        <v>76276.480087318254</v>
      </c>
      <c r="BK369">
        <f t="shared" ca="1" si="390"/>
        <v>1</v>
      </c>
      <c r="BL369" s="25">
        <f t="shared" ca="1" si="391"/>
        <v>6356.3733406098563</v>
      </c>
      <c r="BM369" s="32">
        <f t="shared" ca="1" si="370"/>
        <v>426012.64261081623</v>
      </c>
      <c r="BN369" s="23">
        <f t="shared" ca="1" si="392"/>
        <v>0</v>
      </c>
      <c r="BO369" s="24">
        <f t="shared" ca="1" si="393"/>
        <v>0</v>
      </c>
      <c r="BP369" s="25">
        <f t="shared" ca="1" si="394"/>
        <v>0</v>
      </c>
      <c r="BQ369" s="34">
        <f t="shared" ca="1" si="395"/>
        <v>56645</v>
      </c>
      <c r="BR369" s="23">
        <f t="shared" ca="1" si="396"/>
        <v>426012.64261081623</v>
      </c>
      <c r="BS369" s="24">
        <f t="shared" ca="1" si="397"/>
        <v>0</v>
      </c>
      <c r="BT369" s="24">
        <f t="shared" ca="1" si="402"/>
        <v>0</v>
      </c>
      <c r="BU369" s="24">
        <f t="shared" ca="1" si="398"/>
        <v>0</v>
      </c>
      <c r="BV369" s="24">
        <f t="shared" ca="1" si="403"/>
        <v>0</v>
      </c>
      <c r="BW369" s="24">
        <f t="shared" ca="1" si="399"/>
        <v>-6356.3733406098563</v>
      </c>
      <c r="BX369" s="25">
        <f t="shared" ca="1" si="404"/>
        <v>-82171.431186391186</v>
      </c>
      <c r="BY369" s="23">
        <f t="shared" ca="1" si="371"/>
        <v>130491.85919836305</v>
      </c>
      <c r="BZ369" s="24">
        <f t="shared" ca="1" si="372"/>
        <v>0</v>
      </c>
      <c r="CA369" s="24">
        <f t="shared" ca="1" si="405"/>
        <v>0</v>
      </c>
      <c r="CB369" s="24">
        <f t="shared" ca="1" si="373"/>
        <v>0</v>
      </c>
      <c r="CC369" s="24">
        <f t="shared" ca="1" si="406"/>
        <v>0</v>
      </c>
      <c r="CD369" s="24">
        <f t="shared" ca="1" si="374"/>
        <v>-1953.3936589868713</v>
      </c>
      <c r="CE369" s="25">
        <f t="shared" ca="1" si="407"/>
        <v>-25721.010862538602</v>
      </c>
      <c r="CF369" s="23">
        <f t="shared" ca="1" si="408"/>
        <v>859351.36582357367</v>
      </c>
      <c r="CG369" s="25">
        <f t="array" aca="1" ref="CG369" ca="1">SUM(BF358:BF369/(1+inflation/100)^(AP358:AP369/12))</f>
        <v>267980.53702225379</v>
      </c>
      <c r="CH369" s="32">
        <f ca="1">IFERROR(IF(MOD(AP369-ap_months_since_start,12)=0,ap_drawdown/100*(AQ369+AV369+BA369-BC369),CH368),0)</f>
        <v>66989.98065404642</v>
      </c>
    </row>
    <row r="370" spans="40:86" x14ac:dyDescent="0.25">
      <c r="AN370" s="32">
        <f t="shared" ca="1" si="369"/>
        <v>85.083333333333329</v>
      </c>
      <c r="AO370" s="53">
        <f t="shared" ca="1" si="400"/>
        <v>56646</v>
      </c>
      <c r="AP370" s="22">
        <v>363</v>
      </c>
      <c r="AQ370" s="32">
        <f t="shared" ca="1" si="401"/>
        <v>426012.64261081623</v>
      </c>
      <c r="AR370" s="23">
        <f t="array" aca="1" ref="AR370" ca="1">SUM(IF(lsc_start_date=AO370,lsc_amount,0))</f>
        <v>0</v>
      </c>
      <c r="AS370" s="24">
        <f t="shared" ca="1" si="375"/>
        <v>0</v>
      </c>
      <c r="AT370" s="24">
        <f t="shared" ca="1" si="376"/>
        <v>0</v>
      </c>
      <c r="AU370" s="24">
        <f t="shared" ca="1" si="377"/>
        <v>0</v>
      </c>
      <c r="AV370" s="25">
        <f t="shared" ca="1" si="378"/>
        <v>0</v>
      </c>
      <c r="AW370" s="23">
        <f t="array" aca="1" ref="AW370" ca="1">SUM(IF(rcs_start_date&lt;=AO370,1,0)*IF(rcs_end_date&gt;=AO370,1,0)*rcs_amount*(1+rcs_escalation/100)^(INT((AP370-rcs_months_since_start)/12))*IF(MOD((AP370-rcs_months_since_start),rcs_frequency)=0,1,0)*IF(rcs_frequency=13,0,1))+SUM(IF(rcs_start_date=AO370,rcs_amount,0)*IF(rcs_frequency=13,1,0))</f>
        <v>0</v>
      </c>
      <c r="AX370" s="24">
        <f t="shared" ca="1" si="379"/>
        <v>0</v>
      </c>
      <c r="AY370" s="24">
        <f t="shared" ca="1" si="380"/>
        <v>0</v>
      </c>
      <c r="AZ370" s="24">
        <f t="shared" ca="1" si="381"/>
        <v>0</v>
      </c>
      <c r="BA370" s="25">
        <f t="shared" ca="1" si="382"/>
        <v>0</v>
      </c>
      <c r="BB370" s="23">
        <f t="array" aca="1" ref="BB370" ca="1">SUM(IF(w_start_date&lt;=AO370,1,0)*IF(w_end_date&gt;=AO370,1,0)*w_amount*(1+w_escalation/100)^(INT((AP370-w_months_since_start)/12))*IF(MOD(AP370-w_months_since_start,w_frequency)=0,1,0)*IF(w_frequency=13,0,1))+SUM(IF(w_start_date=AO370,w_amount,0)*IF(w_frequency=13,1,0))</f>
        <v>0</v>
      </c>
      <c r="BC370" s="25">
        <f t="shared" ca="1" si="383"/>
        <v>0</v>
      </c>
      <c r="BD370" s="24" t="b">
        <f t="shared" ca="1" si="384"/>
        <v>1</v>
      </c>
      <c r="BE370" s="24" t="b">
        <f t="shared" ca="1" si="385"/>
        <v>1</v>
      </c>
      <c r="BF370" s="23">
        <f t="array" aca="1" ref="BF370" ca="1">SUM(IF(BD370,1,0)*IF(ap_start_date&lt;=AO370,1,0)*IF(ap_end_date&gt;=AO370,1,0)*ap_amount*(1+ap_escalation/100)^(INT((AP370-ap_months_since_start)/12))*IF(MOD(AP370-ap_months_since_start,ap_frequency)=0,1,0))</f>
        <v>73739.721159778594</v>
      </c>
      <c r="BG370" s="24">
        <f t="shared" ca="1" si="386"/>
        <v>884876.65391734289</v>
      </c>
      <c r="BH370" s="24">
        <f t="shared" ca="1" si="387"/>
        <v>10896.640012474038</v>
      </c>
      <c r="BI370">
        <f t="shared" ca="1" si="388"/>
        <v>0</v>
      </c>
      <c r="BJ370" s="24">
        <f t="shared" ca="1" si="389"/>
        <v>76276.480087318254</v>
      </c>
      <c r="BK370">
        <f t="shared" ca="1" si="390"/>
        <v>1</v>
      </c>
      <c r="BL370" s="25">
        <f t="shared" ca="1" si="391"/>
        <v>6356.3733406098563</v>
      </c>
      <c r="BM370" s="32">
        <f t="shared" ca="1" si="370"/>
        <v>422680.8676844805</v>
      </c>
      <c r="BN370" s="23">
        <f t="shared" ca="1" si="392"/>
        <v>0</v>
      </c>
      <c r="BO370" s="24">
        <f t="shared" ca="1" si="393"/>
        <v>0</v>
      </c>
      <c r="BP370" s="25">
        <f t="shared" ca="1" si="394"/>
        <v>0</v>
      </c>
      <c r="BQ370" s="34">
        <f t="shared" ca="1" si="395"/>
        <v>56673</v>
      </c>
      <c r="BR370" s="23">
        <f t="shared" ca="1" si="396"/>
        <v>422680.8676844805</v>
      </c>
      <c r="BS370" s="24">
        <f t="shared" ca="1" si="397"/>
        <v>0</v>
      </c>
      <c r="BT370" s="24">
        <f t="shared" ca="1" si="402"/>
        <v>0</v>
      </c>
      <c r="BU370" s="24">
        <f t="shared" ca="1" si="398"/>
        <v>0</v>
      </c>
      <c r="BV370" s="24">
        <f t="shared" ca="1" si="403"/>
        <v>0</v>
      </c>
      <c r="BW370" s="24">
        <f t="shared" ca="1" si="399"/>
        <v>-6356.3733406098563</v>
      </c>
      <c r="BX370" s="25">
        <f t="shared" ca="1" si="404"/>
        <v>-81516.436619827524</v>
      </c>
      <c r="BY370" s="23">
        <f t="shared" ca="1" si="371"/>
        <v>129048.83150088105</v>
      </c>
      <c r="BZ370" s="24">
        <f t="shared" ca="1" si="372"/>
        <v>0</v>
      </c>
      <c r="CA370" s="24">
        <f t="shared" ca="1" si="405"/>
        <v>0</v>
      </c>
      <c r="CB370" s="24">
        <f t="shared" ca="1" si="373"/>
        <v>0</v>
      </c>
      <c r="CC370" s="24">
        <f t="shared" ca="1" si="406"/>
        <v>0</v>
      </c>
      <c r="CD370" s="24">
        <f t="shared" ca="1" si="374"/>
        <v>-1947.0196233890606</v>
      </c>
      <c r="CE370" s="25">
        <f t="shared" ca="1" si="407"/>
        <v>-25434.473553793832</v>
      </c>
      <c r="CF370" s="23">
        <f t="shared" ca="1" si="408"/>
        <v>862187.5089451035</v>
      </c>
      <c r="CG370" s="25">
        <f t="array" aca="1" ref="CG370" ca="1">SUM(BF359:BF370/(1+inflation/100)^(AP359:AP370/12))</f>
        <v>267980.53702225379</v>
      </c>
      <c r="CH370" s="32">
        <f ca="1">IFERROR(IF(MOD(AP370-ap_months_since_start,12)=0,ap_drawdown/100*(AQ370+AV370+BA370-BC370),CH369),0)</f>
        <v>66989.98065404642</v>
      </c>
    </row>
    <row r="371" spans="40:86" x14ac:dyDescent="0.25">
      <c r="AN371" s="32">
        <f t="shared" ca="1" si="369"/>
        <v>85.166666666666671</v>
      </c>
      <c r="AO371" s="53">
        <f t="shared" ca="1" si="400"/>
        <v>56674</v>
      </c>
      <c r="AP371" s="22">
        <v>364</v>
      </c>
      <c r="AQ371" s="32">
        <f t="shared" ca="1" si="401"/>
        <v>422680.8676844805</v>
      </c>
      <c r="AR371" s="23">
        <f t="array" aca="1" ref="AR371" ca="1">SUM(IF(lsc_start_date=AO371,lsc_amount,0))</f>
        <v>0</v>
      </c>
      <c r="AS371" s="24">
        <f t="shared" ca="1" si="375"/>
        <v>0</v>
      </c>
      <c r="AT371" s="24">
        <f t="shared" ca="1" si="376"/>
        <v>0</v>
      </c>
      <c r="AU371" s="24">
        <f t="shared" ca="1" si="377"/>
        <v>0</v>
      </c>
      <c r="AV371" s="25">
        <f t="shared" ca="1" si="378"/>
        <v>0</v>
      </c>
      <c r="AW371" s="23">
        <f t="array" aca="1" ref="AW371" ca="1">SUM(IF(rcs_start_date&lt;=AO371,1,0)*IF(rcs_end_date&gt;=AO371,1,0)*rcs_amount*(1+rcs_escalation/100)^(INT((AP371-rcs_months_since_start)/12))*IF(MOD((AP371-rcs_months_since_start),rcs_frequency)=0,1,0)*IF(rcs_frequency=13,0,1))+SUM(IF(rcs_start_date=AO371,rcs_amount,0)*IF(rcs_frequency=13,1,0))</f>
        <v>0</v>
      </c>
      <c r="AX371" s="24">
        <f t="shared" ca="1" si="379"/>
        <v>0</v>
      </c>
      <c r="AY371" s="24">
        <f t="shared" ca="1" si="380"/>
        <v>0</v>
      </c>
      <c r="AZ371" s="24">
        <f t="shared" ca="1" si="381"/>
        <v>0</v>
      </c>
      <c r="BA371" s="25">
        <f t="shared" ca="1" si="382"/>
        <v>0</v>
      </c>
      <c r="BB371" s="23">
        <f t="array" aca="1" ref="BB371" ca="1">SUM(IF(w_start_date&lt;=AO371,1,0)*IF(w_end_date&gt;=AO371,1,0)*w_amount*(1+w_escalation/100)^(INT((AP371-w_months_since_start)/12))*IF(MOD(AP371-w_months_since_start,w_frequency)=0,1,0)*IF(w_frequency=13,0,1))+SUM(IF(w_start_date=AO371,w_amount,0)*IF(w_frequency=13,1,0))</f>
        <v>0</v>
      </c>
      <c r="BC371" s="25">
        <f t="shared" ca="1" si="383"/>
        <v>0</v>
      </c>
      <c r="BD371" s="24" t="b">
        <f t="shared" ca="1" si="384"/>
        <v>1</v>
      </c>
      <c r="BE371" s="24" t="b">
        <f t="shared" ca="1" si="385"/>
        <v>1</v>
      </c>
      <c r="BF371" s="23">
        <f t="array" aca="1" ref="BF371" ca="1">SUM(IF(BD371,1,0)*IF(ap_start_date&lt;=AO371,1,0)*IF(ap_end_date&gt;=AO371,1,0)*ap_amount*(1+ap_escalation/100)^(INT((AP371-ap_months_since_start)/12))*IF(MOD(AP371-ap_months_since_start,ap_frequency)=0,1,0))</f>
        <v>73739.721159778594</v>
      </c>
      <c r="BG371" s="24">
        <f t="shared" ca="1" si="386"/>
        <v>884876.65391734289</v>
      </c>
      <c r="BH371" s="24">
        <f t="shared" ca="1" si="387"/>
        <v>10896.640012474038</v>
      </c>
      <c r="BI371">
        <f t="shared" ca="1" si="388"/>
        <v>0</v>
      </c>
      <c r="BJ371" s="24">
        <f t="shared" ca="1" si="389"/>
        <v>76276.480087318254</v>
      </c>
      <c r="BK371">
        <f t="shared" ca="1" si="390"/>
        <v>1</v>
      </c>
      <c r="BL371" s="25">
        <f t="shared" ca="1" si="391"/>
        <v>6356.3733406098563</v>
      </c>
      <c r="BM371" s="32">
        <f t="shared" ca="1" si="370"/>
        <v>419325.07957903406</v>
      </c>
      <c r="BN371" s="23">
        <f t="shared" ca="1" si="392"/>
        <v>0</v>
      </c>
      <c r="BO371" s="24">
        <f t="shared" ca="1" si="393"/>
        <v>0</v>
      </c>
      <c r="BP371" s="25">
        <f t="shared" ca="1" si="394"/>
        <v>0</v>
      </c>
      <c r="BQ371" s="34">
        <f t="shared" ca="1" si="395"/>
        <v>56704</v>
      </c>
      <c r="BR371" s="23">
        <f t="shared" ca="1" si="396"/>
        <v>419325.07957903406</v>
      </c>
      <c r="BS371" s="24">
        <f t="shared" ca="1" si="397"/>
        <v>0</v>
      </c>
      <c r="BT371" s="24">
        <f t="shared" ca="1" si="402"/>
        <v>0</v>
      </c>
      <c r="BU371" s="24">
        <f t="shared" ca="1" si="398"/>
        <v>0</v>
      </c>
      <c r="BV371" s="24">
        <f t="shared" ca="1" si="403"/>
        <v>0</v>
      </c>
      <c r="BW371" s="24">
        <f t="shared" ca="1" si="399"/>
        <v>-6356.3733406098563</v>
      </c>
      <c r="BX371" s="25">
        <f t="shared" ca="1" si="404"/>
        <v>-80861.442053263876</v>
      </c>
      <c r="BY371" s="23">
        <f t="shared" ca="1" si="371"/>
        <v>127606.52420159824</v>
      </c>
      <c r="BZ371" s="24">
        <f t="shared" ca="1" si="372"/>
        <v>0</v>
      </c>
      <c r="CA371" s="24">
        <f t="shared" ca="1" si="405"/>
        <v>0</v>
      </c>
      <c r="CB371" s="24">
        <f t="shared" ca="1" si="373"/>
        <v>0</v>
      </c>
      <c r="CC371" s="24">
        <f t="shared" ca="1" si="406"/>
        <v>0</v>
      </c>
      <c r="CD371" s="24">
        <f t="shared" ca="1" si="374"/>
        <v>-1940.6663866351571</v>
      </c>
      <c r="CE371" s="25">
        <f t="shared" ca="1" si="407"/>
        <v>-25148.87123272942</v>
      </c>
      <c r="CF371" s="23">
        <f t="shared" ca="1" si="408"/>
        <v>865023.65206663334</v>
      </c>
      <c r="CG371" s="25">
        <f t="array" aca="1" ref="CG371" ca="1">SUM(BF360:BF371/(1+inflation/100)^(AP360:AP371/12))</f>
        <v>267980.53702225379</v>
      </c>
      <c r="CH371" s="32">
        <f ca="1">IFERROR(IF(MOD(AP371-ap_months_since_start,12)=0,ap_drawdown/100*(AQ371+AV371+BA371-BC371),CH370),0)</f>
        <v>66989.98065404642</v>
      </c>
    </row>
    <row r="372" spans="40:86" x14ac:dyDescent="0.25">
      <c r="AN372" s="32">
        <f t="shared" ca="1" si="369"/>
        <v>85.25</v>
      </c>
      <c r="AO372" s="53">
        <f t="shared" ca="1" si="400"/>
        <v>56705</v>
      </c>
      <c r="AP372" s="22">
        <v>365</v>
      </c>
      <c r="AQ372" s="32">
        <f t="shared" ca="1" si="401"/>
        <v>419325.07957903406</v>
      </c>
      <c r="AR372" s="23">
        <f t="array" aca="1" ref="AR372" ca="1">SUM(IF(lsc_start_date=AO372,lsc_amount,0))</f>
        <v>0</v>
      </c>
      <c r="AS372" s="24">
        <f t="shared" ca="1" si="375"/>
        <v>0</v>
      </c>
      <c r="AT372" s="24">
        <f t="shared" ca="1" si="376"/>
        <v>0</v>
      </c>
      <c r="AU372" s="24">
        <f t="shared" ca="1" si="377"/>
        <v>0</v>
      </c>
      <c r="AV372" s="25">
        <f t="shared" ca="1" si="378"/>
        <v>0</v>
      </c>
      <c r="AW372" s="23">
        <f t="array" aca="1" ref="AW372" ca="1">SUM(IF(rcs_start_date&lt;=AO372,1,0)*IF(rcs_end_date&gt;=AO372,1,0)*rcs_amount*(1+rcs_escalation/100)^(INT((AP372-rcs_months_since_start)/12))*IF(MOD((AP372-rcs_months_since_start),rcs_frequency)=0,1,0)*IF(rcs_frequency=13,0,1))+SUM(IF(rcs_start_date=AO372,rcs_amount,0)*IF(rcs_frequency=13,1,0))</f>
        <v>0</v>
      </c>
      <c r="AX372" s="24">
        <f t="shared" ca="1" si="379"/>
        <v>0</v>
      </c>
      <c r="AY372" s="24">
        <f t="shared" ca="1" si="380"/>
        <v>0</v>
      </c>
      <c r="AZ372" s="24">
        <f t="shared" ca="1" si="381"/>
        <v>0</v>
      </c>
      <c r="BA372" s="25">
        <f t="shared" ca="1" si="382"/>
        <v>0</v>
      </c>
      <c r="BB372" s="23">
        <f t="array" aca="1" ref="BB372" ca="1">SUM(IF(w_start_date&lt;=AO372,1,0)*IF(w_end_date&gt;=AO372,1,0)*w_amount*(1+w_escalation/100)^(INT((AP372-w_months_since_start)/12))*IF(MOD(AP372-w_months_since_start,w_frequency)=0,1,0)*IF(w_frequency=13,0,1))+SUM(IF(w_start_date=AO372,w_amount,0)*IF(w_frequency=13,1,0))</f>
        <v>0</v>
      </c>
      <c r="BC372" s="25">
        <f t="shared" ca="1" si="383"/>
        <v>0</v>
      </c>
      <c r="BD372" s="24" t="b">
        <f t="shared" ca="1" si="384"/>
        <v>1</v>
      </c>
      <c r="BE372" s="24" t="b">
        <f t="shared" ca="1" si="385"/>
        <v>1</v>
      </c>
      <c r="BF372" s="23">
        <f t="array" aca="1" ref="BF372" ca="1">SUM(IF(BD372,1,0)*IF(ap_start_date&lt;=AO372,1,0)*IF(ap_end_date&gt;=AO372,1,0)*ap_amount*(1+ap_escalation/100)^(INT((AP372-ap_months_since_start)/12))*IF(MOD(AP372-ap_months_since_start,ap_frequency)=0,1,0))</f>
        <v>73739.721159778594</v>
      </c>
      <c r="BG372" s="24">
        <f t="shared" ca="1" si="386"/>
        <v>884876.65391734289</v>
      </c>
      <c r="BH372" s="24">
        <f t="shared" ca="1" si="387"/>
        <v>10896.640012474038</v>
      </c>
      <c r="BI372">
        <f t="shared" ca="1" si="388"/>
        <v>0</v>
      </c>
      <c r="BJ372" s="24">
        <f t="shared" ca="1" si="389"/>
        <v>76276.480087318254</v>
      </c>
      <c r="BK372">
        <f t="shared" ca="1" si="390"/>
        <v>1</v>
      </c>
      <c r="BL372" s="25">
        <f t="shared" ca="1" si="391"/>
        <v>6356.3733406098563</v>
      </c>
      <c r="BM372" s="32">
        <f t="shared" ca="1" si="370"/>
        <v>415945.10522373125</v>
      </c>
      <c r="BN372" s="23">
        <f t="shared" ca="1" si="392"/>
        <v>0</v>
      </c>
      <c r="BO372" s="24">
        <f t="shared" ca="1" si="393"/>
        <v>0</v>
      </c>
      <c r="BP372" s="25">
        <f t="shared" ca="1" si="394"/>
        <v>0</v>
      </c>
      <c r="BQ372" s="34">
        <f t="shared" ca="1" si="395"/>
        <v>56734</v>
      </c>
      <c r="BR372" s="23">
        <f t="shared" ca="1" si="396"/>
        <v>415945.10522373125</v>
      </c>
      <c r="BS372" s="24">
        <f t="shared" ca="1" si="397"/>
        <v>0</v>
      </c>
      <c r="BT372" s="24">
        <f t="shared" ca="1" si="402"/>
        <v>0</v>
      </c>
      <c r="BU372" s="24">
        <f t="shared" ca="1" si="398"/>
        <v>0</v>
      </c>
      <c r="BV372" s="24">
        <f t="shared" ca="1" si="403"/>
        <v>0</v>
      </c>
      <c r="BW372" s="24">
        <f t="shared" ca="1" si="399"/>
        <v>-6356.3733406098563</v>
      </c>
      <c r="BX372" s="25">
        <f t="shared" ca="1" si="404"/>
        <v>-80206.447486700214</v>
      </c>
      <c r="BY372" s="23">
        <f t="shared" ca="1" si="371"/>
        <v>126164.91931275745</v>
      </c>
      <c r="BZ372" s="24">
        <f t="shared" ca="1" si="372"/>
        <v>0</v>
      </c>
      <c r="CA372" s="24">
        <f t="shared" ca="1" si="405"/>
        <v>0</v>
      </c>
      <c r="CB372" s="24">
        <f t="shared" ca="1" si="373"/>
        <v>0</v>
      </c>
      <c r="CC372" s="24">
        <f t="shared" ca="1" si="406"/>
        <v>0</v>
      </c>
      <c r="CD372" s="24">
        <f t="shared" ca="1" si="374"/>
        <v>-1934.333880857339</v>
      </c>
      <c r="CE372" s="25">
        <f t="shared" ca="1" si="407"/>
        <v>-24864.200848426914</v>
      </c>
      <c r="CF372" s="23">
        <f t="shared" ca="1" si="408"/>
        <v>867859.79518816317</v>
      </c>
      <c r="CG372" s="25">
        <f t="array" aca="1" ref="CG372" ca="1">SUM(BF361:BF372/(1+inflation/100)^(AP361:AP372/12))</f>
        <v>267980.53702225373</v>
      </c>
      <c r="CH372" s="32">
        <f ca="1">IFERROR(IF(MOD(AP372-ap_months_since_start,12)=0,ap_drawdown/100*(AQ372+AV372+BA372-BC372),CH371),0)</f>
        <v>66989.98065404642</v>
      </c>
    </row>
    <row r="373" spans="40:86" x14ac:dyDescent="0.25">
      <c r="AN373" s="32">
        <f t="shared" ca="1" si="369"/>
        <v>85.333333333333329</v>
      </c>
      <c r="AO373" s="53">
        <f t="shared" ca="1" si="400"/>
        <v>56735</v>
      </c>
      <c r="AP373" s="22">
        <v>366</v>
      </c>
      <c r="AQ373" s="32">
        <f t="shared" ca="1" si="401"/>
        <v>415945.10522373125</v>
      </c>
      <c r="AR373" s="23">
        <f t="array" aca="1" ref="AR373" ca="1">SUM(IF(lsc_start_date=AO373,lsc_amount,0))</f>
        <v>0</v>
      </c>
      <c r="AS373" s="24">
        <f t="shared" ca="1" si="375"/>
        <v>0</v>
      </c>
      <c r="AT373" s="24">
        <f t="shared" ca="1" si="376"/>
        <v>0</v>
      </c>
      <c r="AU373" s="24">
        <f t="shared" ca="1" si="377"/>
        <v>0</v>
      </c>
      <c r="AV373" s="25">
        <f t="shared" ca="1" si="378"/>
        <v>0</v>
      </c>
      <c r="AW373" s="23">
        <f t="array" aca="1" ref="AW373" ca="1">SUM(IF(rcs_start_date&lt;=AO373,1,0)*IF(rcs_end_date&gt;=AO373,1,0)*rcs_amount*(1+rcs_escalation/100)^(INT((AP373-rcs_months_since_start)/12))*IF(MOD((AP373-rcs_months_since_start),rcs_frequency)=0,1,0)*IF(rcs_frequency=13,0,1))+SUM(IF(rcs_start_date=AO373,rcs_amount,0)*IF(rcs_frequency=13,1,0))</f>
        <v>0</v>
      </c>
      <c r="AX373" s="24">
        <f t="shared" ca="1" si="379"/>
        <v>0</v>
      </c>
      <c r="AY373" s="24">
        <f t="shared" ca="1" si="380"/>
        <v>0</v>
      </c>
      <c r="AZ373" s="24">
        <f t="shared" ca="1" si="381"/>
        <v>0</v>
      </c>
      <c r="BA373" s="25">
        <f t="shared" ca="1" si="382"/>
        <v>0</v>
      </c>
      <c r="BB373" s="23">
        <f t="array" aca="1" ref="BB373" ca="1">SUM(IF(w_start_date&lt;=AO373,1,0)*IF(w_end_date&gt;=AO373,1,0)*w_amount*(1+w_escalation/100)^(INT((AP373-w_months_since_start)/12))*IF(MOD(AP373-w_months_since_start,w_frequency)=0,1,0)*IF(w_frequency=13,0,1))+SUM(IF(w_start_date=AO373,w_amount,0)*IF(w_frequency=13,1,0))</f>
        <v>0</v>
      </c>
      <c r="BC373" s="25">
        <f t="shared" ca="1" si="383"/>
        <v>0</v>
      </c>
      <c r="BD373" s="24" t="b">
        <f t="shared" ca="1" si="384"/>
        <v>1</v>
      </c>
      <c r="BE373" s="24" t="b">
        <f t="shared" ca="1" si="385"/>
        <v>1</v>
      </c>
      <c r="BF373" s="23">
        <f t="array" aca="1" ref="BF373" ca="1">SUM(IF(BD373,1,0)*IF(ap_start_date&lt;=AO373,1,0)*IF(ap_end_date&gt;=AO373,1,0)*ap_amount*(1+ap_escalation/100)^(INT((AP373-ap_months_since_start)/12))*IF(MOD(AP373-ap_months_since_start,ap_frequency)=0,1,0))</f>
        <v>73739.721159778594</v>
      </c>
      <c r="BG373" s="24">
        <f t="shared" ca="1" si="386"/>
        <v>884876.65391734289</v>
      </c>
      <c r="BH373" s="24">
        <f t="shared" ca="1" si="387"/>
        <v>10896.640012474038</v>
      </c>
      <c r="BI373">
        <f t="shared" ca="1" si="388"/>
        <v>0</v>
      </c>
      <c r="BJ373" s="24">
        <f t="shared" ca="1" si="389"/>
        <v>76276.480087318254</v>
      </c>
      <c r="BK373">
        <f t="shared" ca="1" si="390"/>
        <v>1</v>
      </c>
      <c r="BL373" s="25">
        <f t="shared" ca="1" si="391"/>
        <v>6356.3733406098563</v>
      </c>
      <c r="BM373" s="32">
        <f t="shared" ca="1" si="370"/>
        <v>412540.77030044951</v>
      </c>
      <c r="BN373" s="23">
        <f t="shared" ca="1" si="392"/>
        <v>0</v>
      </c>
      <c r="BO373" s="24">
        <f t="shared" ca="1" si="393"/>
        <v>0</v>
      </c>
      <c r="BP373" s="25">
        <f t="shared" ca="1" si="394"/>
        <v>0</v>
      </c>
      <c r="BQ373" s="34">
        <f t="shared" ca="1" si="395"/>
        <v>56765</v>
      </c>
      <c r="BR373" s="23">
        <f t="shared" ca="1" si="396"/>
        <v>412540.77030044951</v>
      </c>
      <c r="BS373" s="24">
        <f t="shared" ca="1" si="397"/>
        <v>0</v>
      </c>
      <c r="BT373" s="24">
        <f t="shared" ca="1" si="402"/>
        <v>0</v>
      </c>
      <c r="BU373" s="24">
        <f t="shared" ca="1" si="398"/>
        <v>0</v>
      </c>
      <c r="BV373" s="24">
        <f t="shared" ca="1" si="403"/>
        <v>0</v>
      </c>
      <c r="BW373" s="24">
        <f t="shared" ca="1" si="399"/>
        <v>-6356.3733406098563</v>
      </c>
      <c r="BX373" s="25">
        <f t="shared" ca="1" si="404"/>
        <v>-79551.452920136566</v>
      </c>
      <c r="BY373" s="23">
        <f t="shared" ca="1" si="371"/>
        <v>124723.99884398765</v>
      </c>
      <c r="BZ373" s="24">
        <f t="shared" ca="1" si="372"/>
        <v>0</v>
      </c>
      <c r="CA373" s="24">
        <f t="shared" ca="1" si="405"/>
        <v>0</v>
      </c>
      <c r="CB373" s="24">
        <f t="shared" ca="1" si="373"/>
        <v>0</v>
      </c>
      <c r="CC373" s="24">
        <f t="shared" ca="1" si="406"/>
        <v>0</v>
      </c>
      <c r="CD373" s="24">
        <f t="shared" ca="1" si="374"/>
        <v>-1928.0220384092422</v>
      </c>
      <c r="CE373" s="25">
        <f t="shared" ca="1" si="407"/>
        <v>-24580.459359923181</v>
      </c>
      <c r="CF373" s="23">
        <f t="shared" ca="1" si="408"/>
        <v>870695.93830969324</v>
      </c>
      <c r="CG373" s="25">
        <f t="array" aca="1" ref="CG373" ca="1">SUM(BF362:BF373/(1+inflation/100)^(AP362:AP373/12))</f>
        <v>267980.53702225379</v>
      </c>
      <c r="CH373" s="32">
        <f ca="1">IFERROR(IF(MOD(AP373-ap_months_since_start,12)=0,ap_drawdown/100*(AQ373+AV373+BA373-BC373),CH372),0)</f>
        <v>66989.98065404642</v>
      </c>
    </row>
    <row r="374" spans="40:86" x14ac:dyDescent="0.25">
      <c r="AN374" s="32">
        <f t="shared" ca="1" si="369"/>
        <v>85.416666666666671</v>
      </c>
      <c r="AO374" s="53">
        <f t="shared" ca="1" si="400"/>
        <v>56766</v>
      </c>
      <c r="AP374" s="22">
        <v>367</v>
      </c>
      <c r="AQ374" s="32">
        <f t="shared" ca="1" si="401"/>
        <v>412540.77030044951</v>
      </c>
      <c r="AR374" s="23">
        <f t="array" aca="1" ref="AR374" ca="1">SUM(IF(lsc_start_date=AO374,lsc_amount,0))</f>
        <v>0</v>
      </c>
      <c r="AS374" s="24">
        <f t="shared" ca="1" si="375"/>
        <v>0</v>
      </c>
      <c r="AT374" s="24">
        <f t="shared" ca="1" si="376"/>
        <v>0</v>
      </c>
      <c r="AU374" s="24">
        <f t="shared" ca="1" si="377"/>
        <v>0</v>
      </c>
      <c r="AV374" s="25">
        <f t="shared" ca="1" si="378"/>
        <v>0</v>
      </c>
      <c r="AW374" s="23">
        <f t="array" aca="1" ref="AW374" ca="1">SUM(IF(rcs_start_date&lt;=AO374,1,0)*IF(rcs_end_date&gt;=AO374,1,0)*rcs_amount*(1+rcs_escalation/100)^(INT((AP374-rcs_months_since_start)/12))*IF(MOD((AP374-rcs_months_since_start),rcs_frequency)=0,1,0)*IF(rcs_frequency=13,0,1))+SUM(IF(rcs_start_date=AO374,rcs_amount,0)*IF(rcs_frequency=13,1,0))</f>
        <v>0</v>
      </c>
      <c r="AX374" s="24">
        <f t="shared" ca="1" si="379"/>
        <v>0</v>
      </c>
      <c r="AY374" s="24">
        <f t="shared" ca="1" si="380"/>
        <v>0</v>
      </c>
      <c r="AZ374" s="24">
        <f t="shared" ca="1" si="381"/>
        <v>0</v>
      </c>
      <c r="BA374" s="25">
        <f t="shared" ca="1" si="382"/>
        <v>0</v>
      </c>
      <c r="BB374" s="23">
        <f t="array" aca="1" ref="BB374" ca="1">SUM(IF(w_start_date&lt;=AO374,1,0)*IF(w_end_date&gt;=AO374,1,0)*w_amount*(1+w_escalation/100)^(INT((AP374-w_months_since_start)/12))*IF(MOD(AP374-w_months_since_start,w_frequency)=0,1,0)*IF(w_frequency=13,0,1))+SUM(IF(w_start_date=AO374,w_amount,0)*IF(w_frequency=13,1,0))</f>
        <v>0</v>
      </c>
      <c r="BC374" s="25">
        <f t="shared" ca="1" si="383"/>
        <v>0</v>
      </c>
      <c r="BD374" s="24" t="b">
        <f t="shared" ca="1" si="384"/>
        <v>1</v>
      </c>
      <c r="BE374" s="24" t="b">
        <f t="shared" ca="1" si="385"/>
        <v>1</v>
      </c>
      <c r="BF374" s="23">
        <f t="array" aca="1" ref="BF374" ca="1">SUM(IF(BD374,1,0)*IF(ap_start_date&lt;=AO374,1,0)*IF(ap_end_date&gt;=AO374,1,0)*ap_amount*(1+ap_escalation/100)^(INT((AP374-ap_months_since_start)/12))*IF(MOD(AP374-ap_months_since_start,ap_frequency)=0,1,0))</f>
        <v>73739.721159778594</v>
      </c>
      <c r="BG374" s="24">
        <f t="shared" ca="1" si="386"/>
        <v>884876.65391734289</v>
      </c>
      <c r="BH374" s="24">
        <f t="shared" ca="1" si="387"/>
        <v>10896.640012474038</v>
      </c>
      <c r="BI374">
        <f t="shared" ca="1" si="388"/>
        <v>0</v>
      </c>
      <c r="BJ374" s="24">
        <f t="shared" ca="1" si="389"/>
        <v>76276.480087318254</v>
      </c>
      <c r="BK374">
        <f t="shared" ca="1" si="390"/>
        <v>1</v>
      </c>
      <c r="BL374" s="25">
        <f t="shared" ca="1" si="391"/>
        <v>6356.3733406098563</v>
      </c>
      <c r="BM374" s="32">
        <f t="shared" ca="1" si="370"/>
        <v>409111.89923469926</v>
      </c>
      <c r="BN374" s="23">
        <f t="shared" ca="1" si="392"/>
        <v>0</v>
      </c>
      <c r="BO374" s="24">
        <f t="shared" ca="1" si="393"/>
        <v>0</v>
      </c>
      <c r="BP374" s="25">
        <f t="shared" ca="1" si="394"/>
        <v>0</v>
      </c>
      <c r="BQ374" s="34">
        <f t="shared" ca="1" si="395"/>
        <v>56795</v>
      </c>
      <c r="BR374" s="23">
        <f t="shared" ca="1" si="396"/>
        <v>409111.89923469926</v>
      </c>
      <c r="BS374" s="24">
        <f t="shared" ca="1" si="397"/>
        <v>0</v>
      </c>
      <c r="BT374" s="24">
        <f t="shared" ca="1" si="402"/>
        <v>0</v>
      </c>
      <c r="BU374" s="24">
        <f t="shared" ca="1" si="398"/>
        <v>0</v>
      </c>
      <c r="BV374" s="24">
        <f t="shared" ca="1" si="403"/>
        <v>0</v>
      </c>
      <c r="BW374" s="24">
        <f t="shared" ca="1" si="399"/>
        <v>-6356.3733406098563</v>
      </c>
      <c r="BX374" s="25">
        <f t="shared" ca="1" si="404"/>
        <v>-78896.458353572903</v>
      </c>
      <c r="BY374" s="23">
        <f t="shared" ca="1" si="371"/>
        <v>123283.74480207196</v>
      </c>
      <c r="BZ374" s="24">
        <f t="shared" ca="1" si="372"/>
        <v>0</v>
      </c>
      <c r="CA374" s="24">
        <f t="shared" ca="1" si="405"/>
        <v>0</v>
      </c>
      <c r="CB374" s="24">
        <f t="shared" ca="1" si="373"/>
        <v>0</v>
      </c>
      <c r="CC374" s="24">
        <f t="shared" ca="1" si="406"/>
        <v>0</v>
      </c>
      <c r="CD374" s="24">
        <f t="shared" ca="1" si="374"/>
        <v>-1921.7307918652368</v>
      </c>
      <c r="CE374" s="25">
        <f t="shared" ca="1" si="407"/>
        <v>-24297.643736177935</v>
      </c>
      <c r="CF374" s="23">
        <f t="shared" ca="1" si="408"/>
        <v>873532.08143122308</v>
      </c>
      <c r="CG374" s="25">
        <f t="array" aca="1" ref="CG374" ca="1">SUM(BF363:BF374/(1+inflation/100)^(AP363:AP374/12))</f>
        <v>267980.53702225373</v>
      </c>
      <c r="CH374" s="32">
        <f ca="1">IFERROR(IF(MOD(AP374-ap_months_since_start,12)=0,ap_drawdown/100*(AQ374+AV374+BA374-BC374),CH373),0)</f>
        <v>66989.98065404642</v>
      </c>
    </row>
    <row r="375" spans="40:86" x14ac:dyDescent="0.25">
      <c r="AN375" s="32">
        <f t="shared" ca="1" si="369"/>
        <v>85.5</v>
      </c>
      <c r="AO375" s="53">
        <f t="shared" ca="1" si="400"/>
        <v>56796</v>
      </c>
      <c r="AP375" s="22">
        <v>368</v>
      </c>
      <c r="AQ375" s="32">
        <f t="shared" ca="1" si="401"/>
        <v>409111.89923469926</v>
      </c>
      <c r="AR375" s="23">
        <f t="array" aca="1" ref="AR375" ca="1">SUM(IF(lsc_start_date=AO375,lsc_amount,0))</f>
        <v>0</v>
      </c>
      <c r="AS375" s="24">
        <f t="shared" ca="1" si="375"/>
        <v>0</v>
      </c>
      <c r="AT375" s="24">
        <f t="shared" ca="1" si="376"/>
        <v>0</v>
      </c>
      <c r="AU375" s="24">
        <f t="shared" ca="1" si="377"/>
        <v>0</v>
      </c>
      <c r="AV375" s="25">
        <f t="shared" ca="1" si="378"/>
        <v>0</v>
      </c>
      <c r="AW375" s="23">
        <f t="array" aca="1" ref="AW375" ca="1">SUM(IF(rcs_start_date&lt;=AO375,1,0)*IF(rcs_end_date&gt;=AO375,1,0)*rcs_amount*(1+rcs_escalation/100)^(INT((AP375-rcs_months_since_start)/12))*IF(MOD((AP375-rcs_months_since_start),rcs_frequency)=0,1,0)*IF(rcs_frequency=13,0,1))+SUM(IF(rcs_start_date=AO375,rcs_amount,0)*IF(rcs_frequency=13,1,0))</f>
        <v>0</v>
      </c>
      <c r="AX375" s="24">
        <f t="shared" ca="1" si="379"/>
        <v>0</v>
      </c>
      <c r="AY375" s="24">
        <f t="shared" ca="1" si="380"/>
        <v>0</v>
      </c>
      <c r="AZ375" s="24">
        <f t="shared" ca="1" si="381"/>
        <v>0</v>
      </c>
      <c r="BA375" s="25">
        <f t="shared" ca="1" si="382"/>
        <v>0</v>
      </c>
      <c r="BB375" s="23">
        <f t="array" aca="1" ref="BB375" ca="1">SUM(IF(w_start_date&lt;=AO375,1,0)*IF(w_end_date&gt;=AO375,1,0)*w_amount*(1+w_escalation/100)^(INT((AP375-w_months_since_start)/12))*IF(MOD(AP375-w_months_since_start,w_frequency)=0,1,0)*IF(w_frequency=13,0,1))+SUM(IF(w_start_date=AO375,w_amount,0)*IF(w_frequency=13,1,0))</f>
        <v>0</v>
      </c>
      <c r="BC375" s="25">
        <f t="shared" ca="1" si="383"/>
        <v>0</v>
      </c>
      <c r="BD375" s="24" t="b">
        <f t="shared" ca="1" si="384"/>
        <v>1</v>
      </c>
      <c r="BE375" s="24" t="b">
        <f t="shared" ca="1" si="385"/>
        <v>1</v>
      </c>
      <c r="BF375" s="23">
        <f t="array" aca="1" ref="BF375" ca="1">SUM(IF(BD375,1,0)*IF(ap_start_date&lt;=AO375,1,0)*IF(ap_end_date&gt;=AO375,1,0)*ap_amount*(1+ap_escalation/100)^(INT((AP375-ap_months_since_start)/12))*IF(MOD(AP375-ap_months_since_start,ap_frequency)=0,1,0))</f>
        <v>73739.721159778594</v>
      </c>
      <c r="BG375" s="24">
        <f t="shared" ca="1" si="386"/>
        <v>884876.65391734289</v>
      </c>
      <c r="BH375" s="24">
        <f t="shared" ca="1" si="387"/>
        <v>10896.640012474038</v>
      </c>
      <c r="BI375">
        <f t="shared" ca="1" si="388"/>
        <v>0</v>
      </c>
      <c r="BJ375" s="24">
        <f t="shared" ca="1" si="389"/>
        <v>76276.480087318254</v>
      </c>
      <c r="BK375">
        <f t="shared" ca="1" si="390"/>
        <v>1</v>
      </c>
      <c r="BL375" s="25">
        <f t="shared" ca="1" si="391"/>
        <v>6356.3733406098563</v>
      </c>
      <c r="BM375" s="32">
        <f t="shared" ca="1" si="370"/>
        <v>405658.31518656883</v>
      </c>
      <c r="BN375" s="23">
        <f t="shared" ca="1" si="392"/>
        <v>0</v>
      </c>
      <c r="BO375" s="24">
        <f t="shared" ca="1" si="393"/>
        <v>0</v>
      </c>
      <c r="BP375" s="25">
        <f t="shared" ca="1" si="394"/>
        <v>0</v>
      </c>
      <c r="BQ375" s="34">
        <f t="shared" ca="1" si="395"/>
        <v>56826</v>
      </c>
      <c r="BR375" s="23">
        <f t="shared" ca="1" si="396"/>
        <v>405658.31518656883</v>
      </c>
      <c r="BS375" s="24">
        <f t="shared" ca="1" si="397"/>
        <v>0</v>
      </c>
      <c r="BT375" s="24">
        <f t="shared" ca="1" si="402"/>
        <v>0</v>
      </c>
      <c r="BU375" s="24">
        <f t="shared" ca="1" si="398"/>
        <v>0</v>
      </c>
      <c r="BV375" s="24">
        <f t="shared" ca="1" si="403"/>
        <v>0</v>
      </c>
      <c r="BW375" s="24">
        <f t="shared" ca="1" si="399"/>
        <v>-6356.3733406098563</v>
      </c>
      <c r="BX375" s="25">
        <f t="shared" ca="1" si="404"/>
        <v>-78241.463787009241</v>
      </c>
      <c r="BY375" s="23">
        <f t="shared" ca="1" si="371"/>
        <v>121844.13919071584</v>
      </c>
      <c r="BZ375" s="24">
        <f t="shared" ca="1" si="372"/>
        <v>0</v>
      </c>
      <c r="CA375" s="24">
        <f t="shared" ca="1" si="405"/>
        <v>0</v>
      </c>
      <c r="CB375" s="24">
        <f t="shared" ca="1" si="373"/>
        <v>0</v>
      </c>
      <c r="CC375" s="24">
        <f t="shared" ca="1" si="406"/>
        <v>0</v>
      </c>
      <c r="CD375" s="24">
        <f t="shared" ca="1" si="374"/>
        <v>-1915.460074019705</v>
      </c>
      <c r="CE375" s="25">
        <f t="shared" ca="1" si="407"/>
        <v>-24015.750956041335</v>
      </c>
      <c r="CF375" s="23">
        <f t="shared" ca="1" si="408"/>
        <v>876368.22455275315</v>
      </c>
      <c r="CG375" s="25">
        <f t="array" aca="1" ref="CG375" ca="1">SUM(BF364:BF375/(1+inflation/100)^(AP364:AP375/12))</f>
        <v>267980.53702225373</v>
      </c>
      <c r="CH375" s="32">
        <f ca="1">IFERROR(IF(MOD(AP375-ap_months_since_start,12)=0,ap_drawdown/100*(AQ375+AV375+BA375-BC375),CH374),0)</f>
        <v>66989.98065404642</v>
      </c>
    </row>
    <row r="376" spans="40:86" x14ac:dyDescent="0.25">
      <c r="AN376" s="32">
        <f t="shared" ca="1" si="369"/>
        <v>85.583333333333329</v>
      </c>
      <c r="AO376" s="53">
        <f t="shared" ca="1" si="400"/>
        <v>56827</v>
      </c>
      <c r="AP376" s="22">
        <v>369</v>
      </c>
      <c r="AQ376" s="32">
        <f t="shared" ca="1" si="401"/>
        <v>405658.31518656883</v>
      </c>
      <c r="AR376" s="23">
        <f t="array" aca="1" ref="AR376" ca="1">SUM(IF(lsc_start_date=AO376,lsc_amount,0))</f>
        <v>0</v>
      </c>
      <c r="AS376" s="24">
        <f t="shared" ca="1" si="375"/>
        <v>0</v>
      </c>
      <c r="AT376" s="24">
        <f t="shared" ca="1" si="376"/>
        <v>0</v>
      </c>
      <c r="AU376" s="24">
        <f t="shared" ca="1" si="377"/>
        <v>0</v>
      </c>
      <c r="AV376" s="25">
        <f t="shared" ca="1" si="378"/>
        <v>0</v>
      </c>
      <c r="AW376" s="23">
        <f t="array" aca="1" ref="AW376" ca="1">SUM(IF(rcs_start_date&lt;=AO376,1,0)*IF(rcs_end_date&gt;=AO376,1,0)*rcs_amount*(1+rcs_escalation/100)^(INT((AP376-rcs_months_since_start)/12))*IF(MOD((AP376-rcs_months_since_start),rcs_frequency)=0,1,0)*IF(rcs_frequency=13,0,1))+SUM(IF(rcs_start_date=AO376,rcs_amount,0)*IF(rcs_frequency=13,1,0))</f>
        <v>0</v>
      </c>
      <c r="AX376" s="24">
        <f t="shared" ca="1" si="379"/>
        <v>0</v>
      </c>
      <c r="AY376" s="24">
        <f t="shared" ca="1" si="380"/>
        <v>0</v>
      </c>
      <c r="AZ376" s="24">
        <f t="shared" ca="1" si="381"/>
        <v>0</v>
      </c>
      <c r="BA376" s="25">
        <f t="shared" ca="1" si="382"/>
        <v>0</v>
      </c>
      <c r="BB376" s="23">
        <f t="array" aca="1" ref="BB376" ca="1">SUM(IF(w_start_date&lt;=AO376,1,0)*IF(w_end_date&gt;=AO376,1,0)*w_amount*(1+w_escalation/100)^(INT((AP376-w_months_since_start)/12))*IF(MOD(AP376-w_months_since_start,w_frequency)=0,1,0)*IF(w_frequency=13,0,1))+SUM(IF(w_start_date=AO376,w_amount,0)*IF(w_frequency=13,1,0))</f>
        <v>0</v>
      </c>
      <c r="BC376" s="25">
        <f t="shared" ca="1" si="383"/>
        <v>0</v>
      </c>
      <c r="BD376" s="24" t="b">
        <f t="shared" ca="1" si="384"/>
        <v>1</v>
      </c>
      <c r="BE376" s="24" t="b">
        <f t="shared" ca="1" si="385"/>
        <v>1</v>
      </c>
      <c r="BF376" s="23">
        <f t="array" aca="1" ref="BF376" ca="1">SUM(IF(BD376,1,0)*IF(ap_start_date&lt;=AO376,1,0)*IF(ap_end_date&gt;=AO376,1,0)*ap_amount*(1+ap_escalation/100)^(INT((AP376-ap_months_since_start)/12))*IF(MOD(AP376-ap_months_since_start,ap_frequency)=0,1,0))</f>
        <v>73739.721159778594</v>
      </c>
      <c r="BG376" s="24">
        <f t="shared" ca="1" si="386"/>
        <v>884876.65391734289</v>
      </c>
      <c r="BH376" s="24">
        <f t="shared" ca="1" si="387"/>
        <v>10896.640012474038</v>
      </c>
      <c r="BI376">
        <f t="shared" ca="1" si="388"/>
        <v>0</v>
      </c>
      <c r="BJ376" s="24">
        <f t="shared" ca="1" si="389"/>
        <v>76276.480087318254</v>
      </c>
      <c r="BK376">
        <f t="shared" ca="1" si="390"/>
        <v>1</v>
      </c>
      <c r="BL376" s="25">
        <f t="shared" ca="1" si="391"/>
        <v>6356.3733406098563</v>
      </c>
      <c r="BM376" s="32">
        <f t="shared" ca="1" si="370"/>
        <v>402179.84004160407</v>
      </c>
      <c r="BN376" s="23">
        <f t="shared" ca="1" si="392"/>
        <v>0</v>
      </c>
      <c r="BO376" s="24">
        <f t="shared" ca="1" si="393"/>
        <v>0</v>
      </c>
      <c r="BP376" s="25">
        <f t="shared" ca="1" si="394"/>
        <v>0</v>
      </c>
      <c r="BQ376" s="34">
        <f t="shared" ca="1" si="395"/>
        <v>56857</v>
      </c>
      <c r="BR376" s="23">
        <f t="shared" ca="1" si="396"/>
        <v>402179.84004160407</v>
      </c>
      <c r="BS376" s="24">
        <f t="shared" ca="1" si="397"/>
        <v>0</v>
      </c>
      <c r="BT376" s="24">
        <f t="shared" ca="1" si="402"/>
        <v>0</v>
      </c>
      <c r="BU376" s="24">
        <f t="shared" ca="1" si="398"/>
        <v>0</v>
      </c>
      <c r="BV376" s="24">
        <f t="shared" ca="1" si="403"/>
        <v>0</v>
      </c>
      <c r="BW376" s="24">
        <f t="shared" ca="1" si="399"/>
        <v>-6356.3733406098563</v>
      </c>
      <c r="BX376" s="25">
        <f t="shared" ca="1" si="404"/>
        <v>-77586.469220445579</v>
      </c>
      <c r="BY376" s="23">
        <f t="shared" ca="1" si="371"/>
        <v>120405.16401031481</v>
      </c>
      <c r="BZ376" s="24">
        <f t="shared" ca="1" si="372"/>
        <v>0</v>
      </c>
      <c r="CA376" s="24">
        <f t="shared" ca="1" si="405"/>
        <v>0</v>
      </c>
      <c r="CB376" s="24">
        <f t="shared" ca="1" si="373"/>
        <v>0</v>
      </c>
      <c r="CC376" s="24">
        <f t="shared" ca="1" si="406"/>
        <v>0</v>
      </c>
      <c r="CD376" s="24">
        <f t="shared" ca="1" si="374"/>
        <v>-1909.2098178863257</v>
      </c>
      <c r="CE376" s="25">
        <f t="shared" ca="1" si="407"/>
        <v>-23734.778008221732</v>
      </c>
      <c r="CF376" s="23">
        <f t="shared" ca="1" si="408"/>
        <v>879204.36767428298</v>
      </c>
      <c r="CG376" s="25">
        <f t="array" aca="1" ref="CG376" ca="1">SUM(BF365:BF376/(1+inflation/100)^(AP365:AP376/12))</f>
        <v>267980.53702225379</v>
      </c>
      <c r="CH376" s="32">
        <f ca="1">IFERROR(IF(MOD(AP376-ap_months_since_start,12)=0,ap_drawdown/100*(AQ376+AV376+BA376-BC376),CH375),0)</f>
        <v>66989.98065404642</v>
      </c>
    </row>
    <row r="377" spans="40:86" x14ac:dyDescent="0.25">
      <c r="AN377" s="32">
        <f t="shared" ca="1" si="369"/>
        <v>85.666666666666671</v>
      </c>
      <c r="AO377" s="53">
        <f t="shared" ca="1" si="400"/>
        <v>56858</v>
      </c>
      <c r="AP377" s="22">
        <v>370</v>
      </c>
      <c r="AQ377" s="32">
        <f t="shared" ca="1" si="401"/>
        <v>402179.84004160407</v>
      </c>
      <c r="AR377" s="23">
        <f t="array" aca="1" ref="AR377" ca="1">SUM(IF(lsc_start_date=AO377,lsc_amount,0))</f>
        <v>0</v>
      </c>
      <c r="AS377" s="24">
        <f t="shared" ca="1" si="375"/>
        <v>0</v>
      </c>
      <c r="AT377" s="24">
        <f t="shared" ca="1" si="376"/>
        <v>0</v>
      </c>
      <c r="AU377" s="24">
        <f t="shared" ca="1" si="377"/>
        <v>0</v>
      </c>
      <c r="AV377" s="25">
        <f t="shared" ca="1" si="378"/>
        <v>0</v>
      </c>
      <c r="AW377" s="23">
        <f t="array" aca="1" ref="AW377" ca="1">SUM(IF(rcs_start_date&lt;=AO377,1,0)*IF(rcs_end_date&gt;=AO377,1,0)*rcs_amount*(1+rcs_escalation/100)^(INT((AP377-rcs_months_since_start)/12))*IF(MOD((AP377-rcs_months_since_start),rcs_frequency)=0,1,0)*IF(rcs_frequency=13,0,1))+SUM(IF(rcs_start_date=AO377,rcs_amount,0)*IF(rcs_frequency=13,1,0))</f>
        <v>0</v>
      </c>
      <c r="AX377" s="24">
        <f t="shared" ca="1" si="379"/>
        <v>0</v>
      </c>
      <c r="AY377" s="24">
        <f t="shared" ca="1" si="380"/>
        <v>0</v>
      </c>
      <c r="AZ377" s="24">
        <f t="shared" ca="1" si="381"/>
        <v>0</v>
      </c>
      <c r="BA377" s="25">
        <f t="shared" ca="1" si="382"/>
        <v>0</v>
      </c>
      <c r="BB377" s="23">
        <f t="array" aca="1" ref="BB377" ca="1">SUM(IF(w_start_date&lt;=AO377,1,0)*IF(w_end_date&gt;=AO377,1,0)*w_amount*(1+w_escalation/100)^(INT((AP377-w_months_since_start)/12))*IF(MOD(AP377-w_months_since_start,w_frequency)=0,1,0)*IF(w_frequency=13,0,1))+SUM(IF(w_start_date=AO377,w_amount,0)*IF(w_frequency=13,1,0))</f>
        <v>0</v>
      </c>
      <c r="BC377" s="25">
        <f t="shared" ca="1" si="383"/>
        <v>0</v>
      </c>
      <c r="BD377" s="24" t="b">
        <f t="shared" ca="1" si="384"/>
        <v>1</v>
      </c>
      <c r="BE377" s="24" t="b">
        <f t="shared" ca="1" si="385"/>
        <v>1</v>
      </c>
      <c r="BF377" s="23">
        <f t="array" aca="1" ref="BF377" ca="1">SUM(IF(BD377,1,0)*IF(ap_start_date&lt;=AO377,1,0)*IF(ap_end_date&gt;=AO377,1,0)*ap_amount*(1+ap_escalation/100)^(INT((AP377-ap_months_since_start)/12))*IF(MOD(AP377-ap_months_since_start,ap_frequency)=0,1,0))</f>
        <v>73739.721159778594</v>
      </c>
      <c r="BG377" s="24">
        <f t="shared" ca="1" si="386"/>
        <v>884876.65391734289</v>
      </c>
      <c r="BH377" s="24">
        <f t="shared" ca="1" si="387"/>
        <v>10896.640012474038</v>
      </c>
      <c r="BI377">
        <f t="shared" ca="1" si="388"/>
        <v>0</v>
      </c>
      <c r="BJ377" s="24">
        <f t="shared" ca="1" si="389"/>
        <v>76276.480087318254</v>
      </c>
      <c r="BK377">
        <f t="shared" ca="1" si="390"/>
        <v>1</v>
      </c>
      <c r="BL377" s="25">
        <f t="shared" ca="1" si="391"/>
        <v>6356.3733406098563</v>
      </c>
      <c r="BM377" s="32">
        <f t="shared" ca="1" si="370"/>
        <v>398676.29440162238</v>
      </c>
      <c r="BN377" s="23">
        <f t="shared" ca="1" si="392"/>
        <v>0</v>
      </c>
      <c r="BO377" s="24">
        <f t="shared" ca="1" si="393"/>
        <v>0</v>
      </c>
      <c r="BP377" s="25">
        <f t="shared" ca="1" si="394"/>
        <v>0</v>
      </c>
      <c r="BQ377" s="34">
        <f t="shared" ca="1" si="395"/>
        <v>56887</v>
      </c>
      <c r="BR377" s="23">
        <f t="shared" ca="1" si="396"/>
        <v>398676.29440162238</v>
      </c>
      <c r="BS377" s="24">
        <f t="shared" ca="1" si="397"/>
        <v>0</v>
      </c>
      <c r="BT377" s="24">
        <f t="shared" ca="1" si="402"/>
        <v>0</v>
      </c>
      <c r="BU377" s="24">
        <f t="shared" ca="1" si="398"/>
        <v>0</v>
      </c>
      <c r="BV377" s="24">
        <f t="shared" ca="1" si="403"/>
        <v>0</v>
      </c>
      <c r="BW377" s="24">
        <f t="shared" ca="1" si="399"/>
        <v>-6356.3733406098563</v>
      </c>
      <c r="BX377" s="25">
        <f t="shared" ca="1" si="404"/>
        <v>-76931.474653881931</v>
      </c>
      <c r="BY377" s="23">
        <f t="shared" ca="1" si="371"/>
        <v>118966.80125772186</v>
      </c>
      <c r="BZ377" s="24">
        <f t="shared" ca="1" si="372"/>
        <v>0</v>
      </c>
      <c r="CA377" s="24">
        <f t="shared" ca="1" si="405"/>
        <v>0</v>
      </c>
      <c r="CB377" s="24">
        <f t="shared" ca="1" si="373"/>
        <v>0</v>
      </c>
      <c r="CC377" s="24">
        <f t="shared" ca="1" si="406"/>
        <v>0</v>
      </c>
      <c r="CD377" s="24">
        <f t="shared" ca="1" si="374"/>
        <v>-1902.9799566973588</v>
      </c>
      <c r="CE377" s="25">
        <f t="shared" ca="1" si="407"/>
        <v>-23454.721891253499</v>
      </c>
      <c r="CF377" s="23">
        <f t="shared" ca="1" si="408"/>
        <v>882040.51079581305</v>
      </c>
      <c r="CG377" s="25">
        <f t="array" aca="1" ref="CG377" ca="1">SUM(BF366:BF377/(1+inflation/100)^(AP366:AP377/12))</f>
        <v>267980.53702225373</v>
      </c>
      <c r="CH377" s="32">
        <f ca="1">IFERROR(IF(MOD(AP377-ap_months_since_start,12)=0,ap_drawdown/100*(AQ377+AV377+BA377-BC377),CH376),0)</f>
        <v>66989.98065404642</v>
      </c>
    </row>
    <row r="378" spans="40:86" x14ac:dyDescent="0.25">
      <c r="AN378" s="32">
        <f t="shared" ca="1" si="369"/>
        <v>85.75</v>
      </c>
      <c r="AO378" s="53">
        <f t="shared" ca="1" si="400"/>
        <v>56888</v>
      </c>
      <c r="AP378" s="22">
        <v>371</v>
      </c>
      <c r="AQ378" s="32">
        <f t="shared" ca="1" si="401"/>
        <v>398676.29440162238</v>
      </c>
      <c r="AR378" s="23">
        <f t="array" aca="1" ref="AR378" ca="1">SUM(IF(lsc_start_date=AO378,lsc_amount,0))</f>
        <v>0</v>
      </c>
      <c r="AS378" s="24">
        <f t="shared" ca="1" si="375"/>
        <v>0</v>
      </c>
      <c r="AT378" s="24">
        <f t="shared" ca="1" si="376"/>
        <v>0</v>
      </c>
      <c r="AU378" s="24">
        <f t="shared" ca="1" si="377"/>
        <v>0</v>
      </c>
      <c r="AV378" s="25">
        <f t="shared" ca="1" si="378"/>
        <v>0</v>
      </c>
      <c r="AW378" s="23">
        <f t="array" aca="1" ref="AW378" ca="1">SUM(IF(rcs_start_date&lt;=AO378,1,0)*IF(rcs_end_date&gt;=AO378,1,0)*rcs_amount*(1+rcs_escalation/100)^(INT((AP378-rcs_months_since_start)/12))*IF(MOD((AP378-rcs_months_since_start),rcs_frequency)=0,1,0)*IF(rcs_frequency=13,0,1))+SUM(IF(rcs_start_date=AO378,rcs_amount,0)*IF(rcs_frequency=13,1,0))</f>
        <v>0</v>
      </c>
      <c r="AX378" s="24">
        <f t="shared" ca="1" si="379"/>
        <v>0</v>
      </c>
      <c r="AY378" s="24">
        <f t="shared" ca="1" si="380"/>
        <v>0</v>
      </c>
      <c r="AZ378" s="24">
        <f t="shared" ca="1" si="381"/>
        <v>0</v>
      </c>
      <c r="BA378" s="25">
        <f t="shared" ca="1" si="382"/>
        <v>0</v>
      </c>
      <c r="BB378" s="23">
        <f t="array" aca="1" ref="BB378" ca="1">SUM(IF(w_start_date&lt;=AO378,1,0)*IF(w_end_date&gt;=AO378,1,0)*w_amount*(1+w_escalation/100)^(INT((AP378-w_months_since_start)/12))*IF(MOD(AP378-w_months_since_start,w_frequency)=0,1,0)*IF(w_frequency=13,0,1))+SUM(IF(w_start_date=AO378,w_amount,0)*IF(w_frequency=13,1,0))</f>
        <v>0</v>
      </c>
      <c r="BC378" s="25">
        <f t="shared" ca="1" si="383"/>
        <v>0</v>
      </c>
      <c r="BD378" s="24" t="b">
        <f t="shared" ca="1" si="384"/>
        <v>1</v>
      </c>
      <c r="BE378" s="24" t="b">
        <f t="shared" ca="1" si="385"/>
        <v>1</v>
      </c>
      <c r="BF378" s="23">
        <f t="array" aca="1" ref="BF378" ca="1">SUM(IF(BD378,1,0)*IF(ap_start_date&lt;=AO378,1,0)*IF(ap_end_date&gt;=AO378,1,0)*ap_amount*(1+ap_escalation/100)^(INT((AP378-ap_months_since_start)/12))*IF(MOD(AP378-ap_months_since_start,ap_frequency)=0,1,0))</f>
        <v>73739.721159778594</v>
      </c>
      <c r="BG378" s="24">
        <f t="shared" ca="1" si="386"/>
        <v>884876.65391734289</v>
      </c>
      <c r="BH378" s="24">
        <f t="shared" ca="1" si="387"/>
        <v>10896.640012474038</v>
      </c>
      <c r="BI378">
        <f t="shared" ca="1" si="388"/>
        <v>0</v>
      </c>
      <c r="BJ378" s="24">
        <f t="shared" ca="1" si="389"/>
        <v>76276.480087318254</v>
      </c>
      <c r="BK378">
        <f t="shared" ca="1" si="390"/>
        <v>1</v>
      </c>
      <c r="BL378" s="25">
        <f t="shared" ca="1" si="391"/>
        <v>6356.3733406098563</v>
      </c>
      <c r="BM378" s="32">
        <f t="shared" ca="1" si="370"/>
        <v>395147.49757546047</v>
      </c>
      <c r="BN378" s="23">
        <f t="shared" ca="1" si="392"/>
        <v>0</v>
      </c>
      <c r="BO378" s="24">
        <f t="shared" ca="1" si="393"/>
        <v>0</v>
      </c>
      <c r="BP378" s="25">
        <f t="shared" ca="1" si="394"/>
        <v>0</v>
      </c>
      <c r="BQ378" s="34">
        <f t="shared" ca="1" si="395"/>
        <v>56918</v>
      </c>
      <c r="BR378" s="23">
        <f t="shared" ca="1" si="396"/>
        <v>395147.49757546047</v>
      </c>
      <c r="BS378" s="24">
        <f t="shared" ca="1" si="397"/>
        <v>0</v>
      </c>
      <c r="BT378" s="24">
        <f t="shared" ca="1" si="402"/>
        <v>0</v>
      </c>
      <c r="BU378" s="24">
        <f t="shared" ca="1" si="398"/>
        <v>0</v>
      </c>
      <c r="BV378" s="24">
        <f t="shared" ca="1" si="403"/>
        <v>0</v>
      </c>
      <c r="BW378" s="24">
        <f t="shared" ca="1" si="399"/>
        <v>-6356.3733406098563</v>
      </c>
      <c r="BX378" s="25">
        <f t="shared" ca="1" si="404"/>
        <v>-76276.480087318268</v>
      </c>
      <c r="BY378" s="23">
        <f t="shared" ca="1" si="371"/>
        <v>117529.03292601509</v>
      </c>
      <c r="BZ378" s="24">
        <f t="shared" ca="1" si="372"/>
        <v>0</v>
      </c>
      <c r="CA378" s="24">
        <f t="shared" ca="1" si="405"/>
        <v>0</v>
      </c>
      <c r="CB378" s="24">
        <f t="shared" ca="1" si="373"/>
        <v>0</v>
      </c>
      <c r="CC378" s="24">
        <f t="shared" ca="1" si="406"/>
        <v>0</v>
      </c>
      <c r="CD378" s="24">
        <f t="shared" ca="1" si="374"/>
        <v>-1896.7704239029295</v>
      </c>
      <c r="CE378" s="25">
        <f t="shared" ca="1" si="407"/>
        <v>-23175.579613464954</v>
      </c>
      <c r="CF378" s="23">
        <f t="shared" ca="1" si="408"/>
        <v>884876.65391734289</v>
      </c>
      <c r="CG378" s="25">
        <f t="array" aca="1" ref="CG378" ca="1">SUM(BF367:BF378/(1+inflation/100)^(AP367:AP378/12))</f>
        <v>267980.53702225373</v>
      </c>
      <c r="CH378" s="32">
        <f ca="1">IFERROR(IF(MOD(AP378-ap_months_since_start,12)=0,ap_drawdown/100*(AQ378+AV378+BA378-BC378),CH377),0)</f>
        <v>66989.98065404642</v>
      </c>
    </row>
    <row r="379" spans="40:86" x14ac:dyDescent="0.25">
      <c r="AN379" s="32">
        <f t="shared" ca="1" si="369"/>
        <v>85.833333333333329</v>
      </c>
      <c r="AO379" s="53">
        <f t="shared" ca="1" si="400"/>
        <v>56919</v>
      </c>
      <c r="AP379" s="22">
        <v>372</v>
      </c>
      <c r="AQ379" s="32">
        <f t="shared" ca="1" si="401"/>
        <v>395147.49757546047</v>
      </c>
      <c r="AR379" s="23">
        <f t="array" aca="1" ref="AR379" ca="1">SUM(IF(lsc_start_date=AO379,lsc_amount,0))</f>
        <v>0</v>
      </c>
      <c r="AS379" s="24">
        <f t="shared" ca="1" si="375"/>
        <v>0</v>
      </c>
      <c r="AT379" s="24">
        <f t="shared" ca="1" si="376"/>
        <v>0</v>
      </c>
      <c r="AU379" s="24">
        <f t="shared" ca="1" si="377"/>
        <v>0</v>
      </c>
      <c r="AV379" s="25">
        <f t="shared" ca="1" si="378"/>
        <v>0</v>
      </c>
      <c r="AW379" s="23">
        <f t="array" aca="1" ref="AW379" ca="1">SUM(IF(rcs_start_date&lt;=AO379,1,0)*IF(rcs_end_date&gt;=AO379,1,0)*rcs_amount*(1+rcs_escalation/100)^(INT((AP379-rcs_months_since_start)/12))*IF(MOD((AP379-rcs_months_since_start),rcs_frequency)=0,1,0)*IF(rcs_frequency=13,0,1))+SUM(IF(rcs_start_date=AO379,rcs_amount,0)*IF(rcs_frequency=13,1,0))</f>
        <v>0</v>
      </c>
      <c r="AX379" s="24">
        <f t="shared" ca="1" si="379"/>
        <v>0</v>
      </c>
      <c r="AY379" s="24">
        <f t="shared" ca="1" si="380"/>
        <v>0</v>
      </c>
      <c r="AZ379" s="24">
        <f t="shared" ca="1" si="381"/>
        <v>0</v>
      </c>
      <c r="BA379" s="25">
        <f t="shared" ca="1" si="382"/>
        <v>0</v>
      </c>
      <c r="BB379" s="23">
        <f t="array" aca="1" ref="BB379" ca="1">SUM(IF(w_start_date&lt;=AO379,1,0)*IF(w_end_date&gt;=AO379,1,0)*w_amount*(1+w_escalation/100)^(INT((AP379-w_months_since_start)/12))*IF(MOD(AP379-w_months_since_start,w_frequency)=0,1,0)*IF(w_frequency=13,0,1))+SUM(IF(w_start_date=AO379,w_amount,0)*IF(w_frequency=13,1,0))</f>
        <v>0</v>
      </c>
      <c r="BC379" s="25">
        <f t="shared" ca="1" si="383"/>
        <v>0</v>
      </c>
      <c r="BD379" s="24" t="b">
        <f t="shared" ca="1" si="384"/>
        <v>1</v>
      </c>
      <c r="BE379" s="24" t="b">
        <f t="shared" ca="1" si="385"/>
        <v>1</v>
      </c>
      <c r="BF379" s="23">
        <f t="array" aca="1" ref="BF379" ca="1">SUM(IF(BD379,1,0)*IF(ap_start_date&lt;=AO379,1,0)*IF(ap_end_date&gt;=AO379,1,0)*ap_amount*(1+ap_escalation/100)^(INT((AP379-ap_months_since_start)/12))*IF(MOD(AP379-ap_months_since_start,ap_frequency)=0,1,0))</f>
        <v>76689.310006169748</v>
      </c>
      <c r="BG379" s="24">
        <f t="shared" ca="1" si="386"/>
        <v>920271.72007403674</v>
      </c>
      <c r="BH379" s="24">
        <f t="shared" ca="1" si="387"/>
        <v>9878.6874393865128</v>
      </c>
      <c r="BI379">
        <f t="shared" ca="1" si="388"/>
        <v>0</v>
      </c>
      <c r="BJ379" s="24">
        <f t="shared" ca="1" si="389"/>
        <v>69150.812075705573</v>
      </c>
      <c r="BK379">
        <f t="shared" ca="1" si="390"/>
        <v>1</v>
      </c>
      <c r="BL379" s="25">
        <f t="shared" ca="1" si="391"/>
        <v>5762.5676729754659</v>
      </c>
      <c r="BM379" s="32">
        <f t="shared" ca="1" si="370"/>
        <v>392191.35298672342</v>
      </c>
      <c r="BN379" s="23">
        <f t="shared" ca="1" si="392"/>
        <v>0</v>
      </c>
      <c r="BO379" s="24">
        <f t="shared" ca="1" si="393"/>
        <v>0</v>
      </c>
      <c r="BP379" s="25">
        <f t="shared" ca="1" si="394"/>
        <v>0</v>
      </c>
      <c r="BQ379" s="34">
        <f t="shared" ca="1" si="395"/>
        <v>56948</v>
      </c>
      <c r="BR379" s="23">
        <f t="shared" ca="1" si="396"/>
        <v>392191.35298672342</v>
      </c>
      <c r="BS379" s="24">
        <f t="shared" ca="1" si="397"/>
        <v>0</v>
      </c>
      <c r="BT379" s="24">
        <f t="shared" ca="1" si="402"/>
        <v>0</v>
      </c>
      <c r="BU379" s="24">
        <f t="shared" ca="1" si="398"/>
        <v>0</v>
      </c>
      <c r="BV379" s="24">
        <f t="shared" ca="1" si="403"/>
        <v>0</v>
      </c>
      <c r="BW379" s="24">
        <f t="shared" ca="1" si="399"/>
        <v>-5762.5676729754659</v>
      </c>
      <c r="BX379" s="25">
        <f t="shared" ca="1" si="404"/>
        <v>-75682.67441968387</v>
      </c>
      <c r="BY379" s="23">
        <f t="shared" ca="1" si="371"/>
        <v>116269.14956111544</v>
      </c>
      <c r="BZ379" s="24">
        <f t="shared" ca="1" si="372"/>
        <v>0</v>
      </c>
      <c r="CA379" s="24">
        <f t="shared" ca="1" si="405"/>
        <v>0</v>
      </c>
      <c r="CB379" s="24">
        <f t="shared" ca="1" si="373"/>
        <v>0</v>
      </c>
      <c r="CC379" s="24">
        <f t="shared" ca="1" si="406"/>
        <v>0</v>
      </c>
      <c r="CD379" s="24">
        <f t="shared" ca="1" si="374"/>
        <v>-1713.965063504387</v>
      </c>
      <c r="CE379" s="25">
        <f t="shared" ca="1" si="407"/>
        <v>-22923.340277672207</v>
      </c>
      <c r="CF379" s="23">
        <f t="shared" ca="1" si="408"/>
        <v>887826.24276373407</v>
      </c>
      <c r="CG379" s="25">
        <f t="array" aca="1" ref="CG379" ca="1">SUM(BF368:BF379/(1+inflation/100)^(AP368:AP379/12))</f>
        <v>267980.53702225379</v>
      </c>
      <c r="CH379" s="32">
        <f ca="1">IFERROR(IF(MOD(AP379-ap_months_since_start,12)=0,ap_drawdown/100*(AQ379+AV379+BA379-BC379),CH378),0)</f>
        <v>60731.847587357435</v>
      </c>
    </row>
    <row r="380" spans="40:86" x14ac:dyDescent="0.25">
      <c r="AN380" s="32">
        <f t="shared" ca="1" si="369"/>
        <v>85.916666666666671</v>
      </c>
      <c r="AO380" s="53">
        <f t="shared" ca="1" si="400"/>
        <v>56949</v>
      </c>
      <c r="AP380" s="22">
        <v>373</v>
      </c>
      <c r="AQ380" s="32">
        <f t="shared" ca="1" si="401"/>
        <v>392191.35298672342</v>
      </c>
      <c r="AR380" s="23">
        <f t="array" aca="1" ref="AR380" ca="1">SUM(IF(lsc_start_date=AO380,lsc_amount,0))</f>
        <v>0</v>
      </c>
      <c r="AS380" s="24">
        <f t="shared" ca="1" si="375"/>
        <v>0</v>
      </c>
      <c r="AT380" s="24">
        <f t="shared" ca="1" si="376"/>
        <v>0</v>
      </c>
      <c r="AU380" s="24">
        <f t="shared" ca="1" si="377"/>
        <v>0</v>
      </c>
      <c r="AV380" s="25">
        <f t="shared" ca="1" si="378"/>
        <v>0</v>
      </c>
      <c r="AW380" s="23">
        <f t="array" aca="1" ref="AW380" ca="1">SUM(IF(rcs_start_date&lt;=AO380,1,0)*IF(rcs_end_date&gt;=AO380,1,0)*rcs_amount*(1+rcs_escalation/100)^(INT((AP380-rcs_months_since_start)/12))*IF(MOD((AP380-rcs_months_since_start),rcs_frequency)=0,1,0)*IF(rcs_frequency=13,0,1))+SUM(IF(rcs_start_date=AO380,rcs_amount,0)*IF(rcs_frequency=13,1,0))</f>
        <v>0</v>
      </c>
      <c r="AX380" s="24">
        <f t="shared" ca="1" si="379"/>
        <v>0</v>
      </c>
      <c r="AY380" s="24">
        <f t="shared" ca="1" si="380"/>
        <v>0</v>
      </c>
      <c r="AZ380" s="24">
        <f t="shared" ca="1" si="381"/>
        <v>0</v>
      </c>
      <c r="BA380" s="25">
        <f t="shared" ca="1" si="382"/>
        <v>0</v>
      </c>
      <c r="BB380" s="23">
        <f t="array" aca="1" ref="BB380" ca="1">SUM(IF(w_start_date&lt;=AO380,1,0)*IF(w_end_date&gt;=AO380,1,0)*w_amount*(1+w_escalation/100)^(INT((AP380-w_months_since_start)/12))*IF(MOD(AP380-w_months_since_start,w_frequency)=0,1,0)*IF(w_frequency=13,0,1))+SUM(IF(w_start_date=AO380,w_amount,0)*IF(w_frequency=13,1,0))</f>
        <v>0</v>
      </c>
      <c r="BC380" s="25">
        <f t="shared" ca="1" si="383"/>
        <v>0</v>
      </c>
      <c r="BD380" s="24" t="b">
        <f t="shared" ca="1" si="384"/>
        <v>1</v>
      </c>
      <c r="BE380" s="24" t="b">
        <f t="shared" ca="1" si="385"/>
        <v>1</v>
      </c>
      <c r="BF380" s="23">
        <f t="array" aca="1" ref="BF380" ca="1">SUM(IF(BD380,1,0)*IF(ap_start_date&lt;=AO380,1,0)*IF(ap_end_date&gt;=AO380,1,0)*ap_amount*(1+ap_escalation/100)^(INT((AP380-ap_months_since_start)/12))*IF(MOD(AP380-ap_months_since_start,ap_frequency)=0,1,0))</f>
        <v>76689.310006169748</v>
      </c>
      <c r="BG380" s="24">
        <f t="shared" ca="1" si="386"/>
        <v>920271.72007403674</v>
      </c>
      <c r="BH380" s="24">
        <f t="shared" ca="1" si="387"/>
        <v>9878.6874393865128</v>
      </c>
      <c r="BI380">
        <f t="shared" ca="1" si="388"/>
        <v>0</v>
      </c>
      <c r="BJ380" s="24">
        <f t="shared" ca="1" si="389"/>
        <v>69150.812075705573</v>
      </c>
      <c r="BK380">
        <f t="shared" ca="1" si="390"/>
        <v>1</v>
      </c>
      <c r="BL380" s="25">
        <f t="shared" ca="1" si="391"/>
        <v>5762.5676729754659</v>
      </c>
      <c r="BM380" s="32">
        <f t="shared" ca="1" si="370"/>
        <v>389213.90250816609</v>
      </c>
      <c r="BN380" s="23">
        <f t="shared" ca="1" si="392"/>
        <v>0</v>
      </c>
      <c r="BO380" s="24">
        <f t="shared" ca="1" si="393"/>
        <v>0</v>
      </c>
      <c r="BP380" s="25">
        <f t="shared" ca="1" si="394"/>
        <v>0</v>
      </c>
      <c r="BQ380" s="34">
        <f t="shared" ca="1" si="395"/>
        <v>56979</v>
      </c>
      <c r="BR380" s="23">
        <f t="shared" ca="1" si="396"/>
        <v>389213.90250816609</v>
      </c>
      <c r="BS380" s="24">
        <f t="shared" ca="1" si="397"/>
        <v>0</v>
      </c>
      <c r="BT380" s="24">
        <f t="shared" ca="1" si="402"/>
        <v>0</v>
      </c>
      <c r="BU380" s="24">
        <f t="shared" ca="1" si="398"/>
        <v>0</v>
      </c>
      <c r="BV380" s="24">
        <f t="shared" ca="1" si="403"/>
        <v>0</v>
      </c>
      <c r="BW380" s="24">
        <f t="shared" ca="1" si="399"/>
        <v>-5762.5676729754659</v>
      </c>
      <c r="BX380" s="25">
        <f t="shared" ca="1" si="404"/>
        <v>-75088.868752049486</v>
      </c>
      <c r="BY380" s="23">
        <f t="shared" ca="1" si="371"/>
        <v>115009.94120518061</v>
      </c>
      <c r="BZ380" s="24">
        <f t="shared" ca="1" si="372"/>
        <v>0</v>
      </c>
      <c r="CA380" s="24">
        <f t="shared" ca="1" si="405"/>
        <v>0</v>
      </c>
      <c r="CB380" s="24">
        <f t="shared" ca="1" si="373"/>
        <v>0</v>
      </c>
      <c r="CC380" s="24">
        <f t="shared" ca="1" si="406"/>
        <v>0</v>
      </c>
      <c r="CD380" s="24">
        <f t="shared" ca="1" si="374"/>
        <v>-1708.3722971523921</v>
      </c>
      <c r="CE380" s="25">
        <f t="shared" ca="1" si="407"/>
        <v>-22671.924013306008</v>
      </c>
      <c r="CF380" s="23">
        <f t="shared" ca="1" si="408"/>
        <v>890775.83161012526</v>
      </c>
      <c r="CG380" s="25">
        <f t="array" aca="1" ref="CG380" ca="1">SUM(BF369:BF380/(1+inflation/100)^(AP369:AP380/12))</f>
        <v>267980.53702225379</v>
      </c>
      <c r="CH380" s="32">
        <f ca="1">IFERROR(IF(MOD(AP380-ap_months_since_start,12)=0,ap_drawdown/100*(AQ380+AV380+BA380-BC380),CH379),0)</f>
        <v>60731.847587357435</v>
      </c>
    </row>
    <row r="381" spans="40:86" x14ac:dyDescent="0.25">
      <c r="AN381" s="32">
        <f t="shared" ca="1" si="369"/>
        <v>86</v>
      </c>
      <c r="AO381" s="53">
        <f t="shared" ca="1" si="400"/>
        <v>56980</v>
      </c>
      <c r="AP381" s="22">
        <v>374</v>
      </c>
      <c r="AQ381" s="32">
        <f t="shared" ca="1" si="401"/>
        <v>389213.90250816609</v>
      </c>
      <c r="AR381" s="23">
        <f t="array" aca="1" ref="AR381" ca="1">SUM(IF(lsc_start_date=AO381,lsc_amount,0))</f>
        <v>0</v>
      </c>
      <c r="AS381" s="24">
        <f t="shared" ca="1" si="375"/>
        <v>0</v>
      </c>
      <c r="AT381" s="24">
        <f t="shared" ca="1" si="376"/>
        <v>0</v>
      </c>
      <c r="AU381" s="24">
        <f t="shared" ca="1" si="377"/>
        <v>0</v>
      </c>
      <c r="AV381" s="25">
        <f t="shared" ca="1" si="378"/>
        <v>0</v>
      </c>
      <c r="AW381" s="23">
        <f t="array" aca="1" ref="AW381" ca="1">SUM(IF(rcs_start_date&lt;=AO381,1,0)*IF(rcs_end_date&gt;=AO381,1,0)*rcs_amount*(1+rcs_escalation/100)^(INT((AP381-rcs_months_since_start)/12))*IF(MOD((AP381-rcs_months_since_start),rcs_frequency)=0,1,0)*IF(rcs_frequency=13,0,1))+SUM(IF(rcs_start_date=AO381,rcs_amount,0)*IF(rcs_frequency=13,1,0))</f>
        <v>0</v>
      </c>
      <c r="AX381" s="24">
        <f t="shared" ca="1" si="379"/>
        <v>0</v>
      </c>
      <c r="AY381" s="24">
        <f t="shared" ca="1" si="380"/>
        <v>0</v>
      </c>
      <c r="AZ381" s="24">
        <f t="shared" ca="1" si="381"/>
        <v>0</v>
      </c>
      <c r="BA381" s="25">
        <f t="shared" ca="1" si="382"/>
        <v>0</v>
      </c>
      <c r="BB381" s="23">
        <f t="array" aca="1" ref="BB381" ca="1">SUM(IF(w_start_date&lt;=AO381,1,0)*IF(w_end_date&gt;=AO381,1,0)*w_amount*(1+w_escalation/100)^(INT((AP381-w_months_since_start)/12))*IF(MOD(AP381-w_months_since_start,w_frequency)=0,1,0)*IF(w_frequency=13,0,1))+SUM(IF(w_start_date=AO381,w_amount,0)*IF(w_frequency=13,1,0))</f>
        <v>0</v>
      </c>
      <c r="BC381" s="25">
        <f t="shared" ca="1" si="383"/>
        <v>0</v>
      </c>
      <c r="BD381" s="24" t="b">
        <f t="shared" ca="1" si="384"/>
        <v>1</v>
      </c>
      <c r="BE381" s="24" t="b">
        <f t="shared" ca="1" si="385"/>
        <v>1</v>
      </c>
      <c r="BF381" s="23">
        <f t="array" aca="1" ref="BF381" ca="1">SUM(IF(BD381,1,0)*IF(ap_start_date&lt;=AO381,1,0)*IF(ap_end_date&gt;=AO381,1,0)*ap_amount*(1+ap_escalation/100)^(INT((AP381-ap_months_since_start)/12))*IF(MOD(AP381-ap_months_since_start,ap_frequency)=0,1,0))</f>
        <v>76689.310006169748</v>
      </c>
      <c r="BG381" s="24">
        <f t="shared" ca="1" si="386"/>
        <v>920271.72007403674</v>
      </c>
      <c r="BH381" s="24">
        <f t="shared" ca="1" si="387"/>
        <v>9878.6874393865128</v>
      </c>
      <c r="BI381">
        <f t="shared" ca="1" si="388"/>
        <v>0</v>
      </c>
      <c r="BJ381" s="24">
        <f t="shared" ca="1" si="389"/>
        <v>69150.812075705573</v>
      </c>
      <c r="BK381">
        <f t="shared" ca="1" si="390"/>
        <v>1</v>
      </c>
      <c r="BL381" s="25">
        <f t="shared" ca="1" si="391"/>
        <v>5762.5676729754659</v>
      </c>
      <c r="BM381" s="32">
        <f t="shared" ca="1" si="370"/>
        <v>386214.99258135201</v>
      </c>
      <c r="BN381" s="23">
        <f t="shared" ca="1" si="392"/>
        <v>0</v>
      </c>
      <c r="BO381" s="24">
        <f t="shared" ca="1" si="393"/>
        <v>0</v>
      </c>
      <c r="BP381" s="25">
        <f t="shared" ca="1" si="394"/>
        <v>0</v>
      </c>
      <c r="BQ381" s="34">
        <f t="shared" ca="1" si="395"/>
        <v>57010</v>
      </c>
      <c r="BR381" s="23">
        <f t="shared" ca="1" si="396"/>
        <v>386214.99258135201</v>
      </c>
      <c r="BS381" s="24">
        <f t="shared" ca="1" si="397"/>
        <v>0</v>
      </c>
      <c r="BT381" s="24">
        <f t="shared" ca="1" si="402"/>
        <v>0</v>
      </c>
      <c r="BU381" s="24">
        <f t="shared" ca="1" si="398"/>
        <v>0</v>
      </c>
      <c r="BV381" s="24">
        <f t="shared" ca="1" si="403"/>
        <v>0</v>
      </c>
      <c r="BW381" s="24">
        <f t="shared" ca="1" si="399"/>
        <v>-5762.5676729754659</v>
      </c>
      <c r="BX381" s="25">
        <f t="shared" ca="1" si="404"/>
        <v>-74495.063084415087</v>
      </c>
      <c r="BY381" s="23">
        <f t="shared" ca="1" si="371"/>
        <v>113751.39218368134</v>
      </c>
      <c r="BZ381" s="24">
        <f t="shared" ca="1" si="372"/>
        <v>0</v>
      </c>
      <c r="CA381" s="24">
        <f t="shared" ca="1" si="405"/>
        <v>0</v>
      </c>
      <c r="CB381" s="24">
        <f t="shared" ca="1" si="373"/>
        <v>0</v>
      </c>
      <c r="CC381" s="24">
        <f t="shared" ca="1" si="406"/>
        <v>0</v>
      </c>
      <c r="CD381" s="24">
        <f t="shared" ca="1" si="374"/>
        <v>-1702.7977803179258</v>
      </c>
      <c r="CE381" s="25">
        <f t="shared" ca="1" si="407"/>
        <v>-22421.328134637064</v>
      </c>
      <c r="CF381" s="23">
        <f t="shared" ca="1" si="408"/>
        <v>893725.42045651644</v>
      </c>
      <c r="CG381" s="25">
        <f t="array" aca="1" ref="CG381" ca="1">SUM(BF370:BF381/(1+inflation/100)^(AP370:AP381/12))</f>
        <v>267980.53702225379</v>
      </c>
      <c r="CH381" s="32">
        <f ca="1">IFERROR(IF(MOD(AP381-ap_months_since_start,12)=0,ap_drawdown/100*(AQ381+AV381+BA381-BC381),CH380),0)</f>
        <v>60731.847587357435</v>
      </c>
    </row>
    <row r="382" spans="40:86" x14ac:dyDescent="0.25">
      <c r="AN382" s="32">
        <f t="shared" ca="1" si="369"/>
        <v>86.083333333333329</v>
      </c>
      <c r="AO382" s="53">
        <f t="shared" ca="1" si="400"/>
        <v>57011</v>
      </c>
      <c r="AP382" s="22">
        <v>375</v>
      </c>
      <c r="AQ382" s="32">
        <f t="shared" ca="1" si="401"/>
        <v>386214.99258135201</v>
      </c>
      <c r="AR382" s="23">
        <f t="array" aca="1" ref="AR382" ca="1">SUM(IF(lsc_start_date=AO382,lsc_amount,0))</f>
        <v>0</v>
      </c>
      <c r="AS382" s="24">
        <f t="shared" ca="1" si="375"/>
        <v>0</v>
      </c>
      <c r="AT382" s="24">
        <f t="shared" ca="1" si="376"/>
        <v>0</v>
      </c>
      <c r="AU382" s="24">
        <f t="shared" ca="1" si="377"/>
        <v>0</v>
      </c>
      <c r="AV382" s="25">
        <f t="shared" ca="1" si="378"/>
        <v>0</v>
      </c>
      <c r="AW382" s="23">
        <f t="array" aca="1" ref="AW382" ca="1">SUM(IF(rcs_start_date&lt;=AO382,1,0)*IF(rcs_end_date&gt;=AO382,1,0)*rcs_amount*(1+rcs_escalation/100)^(INT((AP382-rcs_months_since_start)/12))*IF(MOD((AP382-rcs_months_since_start),rcs_frequency)=0,1,0)*IF(rcs_frequency=13,0,1))+SUM(IF(rcs_start_date=AO382,rcs_amount,0)*IF(rcs_frequency=13,1,0))</f>
        <v>0</v>
      </c>
      <c r="AX382" s="24">
        <f t="shared" ca="1" si="379"/>
        <v>0</v>
      </c>
      <c r="AY382" s="24">
        <f t="shared" ca="1" si="380"/>
        <v>0</v>
      </c>
      <c r="AZ382" s="24">
        <f t="shared" ca="1" si="381"/>
        <v>0</v>
      </c>
      <c r="BA382" s="25">
        <f t="shared" ca="1" si="382"/>
        <v>0</v>
      </c>
      <c r="BB382" s="23">
        <f t="array" aca="1" ref="BB382" ca="1">SUM(IF(w_start_date&lt;=AO382,1,0)*IF(w_end_date&gt;=AO382,1,0)*w_amount*(1+w_escalation/100)^(INT((AP382-w_months_since_start)/12))*IF(MOD(AP382-w_months_since_start,w_frequency)=0,1,0)*IF(w_frequency=13,0,1))+SUM(IF(w_start_date=AO382,w_amount,0)*IF(w_frequency=13,1,0))</f>
        <v>0</v>
      </c>
      <c r="BC382" s="25">
        <f t="shared" ca="1" si="383"/>
        <v>0</v>
      </c>
      <c r="BD382" s="24" t="b">
        <f t="shared" ca="1" si="384"/>
        <v>1</v>
      </c>
      <c r="BE382" s="24" t="b">
        <f t="shared" ca="1" si="385"/>
        <v>1</v>
      </c>
      <c r="BF382" s="23">
        <f t="array" aca="1" ref="BF382" ca="1">SUM(IF(BD382,1,0)*IF(ap_start_date&lt;=AO382,1,0)*IF(ap_end_date&gt;=AO382,1,0)*ap_amount*(1+ap_escalation/100)^(INT((AP382-ap_months_since_start)/12))*IF(MOD(AP382-ap_months_since_start,ap_frequency)=0,1,0))</f>
        <v>76689.310006169748</v>
      </c>
      <c r="BG382" s="24">
        <f t="shared" ca="1" si="386"/>
        <v>920271.72007403674</v>
      </c>
      <c r="BH382" s="24">
        <f t="shared" ca="1" si="387"/>
        <v>9878.6874393865128</v>
      </c>
      <c r="BI382">
        <f t="shared" ca="1" si="388"/>
        <v>0</v>
      </c>
      <c r="BJ382" s="24">
        <f t="shared" ca="1" si="389"/>
        <v>69150.812075705573</v>
      </c>
      <c r="BK382">
        <f t="shared" ca="1" si="390"/>
        <v>1</v>
      </c>
      <c r="BL382" s="25">
        <f t="shared" ca="1" si="391"/>
        <v>5762.5676729754659</v>
      </c>
      <c r="BM382" s="32">
        <f t="shared" ca="1" si="370"/>
        <v>383194.4685410994</v>
      </c>
      <c r="BN382" s="23">
        <f t="shared" ca="1" si="392"/>
        <v>0</v>
      </c>
      <c r="BO382" s="24">
        <f t="shared" ca="1" si="393"/>
        <v>0</v>
      </c>
      <c r="BP382" s="25">
        <f t="shared" ca="1" si="394"/>
        <v>0</v>
      </c>
      <c r="BQ382" s="34">
        <f t="shared" ca="1" si="395"/>
        <v>57039</v>
      </c>
      <c r="BR382" s="23">
        <f t="shared" ca="1" si="396"/>
        <v>383194.4685410994</v>
      </c>
      <c r="BS382" s="24">
        <f t="shared" ca="1" si="397"/>
        <v>0</v>
      </c>
      <c r="BT382" s="24">
        <f t="shared" ca="1" si="402"/>
        <v>0</v>
      </c>
      <c r="BU382" s="24">
        <f t="shared" ca="1" si="398"/>
        <v>0</v>
      </c>
      <c r="BV382" s="24">
        <f t="shared" ca="1" si="403"/>
        <v>0</v>
      </c>
      <c r="BW382" s="24">
        <f t="shared" ca="1" si="399"/>
        <v>-5762.5676729754659</v>
      </c>
      <c r="BX382" s="25">
        <f t="shared" ca="1" si="404"/>
        <v>-73901.257416780703</v>
      </c>
      <c r="BY382" s="23">
        <f t="shared" ca="1" si="371"/>
        <v>112493.48682041517</v>
      </c>
      <c r="BZ382" s="24">
        <f t="shared" ca="1" si="372"/>
        <v>0</v>
      </c>
      <c r="CA382" s="24">
        <f t="shared" ca="1" si="405"/>
        <v>0</v>
      </c>
      <c r="CB382" s="24">
        <f t="shared" ca="1" si="373"/>
        <v>0</v>
      </c>
      <c r="CC382" s="24">
        <f t="shared" ca="1" si="406"/>
        <v>0</v>
      </c>
      <c r="CD382" s="24">
        <f t="shared" ca="1" si="374"/>
        <v>-1697.2414534517641</v>
      </c>
      <c r="CE382" s="25">
        <f t="shared" ca="1" si="407"/>
        <v>-22171.549964699767</v>
      </c>
      <c r="CF382" s="23">
        <f t="shared" ca="1" si="408"/>
        <v>896675.00930290762</v>
      </c>
      <c r="CG382" s="25">
        <f t="array" aca="1" ref="CG382" ca="1">SUM(BF371:BF382/(1+inflation/100)^(AP371:AP382/12))</f>
        <v>267980.53702225379</v>
      </c>
      <c r="CH382" s="32">
        <f ca="1">IFERROR(IF(MOD(AP382-ap_months_since_start,12)=0,ap_drawdown/100*(AQ382+AV382+BA382-BC382),CH381),0)</f>
        <v>60731.847587357435</v>
      </c>
    </row>
    <row r="383" spans="40:86" x14ac:dyDescent="0.25">
      <c r="AN383" s="32">
        <f t="shared" ca="1" si="369"/>
        <v>86.166666666666671</v>
      </c>
      <c r="AO383" s="53">
        <f t="shared" ca="1" si="400"/>
        <v>57040</v>
      </c>
      <c r="AP383" s="22">
        <v>376</v>
      </c>
      <c r="AQ383" s="32">
        <f t="shared" ca="1" si="401"/>
        <v>383194.4685410994</v>
      </c>
      <c r="AR383" s="23">
        <f t="array" aca="1" ref="AR383" ca="1">SUM(IF(lsc_start_date=AO383,lsc_amount,0))</f>
        <v>0</v>
      </c>
      <c r="AS383" s="24">
        <f t="shared" ca="1" si="375"/>
        <v>0</v>
      </c>
      <c r="AT383" s="24">
        <f t="shared" ca="1" si="376"/>
        <v>0</v>
      </c>
      <c r="AU383" s="24">
        <f t="shared" ca="1" si="377"/>
        <v>0</v>
      </c>
      <c r="AV383" s="25">
        <f t="shared" ca="1" si="378"/>
        <v>0</v>
      </c>
      <c r="AW383" s="23">
        <f t="array" aca="1" ref="AW383" ca="1">SUM(IF(rcs_start_date&lt;=AO383,1,0)*IF(rcs_end_date&gt;=AO383,1,0)*rcs_amount*(1+rcs_escalation/100)^(INT((AP383-rcs_months_since_start)/12))*IF(MOD((AP383-rcs_months_since_start),rcs_frequency)=0,1,0)*IF(rcs_frequency=13,0,1))+SUM(IF(rcs_start_date=AO383,rcs_amount,0)*IF(rcs_frequency=13,1,0))</f>
        <v>0</v>
      </c>
      <c r="AX383" s="24">
        <f t="shared" ca="1" si="379"/>
        <v>0</v>
      </c>
      <c r="AY383" s="24">
        <f t="shared" ca="1" si="380"/>
        <v>0</v>
      </c>
      <c r="AZ383" s="24">
        <f t="shared" ca="1" si="381"/>
        <v>0</v>
      </c>
      <c r="BA383" s="25">
        <f t="shared" ca="1" si="382"/>
        <v>0</v>
      </c>
      <c r="BB383" s="23">
        <f t="array" aca="1" ref="BB383" ca="1">SUM(IF(w_start_date&lt;=AO383,1,0)*IF(w_end_date&gt;=AO383,1,0)*w_amount*(1+w_escalation/100)^(INT((AP383-w_months_since_start)/12))*IF(MOD(AP383-w_months_since_start,w_frequency)=0,1,0)*IF(w_frequency=13,0,1))+SUM(IF(w_start_date=AO383,w_amount,0)*IF(w_frequency=13,1,0))</f>
        <v>0</v>
      </c>
      <c r="BC383" s="25">
        <f t="shared" ca="1" si="383"/>
        <v>0</v>
      </c>
      <c r="BD383" s="24" t="b">
        <f t="shared" ca="1" si="384"/>
        <v>1</v>
      </c>
      <c r="BE383" s="24" t="b">
        <f t="shared" ca="1" si="385"/>
        <v>1</v>
      </c>
      <c r="BF383" s="23">
        <f t="array" aca="1" ref="BF383" ca="1">SUM(IF(BD383,1,0)*IF(ap_start_date&lt;=AO383,1,0)*IF(ap_end_date&gt;=AO383,1,0)*ap_amount*(1+ap_escalation/100)^(INT((AP383-ap_months_since_start)/12))*IF(MOD(AP383-ap_months_since_start,ap_frequency)=0,1,0))</f>
        <v>76689.310006169748</v>
      </c>
      <c r="BG383" s="24">
        <f t="shared" ca="1" si="386"/>
        <v>920271.72007403674</v>
      </c>
      <c r="BH383" s="24">
        <f t="shared" ca="1" si="387"/>
        <v>9878.6874393865128</v>
      </c>
      <c r="BI383">
        <f t="shared" ca="1" si="388"/>
        <v>0</v>
      </c>
      <c r="BJ383" s="24">
        <f t="shared" ca="1" si="389"/>
        <v>69150.812075705573</v>
      </c>
      <c r="BK383">
        <f t="shared" ca="1" si="390"/>
        <v>1</v>
      </c>
      <c r="BL383" s="25">
        <f t="shared" ca="1" si="391"/>
        <v>5762.5676729754659</v>
      </c>
      <c r="BM383" s="32">
        <f t="shared" ca="1" si="370"/>
        <v>380152.17460750457</v>
      </c>
      <c r="BN383" s="23">
        <f t="shared" ca="1" si="392"/>
        <v>0</v>
      </c>
      <c r="BO383" s="24">
        <f t="shared" ca="1" si="393"/>
        <v>0</v>
      </c>
      <c r="BP383" s="25">
        <f t="shared" ca="1" si="394"/>
        <v>0</v>
      </c>
      <c r="BQ383" s="34">
        <f t="shared" ca="1" si="395"/>
        <v>57070</v>
      </c>
      <c r="BR383" s="23">
        <f t="shared" ca="1" si="396"/>
        <v>380152.17460750457</v>
      </c>
      <c r="BS383" s="24">
        <f t="shared" ca="1" si="397"/>
        <v>0</v>
      </c>
      <c r="BT383" s="24">
        <f t="shared" ca="1" si="402"/>
        <v>0</v>
      </c>
      <c r="BU383" s="24">
        <f t="shared" ca="1" si="398"/>
        <v>0</v>
      </c>
      <c r="BV383" s="24">
        <f t="shared" ca="1" si="403"/>
        <v>0</v>
      </c>
      <c r="BW383" s="24">
        <f t="shared" ca="1" si="399"/>
        <v>-5762.5676729754659</v>
      </c>
      <c r="BX383" s="25">
        <f t="shared" ca="1" si="404"/>
        <v>-73307.451749146305</v>
      </c>
      <c r="BY383" s="23">
        <f t="shared" ca="1" si="371"/>
        <v>111236.20943730498</v>
      </c>
      <c r="BZ383" s="24">
        <f t="shared" ca="1" si="372"/>
        <v>0</v>
      </c>
      <c r="CA383" s="24">
        <f t="shared" ca="1" si="405"/>
        <v>0</v>
      </c>
      <c r="CB383" s="24">
        <f t="shared" ca="1" si="373"/>
        <v>0</v>
      </c>
      <c r="CC383" s="24">
        <f t="shared" ca="1" si="406"/>
        <v>0</v>
      </c>
      <c r="CD383" s="24">
        <f t="shared" ca="1" si="374"/>
        <v>-1691.7032571989962</v>
      </c>
      <c r="CE383" s="25">
        <f t="shared" ca="1" si="407"/>
        <v>-21922.586835263603</v>
      </c>
      <c r="CF383" s="23">
        <f t="shared" ca="1" si="408"/>
        <v>899624.59814929881</v>
      </c>
      <c r="CG383" s="25">
        <f t="array" aca="1" ref="CG383" ca="1">SUM(BF372:BF383/(1+inflation/100)^(AP372:AP383/12))</f>
        <v>267980.53702225379</v>
      </c>
      <c r="CH383" s="32">
        <f ca="1">IFERROR(IF(MOD(AP383-ap_months_since_start,12)=0,ap_drawdown/100*(AQ383+AV383+BA383-BC383),CH382),0)</f>
        <v>60731.847587357435</v>
      </c>
    </row>
    <row r="384" spans="40:86" x14ac:dyDescent="0.25">
      <c r="AN384" s="32">
        <f t="shared" ca="1" si="369"/>
        <v>86.25</v>
      </c>
      <c r="AO384" s="53">
        <f t="shared" ca="1" si="400"/>
        <v>57071</v>
      </c>
      <c r="AP384" s="22">
        <v>377</v>
      </c>
      <c r="AQ384" s="32">
        <f t="shared" ca="1" si="401"/>
        <v>380152.17460750457</v>
      </c>
      <c r="AR384" s="23">
        <f t="array" aca="1" ref="AR384" ca="1">SUM(IF(lsc_start_date=AO384,lsc_amount,0))</f>
        <v>0</v>
      </c>
      <c r="AS384" s="24">
        <f t="shared" ca="1" si="375"/>
        <v>0</v>
      </c>
      <c r="AT384" s="24">
        <f t="shared" ca="1" si="376"/>
        <v>0</v>
      </c>
      <c r="AU384" s="24">
        <f t="shared" ca="1" si="377"/>
        <v>0</v>
      </c>
      <c r="AV384" s="25">
        <f t="shared" ca="1" si="378"/>
        <v>0</v>
      </c>
      <c r="AW384" s="23">
        <f t="array" aca="1" ref="AW384" ca="1">SUM(IF(rcs_start_date&lt;=AO384,1,0)*IF(rcs_end_date&gt;=AO384,1,0)*rcs_amount*(1+rcs_escalation/100)^(INT((AP384-rcs_months_since_start)/12))*IF(MOD((AP384-rcs_months_since_start),rcs_frequency)=0,1,0)*IF(rcs_frequency=13,0,1))+SUM(IF(rcs_start_date=AO384,rcs_amount,0)*IF(rcs_frequency=13,1,0))</f>
        <v>0</v>
      </c>
      <c r="AX384" s="24">
        <f t="shared" ca="1" si="379"/>
        <v>0</v>
      </c>
      <c r="AY384" s="24">
        <f t="shared" ca="1" si="380"/>
        <v>0</v>
      </c>
      <c r="AZ384" s="24">
        <f t="shared" ca="1" si="381"/>
        <v>0</v>
      </c>
      <c r="BA384" s="25">
        <f t="shared" ca="1" si="382"/>
        <v>0</v>
      </c>
      <c r="BB384" s="23">
        <f t="array" aca="1" ref="BB384" ca="1">SUM(IF(w_start_date&lt;=AO384,1,0)*IF(w_end_date&gt;=AO384,1,0)*w_amount*(1+w_escalation/100)^(INT((AP384-w_months_since_start)/12))*IF(MOD(AP384-w_months_since_start,w_frequency)=0,1,0)*IF(w_frequency=13,0,1))+SUM(IF(w_start_date=AO384,w_amount,0)*IF(w_frequency=13,1,0))</f>
        <v>0</v>
      </c>
      <c r="BC384" s="25">
        <f t="shared" ca="1" si="383"/>
        <v>0</v>
      </c>
      <c r="BD384" s="24" t="b">
        <f t="shared" ca="1" si="384"/>
        <v>1</v>
      </c>
      <c r="BE384" s="24" t="b">
        <f t="shared" ca="1" si="385"/>
        <v>1</v>
      </c>
      <c r="BF384" s="23">
        <f t="array" aca="1" ref="BF384" ca="1">SUM(IF(BD384,1,0)*IF(ap_start_date&lt;=AO384,1,0)*IF(ap_end_date&gt;=AO384,1,0)*ap_amount*(1+ap_escalation/100)^(INT((AP384-ap_months_since_start)/12))*IF(MOD(AP384-ap_months_since_start,ap_frequency)=0,1,0))</f>
        <v>76689.310006169748</v>
      </c>
      <c r="BG384" s="24">
        <f t="shared" ca="1" si="386"/>
        <v>920271.72007403674</v>
      </c>
      <c r="BH384" s="24">
        <f t="shared" ca="1" si="387"/>
        <v>9878.6874393865128</v>
      </c>
      <c r="BI384">
        <f t="shared" ca="1" si="388"/>
        <v>0</v>
      </c>
      <c r="BJ384" s="24">
        <f t="shared" ca="1" si="389"/>
        <v>69150.812075705573</v>
      </c>
      <c r="BK384">
        <f t="shared" ca="1" si="390"/>
        <v>1</v>
      </c>
      <c r="BL384" s="25">
        <f t="shared" ca="1" si="391"/>
        <v>5762.5676729754659</v>
      </c>
      <c r="BM384" s="32">
        <f t="shared" ca="1" si="370"/>
        <v>377087.9538779076</v>
      </c>
      <c r="BN384" s="23">
        <f t="shared" ca="1" si="392"/>
        <v>0</v>
      </c>
      <c r="BO384" s="24">
        <f t="shared" ca="1" si="393"/>
        <v>0</v>
      </c>
      <c r="BP384" s="25">
        <f t="shared" ca="1" si="394"/>
        <v>0</v>
      </c>
      <c r="BQ384" s="34">
        <f t="shared" ca="1" si="395"/>
        <v>57100</v>
      </c>
      <c r="BR384" s="23">
        <f t="shared" ca="1" si="396"/>
        <v>377087.9538779076</v>
      </c>
      <c r="BS384" s="24">
        <f t="shared" ca="1" si="397"/>
        <v>0</v>
      </c>
      <c r="BT384" s="24">
        <f t="shared" ca="1" si="402"/>
        <v>0</v>
      </c>
      <c r="BU384" s="24">
        <f t="shared" ca="1" si="398"/>
        <v>0</v>
      </c>
      <c r="BV384" s="24">
        <f t="shared" ca="1" si="403"/>
        <v>0</v>
      </c>
      <c r="BW384" s="24">
        <f t="shared" ca="1" si="399"/>
        <v>-5762.5676729754659</v>
      </c>
      <c r="BX384" s="25">
        <f t="shared" ca="1" si="404"/>
        <v>-72713.646081511921</v>
      </c>
      <c r="BY384" s="23">
        <f t="shared" ca="1" si="371"/>
        <v>109979.54435419689</v>
      </c>
      <c r="BZ384" s="24">
        <f t="shared" ca="1" si="372"/>
        <v>0</v>
      </c>
      <c r="CA384" s="24">
        <f t="shared" ca="1" si="405"/>
        <v>0</v>
      </c>
      <c r="CB384" s="24">
        <f t="shared" ca="1" si="373"/>
        <v>0</v>
      </c>
      <c r="CC384" s="24">
        <f t="shared" ca="1" si="406"/>
        <v>0</v>
      </c>
      <c r="CD384" s="24">
        <f t="shared" ca="1" si="374"/>
        <v>-1686.1831323983909</v>
      </c>
      <c r="CE384" s="25">
        <f t="shared" ca="1" si="407"/>
        <v>-21674.436086804653</v>
      </c>
      <c r="CF384" s="23">
        <f t="shared" ca="1" si="408"/>
        <v>902574.18699568987</v>
      </c>
      <c r="CG384" s="25">
        <f t="array" aca="1" ref="CG384" ca="1">SUM(BF373:BF384/(1+inflation/100)^(AP373:AP384/12))</f>
        <v>267980.53702225379</v>
      </c>
      <c r="CH384" s="32">
        <f ca="1">IFERROR(IF(MOD(AP384-ap_months_since_start,12)=0,ap_drawdown/100*(AQ384+AV384+BA384-BC384),CH383),0)</f>
        <v>60731.847587357435</v>
      </c>
    </row>
    <row r="385" spans="40:86" x14ac:dyDescent="0.25">
      <c r="AN385" s="32">
        <f t="shared" ca="1" si="369"/>
        <v>86.333333333333329</v>
      </c>
      <c r="AO385" s="53">
        <f t="shared" ca="1" si="400"/>
        <v>57101</v>
      </c>
      <c r="AP385" s="22">
        <v>378</v>
      </c>
      <c r="AQ385" s="32">
        <f t="shared" ca="1" si="401"/>
        <v>377087.9538779076</v>
      </c>
      <c r="AR385" s="23">
        <f t="array" aca="1" ref="AR385" ca="1">SUM(IF(lsc_start_date=AO385,lsc_amount,0))</f>
        <v>0</v>
      </c>
      <c r="AS385" s="24">
        <f t="shared" ca="1" si="375"/>
        <v>0</v>
      </c>
      <c r="AT385" s="24">
        <f t="shared" ca="1" si="376"/>
        <v>0</v>
      </c>
      <c r="AU385" s="24">
        <f t="shared" ca="1" si="377"/>
        <v>0</v>
      </c>
      <c r="AV385" s="25">
        <f t="shared" ca="1" si="378"/>
        <v>0</v>
      </c>
      <c r="AW385" s="23">
        <f t="array" aca="1" ref="AW385" ca="1">SUM(IF(rcs_start_date&lt;=AO385,1,0)*IF(rcs_end_date&gt;=AO385,1,0)*rcs_amount*(1+rcs_escalation/100)^(INT((AP385-rcs_months_since_start)/12))*IF(MOD((AP385-rcs_months_since_start),rcs_frequency)=0,1,0)*IF(rcs_frequency=13,0,1))+SUM(IF(rcs_start_date=AO385,rcs_amount,0)*IF(rcs_frequency=13,1,0))</f>
        <v>0</v>
      </c>
      <c r="AX385" s="24">
        <f t="shared" ca="1" si="379"/>
        <v>0</v>
      </c>
      <c r="AY385" s="24">
        <f t="shared" ca="1" si="380"/>
        <v>0</v>
      </c>
      <c r="AZ385" s="24">
        <f t="shared" ca="1" si="381"/>
        <v>0</v>
      </c>
      <c r="BA385" s="25">
        <f t="shared" ca="1" si="382"/>
        <v>0</v>
      </c>
      <c r="BB385" s="23">
        <f t="array" aca="1" ref="BB385" ca="1">SUM(IF(w_start_date&lt;=AO385,1,0)*IF(w_end_date&gt;=AO385,1,0)*w_amount*(1+w_escalation/100)^(INT((AP385-w_months_since_start)/12))*IF(MOD(AP385-w_months_since_start,w_frequency)=0,1,0)*IF(w_frequency=13,0,1))+SUM(IF(w_start_date=AO385,w_amount,0)*IF(w_frequency=13,1,0))</f>
        <v>0</v>
      </c>
      <c r="BC385" s="25">
        <f t="shared" ca="1" si="383"/>
        <v>0</v>
      </c>
      <c r="BD385" s="24" t="b">
        <f t="shared" ca="1" si="384"/>
        <v>1</v>
      </c>
      <c r="BE385" s="24" t="b">
        <f t="shared" ca="1" si="385"/>
        <v>1</v>
      </c>
      <c r="BF385" s="23">
        <f t="array" aca="1" ref="BF385" ca="1">SUM(IF(BD385,1,0)*IF(ap_start_date&lt;=AO385,1,0)*IF(ap_end_date&gt;=AO385,1,0)*ap_amount*(1+ap_escalation/100)^(INT((AP385-ap_months_since_start)/12))*IF(MOD(AP385-ap_months_since_start,ap_frequency)=0,1,0))</f>
        <v>76689.310006169748</v>
      </c>
      <c r="BG385" s="24">
        <f t="shared" ca="1" si="386"/>
        <v>920271.72007403674</v>
      </c>
      <c r="BH385" s="24">
        <f t="shared" ca="1" si="387"/>
        <v>9878.6874393865128</v>
      </c>
      <c r="BI385">
        <f t="shared" ca="1" si="388"/>
        <v>0</v>
      </c>
      <c r="BJ385" s="24">
        <f t="shared" ca="1" si="389"/>
        <v>69150.812075705573</v>
      </c>
      <c r="BK385">
        <f t="shared" ca="1" si="390"/>
        <v>1</v>
      </c>
      <c r="BL385" s="25">
        <f t="shared" ca="1" si="391"/>
        <v>5762.5676729754659</v>
      </c>
      <c r="BM385" s="32">
        <f t="shared" ca="1" si="370"/>
        <v>374001.64831880038</v>
      </c>
      <c r="BN385" s="23">
        <f t="shared" ca="1" si="392"/>
        <v>0</v>
      </c>
      <c r="BO385" s="24">
        <f t="shared" ca="1" si="393"/>
        <v>0</v>
      </c>
      <c r="BP385" s="25">
        <f t="shared" ca="1" si="394"/>
        <v>0</v>
      </c>
      <c r="BQ385" s="34">
        <f t="shared" ca="1" si="395"/>
        <v>57131</v>
      </c>
      <c r="BR385" s="23">
        <f t="shared" ca="1" si="396"/>
        <v>374001.64831880038</v>
      </c>
      <c r="BS385" s="24">
        <f t="shared" ca="1" si="397"/>
        <v>0</v>
      </c>
      <c r="BT385" s="24">
        <f t="shared" ca="1" si="402"/>
        <v>0</v>
      </c>
      <c r="BU385" s="24">
        <f t="shared" ca="1" si="398"/>
        <v>0</v>
      </c>
      <c r="BV385" s="24">
        <f t="shared" ca="1" si="403"/>
        <v>0</v>
      </c>
      <c r="BW385" s="24">
        <f t="shared" ca="1" si="399"/>
        <v>-5762.5676729754659</v>
      </c>
      <c r="BX385" s="25">
        <f t="shared" ca="1" si="404"/>
        <v>-72119.840413877522</v>
      </c>
      <c r="BY385" s="23">
        <f t="shared" ca="1" si="371"/>
        <v>108723.47588865853</v>
      </c>
      <c r="BZ385" s="24">
        <f t="shared" ca="1" si="372"/>
        <v>0</v>
      </c>
      <c r="CA385" s="24">
        <f t="shared" ca="1" si="405"/>
        <v>0</v>
      </c>
      <c r="CB385" s="24">
        <f t="shared" ca="1" si="373"/>
        <v>0</v>
      </c>
      <c r="CC385" s="24">
        <f t="shared" ca="1" si="406"/>
        <v>0</v>
      </c>
      <c r="CD385" s="24">
        <f t="shared" ca="1" si="374"/>
        <v>-1680.6810200817624</v>
      </c>
      <c r="CE385" s="25">
        <f t="shared" ca="1" si="407"/>
        <v>-21427.095068477174</v>
      </c>
      <c r="CF385" s="23">
        <f t="shared" ca="1" si="408"/>
        <v>905523.77584208106</v>
      </c>
      <c r="CG385" s="25">
        <f t="array" aca="1" ref="CG385" ca="1">SUM(BF374:BF385/(1+inflation/100)^(AP374:AP385/12))</f>
        <v>267980.53702225379</v>
      </c>
      <c r="CH385" s="32">
        <f ca="1">IFERROR(IF(MOD(AP385-ap_months_since_start,12)=0,ap_drawdown/100*(AQ385+AV385+BA385-BC385),CH384),0)</f>
        <v>60731.847587357435</v>
      </c>
    </row>
    <row r="386" spans="40:86" x14ac:dyDescent="0.25">
      <c r="AN386" s="32">
        <f t="shared" ca="1" si="369"/>
        <v>86.416666666666671</v>
      </c>
      <c r="AO386" s="53">
        <f t="shared" ca="1" si="400"/>
        <v>57132</v>
      </c>
      <c r="AP386" s="22">
        <v>379</v>
      </c>
      <c r="AQ386" s="32">
        <f t="shared" ca="1" si="401"/>
        <v>374001.64831880038</v>
      </c>
      <c r="AR386" s="23">
        <f t="array" aca="1" ref="AR386" ca="1">SUM(IF(lsc_start_date=AO386,lsc_amount,0))</f>
        <v>0</v>
      </c>
      <c r="AS386" s="24">
        <f t="shared" ca="1" si="375"/>
        <v>0</v>
      </c>
      <c r="AT386" s="24">
        <f t="shared" ca="1" si="376"/>
        <v>0</v>
      </c>
      <c r="AU386" s="24">
        <f t="shared" ca="1" si="377"/>
        <v>0</v>
      </c>
      <c r="AV386" s="25">
        <f t="shared" ca="1" si="378"/>
        <v>0</v>
      </c>
      <c r="AW386" s="23">
        <f t="array" aca="1" ref="AW386" ca="1">SUM(IF(rcs_start_date&lt;=AO386,1,0)*IF(rcs_end_date&gt;=AO386,1,0)*rcs_amount*(1+rcs_escalation/100)^(INT((AP386-rcs_months_since_start)/12))*IF(MOD((AP386-rcs_months_since_start),rcs_frequency)=0,1,0)*IF(rcs_frequency=13,0,1))+SUM(IF(rcs_start_date=AO386,rcs_amount,0)*IF(rcs_frequency=13,1,0))</f>
        <v>0</v>
      </c>
      <c r="AX386" s="24">
        <f t="shared" ca="1" si="379"/>
        <v>0</v>
      </c>
      <c r="AY386" s="24">
        <f t="shared" ca="1" si="380"/>
        <v>0</v>
      </c>
      <c r="AZ386" s="24">
        <f t="shared" ca="1" si="381"/>
        <v>0</v>
      </c>
      <c r="BA386" s="25">
        <f t="shared" ca="1" si="382"/>
        <v>0</v>
      </c>
      <c r="BB386" s="23">
        <f t="array" aca="1" ref="BB386" ca="1">SUM(IF(w_start_date&lt;=AO386,1,0)*IF(w_end_date&gt;=AO386,1,0)*w_amount*(1+w_escalation/100)^(INT((AP386-w_months_since_start)/12))*IF(MOD(AP386-w_months_since_start,w_frequency)=0,1,0)*IF(w_frequency=13,0,1))+SUM(IF(w_start_date=AO386,w_amount,0)*IF(w_frequency=13,1,0))</f>
        <v>0</v>
      </c>
      <c r="BC386" s="25">
        <f t="shared" ca="1" si="383"/>
        <v>0</v>
      </c>
      <c r="BD386" s="24" t="b">
        <f t="shared" ca="1" si="384"/>
        <v>1</v>
      </c>
      <c r="BE386" s="24" t="b">
        <f t="shared" ca="1" si="385"/>
        <v>1</v>
      </c>
      <c r="BF386" s="23">
        <f t="array" aca="1" ref="BF386" ca="1">SUM(IF(BD386,1,0)*IF(ap_start_date&lt;=AO386,1,0)*IF(ap_end_date&gt;=AO386,1,0)*ap_amount*(1+ap_escalation/100)^(INT((AP386-ap_months_since_start)/12))*IF(MOD(AP386-ap_months_since_start,ap_frequency)=0,1,0))</f>
        <v>76689.310006169748</v>
      </c>
      <c r="BG386" s="24">
        <f t="shared" ca="1" si="386"/>
        <v>920271.72007403674</v>
      </c>
      <c r="BH386" s="24">
        <f t="shared" ca="1" si="387"/>
        <v>9878.6874393865128</v>
      </c>
      <c r="BI386">
        <f t="shared" ca="1" si="388"/>
        <v>0</v>
      </c>
      <c r="BJ386" s="24">
        <f t="shared" ca="1" si="389"/>
        <v>69150.812075705573</v>
      </c>
      <c r="BK386">
        <f t="shared" ca="1" si="390"/>
        <v>1</v>
      </c>
      <c r="BL386" s="25">
        <f t="shared" ca="1" si="391"/>
        <v>5762.5676729754659</v>
      </c>
      <c r="BM386" s="32">
        <f t="shared" ca="1" si="370"/>
        <v>370893.09875767631</v>
      </c>
      <c r="BN386" s="23">
        <f t="shared" ca="1" si="392"/>
        <v>0</v>
      </c>
      <c r="BO386" s="24">
        <f t="shared" ca="1" si="393"/>
        <v>0</v>
      </c>
      <c r="BP386" s="25">
        <f t="shared" ca="1" si="394"/>
        <v>0</v>
      </c>
      <c r="BQ386" s="34">
        <f t="shared" ca="1" si="395"/>
        <v>57161</v>
      </c>
      <c r="BR386" s="23">
        <f t="shared" ca="1" si="396"/>
        <v>370893.09875767631</v>
      </c>
      <c r="BS386" s="24">
        <f t="shared" ca="1" si="397"/>
        <v>0</v>
      </c>
      <c r="BT386" s="24">
        <f t="shared" ca="1" si="402"/>
        <v>0</v>
      </c>
      <c r="BU386" s="24">
        <f t="shared" ca="1" si="398"/>
        <v>0</v>
      </c>
      <c r="BV386" s="24">
        <f t="shared" ca="1" si="403"/>
        <v>0</v>
      </c>
      <c r="BW386" s="24">
        <f t="shared" ca="1" si="399"/>
        <v>-5762.5676729754659</v>
      </c>
      <c r="BX386" s="25">
        <f t="shared" ca="1" si="404"/>
        <v>-71526.034746243138</v>
      </c>
      <c r="BY386" s="23">
        <f t="shared" ca="1" si="371"/>
        <v>107467.98835577696</v>
      </c>
      <c r="BZ386" s="24">
        <f t="shared" ca="1" si="372"/>
        <v>0</v>
      </c>
      <c r="CA386" s="24">
        <f t="shared" ca="1" si="405"/>
        <v>0</v>
      </c>
      <c r="CB386" s="24">
        <f t="shared" ca="1" si="373"/>
        <v>0</v>
      </c>
      <c r="CC386" s="24">
        <f t="shared" ca="1" si="406"/>
        <v>0</v>
      </c>
      <c r="CD386" s="24">
        <f t="shared" ca="1" si="374"/>
        <v>-1675.1968614733426</v>
      </c>
      <c r="CE386" s="25">
        <f t="shared" ca="1" si="407"/>
        <v>-21180.561138085282</v>
      </c>
      <c r="CF386" s="23">
        <f t="shared" ca="1" si="408"/>
        <v>908473.36468847212</v>
      </c>
      <c r="CG386" s="25">
        <f t="array" aca="1" ref="CG386" ca="1">SUM(BF375:BF386/(1+inflation/100)^(AP375:AP386/12))</f>
        <v>267980.53702225373</v>
      </c>
      <c r="CH386" s="32">
        <f ca="1">IFERROR(IF(MOD(AP386-ap_months_since_start,12)=0,ap_drawdown/100*(AQ386+AV386+BA386-BC386),CH385),0)</f>
        <v>60731.847587357435</v>
      </c>
    </row>
    <row r="387" spans="40:86" x14ac:dyDescent="0.25">
      <c r="AN387" s="32">
        <f t="shared" ca="1" si="369"/>
        <v>86.5</v>
      </c>
      <c r="AO387" s="53">
        <f t="shared" ca="1" si="400"/>
        <v>57162</v>
      </c>
      <c r="AP387" s="22">
        <v>380</v>
      </c>
      <c r="AQ387" s="32">
        <f t="shared" ca="1" si="401"/>
        <v>370893.09875767631</v>
      </c>
      <c r="AR387" s="23">
        <f t="array" aca="1" ref="AR387" ca="1">SUM(IF(lsc_start_date=AO387,lsc_amount,0))</f>
        <v>0</v>
      </c>
      <c r="AS387" s="24">
        <f t="shared" ca="1" si="375"/>
        <v>0</v>
      </c>
      <c r="AT387" s="24">
        <f t="shared" ca="1" si="376"/>
        <v>0</v>
      </c>
      <c r="AU387" s="24">
        <f t="shared" ca="1" si="377"/>
        <v>0</v>
      </c>
      <c r="AV387" s="25">
        <f t="shared" ca="1" si="378"/>
        <v>0</v>
      </c>
      <c r="AW387" s="23">
        <f t="array" aca="1" ref="AW387" ca="1">SUM(IF(rcs_start_date&lt;=AO387,1,0)*IF(rcs_end_date&gt;=AO387,1,0)*rcs_amount*(1+rcs_escalation/100)^(INT((AP387-rcs_months_since_start)/12))*IF(MOD((AP387-rcs_months_since_start),rcs_frequency)=0,1,0)*IF(rcs_frequency=13,0,1))+SUM(IF(rcs_start_date=AO387,rcs_amount,0)*IF(rcs_frequency=13,1,0))</f>
        <v>0</v>
      </c>
      <c r="AX387" s="24">
        <f t="shared" ca="1" si="379"/>
        <v>0</v>
      </c>
      <c r="AY387" s="24">
        <f t="shared" ca="1" si="380"/>
        <v>0</v>
      </c>
      <c r="AZ387" s="24">
        <f t="shared" ca="1" si="381"/>
        <v>0</v>
      </c>
      <c r="BA387" s="25">
        <f t="shared" ca="1" si="382"/>
        <v>0</v>
      </c>
      <c r="BB387" s="23">
        <f t="array" aca="1" ref="BB387" ca="1">SUM(IF(w_start_date&lt;=AO387,1,0)*IF(w_end_date&gt;=AO387,1,0)*w_amount*(1+w_escalation/100)^(INT((AP387-w_months_since_start)/12))*IF(MOD(AP387-w_months_since_start,w_frequency)=0,1,0)*IF(w_frequency=13,0,1))+SUM(IF(w_start_date=AO387,w_amount,0)*IF(w_frequency=13,1,0))</f>
        <v>0</v>
      </c>
      <c r="BC387" s="25">
        <f t="shared" ca="1" si="383"/>
        <v>0</v>
      </c>
      <c r="BD387" s="24" t="b">
        <f t="shared" ca="1" si="384"/>
        <v>1</v>
      </c>
      <c r="BE387" s="24" t="b">
        <f t="shared" ca="1" si="385"/>
        <v>1</v>
      </c>
      <c r="BF387" s="23">
        <f t="array" aca="1" ref="BF387" ca="1">SUM(IF(BD387,1,0)*IF(ap_start_date&lt;=AO387,1,0)*IF(ap_end_date&gt;=AO387,1,0)*ap_amount*(1+ap_escalation/100)^(INT((AP387-ap_months_since_start)/12))*IF(MOD(AP387-ap_months_since_start,ap_frequency)=0,1,0))</f>
        <v>76689.310006169748</v>
      </c>
      <c r="BG387" s="24">
        <f t="shared" ca="1" si="386"/>
        <v>920271.72007403674</v>
      </c>
      <c r="BH387" s="24">
        <f t="shared" ca="1" si="387"/>
        <v>9878.6874393865128</v>
      </c>
      <c r="BI387">
        <f t="shared" ca="1" si="388"/>
        <v>0</v>
      </c>
      <c r="BJ387" s="24">
        <f t="shared" ca="1" si="389"/>
        <v>69150.812075705573</v>
      </c>
      <c r="BK387">
        <f t="shared" ca="1" si="390"/>
        <v>1</v>
      </c>
      <c r="BL387" s="25">
        <f t="shared" ca="1" si="391"/>
        <v>5762.5676729754659</v>
      </c>
      <c r="BM387" s="32">
        <f t="shared" ca="1" si="370"/>
        <v>367762.14487482101</v>
      </c>
      <c r="BN387" s="23">
        <f t="shared" ca="1" si="392"/>
        <v>0</v>
      </c>
      <c r="BO387" s="24">
        <f t="shared" ca="1" si="393"/>
        <v>0</v>
      </c>
      <c r="BP387" s="25">
        <f t="shared" ca="1" si="394"/>
        <v>0</v>
      </c>
      <c r="BQ387" s="34">
        <f t="shared" ca="1" si="395"/>
        <v>57192</v>
      </c>
      <c r="BR387" s="23">
        <f t="shared" ca="1" si="396"/>
        <v>367762.14487482101</v>
      </c>
      <c r="BS387" s="24">
        <f t="shared" ca="1" si="397"/>
        <v>0</v>
      </c>
      <c r="BT387" s="24">
        <f t="shared" ca="1" si="402"/>
        <v>0</v>
      </c>
      <c r="BU387" s="24">
        <f t="shared" ca="1" si="398"/>
        <v>0</v>
      </c>
      <c r="BV387" s="24">
        <f t="shared" ca="1" si="403"/>
        <v>0</v>
      </c>
      <c r="BW387" s="24">
        <f t="shared" ca="1" si="399"/>
        <v>-5762.5676729754659</v>
      </c>
      <c r="BX387" s="25">
        <f t="shared" ca="1" si="404"/>
        <v>-70932.229078608754</v>
      </c>
      <c r="BY387" s="23">
        <f t="shared" ca="1" si="371"/>
        <v>106213.06606795616</v>
      </c>
      <c r="BZ387" s="24">
        <f t="shared" ca="1" si="372"/>
        <v>0</v>
      </c>
      <c r="CA387" s="24">
        <f t="shared" ca="1" si="405"/>
        <v>0</v>
      </c>
      <c r="CB387" s="24">
        <f t="shared" ca="1" si="373"/>
        <v>0</v>
      </c>
      <c r="CC387" s="24">
        <f t="shared" ca="1" si="406"/>
        <v>0</v>
      </c>
      <c r="CD387" s="24">
        <f t="shared" ca="1" si="374"/>
        <v>-1669.7305979891512</v>
      </c>
      <c r="CE387" s="25">
        <f t="shared" ca="1" si="407"/>
        <v>-20934.831662054727</v>
      </c>
      <c r="CF387" s="23">
        <f t="shared" ca="1" si="408"/>
        <v>911422.95353486331</v>
      </c>
      <c r="CG387" s="25">
        <f t="array" aca="1" ref="CG387" ca="1">SUM(BF376:BF387/(1+inflation/100)^(AP376:AP387/12))</f>
        <v>267980.53702225373</v>
      </c>
      <c r="CH387" s="32">
        <f ca="1">IFERROR(IF(MOD(AP387-ap_months_since_start,12)=0,ap_drawdown/100*(AQ387+AV387+BA387-BC387),CH386),0)</f>
        <v>60731.847587357435</v>
      </c>
    </row>
    <row r="388" spans="40:86" x14ac:dyDescent="0.25">
      <c r="AN388" s="32">
        <f t="shared" ca="1" si="369"/>
        <v>86.583333333333329</v>
      </c>
      <c r="AO388" s="53">
        <f t="shared" ca="1" si="400"/>
        <v>57193</v>
      </c>
      <c r="AP388" s="22">
        <v>381</v>
      </c>
      <c r="AQ388" s="32">
        <f t="shared" ca="1" si="401"/>
        <v>367762.14487482101</v>
      </c>
      <c r="AR388" s="23">
        <f t="array" aca="1" ref="AR388" ca="1">SUM(IF(lsc_start_date=AO388,lsc_amount,0))</f>
        <v>0</v>
      </c>
      <c r="AS388" s="24">
        <f t="shared" ca="1" si="375"/>
        <v>0</v>
      </c>
      <c r="AT388" s="24">
        <f t="shared" ca="1" si="376"/>
        <v>0</v>
      </c>
      <c r="AU388" s="24">
        <f t="shared" ca="1" si="377"/>
        <v>0</v>
      </c>
      <c r="AV388" s="25">
        <f t="shared" ca="1" si="378"/>
        <v>0</v>
      </c>
      <c r="AW388" s="23">
        <f t="array" aca="1" ref="AW388" ca="1">SUM(IF(rcs_start_date&lt;=AO388,1,0)*IF(rcs_end_date&gt;=AO388,1,0)*rcs_amount*(1+rcs_escalation/100)^(INT((AP388-rcs_months_since_start)/12))*IF(MOD((AP388-rcs_months_since_start),rcs_frequency)=0,1,0)*IF(rcs_frequency=13,0,1))+SUM(IF(rcs_start_date=AO388,rcs_amount,0)*IF(rcs_frequency=13,1,0))</f>
        <v>0</v>
      </c>
      <c r="AX388" s="24">
        <f t="shared" ca="1" si="379"/>
        <v>0</v>
      </c>
      <c r="AY388" s="24">
        <f t="shared" ca="1" si="380"/>
        <v>0</v>
      </c>
      <c r="AZ388" s="24">
        <f t="shared" ca="1" si="381"/>
        <v>0</v>
      </c>
      <c r="BA388" s="25">
        <f t="shared" ca="1" si="382"/>
        <v>0</v>
      </c>
      <c r="BB388" s="23">
        <f t="array" aca="1" ref="BB388" ca="1">SUM(IF(w_start_date&lt;=AO388,1,0)*IF(w_end_date&gt;=AO388,1,0)*w_amount*(1+w_escalation/100)^(INT((AP388-w_months_since_start)/12))*IF(MOD(AP388-w_months_since_start,w_frequency)=0,1,0)*IF(w_frequency=13,0,1))+SUM(IF(w_start_date=AO388,w_amount,0)*IF(w_frequency=13,1,0))</f>
        <v>0</v>
      </c>
      <c r="BC388" s="25">
        <f t="shared" ca="1" si="383"/>
        <v>0</v>
      </c>
      <c r="BD388" s="24" t="b">
        <f t="shared" ca="1" si="384"/>
        <v>1</v>
      </c>
      <c r="BE388" s="24" t="b">
        <f t="shared" ca="1" si="385"/>
        <v>1</v>
      </c>
      <c r="BF388" s="23">
        <f t="array" aca="1" ref="BF388" ca="1">SUM(IF(BD388,1,0)*IF(ap_start_date&lt;=AO388,1,0)*IF(ap_end_date&gt;=AO388,1,0)*ap_amount*(1+ap_escalation/100)^(INT((AP388-ap_months_since_start)/12))*IF(MOD(AP388-ap_months_since_start,ap_frequency)=0,1,0))</f>
        <v>76689.310006169748</v>
      </c>
      <c r="BG388" s="24">
        <f t="shared" ca="1" si="386"/>
        <v>920271.72007403674</v>
      </c>
      <c r="BH388" s="24">
        <f t="shared" ca="1" si="387"/>
        <v>9878.6874393865128</v>
      </c>
      <c r="BI388">
        <f t="shared" ca="1" si="388"/>
        <v>0</v>
      </c>
      <c r="BJ388" s="24">
        <f t="shared" ca="1" si="389"/>
        <v>69150.812075705573</v>
      </c>
      <c r="BK388">
        <f t="shared" ca="1" si="390"/>
        <v>1</v>
      </c>
      <c r="BL388" s="25">
        <f t="shared" ca="1" si="391"/>
        <v>5762.5676729754659</v>
      </c>
      <c r="BM388" s="32">
        <f t="shared" ca="1" si="370"/>
        <v>364608.62519504403</v>
      </c>
      <c r="BN388" s="23">
        <f t="shared" ca="1" si="392"/>
        <v>0</v>
      </c>
      <c r="BO388" s="24">
        <f t="shared" ca="1" si="393"/>
        <v>0</v>
      </c>
      <c r="BP388" s="25">
        <f t="shared" ca="1" si="394"/>
        <v>0</v>
      </c>
      <c r="BQ388" s="34">
        <f t="shared" ca="1" si="395"/>
        <v>57223</v>
      </c>
      <c r="BR388" s="23">
        <f t="shared" ca="1" si="396"/>
        <v>364608.62519504403</v>
      </c>
      <c r="BS388" s="24">
        <f t="shared" ca="1" si="397"/>
        <v>0</v>
      </c>
      <c r="BT388" s="24">
        <f t="shared" ca="1" si="402"/>
        <v>0</v>
      </c>
      <c r="BU388" s="24">
        <f t="shared" ca="1" si="398"/>
        <v>0</v>
      </c>
      <c r="BV388" s="24">
        <f t="shared" ca="1" si="403"/>
        <v>0</v>
      </c>
      <c r="BW388" s="24">
        <f t="shared" ca="1" si="399"/>
        <v>-5762.5676729754659</v>
      </c>
      <c r="BX388" s="25">
        <f t="shared" ca="1" si="404"/>
        <v>-70338.423410974356</v>
      </c>
      <c r="BY388" s="23">
        <f t="shared" ca="1" si="371"/>
        <v>104958.6933347149</v>
      </c>
      <c r="BZ388" s="24">
        <f t="shared" ca="1" si="372"/>
        <v>0</v>
      </c>
      <c r="CA388" s="24">
        <f t="shared" ca="1" si="405"/>
        <v>0</v>
      </c>
      <c r="CB388" s="24">
        <f t="shared" ca="1" si="373"/>
        <v>0</v>
      </c>
      <c r="CC388" s="24">
        <f t="shared" ca="1" si="406"/>
        <v>0</v>
      </c>
      <c r="CD388" s="24">
        <f t="shared" ca="1" si="374"/>
        <v>-1664.2821712363698</v>
      </c>
      <c r="CE388" s="25">
        <f t="shared" ca="1" si="407"/>
        <v>-20689.904015404769</v>
      </c>
      <c r="CF388" s="23">
        <f t="shared" ca="1" si="408"/>
        <v>914372.54238125449</v>
      </c>
      <c r="CG388" s="25">
        <f t="array" aca="1" ref="CG388" ca="1">SUM(BF377:BF388/(1+inflation/100)^(AP377:AP388/12))</f>
        <v>267980.53702225379</v>
      </c>
      <c r="CH388" s="32">
        <f ca="1">IFERROR(IF(MOD(AP388-ap_months_since_start,12)=0,ap_drawdown/100*(AQ388+AV388+BA388-BC388),CH387),0)</f>
        <v>60731.847587357435</v>
      </c>
    </row>
    <row r="389" spans="40:86" x14ac:dyDescent="0.25">
      <c r="AN389" s="32">
        <f t="shared" ca="1" si="369"/>
        <v>86.666666666666671</v>
      </c>
      <c r="AO389" s="53">
        <f t="shared" ca="1" si="400"/>
        <v>57224</v>
      </c>
      <c r="AP389" s="22">
        <v>382</v>
      </c>
      <c r="AQ389" s="32">
        <f t="shared" ca="1" si="401"/>
        <v>364608.62519504403</v>
      </c>
      <c r="AR389" s="23">
        <f t="array" aca="1" ref="AR389" ca="1">SUM(IF(lsc_start_date=AO389,lsc_amount,0))</f>
        <v>0</v>
      </c>
      <c r="AS389" s="24">
        <f t="shared" ca="1" si="375"/>
        <v>0</v>
      </c>
      <c r="AT389" s="24">
        <f t="shared" ca="1" si="376"/>
        <v>0</v>
      </c>
      <c r="AU389" s="24">
        <f t="shared" ca="1" si="377"/>
        <v>0</v>
      </c>
      <c r="AV389" s="25">
        <f t="shared" ca="1" si="378"/>
        <v>0</v>
      </c>
      <c r="AW389" s="23">
        <f t="array" aca="1" ref="AW389" ca="1">SUM(IF(rcs_start_date&lt;=AO389,1,0)*IF(rcs_end_date&gt;=AO389,1,0)*rcs_amount*(1+rcs_escalation/100)^(INT((AP389-rcs_months_since_start)/12))*IF(MOD((AP389-rcs_months_since_start),rcs_frequency)=0,1,0)*IF(rcs_frequency=13,0,1))+SUM(IF(rcs_start_date=AO389,rcs_amount,0)*IF(rcs_frequency=13,1,0))</f>
        <v>0</v>
      </c>
      <c r="AX389" s="24">
        <f t="shared" ca="1" si="379"/>
        <v>0</v>
      </c>
      <c r="AY389" s="24">
        <f t="shared" ca="1" si="380"/>
        <v>0</v>
      </c>
      <c r="AZ389" s="24">
        <f t="shared" ca="1" si="381"/>
        <v>0</v>
      </c>
      <c r="BA389" s="25">
        <f t="shared" ca="1" si="382"/>
        <v>0</v>
      </c>
      <c r="BB389" s="23">
        <f t="array" aca="1" ref="BB389" ca="1">SUM(IF(w_start_date&lt;=AO389,1,0)*IF(w_end_date&gt;=AO389,1,0)*w_amount*(1+w_escalation/100)^(INT((AP389-w_months_since_start)/12))*IF(MOD(AP389-w_months_since_start,w_frequency)=0,1,0)*IF(w_frequency=13,0,1))+SUM(IF(w_start_date=AO389,w_amount,0)*IF(w_frequency=13,1,0))</f>
        <v>0</v>
      </c>
      <c r="BC389" s="25">
        <f t="shared" ca="1" si="383"/>
        <v>0</v>
      </c>
      <c r="BD389" s="24" t="b">
        <f t="shared" ca="1" si="384"/>
        <v>1</v>
      </c>
      <c r="BE389" s="24" t="b">
        <f t="shared" ca="1" si="385"/>
        <v>1</v>
      </c>
      <c r="BF389" s="23">
        <f t="array" aca="1" ref="BF389" ca="1">SUM(IF(BD389,1,0)*IF(ap_start_date&lt;=AO389,1,0)*IF(ap_end_date&gt;=AO389,1,0)*ap_amount*(1+ap_escalation/100)^(INT((AP389-ap_months_since_start)/12))*IF(MOD(AP389-ap_months_since_start,ap_frequency)=0,1,0))</f>
        <v>76689.310006169748</v>
      </c>
      <c r="BG389" s="24">
        <f t="shared" ca="1" si="386"/>
        <v>920271.72007403674</v>
      </c>
      <c r="BH389" s="24">
        <f t="shared" ca="1" si="387"/>
        <v>9878.6874393865128</v>
      </c>
      <c r="BI389">
        <f t="shared" ca="1" si="388"/>
        <v>0</v>
      </c>
      <c r="BJ389" s="24">
        <f t="shared" ca="1" si="389"/>
        <v>69150.812075705573</v>
      </c>
      <c r="BK389">
        <f t="shared" ca="1" si="390"/>
        <v>1</v>
      </c>
      <c r="BL389" s="25">
        <f t="shared" ca="1" si="391"/>
        <v>5762.5676729754659</v>
      </c>
      <c r="BM389" s="32">
        <f t="shared" ca="1" si="370"/>
        <v>361432.37707935111</v>
      </c>
      <c r="BN389" s="23">
        <f t="shared" ca="1" si="392"/>
        <v>0</v>
      </c>
      <c r="BO389" s="24">
        <f t="shared" ca="1" si="393"/>
        <v>0</v>
      </c>
      <c r="BP389" s="25">
        <f t="shared" ca="1" si="394"/>
        <v>0</v>
      </c>
      <c r="BQ389" s="34">
        <f t="shared" ca="1" si="395"/>
        <v>57253</v>
      </c>
      <c r="BR389" s="23">
        <f t="shared" ca="1" si="396"/>
        <v>361432.37707935111</v>
      </c>
      <c r="BS389" s="24">
        <f t="shared" ca="1" si="397"/>
        <v>0</v>
      </c>
      <c r="BT389" s="24">
        <f t="shared" ca="1" si="402"/>
        <v>0</v>
      </c>
      <c r="BU389" s="24">
        <f t="shared" ca="1" si="398"/>
        <v>0</v>
      </c>
      <c r="BV389" s="24">
        <f t="shared" ca="1" si="403"/>
        <v>0</v>
      </c>
      <c r="BW389" s="24">
        <f t="shared" ca="1" si="399"/>
        <v>-5762.5676729754659</v>
      </c>
      <c r="BX389" s="25">
        <f t="shared" ca="1" si="404"/>
        <v>-69744.617743339972</v>
      </c>
      <c r="BY389" s="23">
        <f t="shared" ca="1" si="371"/>
        <v>103704.85446248393</v>
      </c>
      <c r="BZ389" s="24">
        <f t="shared" ca="1" si="372"/>
        <v>0</v>
      </c>
      <c r="CA389" s="24">
        <f t="shared" ca="1" si="405"/>
        <v>0</v>
      </c>
      <c r="CB389" s="24">
        <f t="shared" ca="1" si="373"/>
        <v>0</v>
      </c>
      <c r="CC389" s="24">
        <f t="shared" ca="1" si="406"/>
        <v>0</v>
      </c>
      <c r="CD389" s="24">
        <f t="shared" ca="1" si="374"/>
        <v>-1658.8515230127223</v>
      </c>
      <c r="CE389" s="25">
        <f t="shared" ca="1" si="407"/>
        <v>-20445.775581720136</v>
      </c>
      <c r="CF389" s="23">
        <f t="shared" ca="1" si="408"/>
        <v>917322.13122764556</v>
      </c>
      <c r="CG389" s="25">
        <f t="array" aca="1" ref="CG389" ca="1">SUM(BF378:BF389/(1+inflation/100)^(AP378:AP389/12))</f>
        <v>267980.53702225373</v>
      </c>
      <c r="CH389" s="32">
        <f ca="1">IFERROR(IF(MOD(AP389-ap_months_since_start,12)=0,ap_drawdown/100*(AQ389+AV389+BA389-BC389),CH388),0)</f>
        <v>60731.847587357435</v>
      </c>
    </row>
    <row r="390" spans="40:86" x14ac:dyDescent="0.25">
      <c r="AN390" s="32">
        <f t="shared" ca="1" si="369"/>
        <v>86.75</v>
      </c>
      <c r="AO390" s="53">
        <f t="shared" ca="1" si="400"/>
        <v>57254</v>
      </c>
      <c r="AP390" s="22">
        <v>383</v>
      </c>
      <c r="AQ390" s="32">
        <f t="shared" ca="1" si="401"/>
        <v>361432.37707935111</v>
      </c>
      <c r="AR390" s="23">
        <f t="array" aca="1" ref="AR390" ca="1">SUM(IF(lsc_start_date=AO390,lsc_amount,0))</f>
        <v>0</v>
      </c>
      <c r="AS390" s="24">
        <f t="shared" ca="1" si="375"/>
        <v>0</v>
      </c>
      <c r="AT390" s="24">
        <f t="shared" ca="1" si="376"/>
        <v>0</v>
      </c>
      <c r="AU390" s="24">
        <f t="shared" ca="1" si="377"/>
        <v>0</v>
      </c>
      <c r="AV390" s="25">
        <f t="shared" ca="1" si="378"/>
        <v>0</v>
      </c>
      <c r="AW390" s="23">
        <f t="array" aca="1" ref="AW390" ca="1">SUM(IF(rcs_start_date&lt;=AO390,1,0)*IF(rcs_end_date&gt;=AO390,1,0)*rcs_amount*(1+rcs_escalation/100)^(INT((AP390-rcs_months_since_start)/12))*IF(MOD((AP390-rcs_months_since_start),rcs_frequency)=0,1,0)*IF(rcs_frequency=13,0,1))+SUM(IF(rcs_start_date=AO390,rcs_amount,0)*IF(rcs_frequency=13,1,0))</f>
        <v>0</v>
      </c>
      <c r="AX390" s="24">
        <f t="shared" ca="1" si="379"/>
        <v>0</v>
      </c>
      <c r="AY390" s="24">
        <f t="shared" ca="1" si="380"/>
        <v>0</v>
      </c>
      <c r="AZ390" s="24">
        <f t="shared" ca="1" si="381"/>
        <v>0</v>
      </c>
      <c r="BA390" s="25">
        <f t="shared" ca="1" si="382"/>
        <v>0</v>
      </c>
      <c r="BB390" s="23">
        <f t="array" aca="1" ref="BB390" ca="1">SUM(IF(w_start_date&lt;=AO390,1,0)*IF(w_end_date&gt;=AO390,1,0)*w_amount*(1+w_escalation/100)^(INT((AP390-w_months_since_start)/12))*IF(MOD(AP390-w_months_since_start,w_frequency)=0,1,0)*IF(w_frequency=13,0,1))+SUM(IF(w_start_date=AO390,w_amount,0)*IF(w_frequency=13,1,0))</f>
        <v>0</v>
      </c>
      <c r="BC390" s="25">
        <f t="shared" ca="1" si="383"/>
        <v>0</v>
      </c>
      <c r="BD390" s="24" t="b">
        <f t="shared" ca="1" si="384"/>
        <v>1</v>
      </c>
      <c r="BE390" s="24" t="b">
        <f t="shared" ca="1" si="385"/>
        <v>1</v>
      </c>
      <c r="BF390" s="23">
        <f t="array" aca="1" ref="BF390" ca="1">SUM(IF(BD390,1,0)*IF(ap_start_date&lt;=AO390,1,0)*IF(ap_end_date&gt;=AO390,1,0)*ap_amount*(1+ap_escalation/100)^(INT((AP390-ap_months_since_start)/12))*IF(MOD(AP390-ap_months_since_start,ap_frequency)=0,1,0))</f>
        <v>76689.310006169748</v>
      </c>
      <c r="BG390" s="24">
        <f t="shared" ca="1" si="386"/>
        <v>920271.72007403674</v>
      </c>
      <c r="BH390" s="24">
        <f t="shared" ca="1" si="387"/>
        <v>9878.6874393865128</v>
      </c>
      <c r="BI390">
        <f t="shared" ca="1" si="388"/>
        <v>0</v>
      </c>
      <c r="BJ390" s="24">
        <f t="shared" ca="1" si="389"/>
        <v>69150.812075705573</v>
      </c>
      <c r="BK390">
        <f t="shared" ca="1" si="390"/>
        <v>1</v>
      </c>
      <c r="BL390" s="25">
        <f t="shared" ca="1" si="391"/>
        <v>5762.5676729754659</v>
      </c>
      <c r="BM390" s="32">
        <f t="shared" ca="1" si="370"/>
        <v>358233.23671655613</v>
      </c>
      <c r="BN390" s="23">
        <f t="shared" ca="1" si="392"/>
        <v>0</v>
      </c>
      <c r="BO390" s="24">
        <f t="shared" ca="1" si="393"/>
        <v>0</v>
      </c>
      <c r="BP390" s="25">
        <f t="shared" ca="1" si="394"/>
        <v>0</v>
      </c>
      <c r="BQ390" s="34">
        <f t="shared" ca="1" si="395"/>
        <v>57284</v>
      </c>
      <c r="BR390" s="23">
        <f t="shared" ca="1" si="396"/>
        <v>358233.23671655613</v>
      </c>
      <c r="BS390" s="24">
        <f t="shared" ca="1" si="397"/>
        <v>0</v>
      </c>
      <c r="BT390" s="24">
        <f t="shared" ca="1" si="402"/>
        <v>0</v>
      </c>
      <c r="BU390" s="24">
        <f t="shared" ca="1" si="398"/>
        <v>0</v>
      </c>
      <c r="BV390" s="24">
        <f t="shared" ca="1" si="403"/>
        <v>0</v>
      </c>
      <c r="BW390" s="24">
        <f t="shared" ca="1" si="399"/>
        <v>-5762.5676729754659</v>
      </c>
      <c r="BX390" s="25">
        <f t="shared" ca="1" si="404"/>
        <v>-69150.812075705573</v>
      </c>
      <c r="BY390" s="23">
        <f t="shared" ca="1" si="371"/>
        <v>102451.53375440327</v>
      </c>
      <c r="BZ390" s="24">
        <f t="shared" ca="1" si="372"/>
        <v>0</v>
      </c>
      <c r="CA390" s="24">
        <f t="shared" ca="1" si="405"/>
        <v>0</v>
      </c>
      <c r="CB390" s="24">
        <f t="shared" ca="1" si="373"/>
        <v>0</v>
      </c>
      <c r="CC390" s="24">
        <f t="shared" ca="1" si="406"/>
        <v>0</v>
      </c>
      <c r="CD390" s="24">
        <f t="shared" ca="1" si="374"/>
        <v>-1653.4385953058465</v>
      </c>
      <c r="CE390" s="25">
        <f t="shared" ca="1" si="407"/>
        <v>-20202.443753123054</v>
      </c>
      <c r="CF390" s="23">
        <f t="shared" ca="1" si="408"/>
        <v>920271.72007403674</v>
      </c>
      <c r="CG390" s="25">
        <f t="array" aca="1" ref="CG390" ca="1">SUM(BF379:BF390/(1+inflation/100)^(AP379:AP390/12))</f>
        <v>267980.53702225379</v>
      </c>
      <c r="CH390" s="32">
        <f ca="1">IFERROR(IF(MOD(AP390-ap_months_since_start,12)=0,ap_drawdown/100*(AQ390+AV390+BA390-BC390),CH389),0)</f>
        <v>60731.847587357435</v>
      </c>
    </row>
    <row r="391" spans="40:86" x14ac:dyDescent="0.25">
      <c r="AN391" s="32">
        <f t="shared" ca="1" si="369"/>
        <v>86.833333333333329</v>
      </c>
      <c r="AO391" s="53">
        <f t="shared" ca="1" si="400"/>
        <v>57285</v>
      </c>
      <c r="AP391" s="22">
        <v>384</v>
      </c>
      <c r="AQ391" s="32">
        <f t="shared" ca="1" si="401"/>
        <v>358233.23671655613</v>
      </c>
      <c r="AR391" s="23">
        <f t="array" aca="1" ref="AR391" ca="1">SUM(IF(lsc_start_date=AO391,lsc_amount,0))</f>
        <v>0</v>
      </c>
      <c r="AS391" s="24">
        <f t="shared" ca="1" si="375"/>
        <v>0</v>
      </c>
      <c r="AT391" s="24">
        <f t="shared" ca="1" si="376"/>
        <v>0</v>
      </c>
      <c r="AU391" s="24">
        <f t="shared" ca="1" si="377"/>
        <v>0</v>
      </c>
      <c r="AV391" s="25">
        <f t="shared" ca="1" si="378"/>
        <v>0</v>
      </c>
      <c r="AW391" s="23">
        <f t="array" aca="1" ref="AW391" ca="1">SUM(IF(rcs_start_date&lt;=AO391,1,0)*IF(rcs_end_date&gt;=AO391,1,0)*rcs_amount*(1+rcs_escalation/100)^(INT((AP391-rcs_months_since_start)/12))*IF(MOD((AP391-rcs_months_since_start),rcs_frequency)=0,1,0)*IF(rcs_frequency=13,0,1))+SUM(IF(rcs_start_date=AO391,rcs_amount,0)*IF(rcs_frequency=13,1,0))</f>
        <v>0</v>
      </c>
      <c r="AX391" s="24">
        <f t="shared" ca="1" si="379"/>
        <v>0</v>
      </c>
      <c r="AY391" s="24">
        <f t="shared" ca="1" si="380"/>
        <v>0</v>
      </c>
      <c r="AZ391" s="24">
        <f t="shared" ca="1" si="381"/>
        <v>0</v>
      </c>
      <c r="BA391" s="25">
        <f t="shared" ca="1" si="382"/>
        <v>0</v>
      </c>
      <c r="BB391" s="23">
        <f t="array" aca="1" ref="BB391" ca="1">SUM(IF(w_start_date&lt;=AO391,1,0)*IF(w_end_date&gt;=AO391,1,0)*w_amount*(1+w_escalation/100)^(INT((AP391-w_months_since_start)/12))*IF(MOD(AP391-w_months_since_start,w_frequency)=0,1,0)*IF(w_frequency=13,0,1))+SUM(IF(w_start_date=AO391,w_amount,0)*IF(w_frequency=13,1,0))</f>
        <v>0</v>
      </c>
      <c r="BC391" s="25">
        <f t="shared" ca="1" si="383"/>
        <v>0</v>
      </c>
      <c r="BD391" s="24" t="b">
        <f t="shared" ca="1" si="384"/>
        <v>1</v>
      </c>
      <c r="BE391" s="24" t="b">
        <f t="shared" ca="1" si="385"/>
        <v>1</v>
      </c>
      <c r="BF391" s="23">
        <f t="array" aca="1" ref="BF391" ca="1">SUM(IF(BD391,1,0)*IF(ap_start_date&lt;=AO391,1,0)*IF(ap_end_date&gt;=AO391,1,0)*ap_amount*(1+ap_escalation/100)^(INT((AP391-ap_months_since_start)/12))*IF(MOD(AP391-ap_months_since_start,ap_frequency)=0,1,0))</f>
        <v>79756.882406416553</v>
      </c>
      <c r="BG391" s="24">
        <f t="shared" ca="1" si="386"/>
        <v>957082.58887699887</v>
      </c>
      <c r="BH391" s="24">
        <f t="shared" ca="1" si="387"/>
        <v>8955.8309179139032</v>
      </c>
      <c r="BI391">
        <f t="shared" ca="1" si="388"/>
        <v>0</v>
      </c>
      <c r="BJ391" s="24">
        <f t="shared" ca="1" si="389"/>
        <v>62690.816425397315</v>
      </c>
      <c r="BK391">
        <f t="shared" ca="1" si="390"/>
        <v>1</v>
      </c>
      <c r="BL391" s="25">
        <f t="shared" ca="1" si="391"/>
        <v>5224.2347021164414</v>
      </c>
      <c r="BM391" s="32">
        <f t="shared" ca="1" si="370"/>
        <v>355553.25202546449</v>
      </c>
      <c r="BN391" s="23">
        <f t="shared" ca="1" si="392"/>
        <v>0</v>
      </c>
      <c r="BO391" s="24">
        <f t="shared" ca="1" si="393"/>
        <v>0</v>
      </c>
      <c r="BP391" s="25">
        <f t="shared" ca="1" si="394"/>
        <v>0</v>
      </c>
      <c r="BQ391" s="34">
        <f t="shared" ca="1" si="395"/>
        <v>57314</v>
      </c>
      <c r="BR391" s="23">
        <f t="shared" ca="1" si="396"/>
        <v>355553.25202546449</v>
      </c>
      <c r="BS391" s="24">
        <f t="shared" ca="1" si="397"/>
        <v>0</v>
      </c>
      <c r="BT391" s="24">
        <f t="shared" ca="1" si="402"/>
        <v>0</v>
      </c>
      <c r="BU391" s="24">
        <f t="shared" ca="1" si="398"/>
        <v>0</v>
      </c>
      <c r="BV391" s="24">
        <f t="shared" ca="1" si="403"/>
        <v>0</v>
      </c>
      <c r="BW391" s="24">
        <f t="shared" ca="1" si="399"/>
        <v>-5224.2347021164414</v>
      </c>
      <c r="BX391" s="25">
        <f t="shared" ca="1" si="404"/>
        <v>-68612.479104846556</v>
      </c>
      <c r="BY391" s="23">
        <f t="shared" ca="1" si="371"/>
        <v>101353.27760550019</v>
      </c>
      <c r="BZ391" s="24">
        <f t="shared" ca="1" si="372"/>
        <v>0</v>
      </c>
      <c r="CA391" s="24">
        <f t="shared" ca="1" si="405"/>
        <v>0</v>
      </c>
      <c r="CB391" s="24">
        <f t="shared" ca="1" si="373"/>
        <v>0</v>
      </c>
      <c r="CC391" s="24">
        <f t="shared" ca="1" si="406"/>
        <v>0</v>
      </c>
      <c r="CD391" s="24">
        <f t="shared" ca="1" si="374"/>
        <v>-1494.0848672517136</v>
      </c>
      <c r="CE391" s="25">
        <f t="shared" ca="1" si="407"/>
        <v>-19982.56355687038</v>
      </c>
      <c r="CF391" s="23">
        <f t="shared" ca="1" si="408"/>
        <v>923339.2924742836</v>
      </c>
      <c r="CG391" s="25">
        <f t="array" aca="1" ref="CG391" ca="1">SUM(BF380:BF391/(1+inflation/100)^(AP380:AP391/12))</f>
        <v>267980.53702225379</v>
      </c>
      <c r="CH391" s="32">
        <f ca="1">IFERROR(IF(MOD(AP391-ap_months_since_start,12)=0,ap_drawdown/100*(AQ391+AV391+BA391-BC391),CH390),0)</f>
        <v>55058.342685925512</v>
      </c>
    </row>
    <row r="392" spans="40:86" x14ac:dyDescent="0.25">
      <c r="AN392" s="32">
        <f t="shared" ref="AN392:AN455" ca="1" si="409">IF(AND(Date_of_birth&lt;&gt;"",Date_of_birth&lt;&gt;"Please enter date of birth"),YEARFRAC(Date_of_birth,AO392),AP392/12)</f>
        <v>86.916666666666671</v>
      </c>
      <c r="AO392" s="53">
        <f t="shared" ca="1" si="400"/>
        <v>57315</v>
      </c>
      <c r="AP392" s="22">
        <v>385</v>
      </c>
      <c r="AQ392" s="32">
        <f t="shared" ca="1" si="401"/>
        <v>355553.25202546449</v>
      </c>
      <c r="AR392" s="23">
        <f t="array" aca="1" ref="AR392" ca="1">SUM(IF(lsc_start_date=AO392,lsc_amount,0))</f>
        <v>0</v>
      </c>
      <c r="AS392" s="24">
        <f t="shared" ca="1" si="375"/>
        <v>0</v>
      </c>
      <c r="AT392" s="24">
        <f t="shared" ca="1" si="376"/>
        <v>0</v>
      </c>
      <c r="AU392" s="24">
        <f t="shared" ca="1" si="377"/>
        <v>0</v>
      </c>
      <c r="AV392" s="25">
        <f t="shared" ca="1" si="378"/>
        <v>0</v>
      </c>
      <c r="AW392" s="23">
        <f t="array" aca="1" ref="AW392" ca="1">SUM(IF(rcs_start_date&lt;=AO392,1,0)*IF(rcs_end_date&gt;=AO392,1,0)*rcs_amount*(1+rcs_escalation/100)^(INT((AP392-rcs_months_since_start)/12))*IF(MOD((AP392-rcs_months_since_start),rcs_frequency)=0,1,0)*IF(rcs_frequency=13,0,1))+SUM(IF(rcs_start_date=AO392,rcs_amount,0)*IF(rcs_frequency=13,1,0))</f>
        <v>0</v>
      </c>
      <c r="AX392" s="24">
        <f t="shared" ca="1" si="379"/>
        <v>0</v>
      </c>
      <c r="AY392" s="24">
        <f t="shared" ca="1" si="380"/>
        <v>0</v>
      </c>
      <c r="AZ392" s="24">
        <f t="shared" ca="1" si="381"/>
        <v>0</v>
      </c>
      <c r="BA392" s="25">
        <f t="shared" ca="1" si="382"/>
        <v>0</v>
      </c>
      <c r="BB392" s="23">
        <f t="array" aca="1" ref="BB392" ca="1">SUM(IF(w_start_date&lt;=AO392,1,0)*IF(w_end_date&gt;=AO392,1,0)*w_amount*(1+w_escalation/100)^(INT((AP392-w_months_since_start)/12))*IF(MOD(AP392-w_months_since_start,w_frequency)=0,1,0)*IF(w_frequency=13,0,1))+SUM(IF(w_start_date=AO392,w_amount,0)*IF(w_frequency=13,1,0))</f>
        <v>0</v>
      </c>
      <c r="BC392" s="25">
        <f t="shared" ca="1" si="383"/>
        <v>0</v>
      </c>
      <c r="BD392" s="24" t="b">
        <f t="shared" ca="1" si="384"/>
        <v>1</v>
      </c>
      <c r="BE392" s="24" t="b">
        <f t="shared" ca="1" si="385"/>
        <v>1</v>
      </c>
      <c r="BF392" s="23">
        <f t="array" aca="1" ref="BF392" ca="1">SUM(IF(BD392,1,0)*IF(ap_start_date&lt;=AO392,1,0)*IF(ap_end_date&gt;=AO392,1,0)*ap_amount*(1+ap_escalation/100)^(INT((AP392-ap_months_since_start)/12))*IF(MOD(AP392-ap_months_since_start,ap_frequency)=0,1,0))</f>
        <v>79756.882406416553</v>
      </c>
      <c r="BG392" s="24">
        <f t="shared" ca="1" si="386"/>
        <v>957082.58887699887</v>
      </c>
      <c r="BH392" s="24">
        <f t="shared" ca="1" si="387"/>
        <v>8955.8309179139032</v>
      </c>
      <c r="BI392">
        <f t="shared" ca="1" si="388"/>
        <v>0</v>
      </c>
      <c r="BJ392" s="24">
        <f t="shared" ca="1" si="389"/>
        <v>62690.816425397315</v>
      </c>
      <c r="BK392">
        <f t="shared" ca="1" si="390"/>
        <v>1</v>
      </c>
      <c r="BL392" s="25">
        <f t="shared" ca="1" si="391"/>
        <v>5224.2347021164414</v>
      </c>
      <c r="BM392" s="32">
        <f t="shared" ref="BM392:BM455" ca="1" si="410">(AQ392+AV392+BA392-BC392-BL392)*(1+NomRetn/100)^(1/12)</f>
        <v>352853.95181822189</v>
      </c>
      <c r="BN392" s="23">
        <f t="shared" ca="1" si="392"/>
        <v>0</v>
      </c>
      <c r="BO392" s="24">
        <f t="shared" ca="1" si="393"/>
        <v>0</v>
      </c>
      <c r="BP392" s="25">
        <f t="shared" ca="1" si="394"/>
        <v>0</v>
      </c>
      <c r="BQ392" s="34">
        <f t="shared" ca="1" si="395"/>
        <v>57345</v>
      </c>
      <c r="BR392" s="23">
        <f t="shared" ca="1" si="396"/>
        <v>352853.95181822189</v>
      </c>
      <c r="BS392" s="24">
        <f t="shared" ca="1" si="397"/>
        <v>0</v>
      </c>
      <c r="BT392" s="24">
        <f t="shared" ca="1" si="402"/>
        <v>0</v>
      </c>
      <c r="BU392" s="24">
        <f t="shared" ca="1" si="398"/>
        <v>0</v>
      </c>
      <c r="BV392" s="24">
        <f t="shared" ca="1" si="403"/>
        <v>0</v>
      </c>
      <c r="BW392" s="24">
        <f t="shared" ca="1" si="399"/>
        <v>-5224.2347021164414</v>
      </c>
      <c r="BX392" s="25">
        <f t="shared" ca="1" si="404"/>
        <v>-68074.146133987524</v>
      </c>
      <c r="BY392" s="23">
        <f t="shared" ref="BY392:BY455" ca="1" si="411">BR392*(1+inflation/100)^(-$AP392/12)</f>
        <v>100255.60987038753</v>
      </c>
      <c r="BZ392" s="24">
        <f t="shared" ref="BZ392:BZ455" ca="1" si="412">BS392*(1+inflation/100)^(-(AP392-1)/12)</f>
        <v>0</v>
      </c>
      <c r="CA392" s="24">
        <f t="shared" ca="1" si="405"/>
        <v>0</v>
      </c>
      <c r="CB392" s="24">
        <f t="shared" ref="CB392:CB455" ca="1" si="413">BU392*(1+inflation/100)^(-($AP392-1)/12)</f>
        <v>0</v>
      </c>
      <c r="CC392" s="24">
        <f t="shared" ca="1" si="406"/>
        <v>0</v>
      </c>
      <c r="CD392" s="24">
        <f t="shared" ref="CD392:CD455" ca="1" si="414">BW392*(1+inflation/100)^(-($AP392-1)/12)</f>
        <v>-1489.2095825971332</v>
      </c>
      <c r="CE392" s="25">
        <f t="shared" ca="1" si="407"/>
        <v>-19763.400842315121</v>
      </c>
      <c r="CF392" s="23">
        <f t="shared" ca="1" si="408"/>
        <v>926406.86487453047</v>
      </c>
      <c r="CG392" s="25">
        <f t="array" aca="1" ref="CG392" ca="1">SUM(BF381:BF392/(1+inflation/100)^(AP381:AP392/12))</f>
        <v>267980.53702225379</v>
      </c>
      <c r="CH392" s="32">
        <f ca="1">IFERROR(IF(MOD(AP392-ap_months_since_start,12)=0,ap_drawdown/100*(AQ392+AV392+BA392-BC392),CH391),0)</f>
        <v>55058.342685925512</v>
      </c>
    </row>
    <row r="393" spans="40:86" x14ac:dyDescent="0.25">
      <c r="AN393" s="32">
        <f t="shared" ca="1" si="409"/>
        <v>87</v>
      </c>
      <c r="AO393" s="53">
        <f t="shared" ca="1" si="400"/>
        <v>57346</v>
      </c>
      <c r="AP393" s="22">
        <v>386</v>
      </c>
      <c r="AQ393" s="32">
        <f t="shared" ca="1" si="401"/>
        <v>352853.95181822189</v>
      </c>
      <c r="AR393" s="23">
        <f t="array" aca="1" ref="AR393" ca="1">SUM(IF(lsc_start_date=AO393,lsc_amount,0))</f>
        <v>0</v>
      </c>
      <c r="AS393" s="24">
        <f t="shared" ref="AS393:AS456" ca="1" si="415">AR393*$D$34/100</f>
        <v>0</v>
      </c>
      <c r="AT393" s="24">
        <f t="shared" ref="AT393:AT456" ca="1" si="416">AR393*$D$33/100</f>
        <v>0</v>
      </c>
      <c r="AU393" s="24">
        <f t="shared" ref="AU393:AU456" ca="1" si="417">AR393*$D$35/100</f>
        <v>0</v>
      </c>
      <c r="AV393" s="25">
        <f t="shared" ref="AV393:AV456" ca="1" si="418">AR393-AS393-AT393-AU393</f>
        <v>0</v>
      </c>
      <c r="AW393" s="23">
        <f t="array" aca="1" ref="AW393" ca="1">SUM(IF(rcs_start_date&lt;=AO393,1,0)*IF(rcs_end_date&gt;=AO393,1,0)*rcs_amount*(1+rcs_escalation/100)^(INT((AP393-rcs_months_since_start)/12))*IF(MOD((AP393-rcs_months_since_start),rcs_frequency)=0,1,0)*IF(rcs_frequency=13,0,1))+SUM(IF(rcs_start_date=AO393,rcs_amount,0)*IF(rcs_frequency=13,1,0))</f>
        <v>0</v>
      </c>
      <c r="AX393" s="24">
        <f t="shared" ref="AX393:AX456" ca="1" si="419">AW393*$D$34/100</f>
        <v>0</v>
      </c>
      <c r="AY393" s="24">
        <f t="shared" ref="AY393:AY456" ca="1" si="420">AW393*$D$33/100</f>
        <v>0</v>
      </c>
      <c r="AZ393" s="24">
        <f t="shared" ref="AZ393:AZ456" ca="1" si="421">AW393*$D$35/100</f>
        <v>0</v>
      </c>
      <c r="BA393" s="25">
        <f t="shared" ref="BA393:BA456" ca="1" si="422">AW393-AX393-AY393-AZ393</f>
        <v>0</v>
      </c>
      <c r="BB393" s="23">
        <f t="array" aca="1" ref="BB393" ca="1">SUM(IF(w_start_date&lt;=AO393,1,0)*IF(w_end_date&gt;=AO393,1,0)*w_amount*(1+w_escalation/100)^(INT((AP393-w_months_since_start)/12))*IF(MOD(AP393-w_months_since_start,w_frequency)=0,1,0)*IF(w_frequency=13,0,1))+SUM(IF(w_start_date=AO393,w_amount,0)*IF(w_frequency=13,1,0))</f>
        <v>0</v>
      </c>
      <c r="BC393" s="25">
        <f t="shared" ref="BC393:BC456" ca="1" si="423">IF(BB393&gt;AQ393+AV393+BA393,AQ393+AV393+BA393,BB393)</f>
        <v>0</v>
      </c>
      <c r="BD393" s="24" t="b">
        <f t="shared" ref="BD393:BD456" ca="1" si="424">AND($DV$11&lt;=AO393,$DV$11&lt;&gt;0)</f>
        <v>1</v>
      </c>
      <c r="BE393" s="24" t="b">
        <f t="shared" ref="BE393:BE456" ca="1" si="425">$DW$11&lt;&gt;""</f>
        <v>1</v>
      </c>
      <c r="BF393" s="23">
        <f t="array" aca="1" ref="BF393" ca="1">SUM(IF(BD393,1,0)*IF(ap_start_date&lt;=AO393,1,0)*IF(ap_end_date&gt;=AO393,1,0)*ap_amount*(1+ap_escalation/100)^(INT((AP393-ap_months_since_start)/12))*IF(MOD(AP393-ap_months_since_start,ap_frequency)=0,1,0))</f>
        <v>79756.882406416553</v>
      </c>
      <c r="BG393" s="24">
        <f t="shared" ref="BG393:BG456" ca="1" si="426">IF(MOD(YEAR(AO393)*12+MONTH(AO393)-YEAR(Earliest_annuity_payment)*12-MONTH(Earliest_annuity_payment),12)=0,SUM(BF393:BF404),BG392)</f>
        <v>957082.58887699887</v>
      </c>
      <c r="BH393" s="24">
        <f t="shared" ref="BH393:BH456" ca="1" si="427">IF(AO393&gt;=Earliest_annuity_payment,IF(MOD(YEAR(AO393)*12+MONTH(AO393)-YEAR(Earliest_annuity_payment)*12-MONTH(Earliest_annuity_payment),12)=0,(AQ393+AV393+BA393-BC393)*Annuity_min,BH392),0)</f>
        <v>8955.8309179139032</v>
      </c>
      <c r="BI393">
        <f t="shared" ref="BI393:BI456" ca="1" si="428">IF(AND(BH393&gt;BG393,BD393),1,0)</f>
        <v>0</v>
      </c>
      <c r="BJ393" s="24">
        <f t="shared" ref="BJ393:BJ456" ca="1" si="429">IF(AO393&gt;=Earliest_annuity_payment,IF(MOD(YEAR(AO393)*12+MONTH(AO393)-YEAR(Earliest_annuity_payment)*12-MONTH(Earliest_annuity_payment),12)=0,(AQ393+AV393+BA393-BC393)*Annuity_cap,BJ392),0)</f>
        <v>62690.816425397315</v>
      </c>
      <c r="BK393">
        <f t="shared" ref="BK393:BK456" ca="1" si="430">IF(BJ393&lt;BG393,1,0)</f>
        <v>1</v>
      </c>
      <c r="BL393" s="25">
        <f t="shared" ref="BL393:BL456" ca="1" si="431">IF(BJ393&lt;BG393,BF393/BG393*BJ393,IF(AND(BH393&gt;BG393,BG393&lt;&gt;0),BF393/BG393*BH393,BF393))</f>
        <v>5224.2347021164414</v>
      </c>
      <c r="BM393" s="32">
        <f t="shared" ca="1" si="410"/>
        <v>350135.19688165834</v>
      </c>
      <c r="BN393" s="23">
        <f t="shared" ref="BN393:BN456" ca="1" si="432">BM393*$E$34/1200</f>
        <v>0</v>
      </c>
      <c r="BO393" s="24">
        <f t="shared" ref="BO393:BO456" ca="1" si="433">BM393*$E$33/1200</f>
        <v>0</v>
      </c>
      <c r="BP393" s="25">
        <f t="shared" ref="BP393:BP456" ca="1" si="434">BM393*$E$35/1200</f>
        <v>0</v>
      </c>
      <c r="BQ393" s="34">
        <f t="shared" ref="BQ393:BQ456" ca="1" si="435">EOMONTH(AO393,0)</f>
        <v>57376</v>
      </c>
      <c r="BR393" s="23">
        <f t="shared" ref="BR393:BR456" ca="1" si="436">BM393-BN393-BO393-BP393</f>
        <v>350135.19688165834</v>
      </c>
      <c r="BS393" s="24">
        <f t="shared" ref="BS393:BS456" ca="1" si="437">AV393+BA393</f>
        <v>0</v>
      </c>
      <c r="BT393" s="24">
        <f t="shared" ca="1" si="402"/>
        <v>0</v>
      </c>
      <c r="BU393" s="24">
        <f t="shared" ref="BU393:BU456" ca="1" si="438">-BC393</f>
        <v>0</v>
      </c>
      <c r="BV393" s="24">
        <f t="shared" ca="1" si="403"/>
        <v>0</v>
      </c>
      <c r="BW393" s="24">
        <f t="shared" ref="BW393:BW456" ca="1" si="439">-BL393</f>
        <v>-5224.2347021164414</v>
      </c>
      <c r="BX393" s="25">
        <f t="shared" ca="1" si="404"/>
        <v>-67535.813163128507</v>
      </c>
      <c r="BY393" s="23">
        <f t="shared" ca="1" si="411"/>
        <v>99158.516885381236</v>
      </c>
      <c r="BZ393" s="24">
        <f t="shared" ca="1" si="412"/>
        <v>0</v>
      </c>
      <c r="CA393" s="24">
        <f t="shared" ca="1" si="405"/>
        <v>0</v>
      </c>
      <c r="CB393" s="24">
        <f t="shared" ca="1" si="413"/>
        <v>0</v>
      </c>
      <c r="CC393" s="24">
        <f t="shared" ca="1" si="406"/>
        <v>0</v>
      </c>
      <c r="CD393" s="24">
        <f t="shared" ca="1" si="414"/>
        <v>-1484.3502062761324</v>
      </c>
      <c r="CE393" s="25">
        <f t="shared" ca="1" si="407"/>
        <v>-19544.953268273326</v>
      </c>
      <c r="CF393" s="23">
        <f t="shared" ca="1" si="408"/>
        <v>929474.43727477733</v>
      </c>
      <c r="CG393" s="25">
        <f t="array" aca="1" ref="CG393" ca="1">SUM(BF382:BF393/(1+inflation/100)^(AP382:AP393/12))</f>
        <v>267980.53702225379</v>
      </c>
      <c r="CH393" s="32">
        <f ca="1">IFERROR(IF(MOD(AP393-ap_months_since_start,12)=0,ap_drawdown/100*(AQ393+AV393+BA393-BC393),CH392),0)</f>
        <v>55058.342685925512</v>
      </c>
    </row>
    <row r="394" spans="40:86" x14ac:dyDescent="0.25">
      <c r="AN394" s="32">
        <f t="shared" ca="1" si="409"/>
        <v>87.083333333333329</v>
      </c>
      <c r="AO394" s="53">
        <f t="shared" ref="AO394:AO457" ca="1" si="440">DATE(YEAR(AO393),MONTH(AO393)+1,1)</f>
        <v>57377</v>
      </c>
      <c r="AP394" s="22">
        <v>387</v>
      </c>
      <c r="AQ394" s="32">
        <f t="shared" ref="AQ394:AQ457" ca="1" si="441">IF(BR393&lt;0,0,BR393)</f>
        <v>350135.19688165834</v>
      </c>
      <c r="AR394" s="23">
        <f t="array" aca="1" ref="AR394" ca="1">SUM(IF(lsc_start_date=AO394,lsc_amount,0))</f>
        <v>0</v>
      </c>
      <c r="AS394" s="24">
        <f t="shared" ca="1" si="415"/>
        <v>0</v>
      </c>
      <c r="AT394" s="24">
        <f t="shared" ca="1" si="416"/>
        <v>0</v>
      </c>
      <c r="AU394" s="24">
        <f t="shared" ca="1" si="417"/>
        <v>0</v>
      </c>
      <c r="AV394" s="25">
        <f t="shared" ca="1" si="418"/>
        <v>0</v>
      </c>
      <c r="AW394" s="23">
        <f t="array" aca="1" ref="AW394" ca="1">SUM(IF(rcs_start_date&lt;=AO394,1,0)*IF(rcs_end_date&gt;=AO394,1,0)*rcs_amount*(1+rcs_escalation/100)^(INT((AP394-rcs_months_since_start)/12))*IF(MOD((AP394-rcs_months_since_start),rcs_frequency)=0,1,0)*IF(rcs_frequency=13,0,1))+SUM(IF(rcs_start_date=AO394,rcs_amount,0)*IF(rcs_frequency=13,1,0))</f>
        <v>0</v>
      </c>
      <c r="AX394" s="24">
        <f t="shared" ca="1" si="419"/>
        <v>0</v>
      </c>
      <c r="AY394" s="24">
        <f t="shared" ca="1" si="420"/>
        <v>0</v>
      </c>
      <c r="AZ394" s="24">
        <f t="shared" ca="1" si="421"/>
        <v>0</v>
      </c>
      <c r="BA394" s="25">
        <f t="shared" ca="1" si="422"/>
        <v>0</v>
      </c>
      <c r="BB394" s="23">
        <f t="array" aca="1" ref="BB394" ca="1">SUM(IF(w_start_date&lt;=AO394,1,0)*IF(w_end_date&gt;=AO394,1,0)*w_amount*(1+w_escalation/100)^(INT((AP394-w_months_since_start)/12))*IF(MOD(AP394-w_months_since_start,w_frequency)=0,1,0)*IF(w_frequency=13,0,1))+SUM(IF(w_start_date=AO394,w_amount,0)*IF(w_frequency=13,1,0))</f>
        <v>0</v>
      </c>
      <c r="BC394" s="25">
        <f t="shared" ca="1" si="423"/>
        <v>0</v>
      </c>
      <c r="BD394" s="24" t="b">
        <f t="shared" ca="1" si="424"/>
        <v>1</v>
      </c>
      <c r="BE394" s="24" t="b">
        <f t="shared" ca="1" si="425"/>
        <v>1</v>
      </c>
      <c r="BF394" s="23">
        <f t="array" aca="1" ref="BF394" ca="1">SUM(IF(BD394,1,0)*IF(ap_start_date&lt;=AO394,1,0)*IF(ap_end_date&gt;=AO394,1,0)*ap_amount*(1+ap_escalation/100)^(INT((AP394-ap_months_since_start)/12))*IF(MOD(AP394-ap_months_since_start,ap_frequency)=0,1,0))</f>
        <v>79756.882406416553</v>
      </c>
      <c r="BG394" s="24">
        <f t="shared" ca="1" si="426"/>
        <v>957082.58887699887</v>
      </c>
      <c r="BH394" s="24">
        <f t="shared" ca="1" si="427"/>
        <v>8955.8309179139032</v>
      </c>
      <c r="BI394">
        <f t="shared" ca="1" si="428"/>
        <v>0</v>
      </c>
      <c r="BJ394" s="24">
        <f t="shared" ca="1" si="429"/>
        <v>62690.816425397315</v>
      </c>
      <c r="BK394">
        <f t="shared" ca="1" si="430"/>
        <v>1</v>
      </c>
      <c r="BL394" s="25">
        <f t="shared" ca="1" si="431"/>
        <v>5224.2347021164414</v>
      </c>
      <c r="BM394" s="32">
        <f t="shared" ca="1" si="410"/>
        <v>347396.84699924965</v>
      </c>
      <c r="BN394" s="23">
        <f t="shared" ca="1" si="432"/>
        <v>0</v>
      </c>
      <c r="BO394" s="24">
        <f t="shared" ca="1" si="433"/>
        <v>0</v>
      </c>
      <c r="BP394" s="25">
        <f t="shared" ca="1" si="434"/>
        <v>0</v>
      </c>
      <c r="BQ394" s="34">
        <f t="shared" ca="1" si="435"/>
        <v>57404</v>
      </c>
      <c r="BR394" s="23">
        <f t="shared" ca="1" si="436"/>
        <v>347396.84699924965</v>
      </c>
      <c r="BS394" s="24">
        <f t="shared" ca="1" si="437"/>
        <v>0</v>
      </c>
      <c r="BT394" s="24">
        <f t="shared" ca="1" si="402"/>
        <v>0</v>
      </c>
      <c r="BU394" s="24">
        <f t="shared" ca="1" si="438"/>
        <v>0</v>
      </c>
      <c r="BV394" s="24">
        <f t="shared" ca="1" si="403"/>
        <v>0</v>
      </c>
      <c r="BW394" s="24">
        <f t="shared" ca="1" si="439"/>
        <v>-5224.2347021164414</v>
      </c>
      <c r="BX394" s="25">
        <f t="shared" ca="1" si="404"/>
        <v>-66997.480192269475</v>
      </c>
      <c r="BY394" s="23">
        <f t="shared" ca="1" si="411"/>
        <v>98061.984985338844</v>
      </c>
      <c r="BZ394" s="24">
        <f t="shared" ca="1" si="412"/>
        <v>0</v>
      </c>
      <c r="CA394" s="24">
        <f t="shared" ca="1" si="405"/>
        <v>0</v>
      </c>
      <c r="CB394" s="24">
        <f t="shared" ca="1" si="413"/>
        <v>0</v>
      </c>
      <c r="CC394" s="24">
        <f t="shared" ca="1" si="406"/>
        <v>0</v>
      </c>
      <c r="CD394" s="24">
        <f t="shared" ca="1" si="414"/>
        <v>-1479.5066863789048</v>
      </c>
      <c r="CE394" s="25">
        <f t="shared" ca="1" si="407"/>
        <v>-19327.218501200463</v>
      </c>
      <c r="CF394" s="23">
        <f t="shared" ca="1" si="408"/>
        <v>932542.00967502419</v>
      </c>
      <c r="CG394" s="25">
        <f t="array" aca="1" ref="CG394" ca="1">SUM(BF383:BF394/(1+inflation/100)^(AP383:AP394/12))</f>
        <v>267980.53702225379</v>
      </c>
      <c r="CH394" s="32">
        <f ca="1">IFERROR(IF(MOD(AP394-ap_months_since_start,12)=0,ap_drawdown/100*(AQ394+AV394+BA394-BC394),CH393),0)</f>
        <v>55058.342685925512</v>
      </c>
    </row>
    <row r="395" spans="40:86" x14ac:dyDescent="0.25">
      <c r="AN395" s="32">
        <f t="shared" ca="1" si="409"/>
        <v>87.166666666666671</v>
      </c>
      <c r="AO395" s="53">
        <f t="shared" ca="1" si="440"/>
        <v>57405</v>
      </c>
      <c r="AP395" s="22">
        <v>388</v>
      </c>
      <c r="AQ395" s="32">
        <f t="shared" ca="1" si="441"/>
        <v>347396.84699924965</v>
      </c>
      <c r="AR395" s="23">
        <f t="array" aca="1" ref="AR395" ca="1">SUM(IF(lsc_start_date=AO395,lsc_amount,0))</f>
        <v>0</v>
      </c>
      <c r="AS395" s="24">
        <f t="shared" ca="1" si="415"/>
        <v>0</v>
      </c>
      <c r="AT395" s="24">
        <f t="shared" ca="1" si="416"/>
        <v>0</v>
      </c>
      <c r="AU395" s="24">
        <f t="shared" ca="1" si="417"/>
        <v>0</v>
      </c>
      <c r="AV395" s="25">
        <f t="shared" ca="1" si="418"/>
        <v>0</v>
      </c>
      <c r="AW395" s="23">
        <f t="array" aca="1" ref="AW395" ca="1">SUM(IF(rcs_start_date&lt;=AO395,1,0)*IF(rcs_end_date&gt;=AO395,1,0)*rcs_amount*(1+rcs_escalation/100)^(INT((AP395-rcs_months_since_start)/12))*IF(MOD((AP395-rcs_months_since_start),rcs_frequency)=0,1,0)*IF(rcs_frequency=13,0,1))+SUM(IF(rcs_start_date=AO395,rcs_amount,0)*IF(rcs_frequency=13,1,0))</f>
        <v>0</v>
      </c>
      <c r="AX395" s="24">
        <f t="shared" ca="1" si="419"/>
        <v>0</v>
      </c>
      <c r="AY395" s="24">
        <f t="shared" ca="1" si="420"/>
        <v>0</v>
      </c>
      <c r="AZ395" s="24">
        <f t="shared" ca="1" si="421"/>
        <v>0</v>
      </c>
      <c r="BA395" s="25">
        <f t="shared" ca="1" si="422"/>
        <v>0</v>
      </c>
      <c r="BB395" s="23">
        <f t="array" aca="1" ref="BB395" ca="1">SUM(IF(w_start_date&lt;=AO395,1,0)*IF(w_end_date&gt;=AO395,1,0)*w_amount*(1+w_escalation/100)^(INT((AP395-w_months_since_start)/12))*IF(MOD(AP395-w_months_since_start,w_frequency)=0,1,0)*IF(w_frequency=13,0,1))+SUM(IF(w_start_date=AO395,w_amount,0)*IF(w_frequency=13,1,0))</f>
        <v>0</v>
      </c>
      <c r="BC395" s="25">
        <f t="shared" ca="1" si="423"/>
        <v>0</v>
      </c>
      <c r="BD395" s="24" t="b">
        <f t="shared" ca="1" si="424"/>
        <v>1</v>
      </c>
      <c r="BE395" s="24" t="b">
        <f t="shared" ca="1" si="425"/>
        <v>1</v>
      </c>
      <c r="BF395" s="23">
        <f t="array" aca="1" ref="BF395" ca="1">SUM(IF(BD395,1,0)*IF(ap_start_date&lt;=AO395,1,0)*IF(ap_end_date&gt;=AO395,1,0)*ap_amount*(1+ap_escalation/100)^(INT((AP395-ap_months_since_start)/12))*IF(MOD(AP395-ap_months_since_start,ap_frequency)=0,1,0))</f>
        <v>79756.882406416553</v>
      </c>
      <c r="BG395" s="24">
        <f t="shared" ca="1" si="426"/>
        <v>957082.58887699887</v>
      </c>
      <c r="BH395" s="24">
        <f t="shared" ca="1" si="427"/>
        <v>8955.8309179139032</v>
      </c>
      <c r="BI395">
        <f t="shared" ca="1" si="428"/>
        <v>0</v>
      </c>
      <c r="BJ395" s="24">
        <f t="shared" ca="1" si="429"/>
        <v>62690.816425397315</v>
      </c>
      <c r="BK395">
        <f t="shared" ca="1" si="430"/>
        <v>1</v>
      </c>
      <c r="BL395" s="25">
        <f t="shared" ca="1" si="431"/>
        <v>5224.2347021164414</v>
      </c>
      <c r="BM395" s="32">
        <f t="shared" ca="1" si="410"/>
        <v>344638.76094388572</v>
      </c>
      <c r="BN395" s="23">
        <f t="shared" ca="1" si="432"/>
        <v>0</v>
      </c>
      <c r="BO395" s="24">
        <f t="shared" ca="1" si="433"/>
        <v>0</v>
      </c>
      <c r="BP395" s="25">
        <f t="shared" ca="1" si="434"/>
        <v>0</v>
      </c>
      <c r="BQ395" s="34">
        <f t="shared" ca="1" si="435"/>
        <v>57435</v>
      </c>
      <c r="BR395" s="23">
        <f t="shared" ca="1" si="436"/>
        <v>344638.76094388572</v>
      </c>
      <c r="BS395" s="24">
        <f t="shared" ca="1" si="437"/>
        <v>0</v>
      </c>
      <c r="BT395" s="24">
        <f t="shared" ca="1" si="402"/>
        <v>0</v>
      </c>
      <c r="BU395" s="24">
        <f t="shared" ca="1" si="438"/>
        <v>0</v>
      </c>
      <c r="BV395" s="24">
        <f t="shared" ca="1" si="403"/>
        <v>0</v>
      </c>
      <c r="BW395" s="24">
        <f t="shared" ca="1" si="439"/>
        <v>-5224.2347021164414</v>
      </c>
      <c r="BX395" s="25">
        <f t="shared" ca="1" si="404"/>
        <v>-66459.147221410458</v>
      </c>
      <c r="BY395" s="23">
        <f t="shared" ca="1" si="411"/>
        <v>96966.000503483621</v>
      </c>
      <c r="BZ395" s="24">
        <f t="shared" ca="1" si="412"/>
        <v>0</v>
      </c>
      <c r="CA395" s="24">
        <f t="shared" ca="1" si="405"/>
        <v>0</v>
      </c>
      <c r="CB395" s="24">
        <f t="shared" ca="1" si="413"/>
        <v>0</v>
      </c>
      <c r="CC395" s="24">
        <f t="shared" ca="1" si="406"/>
        <v>0</v>
      </c>
      <c r="CD395" s="24">
        <f t="shared" ca="1" si="414"/>
        <v>-1474.6789711650295</v>
      </c>
      <c r="CE395" s="25">
        <f t="shared" ca="1" si="407"/>
        <v>-19110.194215166499</v>
      </c>
      <c r="CF395" s="23">
        <f t="shared" ca="1" si="408"/>
        <v>935609.58207527106</v>
      </c>
      <c r="CG395" s="25">
        <f t="array" aca="1" ref="CG395" ca="1">SUM(BF384:BF395/(1+inflation/100)^(AP384:AP395/12))</f>
        <v>267980.53702225379</v>
      </c>
      <c r="CH395" s="32">
        <f ca="1">IFERROR(IF(MOD(AP395-ap_months_since_start,12)=0,ap_drawdown/100*(AQ395+AV395+BA395-BC395),CH394),0)</f>
        <v>55058.342685925512</v>
      </c>
    </row>
    <row r="396" spans="40:86" x14ac:dyDescent="0.25">
      <c r="AN396" s="32">
        <f t="shared" ca="1" si="409"/>
        <v>87.25</v>
      </c>
      <c r="AO396" s="53">
        <f t="shared" ca="1" si="440"/>
        <v>57436</v>
      </c>
      <c r="AP396" s="22">
        <v>389</v>
      </c>
      <c r="AQ396" s="32">
        <f t="shared" ca="1" si="441"/>
        <v>344638.76094388572</v>
      </c>
      <c r="AR396" s="23">
        <f t="array" aca="1" ref="AR396" ca="1">SUM(IF(lsc_start_date=AO396,lsc_amount,0))</f>
        <v>0</v>
      </c>
      <c r="AS396" s="24">
        <f t="shared" ca="1" si="415"/>
        <v>0</v>
      </c>
      <c r="AT396" s="24">
        <f t="shared" ca="1" si="416"/>
        <v>0</v>
      </c>
      <c r="AU396" s="24">
        <f t="shared" ca="1" si="417"/>
        <v>0</v>
      </c>
      <c r="AV396" s="25">
        <f t="shared" ca="1" si="418"/>
        <v>0</v>
      </c>
      <c r="AW396" s="23">
        <f t="array" aca="1" ref="AW396" ca="1">SUM(IF(rcs_start_date&lt;=AO396,1,0)*IF(rcs_end_date&gt;=AO396,1,0)*rcs_amount*(1+rcs_escalation/100)^(INT((AP396-rcs_months_since_start)/12))*IF(MOD((AP396-rcs_months_since_start),rcs_frequency)=0,1,0)*IF(rcs_frequency=13,0,1))+SUM(IF(rcs_start_date=AO396,rcs_amount,0)*IF(rcs_frequency=13,1,0))</f>
        <v>0</v>
      </c>
      <c r="AX396" s="24">
        <f t="shared" ca="1" si="419"/>
        <v>0</v>
      </c>
      <c r="AY396" s="24">
        <f t="shared" ca="1" si="420"/>
        <v>0</v>
      </c>
      <c r="AZ396" s="24">
        <f t="shared" ca="1" si="421"/>
        <v>0</v>
      </c>
      <c r="BA396" s="25">
        <f t="shared" ca="1" si="422"/>
        <v>0</v>
      </c>
      <c r="BB396" s="23">
        <f t="array" aca="1" ref="BB396" ca="1">SUM(IF(w_start_date&lt;=AO396,1,0)*IF(w_end_date&gt;=AO396,1,0)*w_amount*(1+w_escalation/100)^(INT((AP396-w_months_since_start)/12))*IF(MOD(AP396-w_months_since_start,w_frequency)=0,1,0)*IF(w_frequency=13,0,1))+SUM(IF(w_start_date=AO396,w_amount,0)*IF(w_frequency=13,1,0))</f>
        <v>0</v>
      </c>
      <c r="BC396" s="25">
        <f t="shared" ca="1" si="423"/>
        <v>0</v>
      </c>
      <c r="BD396" s="24" t="b">
        <f t="shared" ca="1" si="424"/>
        <v>1</v>
      </c>
      <c r="BE396" s="24" t="b">
        <f t="shared" ca="1" si="425"/>
        <v>1</v>
      </c>
      <c r="BF396" s="23">
        <f t="array" aca="1" ref="BF396" ca="1">SUM(IF(BD396,1,0)*IF(ap_start_date&lt;=AO396,1,0)*IF(ap_end_date&gt;=AO396,1,0)*ap_amount*(1+ap_escalation/100)^(INT((AP396-ap_months_since_start)/12))*IF(MOD(AP396-ap_months_since_start,ap_frequency)=0,1,0))</f>
        <v>79756.882406416553</v>
      </c>
      <c r="BG396" s="24">
        <f t="shared" ca="1" si="426"/>
        <v>957082.58887699887</v>
      </c>
      <c r="BH396" s="24">
        <f t="shared" ca="1" si="427"/>
        <v>8955.8309179139032</v>
      </c>
      <c r="BI396">
        <f t="shared" ca="1" si="428"/>
        <v>0</v>
      </c>
      <c r="BJ396" s="24">
        <f t="shared" ca="1" si="429"/>
        <v>62690.816425397315</v>
      </c>
      <c r="BK396">
        <f t="shared" ca="1" si="430"/>
        <v>1</v>
      </c>
      <c r="BL396" s="25">
        <f t="shared" ca="1" si="431"/>
        <v>5224.2347021164414</v>
      </c>
      <c r="BM396" s="32">
        <f t="shared" ca="1" si="410"/>
        <v>341860.79647058708</v>
      </c>
      <c r="BN396" s="23">
        <f t="shared" ca="1" si="432"/>
        <v>0</v>
      </c>
      <c r="BO396" s="24">
        <f t="shared" ca="1" si="433"/>
        <v>0</v>
      </c>
      <c r="BP396" s="25">
        <f t="shared" ca="1" si="434"/>
        <v>0</v>
      </c>
      <c r="BQ396" s="34">
        <f t="shared" ca="1" si="435"/>
        <v>57465</v>
      </c>
      <c r="BR396" s="23">
        <f t="shared" ca="1" si="436"/>
        <v>341860.79647058708</v>
      </c>
      <c r="BS396" s="24">
        <f t="shared" ca="1" si="437"/>
        <v>0</v>
      </c>
      <c r="BT396" s="24">
        <f t="shared" ca="1" si="402"/>
        <v>0</v>
      </c>
      <c r="BU396" s="24">
        <f t="shared" ca="1" si="438"/>
        <v>0</v>
      </c>
      <c r="BV396" s="24">
        <f t="shared" ca="1" si="403"/>
        <v>0</v>
      </c>
      <c r="BW396" s="24">
        <f t="shared" ca="1" si="439"/>
        <v>-5224.2347021164414</v>
      </c>
      <c r="BX396" s="25">
        <f t="shared" ca="1" si="404"/>
        <v>-65920.814250551426</v>
      </c>
      <c r="BY396" s="23">
        <f t="shared" ca="1" si="411"/>
        <v>95870.549771228616</v>
      </c>
      <c r="BZ396" s="24">
        <f t="shared" ca="1" si="412"/>
        <v>0</v>
      </c>
      <c r="CA396" s="24">
        <f t="shared" ca="1" si="405"/>
        <v>0</v>
      </c>
      <c r="CB396" s="24">
        <f t="shared" ca="1" si="413"/>
        <v>0</v>
      </c>
      <c r="CC396" s="24">
        <f t="shared" ca="1" si="406"/>
        <v>0</v>
      </c>
      <c r="CD396" s="24">
        <f t="shared" ca="1" si="414"/>
        <v>-1469.8670090629184</v>
      </c>
      <c r="CE396" s="25">
        <f t="shared" ca="1" si="407"/>
        <v>-18893.878091831029</v>
      </c>
      <c r="CF396" s="23">
        <f t="shared" ca="1" si="408"/>
        <v>938677.15447551792</v>
      </c>
      <c r="CG396" s="25">
        <f t="array" aca="1" ref="CG396" ca="1">SUM(BF385:BF396/(1+inflation/100)^(AP385:AP396/12))</f>
        <v>267980.53702225379</v>
      </c>
      <c r="CH396" s="32">
        <f ca="1">IFERROR(IF(MOD(AP396-ap_months_since_start,12)=0,ap_drawdown/100*(AQ396+AV396+BA396-BC396),CH395),0)</f>
        <v>55058.342685925512</v>
      </c>
    </row>
    <row r="397" spans="40:86" x14ac:dyDescent="0.25">
      <c r="AN397" s="32">
        <f t="shared" ca="1" si="409"/>
        <v>87.333333333333329</v>
      </c>
      <c r="AO397" s="53">
        <f t="shared" ca="1" si="440"/>
        <v>57466</v>
      </c>
      <c r="AP397" s="22">
        <v>390</v>
      </c>
      <c r="AQ397" s="32">
        <f t="shared" ca="1" si="441"/>
        <v>341860.79647058708</v>
      </c>
      <c r="AR397" s="23">
        <f t="array" aca="1" ref="AR397" ca="1">SUM(IF(lsc_start_date=AO397,lsc_amount,0))</f>
        <v>0</v>
      </c>
      <c r="AS397" s="24">
        <f t="shared" ca="1" si="415"/>
        <v>0</v>
      </c>
      <c r="AT397" s="24">
        <f t="shared" ca="1" si="416"/>
        <v>0</v>
      </c>
      <c r="AU397" s="24">
        <f t="shared" ca="1" si="417"/>
        <v>0</v>
      </c>
      <c r="AV397" s="25">
        <f t="shared" ca="1" si="418"/>
        <v>0</v>
      </c>
      <c r="AW397" s="23">
        <f t="array" aca="1" ref="AW397" ca="1">SUM(IF(rcs_start_date&lt;=AO397,1,0)*IF(rcs_end_date&gt;=AO397,1,0)*rcs_amount*(1+rcs_escalation/100)^(INT((AP397-rcs_months_since_start)/12))*IF(MOD((AP397-rcs_months_since_start),rcs_frequency)=0,1,0)*IF(rcs_frequency=13,0,1))+SUM(IF(rcs_start_date=AO397,rcs_amount,0)*IF(rcs_frequency=13,1,0))</f>
        <v>0</v>
      </c>
      <c r="AX397" s="24">
        <f t="shared" ca="1" si="419"/>
        <v>0</v>
      </c>
      <c r="AY397" s="24">
        <f t="shared" ca="1" si="420"/>
        <v>0</v>
      </c>
      <c r="AZ397" s="24">
        <f t="shared" ca="1" si="421"/>
        <v>0</v>
      </c>
      <c r="BA397" s="25">
        <f t="shared" ca="1" si="422"/>
        <v>0</v>
      </c>
      <c r="BB397" s="23">
        <f t="array" aca="1" ref="BB397" ca="1">SUM(IF(w_start_date&lt;=AO397,1,0)*IF(w_end_date&gt;=AO397,1,0)*w_amount*(1+w_escalation/100)^(INT((AP397-w_months_since_start)/12))*IF(MOD(AP397-w_months_since_start,w_frequency)=0,1,0)*IF(w_frequency=13,0,1))+SUM(IF(w_start_date=AO397,w_amount,0)*IF(w_frequency=13,1,0))</f>
        <v>0</v>
      </c>
      <c r="BC397" s="25">
        <f t="shared" ca="1" si="423"/>
        <v>0</v>
      </c>
      <c r="BD397" s="24" t="b">
        <f t="shared" ca="1" si="424"/>
        <v>1</v>
      </c>
      <c r="BE397" s="24" t="b">
        <f t="shared" ca="1" si="425"/>
        <v>1</v>
      </c>
      <c r="BF397" s="23">
        <f t="array" aca="1" ref="BF397" ca="1">SUM(IF(BD397,1,0)*IF(ap_start_date&lt;=AO397,1,0)*IF(ap_end_date&gt;=AO397,1,0)*ap_amount*(1+ap_escalation/100)^(INT((AP397-ap_months_since_start)/12))*IF(MOD(AP397-ap_months_since_start,ap_frequency)=0,1,0))</f>
        <v>79756.882406416553</v>
      </c>
      <c r="BG397" s="24">
        <f t="shared" ca="1" si="426"/>
        <v>957082.58887699887</v>
      </c>
      <c r="BH397" s="24">
        <f t="shared" ca="1" si="427"/>
        <v>8955.8309179139032</v>
      </c>
      <c r="BI397">
        <f t="shared" ca="1" si="428"/>
        <v>0</v>
      </c>
      <c r="BJ397" s="24">
        <f t="shared" ca="1" si="429"/>
        <v>62690.816425397315</v>
      </c>
      <c r="BK397">
        <f t="shared" ca="1" si="430"/>
        <v>1</v>
      </c>
      <c r="BL397" s="25">
        <f t="shared" ca="1" si="431"/>
        <v>5224.2347021164414</v>
      </c>
      <c r="BM397" s="32">
        <f t="shared" ca="1" si="410"/>
        <v>339062.81030916859</v>
      </c>
      <c r="BN397" s="23">
        <f t="shared" ca="1" si="432"/>
        <v>0</v>
      </c>
      <c r="BO397" s="24">
        <f t="shared" ca="1" si="433"/>
        <v>0</v>
      </c>
      <c r="BP397" s="25">
        <f t="shared" ca="1" si="434"/>
        <v>0</v>
      </c>
      <c r="BQ397" s="34">
        <f t="shared" ca="1" si="435"/>
        <v>57496</v>
      </c>
      <c r="BR397" s="23">
        <f t="shared" ca="1" si="436"/>
        <v>339062.81030916859</v>
      </c>
      <c r="BS397" s="24">
        <f t="shared" ca="1" si="437"/>
        <v>0</v>
      </c>
      <c r="BT397" s="24">
        <f t="shared" ca="1" si="402"/>
        <v>0</v>
      </c>
      <c r="BU397" s="24">
        <f t="shared" ca="1" si="438"/>
        <v>0</v>
      </c>
      <c r="BV397" s="24">
        <f t="shared" ca="1" si="403"/>
        <v>0</v>
      </c>
      <c r="BW397" s="24">
        <f t="shared" ca="1" si="439"/>
        <v>-5224.2347021164414</v>
      </c>
      <c r="BX397" s="25">
        <f t="shared" ca="1" si="404"/>
        <v>-65382.481279692402</v>
      </c>
      <c r="BY397" s="23">
        <f t="shared" ca="1" si="411"/>
        <v>94775.61911800057</v>
      </c>
      <c r="BZ397" s="24">
        <f t="shared" ca="1" si="412"/>
        <v>0</v>
      </c>
      <c r="CA397" s="24">
        <f t="shared" ca="1" si="405"/>
        <v>0</v>
      </c>
      <c r="CB397" s="24">
        <f t="shared" ca="1" si="413"/>
        <v>0</v>
      </c>
      <c r="CC397" s="24">
        <f t="shared" ca="1" si="406"/>
        <v>0</v>
      </c>
      <c r="CD397" s="24">
        <f t="shared" ca="1" si="414"/>
        <v>-1465.0707486692643</v>
      </c>
      <c r="CE397" s="25">
        <f t="shared" ca="1" si="407"/>
        <v>-18678.267820418529</v>
      </c>
      <c r="CF397" s="23">
        <f t="shared" ca="1" si="408"/>
        <v>941744.72687576478</v>
      </c>
      <c r="CG397" s="25">
        <f t="array" aca="1" ref="CG397" ca="1">SUM(BF386:BF397/(1+inflation/100)^(AP386:AP397/12))</f>
        <v>267980.53702225379</v>
      </c>
      <c r="CH397" s="32">
        <f ca="1">IFERROR(IF(MOD(AP397-ap_months_since_start,12)=0,ap_drawdown/100*(AQ397+AV397+BA397-BC397),CH396),0)</f>
        <v>55058.342685925512</v>
      </c>
    </row>
    <row r="398" spans="40:86" x14ac:dyDescent="0.25">
      <c r="AN398" s="32">
        <f t="shared" ca="1" si="409"/>
        <v>87.416666666666671</v>
      </c>
      <c r="AO398" s="53">
        <f t="shared" ca="1" si="440"/>
        <v>57497</v>
      </c>
      <c r="AP398" s="22">
        <v>391</v>
      </c>
      <c r="AQ398" s="32">
        <f t="shared" ca="1" si="441"/>
        <v>339062.81030916859</v>
      </c>
      <c r="AR398" s="23">
        <f t="array" aca="1" ref="AR398" ca="1">SUM(IF(lsc_start_date=AO398,lsc_amount,0))</f>
        <v>0</v>
      </c>
      <c r="AS398" s="24">
        <f t="shared" ca="1" si="415"/>
        <v>0</v>
      </c>
      <c r="AT398" s="24">
        <f t="shared" ca="1" si="416"/>
        <v>0</v>
      </c>
      <c r="AU398" s="24">
        <f t="shared" ca="1" si="417"/>
        <v>0</v>
      </c>
      <c r="AV398" s="25">
        <f t="shared" ca="1" si="418"/>
        <v>0</v>
      </c>
      <c r="AW398" s="23">
        <f t="array" aca="1" ref="AW398" ca="1">SUM(IF(rcs_start_date&lt;=AO398,1,0)*IF(rcs_end_date&gt;=AO398,1,0)*rcs_amount*(1+rcs_escalation/100)^(INT((AP398-rcs_months_since_start)/12))*IF(MOD((AP398-rcs_months_since_start),rcs_frequency)=0,1,0)*IF(rcs_frequency=13,0,1))+SUM(IF(rcs_start_date=AO398,rcs_amount,0)*IF(rcs_frequency=13,1,0))</f>
        <v>0</v>
      </c>
      <c r="AX398" s="24">
        <f t="shared" ca="1" si="419"/>
        <v>0</v>
      </c>
      <c r="AY398" s="24">
        <f t="shared" ca="1" si="420"/>
        <v>0</v>
      </c>
      <c r="AZ398" s="24">
        <f t="shared" ca="1" si="421"/>
        <v>0</v>
      </c>
      <c r="BA398" s="25">
        <f t="shared" ca="1" si="422"/>
        <v>0</v>
      </c>
      <c r="BB398" s="23">
        <f t="array" aca="1" ref="BB398" ca="1">SUM(IF(w_start_date&lt;=AO398,1,0)*IF(w_end_date&gt;=AO398,1,0)*w_amount*(1+w_escalation/100)^(INT((AP398-w_months_since_start)/12))*IF(MOD(AP398-w_months_since_start,w_frequency)=0,1,0)*IF(w_frequency=13,0,1))+SUM(IF(w_start_date=AO398,w_amount,0)*IF(w_frequency=13,1,0))</f>
        <v>0</v>
      </c>
      <c r="BC398" s="25">
        <f t="shared" ca="1" si="423"/>
        <v>0</v>
      </c>
      <c r="BD398" s="24" t="b">
        <f t="shared" ca="1" si="424"/>
        <v>1</v>
      </c>
      <c r="BE398" s="24" t="b">
        <f t="shared" ca="1" si="425"/>
        <v>1</v>
      </c>
      <c r="BF398" s="23">
        <f t="array" aca="1" ref="BF398" ca="1">SUM(IF(BD398,1,0)*IF(ap_start_date&lt;=AO398,1,0)*IF(ap_end_date&gt;=AO398,1,0)*ap_amount*(1+ap_escalation/100)^(INT((AP398-ap_months_since_start)/12))*IF(MOD(AP398-ap_months_since_start,ap_frequency)=0,1,0))</f>
        <v>79756.882406416553</v>
      </c>
      <c r="BG398" s="24">
        <f t="shared" ca="1" si="426"/>
        <v>957082.58887699887</v>
      </c>
      <c r="BH398" s="24">
        <f t="shared" ca="1" si="427"/>
        <v>8955.8309179139032</v>
      </c>
      <c r="BI398">
        <f t="shared" ca="1" si="428"/>
        <v>0</v>
      </c>
      <c r="BJ398" s="24">
        <f t="shared" ca="1" si="429"/>
        <v>62690.816425397315</v>
      </c>
      <c r="BK398">
        <f t="shared" ca="1" si="430"/>
        <v>1</v>
      </c>
      <c r="BL398" s="25">
        <f t="shared" ca="1" si="431"/>
        <v>5224.2347021164414</v>
      </c>
      <c r="BM398" s="32">
        <f t="shared" ca="1" si="410"/>
        <v>336244.65815685072</v>
      </c>
      <c r="BN398" s="23">
        <f t="shared" ca="1" si="432"/>
        <v>0</v>
      </c>
      <c r="BO398" s="24">
        <f t="shared" ca="1" si="433"/>
        <v>0</v>
      </c>
      <c r="BP398" s="25">
        <f t="shared" ca="1" si="434"/>
        <v>0</v>
      </c>
      <c r="BQ398" s="34">
        <f t="shared" ca="1" si="435"/>
        <v>57526</v>
      </c>
      <c r="BR398" s="23">
        <f t="shared" ca="1" si="436"/>
        <v>336244.65815685072</v>
      </c>
      <c r="BS398" s="24">
        <f t="shared" ca="1" si="437"/>
        <v>0</v>
      </c>
      <c r="BT398" s="24">
        <f t="shared" ca="1" si="402"/>
        <v>0</v>
      </c>
      <c r="BU398" s="24">
        <f t="shared" ca="1" si="438"/>
        <v>0</v>
      </c>
      <c r="BV398" s="24">
        <f t="shared" ca="1" si="403"/>
        <v>0</v>
      </c>
      <c r="BW398" s="24">
        <f t="shared" ca="1" si="439"/>
        <v>-5224.2347021164414</v>
      </c>
      <c r="BX398" s="25">
        <f t="shared" ca="1" si="404"/>
        <v>-64844.148308833377</v>
      </c>
      <c r="BY398" s="23">
        <f t="shared" ca="1" si="411"/>
        <v>93681.194871063853</v>
      </c>
      <c r="BZ398" s="24">
        <f t="shared" ca="1" si="412"/>
        <v>0</v>
      </c>
      <c r="CA398" s="24">
        <f t="shared" ca="1" si="405"/>
        <v>0</v>
      </c>
      <c r="CB398" s="24">
        <f t="shared" ca="1" si="413"/>
        <v>0</v>
      </c>
      <c r="CC398" s="24">
        <f t="shared" ca="1" si="406"/>
        <v>0</v>
      </c>
      <c r="CD398" s="24">
        <f t="shared" ca="1" si="414"/>
        <v>-1460.2901387484908</v>
      </c>
      <c r="CE398" s="25">
        <f t="shared" ca="1" si="407"/>
        <v>-18463.361097693676</v>
      </c>
      <c r="CF398" s="23">
        <f t="shared" ca="1" si="408"/>
        <v>944812.29927601165</v>
      </c>
      <c r="CG398" s="25">
        <f t="array" aca="1" ref="CG398" ca="1">SUM(BF387:BF398/(1+inflation/100)^(AP387:AP398/12))</f>
        <v>267980.53702225379</v>
      </c>
      <c r="CH398" s="32">
        <f ca="1">IFERROR(IF(MOD(AP398-ap_months_since_start,12)=0,ap_drawdown/100*(AQ398+AV398+BA398-BC398),CH397),0)</f>
        <v>55058.342685925512</v>
      </c>
    </row>
    <row r="399" spans="40:86" x14ac:dyDescent="0.25">
      <c r="AN399" s="32">
        <f t="shared" ca="1" si="409"/>
        <v>87.5</v>
      </c>
      <c r="AO399" s="53">
        <f t="shared" ca="1" si="440"/>
        <v>57527</v>
      </c>
      <c r="AP399" s="22">
        <v>392</v>
      </c>
      <c r="AQ399" s="32">
        <f t="shared" ca="1" si="441"/>
        <v>336244.65815685072</v>
      </c>
      <c r="AR399" s="23">
        <f t="array" aca="1" ref="AR399" ca="1">SUM(IF(lsc_start_date=AO399,lsc_amount,0))</f>
        <v>0</v>
      </c>
      <c r="AS399" s="24">
        <f t="shared" ca="1" si="415"/>
        <v>0</v>
      </c>
      <c r="AT399" s="24">
        <f t="shared" ca="1" si="416"/>
        <v>0</v>
      </c>
      <c r="AU399" s="24">
        <f t="shared" ca="1" si="417"/>
        <v>0</v>
      </c>
      <c r="AV399" s="25">
        <f t="shared" ca="1" si="418"/>
        <v>0</v>
      </c>
      <c r="AW399" s="23">
        <f t="array" aca="1" ref="AW399" ca="1">SUM(IF(rcs_start_date&lt;=AO399,1,0)*IF(rcs_end_date&gt;=AO399,1,0)*rcs_amount*(1+rcs_escalation/100)^(INT((AP399-rcs_months_since_start)/12))*IF(MOD((AP399-rcs_months_since_start),rcs_frequency)=0,1,0)*IF(rcs_frequency=13,0,1))+SUM(IF(rcs_start_date=AO399,rcs_amount,0)*IF(rcs_frequency=13,1,0))</f>
        <v>0</v>
      </c>
      <c r="AX399" s="24">
        <f t="shared" ca="1" si="419"/>
        <v>0</v>
      </c>
      <c r="AY399" s="24">
        <f t="shared" ca="1" si="420"/>
        <v>0</v>
      </c>
      <c r="AZ399" s="24">
        <f t="shared" ca="1" si="421"/>
        <v>0</v>
      </c>
      <c r="BA399" s="25">
        <f t="shared" ca="1" si="422"/>
        <v>0</v>
      </c>
      <c r="BB399" s="23">
        <f t="array" aca="1" ref="BB399" ca="1">SUM(IF(w_start_date&lt;=AO399,1,0)*IF(w_end_date&gt;=AO399,1,0)*w_amount*(1+w_escalation/100)^(INT((AP399-w_months_since_start)/12))*IF(MOD(AP399-w_months_since_start,w_frequency)=0,1,0)*IF(w_frequency=13,0,1))+SUM(IF(w_start_date=AO399,w_amount,0)*IF(w_frequency=13,1,0))</f>
        <v>0</v>
      </c>
      <c r="BC399" s="25">
        <f t="shared" ca="1" si="423"/>
        <v>0</v>
      </c>
      <c r="BD399" s="24" t="b">
        <f t="shared" ca="1" si="424"/>
        <v>1</v>
      </c>
      <c r="BE399" s="24" t="b">
        <f t="shared" ca="1" si="425"/>
        <v>1</v>
      </c>
      <c r="BF399" s="23">
        <f t="array" aca="1" ref="BF399" ca="1">SUM(IF(BD399,1,0)*IF(ap_start_date&lt;=AO399,1,0)*IF(ap_end_date&gt;=AO399,1,0)*ap_amount*(1+ap_escalation/100)^(INT((AP399-ap_months_since_start)/12))*IF(MOD(AP399-ap_months_since_start,ap_frequency)=0,1,0))</f>
        <v>79756.882406416553</v>
      </c>
      <c r="BG399" s="24">
        <f t="shared" ca="1" si="426"/>
        <v>957082.58887699887</v>
      </c>
      <c r="BH399" s="24">
        <f t="shared" ca="1" si="427"/>
        <v>8955.8309179139032</v>
      </c>
      <c r="BI399">
        <f t="shared" ca="1" si="428"/>
        <v>0</v>
      </c>
      <c r="BJ399" s="24">
        <f t="shared" ca="1" si="429"/>
        <v>62690.816425397315</v>
      </c>
      <c r="BK399">
        <f t="shared" ca="1" si="430"/>
        <v>1</v>
      </c>
      <c r="BL399" s="25">
        <f t="shared" ca="1" si="431"/>
        <v>5224.2347021164414</v>
      </c>
      <c r="BM399" s="32">
        <f t="shared" ca="1" si="410"/>
        <v>333406.194670817</v>
      </c>
      <c r="BN399" s="23">
        <f t="shared" ca="1" si="432"/>
        <v>0</v>
      </c>
      <c r="BO399" s="24">
        <f t="shared" ca="1" si="433"/>
        <v>0</v>
      </c>
      <c r="BP399" s="25">
        <f t="shared" ca="1" si="434"/>
        <v>0</v>
      </c>
      <c r="BQ399" s="34">
        <f t="shared" ca="1" si="435"/>
        <v>57557</v>
      </c>
      <c r="BR399" s="23">
        <f t="shared" ca="1" si="436"/>
        <v>333406.194670817</v>
      </c>
      <c r="BS399" s="24">
        <f t="shared" ca="1" si="437"/>
        <v>0</v>
      </c>
      <c r="BT399" s="24">
        <f t="shared" ca="1" si="402"/>
        <v>0</v>
      </c>
      <c r="BU399" s="24">
        <f t="shared" ca="1" si="438"/>
        <v>0</v>
      </c>
      <c r="BV399" s="24">
        <f t="shared" ca="1" si="403"/>
        <v>0</v>
      </c>
      <c r="BW399" s="24">
        <f t="shared" ca="1" si="439"/>
        <v>-5224.2347021164414</v>
      </c>
      <c r="BX399" s="25">
        <f t="shared" ca="1" si="404"/>
        <v>-64305.815337974353</v>
      </c>
      <c r="BY399" s="23">
        <f t="shared" ca="1" si="411"/>
        <v>92587.263355344185</v>
      </c>
      <c r="BZ399" s="24">
        <f t="shared" ca="1" si="412"/>
        <v>0</v>
      </c>
      <c r="CA399" s="24">
        <f t="shared" ca="1" si="405"/>
        <v>0</v>
      </c>
      <c r="CB399" s="24">
        <f t="shared" ca="1" si="413"/>
        <v>0</v>
      </c>
      <c r="CC399" s="24">
        <f t="shared" ca="1" si="406"/>
        <v>0</v>
      </c>
      <c r="CD399" s="24">
        <f t="shared" ca="1" si="414"/>
        <v>-1455.5251282322065</v>
      </c>
      <c r="CE399" s="25">
        <f t="shared" ca="1" si="407"/>
        <v>-18249.155627936732</v>
      </c>
      <c r="CF399" s="23">
        <f t="shared" ca="1" si="408"/>
        <v>947879.87167625839</v>
      </c>
      <c r="CG399" s="25">
        <f t="array" aca="1" ref="CG399" ca="1">SUM(BF388:BF399/(1+inflation/100)^(AP388:AP399/12))</f>
        <v>267980.53702225385</v>
      </c>
      <c r="CH399" s="32">
        <f ca="1">IFERROR(IF(MOD(AP399-ap_months_since_start,12)=0,ap_drawdown/100*(AQ399+AV399+BA399-BC399),CH398),0)</f>
        <v>55058.342685925512</v>
      </c>
    </row>
    <row r="400" spans="40:86" x14ac:dyDescent="0.25">
      <c r="AN400" s="32">
        <f t="shared" ca="1" si="409"/>
        <v>87.583333333333329</v>
      </c>
      <c r="AO400" s="53">
        <f t="shared" ca="1" si="440"/>
        <v>57558</v>
      </c>
      <c r="AP400" s="22">
        <v>393</v>
      </c>
      <c r="AQ400" s="32">
        <f t="shared" ca="1" si="441"/>
        <v>333406.194670817</v>
      </c>
      <c r="AR400" s="23">
        <f t="array" aca="1" ref="AR400" ca="1">SUM(IF(lsc_start_date=AO400,lsc_amount,0))</f>
        <v>0</v>
      </c>
      <c r="AS400" s="24">
        <f t="shared" ca="1" si="415"/>
        <v>0</v>
      </c>
      <c r="AT400" s="24">
        <f t="shared" ca="1" si="416"/>
        <v>0</v>
      </c>
      <c r="AU400" s="24">
        <f t="shared" ca="1" si="417"/>
        <v>0</v>
      </c>
      <c r="AV400" s="25">
        <f t="shared" ca="1" si="418"/>
        <v>0</v>
      </c>
      <c r="AW400" s="23">
        <f t="array" aca="1" ref="AW400" ca="1">SUM(IF(rcs_start_date&lt;=AO400,1,0)*IF(rcs_end_date&gt;=AO400,1,0)*rcs_amount*(1+rcs_escalation/100)^(INT((AP400-rcs_months_since_start)/12))*IF(MOD((AP400-rcs_months_since_start),rcs_frequency)=0,1,0)*IF(rcs_frequency=13,0,1))+SUM(IF(rcs_start_date=AO400,rcs_amount,0)*IF(rcs_frequency=13,1,0))</f>
        <v>0</v>
      </c>
      <c r="AX400" s="24">
        <f t="shared" ca="1" si="419"/>
        <v>0</v>
      </c>
      <c r="AY400" s="24">
        <f t="shared" ca="1" si="420"/>
        <v>0</v>
      </c>
      <c r="AZ400" s="24">
        <f t="shared" ca="1" si="421"/>
        <v>0</v>
      </c>
      <c r="BA400" s="25">
        <f t="shared" ca="1" si="422"/>
        <v>0</v>
      </c>
      <c r="BB400" s="23">
        <f t="array" aca="1" ref="BB400" ca="1">SUM(IF(w_start_date&lt;=AO400,1,0)*IF(w_end_date&gt;=AO400,1,0)*w_amount*(1+w_escalation/100)^(INT((AP400-w_months_since_start)/12))*IF(MOD(AP400-w_months_since_start,w_frequency)=0,1,0)*IF(w_frequency=13,0,1))+SUM(IF(w_start_date=AO400,w_amount,0)*IF(w_frequency=13,1,0))</f>
        <v>0</v>
      </c>
      <c r="BC400" s="25">
        <f t="shared" ca="1" si="423"/>
        <v>0</v>
      </c>
      <c r="BD400" s="24" t="b">
        <f t="shared" ca="1" si="424"/>
        <v>1</v>
      </c>
      <c r="BE400" s="24" t="b">
        <f t="shared" ca="1" si="425"/>
        <v>1</v>
      </c>
      <c r="BF400" s="23">
        <f t="array" aca="1" ref="BF400" ca="1">SUM(IF(BD400,1,0)*IF(ap_start_date&lt;=AO400,1,0)*IF(ap_end_date&gt;=AO400,1,0)*ap_amount*(1+ap_escalation/100)^(INT((AP400-ap_months_since_start)/12))*IF(MOD(AP400-ap_months_since_start,ap_frequency)=0,1,0))</f>
        <v>79756.882406416553</v>
      </c>
      <c r="BG400" s="24">
        <f t="shared" ca="1" si="426"/>
        <v>957082.58887699887</v>
      </c>
      <c r="BH400" s="24">
        <f t="shared" ca="1" si="427"/>
        <v>8955.8309179139032</v>
      </c>
      <c r="BI400">
        <f t="shared" ca="1" si="428"/>
        <v>0</v>
      </c>
      <c r="BJ400" s="24">
        <f t="shared" ca="1" si="429"/>
        <v>62690.816425397315</v>
      </c>
      <c r="BK400">
        <f t="shared" ca="1" si="430"/>
        <v>1</v>
      </c>
      <c r="BL400" s="25">
        <f t="shared" ca="1" si="431"/>
        <v>5224.2347021164414</v>
      </c>
      <c r="BM400" s="32">
        <f t="shared" ca="1" si="410"/>
        <v>330547.2734607184</v>
      </c>
      <c r="BN400" s="23">
        <f t="shared" ca="1" si="432"/>
        <v>0</v>
      </c>
      <c r="BO400" s="24">
        <f t="shared" ca="1" si="433"/>
        <v>0</v>
      </c>
      <c r="BP400" s="25">
        <f t="shared" ca="1" si="434"/>
        <v>0</v>
      </c>
      <c r="BQ400" s="34">
        <f t="shared" ca="1" si="435"/>
        <v>57588</v>
      </c>
      <c r="BR400" s="23">
        <f t="shared" ca="1" si="436"/>
        <v>330547.2734607184</v>
      </c>
      <c r="BS400" s="24">
        <f t="shared" ca="1" si="437"/>
        <v>0</v>
      </c>
      <c r="BT400" s="24">
        <f t="shared" ca="1" si="402"/>
        <v>0</v>
      </c>
      <c r="BU400" s="24">
        <f t="shared" ca="1" si="438"/>
        <v>0</v>
      </c>
      <c r="BV400" s="24">
        <f t="shared" ca="1" si="403"/>
        <v>0</v>
      </c>
      <c r="BW400" s="24">
        <f t="shared" ca="1" si="439"/>
        <v>-5224.2347021164414</v>
      </c>
      <c r="BX400" s="25">
        <f t="shared" ca="1" si="404"/>
        <v>-63767.482367115335</v>
      </c>
      <c r="BY400" s="23">
        <f t="shared" ca="1" si="411"/>
        <v>91493.810893251924</v>
      </c>
      <c r="BZ400" s="24">
        <f t="shared" ca="1" si="412"/>
        <v>0</v>
      </c>
      <c r="CA400" s="24">
        <f t="shared" ca="1" si="405"/>
        <v>0</v>
      </c>
      <c r="CB400" s="24">
        <f t="shared" ca="1" si="413"/>
        <v>0</v>
      </c>
      <c r="CC400" s="24">
        <f t="shared" ca="1" si="406"/>
        <v>0</v>
      </c>
      <c r="CD400" s="24">
        <f t="shared" ca="1" si="414"/>
        <v>-1450.7756662186609</v>
      </c>
      <c r="CE400" s="25">
        <f t="shared" ca="1" si="407"/>
        <v>-18035.649122919025</v>
      </c>
      <c r="CF400" s="23">
        <f t="shared" ca="1" si="408"/>
        <v>950947.44407650526</v>
      </c>
      <c r="CG400" s="25">
        <f t="array" aca="1" ref="CG400" ca="1">SUM(BF389:BF400/(1+inflation/100)^(AP389:AP400/12))</f>
        <v>267980.53702225379</v>
      </c>
      <c r="CH400" s="32">
        <f ca="1">IFERROR(IF(MOD(AP400-ap_months_since_start,12)=0,ap_drawdown/100*(AQ400+AV400+BA400-BC400),CH399),0)</f>
        <v>55058.342685925512</v>
      </c>
    </row>
    <row r="401" spans="40:86" x14ac:dyDescent="0.25">
      <c r="AN401" s="32">
        <f t="shared" ca="1" si="409"/>
        <v>87.666666666666671</v>
      </c>
      <c r="AO401" s="53">
        <f t="shared" ca="1" si="440"/>
        <v>57589</v>
      </c>
      <c r="AP401" s="22">
        <v>394</v>
      </c>
      <c r="AQ401" s="32">
        <f t="shared" ca="1" si="441"/>
        <v>330547.2734607184</v>
      </c>
      <c r="AR401" s="23">
        <f t="array" aca="1" ref="AR401" ca="1">SUM(IF(lsc_start_date=AO401,lsc_amount,0))</f>
        <v>0</v>
      </c>
      <c r="AS401" s="24">
        <f t="shared" ca="1" si="415"/>
        <v>0</v>
      </c>
      <c r="AT401" s="24">
        <f t="shared" ca="1" si="416"/>
        <v>0</v>
      </c>
      <c r="AU401" s="24">
        <f t="shared" ca="1" si="417"/>
        <v>0</v>
      </c>
      <c r="AV401" s="25">
        <f t="shared" ca="1" si="418"/>
        <v>0</v>
      </c>
      <c r="AW401" s="23">
        <f t="array" aca="1" ref="AW401" ca="1">SUM(IF(rcs_start_date&lt;=AO401,1,0)*IF(rcs_end_date&gt;=AO401,1,0)*rcs_amount*(1+rcs_escalation/100)^(INT((AP401-rcs_months_since_start)/12))*IF(MOD((AP401-rcs_months_since_start),rcs_frequency)=0,1,0)*IF(rcs_frequency=13,0,1))+SUM(IF(rcs_start_date=AO401,rcs_amount,0)*IF(rcs_frequency=13,1,0))</f>
        <v>0</v>
      </c>
      <c r="AX401" s="24">
        <f t="shared" ca="1" si="419"/>
        <v>0</v>
      </c>
      <c r="AY401" s="24">
        <f t="shared" ca="1" si="420"/>
        <v>0</v>
      </c>
      <c r="AZ401" s="24">
        <f t="shared" ca="1" si="421"/>
        <v>0</v>
      </c>
      <c r="BA401" s="25">
        <f t="shared" ca="1" si="422"/>
        <v>0</v>
      </c>
      <c r="BB401" s="23">
        <f t="array" aca="1" ref="BB401" ca="1">SUM(IF(w_start_date&lt;=AO401,1,0)*IF(w_end_date&gt;=AO401,1,0)*w_amount*(1+w_escalation/100)^(INT((AP401-w_months_since_start)/12))*IF(MOD(AP401-w_months_since_start,w_frequency)=0,1,0)*IF(w_frequency=13,0,1))+SUM(IF(w_start_date=AO401,w_amount,0)*IF(w_frequency=13,1,0))</f>
        <v>0</v>
      </c>
      <c r="BC401" s="25">
        <f t="shared" ca="1" si="423"/>
        <v>0</v>
      </c>
      <c r="BD401" s="24" t="b">
        <f t="shared" ca="1" si="424"/>
        <v>1</v>
      </c>
      <c r="BE401" s="24" t="b">
        <f t="shared" ca="1" si="425"/>
        <v>1</v>
      </c>
      <c r="BF401" s="23">
        <f t="array" aca="1" ref="BF401" ca="1">SUM(IF(BD401,1,0)*IF(ap_start_date&lt;=AO401,1,0)*IF(ap_end_date&gt;=AO401,1,0)*ap_amount*(1+ap_escalation/100)^(INT((AP401-ap_months_since_start)/12))*IF(MOD(AP401-ap_months_since_start,ap_frequency)=0,1,0))</f>
        <v>79756.882406416553</v>
      </c>
      <c r="BG401" s="24">
        <f t="shared" ca="1" si="426"/>
        <v>957082.58887699887</v>
      </c>
      <c r="BH401" s="24">
        <f t="shared" ca="1" si="427"/>
        <v>8955.8309179139032</v>
      </c>
      <c r="BI401">
        <f t="shared" ca="1" si="428"/>
        <v>0</v>
      </c>
      <c r="BJ401" s="24">
        <f t="shared" ca="1" si="429"/>
        <v>62690.816425397315</v>
      </c>
      <c r="BK401">
        <f t="shared" ca="1" si="430"/>
        <v>1</v>
      </c>
      <c r="BL401" s="25">
        <f t="shared" ca="1" si="431"/>
        <v>5224.2347021164414</v>
      </c>
      <c r="BM401" s="32">
        <f t="shared" ca="1" si="410"/>
        <v>327667.74708112323</v>
      </c>
      <c r="BN401" s="23">
        <f t="shared" ca="1" si="432"/>
        <v>0</v>
      </c>
      <c r="BO401" s="24">
        <f t="shared" ca="1" si="433"/>
        <v>0</v>
      </c>
      <c r="BP401" s="25">
        <f t="shared" ca="1" si="434"/>
        <v>0</v>
      </c>
      <c r="BQ401" s="34">
        <f t="shared" ca="1" si="435"/>
        <v>57618</v>
      </c>
      <c r="BR401" s="23">
        <f t="shared" ca="1" si="436"/>
        <v>327667.74708112323</v>
      </c>
      <c r="BS401" s="24">
        <f t="shared" ca="1" si="437"/>
        <v>0</v>
      </c>
      <c r="BT401" s="24">
        <f t="shared" ca="1" si="402"/>
        <v>0</v>
      </c>
      <c r="BU401" s="24">
        <f t="shared" ca="1" si="438"/>
        <v>0</v>
      </c>
      <c r="BV401" s="24">
        <f t="shared" ca="1" si="403"/>
        <v>0</v>
      </c>
      <c r="BW401" s="24">
        <f t="shared" ca="1" si="439"/>
        <v>-5224.2347021164414</v>
      </c>
      <c r="BX401" s="25">
        <f t="shared" ca="1" si="404"/>
        <v>-63229.149396256311</v>
      </c>
      <c r="BY401" s="23">
        <f t="shared" ca="1" si="411"/>
        <v>90400.823804505737</v>
      </c>
      <c r="BZ401" s="24">
        <f t="shared" ca="1" si="412"/>
        <v>0</v>
      </c>
      <c r="CA401" s="24">
        <f t="shared" ca="1" si="405"/>
        <v>0</v>
      </c>
      <c r="CB401" s="24">
        <f t="shared" ca="1" si="413"/>
        <v>0</v>
      </c>
      <c r="CC401" s="24">
        <f t="shared" ca="1" si="406"/>
        <v>0</v>
      </c>
      <c r="CD401" s="24">
        <f t="shared" ca="1" si="414"/>
        <v>-1446.0417019721956</v>
      </c>
      <c r="CE401" s="25">
        <f t="shared" ca="1" si="407"/>
        <v>-17822.839301878495</v>
      </c>
      <c r="CF401" s="23">
        <f t="shared" ca="1" si="408"/>
        <v>954015.016476752</v>
      </c>
      <c r="CG401" s="25">
        <f t="array" aca="1" ref="CG401" ca="1">SUM(BF390:BF401/(1+inflation/100)^(AP390:AP401/12))</f>
        <v>267980.53702225379</v>
      </c>
      <c r="CH401" s="32">
        <f ca="1">IFERROR(IF(MOD(AP401-ap_months_since_start,12)=0,ap_drawdown/100*(AQ401+AV401+BA401-BC401),CH400),0)</f>
        <v>55058.342685925512</v>
      </c>
    </row>
    <row r="402" spans="40:86" x14ac:dyDescent="0.25">
      <c r="AN402" s="32">
        <f t="shared" ca="1" si="409"/>
        <v>87.75</v>
      </c>
      <c r="AO402" s="53">
        <f t="shared" ca="1" si="440"/>
        <v>57619</v>
      </c>
      <c r="AP402" s="22">
        <v>395</v>
      </c>
      <c r="AQ402" s="32">
        <f t="shared" ca="1" si="441"/>
        <v>327667.74708112323</v>
      </c>
      <c r="AR402" s="23">
        <f t="array" aca="1" ref="AR402" ca="1">SUM(IF(lsc_start_date=AO402,lsc_amount,0))</f>
        <v>0</v>
      </c>
      <c r="AS402" s="24">
        <f t="shared" ca="1" si="415"/>
        <v>0</v>
      </c>
      <c r="AT402" s="24">
        <f t="shared" ca="1" si="416"/>
        <v>0</v>
      </c>
      <c r="AU402" s="24">
        <f t="shared" ca="1" si="417"/>
        <v>0</v>
      </c>
      <c r="AV402" s="25">
        <f t="shared" ca="1" si="418"/>
        <v>0</v>
      </c>
      <c r="AW402" s="23">
        <f t="array" aca="1" ref="AW402" ca="1">SUM(IF(rcs_start_date&lt;=AO402,1,0)*IF(rcs_end_date&gt;=AO402,1,0)*rcs_amount*(1+rcs_escalation/100)^(INT((AP402-rcs_months_since_start)/12))*IF(MOD((AP402-rcs_months_since_start),rcs_frequency)=0,1,0)*IF(rcs_frequency=13,0,1))+SUM(IF(rcs_start_date=AO402,rcs_amount,0)*IF(rcs_frequency=13,1,0))</f>
        <v>0</v>
      </c>
      <c r="AX402" s="24">
        <f t="shared" ca="1" si="419"/>
        <v>0</v>
      </c>
      <c r="AY402" s="24">
        <f t="shared" ca="1" si="420"/>
        <v>0</v>
      </c>
      <c r="AZ402" s="24">
        <f t="shared" ca="1" si="421"/>
        <v>0</v>
      </c>
      <c r="BA402" s="25">
        <f t="shared" ca="1" si="422"/>
        <v>0</v>
      </c>
      <c r="BB402" s="23">
        <f t="array" aca="1" ref="BB402" ca="1">SUM(IF(w_start_date&lt;=AO402,1,0)*IF(w_end_date&gt;=AO402,1,0)*w_amount*(1+w_escalation/100)^(INT((AP402-w_months_since_start)/12))*IF(MOD(AP402-w_months_since_start,w_frequency)=0,1,0)*IF(w_frequency=13,0,1))+SUM(IF(w_start_date=AO402,w_amount,0)*IF(w_frequency=13,1,0))</f>
        <v>0</v>
      </c>
      <c r="BC402" s="25">
        <f t="shared" ca="1" si="423"/>
        <v>0</v>
      </c>
      <c r="BD402" s="24" t="b">
        <f t="shared" ca="1" si="424"/>
        <v>1</v>
      </c>
      <c r="BE402" s="24" t="b">
        <f t="shared" ca="1" si="425"/>
        <v>1</v>
      </c>
      <c r="BF402" s="23">
        <f t="array" aca="1" ref="BF402" ca="1">SUM(IF(BD402,1,0)*IF(ap_start_date&lt;=AO402,1,0)*IF(ap_end_date&gt;=AO402,1,0)*ap_amount*(1+ap_escalation/100)^(INT((AP402-ap_months_since_start)/12))*IF(MOD(AP402-ap_months_since_start,ap_frequency)=0,1,0))</f>
        <v>79756.882406416553</v>
      </c>
      <c r="BG402" s="24">
        <f t="shared" ca="1" si="426"/>
        <v>957082.58887699887</v>
      </c>
      <c r="BH402" s="24">
        <f t="shared" ca="1" si="427"/>
        <v>8955.8309179139032</v>
      </c>
      <c r="BI402">
        <f t="shared" ca="1" si="428"/>
        <v>0</v>
      </c>
      <c r="BJ402" s="24">
        <f t="shared" ca="1" si="429"/>
        <v>62690.816425397315</v>
      </c>
      <c r="BK402">
        <f t="shared" ca="1" si="430"/>
        <v>1</v>
      </c>
      <c r="BL402" s="25">
        <f t="shared" ca="1" si="431"/>
        <v>5224.2347021164414</v>
      </c>
      <c r="BM402" s="32">
        <f t="shared" ca="1" si="410"/>
        <v>324767.46702391299</v>
      </c>
      <c r="BN402" s="23">
        <f t="shared" ca="1" si="432"/>
        <v>0</v>
      </c>
      <c r="BO402" s="24">
        <f t="shared" ca="1" si="433"/>
        <v>0</v>
      </c>
      <c r="BP402" s="25">
        <f t="shared" ca="1" si="434"/>
        <v>0</v>
      </c>
      <c r="BQ402" s="34">
        <f t="shared" ca="1" si="435"/>
        <v>57649</v>
      </c>
      <c r="BR402" s="23">
        <f t="shared" ca="1" si="436"/>
        <v>324767.46702391299</v>
      </c>
      <c r="BS402" s="24">
        <f t="shared" ca="1" si="437"/>
        <v>0</v>
      </c>
      <c r="BT402" s="24">
        <f t="shared" ca="1" si="402"/>
        <v>0</v>
      </c>
      <c r="BU402" s="24">
        <f t="shared" ca="1" si="438"/>
        <v>0</v>
      </c>
      <c r="BV402" s="24">
        <f t="shared" ca="1" si="403"/>
        <v>0</v>
      </c>
      <c r="BW402" s="24">
        <f t="shared" ca="1" si="439"/>
        <v>-5224.2347021164414</v>
      </c>
      <c r="BX402" s="25">
        <f t="shared" ca="1" si="404"/>
        <v>-62690.816425397286</v>
      </c>
      <c r="BY402" s="23">
        <f t="shared" ca="1" si="411"/>
        <v>89308.288405955784</v>
      </c>
      <c r="BZ402" s="24">
        <f t="shared" ca="1" si="412"/>
        <v>0</v>
      </c>
      <c r="CA402" s="24">
        <f t="shared" ca="1" si="405"/>
        <v>0</v>
      </c>
      <c r="CB402" s="24">
        <f t="shared" ca="1" si="413"/>
        <v>0</v>
      </c>
      <c r="CC402" s="24">
        <f t="shared" ca="1" si="406"/>
        <v>0</v>
      </c>
      <c r="CD402" s="24">
        <f t="shared" ca="1" si="414"/>
        <v>-1441.3231849227082</v>
      </c>
      <c r="CE402" s="25">
        <f t="shared" ca="1" si="407"/>
        <v>-17610.723891495356</v>
      </c>
      <c r="CF402" s="23">
        <f t="shared" ca="1" si="408"/>
        <v>957082.58887699887</v>
      </c>
      <c r="CG402" s="25">
        <f t="array" aca="1" ref="CG402" ca="1">SUM(BF391:BF402/(1+inflation/100)^(AP391:AP402/12))</f>
        <v>267980.53702225385</v>
      </c>
      <c r="CH402" s="32">
        <f ca="1">IFERROR(IF(MOD(AP402-ap_months_since_start,12)=0,ap_drawdown/100*(AQ402+AV402+BA402-BC402),CH401),0)</f>
        <v>55058.342685925512</v>
      </c>
    </row>
    <row r="403" spans="40:86" x14ac:dyDescent="0.25">
      <c r="AN403" s="32">
        <f t="shared" ca="1" si="409"/>
        <v>87.833333333333329</v>
      </c>
      <c r="AO403" s="53">
        <f t="shared" ca="1" si="440"/>
        <v>57650</v>
      </c>
      <c r="AP403" s="22">
        <v>396</v>
      </c>
      <c r="AQ403" s="32">
        <f t="shared" ca="1" si="441"/>
        <v>324767.46702391299</v>
      </c>
      <c r="AR403" s="23">
        <f t="array" aca="1" ref="AR403" ca="1">SUM(IF(lsc_start_date=AO403,lsc_amount,0))</f>
        <v>0</v>
      </c>
      <c r="AS403" s="24">
        <f t="shared" ca="1" si="415"/>
        <v>0</v>
      </c>
      <c r="AT403" s="24">
        <f t="shared" ca="1" si="416"/>
        <v>0</v>
      </c>
      <c r="AU403" s="24">
        <f t="shared" ca="1" si="417"/>
        <v>0</v>
      </c>
      <c r="AV403" s="25">
        <f t="shared" ca="1" si="418"/>
        <v>0</v>
      </c>
      <c r="AW403" s="23">
        <f t="array" aca="1" ref="AW403" ca="1">SUM(IF(rcs_start_date&lt;=AO403,1,0)*IF(rcs_end_date&gt;=AO403,1,0)*rcs_amount*(1+rcs_escalation/100)^(INT((AP403-rcs_months_since_start)/12))*IF(MOD((AP403-rcs_months_since_start),rcs_frequency)=0,1,0)*IF(rcs_frequency=13,0,1))+SUM(IF(rcs_start_date=AO403,rcs_amount,0)*IF(rcs_frequency=13,1,0))</f>
        <v>0</v>
      </c>
      <c r="AX403" s="24">
        <f t="shared" ca="1" si="419"/>
        <v>0</v>
      </c>
      <c r="AY403" s="24">
        <f t="shared" ca="1" si="420"/>
        <v>0</v>
      </c>
      <c r="AZ403" s="24">
        <f t="shared" ca="1" si="421"/>
        <v>0</v>
      </c>
      <c r="BA403" s="25">
        <f t="shared" ca="1" si="422"/>
        <v>0</v>
      </c>
      <c r="BB403" s="23">
        <f t="array" aca="1" ref="BB403" ca="1">SUM(IF(w_start_date&lt;=AO403,1,0)*IF(w_end_date&gt;=AO403,1,0)*w_amount*(1+w_escalation/100)^(INT((AP403-w_months_since_start)/12))*IF(MOD(AP403-w_months_since_start,w_frequency)=0,1,0)*IF(w_frequency=13,0,1))+SUM(IF(w_start_date=AO403,w_amount,0)*IF(w_frequency=13,1,0))</f>
        <v>0</v>
      </c>
      <c r="BC403" s="25">
        <f t="shared" ca="1" si="423"/>
        <v>0</v>
      </c>
      <c r="BD403" s="24" t="b">
        <f t="shared" ca="1" si="424"/>
        <v>1</v>
      </c>
      <c r="BE403" s="24" t="b">
        <f t="shared" ca="1" si="425"/>
        <v>1</v>
      </c>
      <c r="BF403" s="23">
        <f t="array" aca="1" ref="BF403" ca="1">SUM(IF(BD403,1,0)*IF(ap_start_date&lt;=AO403,1,0)*IF(ap_end_date&gt;=AO403,1,0)*ap_amount*(1+ap_escalation/100)^(INT((AP403-ap_months_since_start)/12))*IF(MOD(AP403-ap_months_since_start,ap_frequency)=0,1,0))</f>
        <v>82947.157702673212</v>
      </c>
      <c r="BG403" s="24">
        <f t="shared" ca="1" si="426"/>
        <v>995365.8924320786</v>
      </c>
      <c r="BH403" s="24">
        <f t="shared" ca="1" si="427"/>
        <v>8119.1866755978253</v>
      </c>
      <c r="BI403">
        <f t="shared" ca="1" si="428"/>
        <v>0</v>
      </c>
      <c r="BJ403" s="24">
        <f t="shared" ca="1" si="429"/>
        <v>56834.306729184769</v>
      </c>
      <c r="BK403">
        <f t="shared" ca="1" si="430"/>
        <v>1</v>
      </c>
      <c r="BL403" s="25">
        <f t="shared" ca="1" si="431"/>
        <v>4736.1922274320641</v>
      </c>
      <c r="BM403" s="32">
        <f t="shared" ca="1" si="410"/>
        <v>322337.8436652146</v>
      </c>
      <c r="BN403" s="23">
        <f t="shared" ca="1" si="432"/>
        <v>0</v>
      </c>
      <c r="BO403" s="24">
        <f t="shared" ca="1" si="433"/>
        <v>0</v>
      </c>
      <c r="BP403" s="25">
        <f t="shared" ca="1" si="434"/>
        <v>0</v>
      </c>
      <c r="BQ403" s="34">
        <f t="shared" ca="1" si="435"/>
        <v>57679</v>
      </c>
      <c r="BR403" s="23">
        <f t="shared" ca="1" si="436"/>
        <v>322337.8436652146</v>
      </c>
      <c r="BS403" s="24">
        <f t="shared" ca="1" si="437"/>
        <v>0</v>
      </c>
      <c r="BT403" s="24">
        <f t="shared" ca="1" si="402"/>
        <v>0</v>
      </c>
      <c r="BU403" s="24">
        <f t="shared" ca="1" si="438"/>
        <v>0</v>
      </c>
      <c r="BV403" s="24">
        <f t="shared" ca="1" si="403"/>
        <v>0</v>
      </c>
      <c r="BW403" s="24">
        <f t="shared" ca="1" si="439"/>
        <v>-4736.1922274320641</v>
      </c>
      <c r="BX403" s="25">
        <f t="shared" ca="1" si="404"/>
        <v>-62202.773950712915</v>
      </c>
      <c r="BY403" s="23">
        <f t="shared" ca="1" si="411"/>
        <v>88350.924730708371</v>
      </c>
      <c r="BZ403" s="24">
        <f t="shared" ca="1" si="412"/>
        <v>0</v>
      </c>
      <c r="CA403" s="24">
        <f t="shared" ca="1" si="405"/>
        <v>0</v>
      </c>
      <c r="CB403" s="24">
        <f t="shared" ca="1" si="413"/>
        <v>0</v>
      </c>
      <c r="CC403" s="24">
        <f t="shared" ca="1" si="406"/>
        <v>0</v>
      </c>
      <c r="CD403" s="24">
        <f t="shared" ca="1" si="414"/>
        <v>-1302.4125392535216</v>
      </c>
      <c r="CE403" s="25">
        <f t="shared" ca="1" si="407"/>
        <v>-17419.051563497163</v>
      </c>
      <c r="CF403" s="23">
        <f t="shared" ca="1" si="408"/>
        <v>960272.86417325551</v>
      </c>
      <c r="CG403" s="25">
        <f t="array" aca="1" ref="CG403" ca="1">SUM(BF392:BF403/(1+inflation/100)^(AP392:AP403/12))</f>
        <v>267980.53702225385</v>
      </c>
      <c r="CH403" s="32">
        <f ca="1">IFERROR(IF(MOD(AP403-ap_months_since_start,12)=0,ap_drawdown/100*(AQ403+AV403+BA403-BC403),CH402),0)</f>
        <v>49914.850605530701</v>
      </c>
    </row>
    <row r="404" spans="40:86" x14ac:dyDescent="0.25">
      <c r="AN404" s="32">
        <f t="shared" ca="1" si="409"/>
        <v>87.916666666666671</v>
      </c>
      <c r="AO404" s="53">
        <f t="shared" ca="1" si="440"/>
        <v>57680</v>
      </c>
      <c r="AP404" s="22">
        <v>397</v>
      </c>
      <c r="AQ404" s="32">
        <f t="shared" ca="1" si="441"/>
        <v>322337.8436652146</v>
      </c>
      <c r="AR404" s="23">
        <f t="array" aca="1" ref="AR404" ca="1">SUM(IF(lsc_start_date=AO404,lsc_amount,0))</f>
        <v>0</v>
      </c>
      <c r="AS404" s="24">
        <f t="shared" ca="1" si="415"/>
        <v>0</v>
      </c>
      <c r="AT404" s="24">
        <f t="shared" ca="1" si="416"/>
        <v>0</v>
      </c>
      <c r="AU404" s="24">
        <f t="shared" ca="1" si="417"/>
        <v>0</v>
      </c>
      <c r="AV404" s="25">
        <f t="shared" ca="1" si="418"/>
        <v>0</v>
      </c>
      <c r="AW404" s="23">
        <f t="array" aca="1" ref="AW404" ca="1">SUM(IF(rcs_start_date&lt;=AO404,1,0)*IF(rcs_end_date&gt;=AO404,1,0)*rcs_amount*(1+rcs_escalation/100)^(INT((AP404-rcs_months_since_start)/12))*IF(MOD((AP404-rcs_months_since_start),rcs_frequency)=0,1,0)*IF(rcs_frequency=13,0,1))+SUM(IF(rcs_start_date=AO404,rcs_amount,0)*IF(rcs_frequency=13,1,0))</f>
        <v>0</v>
      </c>
      <c r="AX404" s="24">
        <f t="shared" ca="1" si="419"/>
        <v>0</v>
      </c>
      <c r="AY404" s="24">
        <f t="shared" ca="1" si="420"/>
        <v>0</v>
      </c>
      <c r="AZ404" s="24">
        <f t="shared" ca="1" si="421"/>
        <v>0</v>
      </c>
      <c r="BA404" s="25">
        <f t="shared" ca="1" si="422"/>
        <v>0</v>
      </c>
      <c r="BB404" s="23">
        <f t="array" aca="1" ref="BB404" ca="1">SUM(IF(w_start_date&lt;=AO404,1,0)*IF(w_end_date&gt;=AO404,1,0)*w_amount*(1+w_escalation/100)^(INT((AP404-w_months_since_start)/12))*IF(MOD(AP404-w_months_since_start,w_frequency)=0,1,0)*IF(w_frequency=13,0,1))+SUM(IF(w_start_date=AO404,w_amount,0)*IF(w_frequency=13,1,0))</f>
        <v>0</v>
      </c>
      <c r="BC404" s="25">
        <f t="shared" ca="1" si="423"/>
        <v>0</v>
      </c>
      <c r="BD404" s="24" t="b">
        <f t="shared" ca="1" si="424"/>
        <v>1</v>
      </c>
      <c r="BE404" s="24" t="b">
        <f t="shared" ca="1" si="425"/>
        <v>1</v>
      </c>
      <c r="BF404" s="23">
        <f t="array" aca="1" ref="BF404" ca="1">SUM(IF(BD404,1,0)*IF(ap_start_date&lt;=AO404,1,0)*IF(ap_end_date&gt;=AO404,1,0)*ap_amount*(1+ap_escalation/100)^(INT((AP404-ap_months_since_start)/12))*IF(MOD(AP404-ap_months_since_start,ap_frequency)=0,1,0))</f>
        <v>82947.157702673212</v>
      </c>
      <c r="BG404" s="24">
        <f t="shared" ca="1" si="426"/>
        <v>995365.8924320786</v>
      </c>
      <c r="BH404" s="24">
        <f t="shared" ca="1" si="427"/>
        <v>8119.1866755978253</v>
      </c>
      <c r="BI404">
        <f t="shared" ca="1" si="428"/>
        <v>0</v>
      </c>
      <c r="BJ404" s="24">
        <f t="shared" ca="1" si="429"/>
        <v>56834.306729184769</v>
      </c>
      <c r="BK404">
        <f t="shared" ca="1" si="430"/>
        <v>1</v>
      </c>
      <c r="BL404" s="25">
        <f t="shared" ca="1" si="431"/>
        <v>4736.1922274320641</v>
      </c>
      <c r="BM404" s="32">
        <f t="shared" ca="1" si="410"/>
        <v>319890.70922543365</v>
      </c>
      <c r="BN404" s="23">
        <f t="shared" ca="1" si="432"/>
        <v>0</v>
      </c>
      <c r="BO404" s="24">
        <f t="shared" ca="1" si="433"/>
        <v>0</v>
      </c>
      <c r="BP404" s="25">
        <f t="shared" ca="1" si="434"/>
        <v>0</v>
      </c>
      <c r="BQ404" s="34">
        <f t="shared" ca="1" si="435"/>
        <v>57710</v>
      </c>
      <c r="BR404" s="23">
        <f t="shared" ca="1" si="436"/>
        <v>319890.70922543365</v>
      </c>
      <c r="BS404" s="24">
        <f t="shared" ca="1" si="437"/>
        <v>0</v>
      </c>
      <c r="BT404" s="24">
        <f t="shared" ref="BT404:BT467" ca="1" si="442">SUM(BS393:BS404)</f>
        <v>0</v>
      </c>
      <c r="BU404" s="24">
        <f t="shared" ca="1" si="438"/>
        <v>0</v>
      </c>
      <c r="BV404" s="24">
        <f t="shared" ref="BV404:BV467" ca="1" si="443">SUM(BU393:BU404)</f>
        <v>0</v>
      </c>
      <c r="BW404" s="24">
        <f t="shared" ca="1" si="439"/>
        <v>-4736.1922274320641</v>
      </c>
      <c r="BX404" s="25">
        <f t="shared" ref="BX404:BX467" ca="1" si="444">SUM(BW393:BW404)</f>
        <v>-61714.731476028537</v>
      </c>
      <c r="BY404" s="23">
        <f t="shared" ca="1" si="411"/>
        <v>87394.073983150491</v>
      </c>
      <c r="BZ404" s="24">
        <f t="shared" ca="1" si="412"/>
        <v>0</v>
      </c>
      <c r="CA404" s="24">
        <f t="shared" ref="CA404:CA467" ca="1" si="445">SUM(BZ393:BZ404)</f>
        <v>0</v>
      </c>
      <c r="CB404" s="24">
        <f t="shared" ca="1" si="413"/>
        <v>0</v>
      </c>
      <c r="CC404" s="24">
        <f t="shared" ref="CC404:CC467" ca="1" si="446">SUM(CB393:CB404)</f>
        <v>0</v>
      </c>
      <c r="CD404" s="24">
        <f t="shared" ca="1" si="414"/>
        <v>-1298.1626924036329</v>
      </c>
      <c r="CE404" s="25">
        <f t="shared" ref="CE404:CE467" ca="1" si="447">SUM(CD393:CD404)</f>
        <v>-17228.004673303665</v>
      </c>
      <c r="CF404" s="23">
        <f t="shared" ref="CF404:CF467" ca="1" si="448">SUM(BF393:BF404)</f>
        <v>963463.13946951216</v>
      </c>
      <c r="CG404" s="25">
        <f t="array" aca="1" ref="CG404" ca="1">SUM(BF393:BF404/(1+inflation/100)^(AP393:AP404/12))</f>
        <v>267980.53702225379</v>
      </c>
      <c r="CH404" s="32">
        <f ca="1">IFERROR(IF(MOD(AP404-ap_months_since_start,12)=0,ap_drawdown/100*(AQ404+AV404+BA404-BC404),CH403),0)</f>
        <v>49914.850605530701</v>
      </c>
    </row>
    <row r="405" spans="40:86" x14ac:dyDescent="0.25">
      <c r="AN405" s="32">
        <f t="shared" ca="1" si="409"/>
        <v>88</v>
      </c>
      <c r="AO405" s="53">
        <f t="shared" ca="1" si="440"/>
        <v>57711</v>
      </c>
      <c r="AP405" s="22">
        <v>398</v>
      </c>
      <c r="AQ405" s="32">
        <f t="shared" ca="1" si="441"/>
        <v>319890.70922543365</v>
      </c>
      <c r="AR405" s="23">
        <f t="array" aca="1" ref="AR405" ca="1">SUM(IF(lsc_start_date=AO405,lsc_amount,0))</f>
        <v>0</v>
      </c>
      <c r="AS405" s="24">
        <f t="shared" ca="1" si="415"/>
        <v>0</v>
      </c>
      <c r="AT405" s="24">
        <f t="shared" ca="1" si="416"/>
        <v>0</v>
      </c>
      <c r="AU405" s="24">
        <f t="shared" ca="1" si="417"/>
        <v>0</v>
      </c>
      <c r="AV405" s="25">
        <f t="shared" ca="1" si="418"/>
        <v>0</v>
      </c>
      <c r="AW405" s="23">
        <f t="array" aca="1" ref="AW405" ca="1">SUM(IF(rcs_start_date&lt;=AO405,1,0)*IF(rcs_end_date&gt;=AO405,1,0)*rcs_amount*(1+rcs_escalation/100)^(INT((AP405-rcs_months_since_start)/12))*IF(MOD((AP405-rcs_months_since_start),rcs_frequency)=0,1,0)*IF(rcs_frequency=13,0,1))+SUM(IF(rcs_start_date=AO405,rcs_amount,0)*IF(rcs_frequency=13,1,0))</f>
        <v>0</v>
      </c>
      <c r="AX405" s="24">
        <f t="shared" ca="1" si="419"/>
        <v>0</v>
      </c>
      <c r="AY405" s="24">
        <f t="shared" ca="1" si="420"/>
        <v>0</v>
      </c>
      <c r="AZ405" s="24">
        <f t="shared" ca="1" si="421"/>
        <v>0</v>
      </c>
      <c r="BA405" s="25">
        <f t="shared" ca="1" si="422"/>
        <v>0</v>
      </c>
      <c r="BB405" s="23">
        <f t="array" aca="1" ref="BB405" ca="1">SUM(IF(w_start_date&lt;=AO405,1,0)*IF(w_end_date&gt;=AO405,1,0)*w_amount*(1+w_escalation/100)^(INT((AP405-w_months_since_start)/12))*IF(MOD(AP405-w_months_since_start,w_frequency)=0,1,0)*IF(w_frequency=13,0,1))+SUM(IF(w_start_date=AO405,w_amount,0)*IF(w_frequency=13,1,0))</f>
        <v>0</v>
      </c>
      <c r="BC405" s="25">
        <f t="shared" ca="1" si="423"/>
        <v>0</v>
      </c>
      <c r="BD405" s="24" t="b">
        <f t="shared" ca="1" si="424"/>
        <v>1</v>
      </c>
      <c r="BE405" s="24" t="b">
        <f t="shared" ca="1" si="425"/>
        <v>1</v>
      </c>
      <c r="BF405" s="23">
        <f t="array" aca="1" ref="BF405" ca="1">SUM(IF(BD405,1,0)*IF(ap_start_date&lt;=AO405,1,0)*IF(ap_end_date&gt;=AO405,1,0)*ap_amount*(1+ap_escalation/100)^(INT((AP405-ap_months_since_start)/12))*IF(MOD(AP405-ap_months_since_start,ap_frequency)=0,1,0))</f>
        <v>82947.157702673212</v>
      </c>
      <c r="BG405" s="24">
        <f t="shared" ca="1" si="426"/>
        <v>995365.8924320786</v>
      </c>
      <c r="BH405" s="24">
        <f t="shared" ca="1" si="427"/>
        <v>8119.1866755978253</v>
      </c>
      <c r="BI405">
        <f t="shared" ca="1" si="428"/>
        <v>0</v>
      </c>
      <c r="BJ405" s="24">
        <f t="shared" ca="1" si="429"/>
        <v>56834.306729184769</v>
      </c>
      <c r="BK405">
        <f t="shared" ca="1" si="430"/>
        <v>1</v>
      </c>
      <c r="BL405" s="25">
        <f t="shared" ca="1" si="431"/>
        <v>4736.1922274320641</v>
      </c>
      <c r="BM405" s="32">
        <f t="shared" ca="1" si="410"/>
        <v>317425.93749654712</v>
      </c>
      <c r="BN405" s="23">
        <f t="shared" ca="1" si="432"/>
        <v>0</v>
      </c>
      <c r="BO405" s="24">
        <f t="shared" ca="1" si="433"/>
        <v>0</v>
      </c>
      <c r="BP405" s="25">
        <f t="shared" ca="1" si="434"/>
        <v>0</v>
      </c>
      <c r="BQ405" s="34">
        <f t="shared" ca="1" si="435"/>
        <v>57741</v>
      </c>
      <c r="BR405" s="23">
        <f t="shared" ca="1" si="436"/>
        <v>317425.93749654712</v>
      </c>
      <c r="BS405" s="24">
        <f t="shared" ca="1" si="437"/>
        <v>0</v>
      </c>
      <c r="BT405" s="24">
        <f t="shared" ca="1" si="442"/>
        <v>0</v>
      </c>
      <c r="BU405" s="24">
        <f t="shared" ca="1" si="438"/>
        <v>0</v>
      </c>
      <c r="BV405" s="24">
        <f t="shared" ca="1" si="443"/>
        <v>0</v>
      </c>
      <c r="BW405" s="24">
        <f t="shared" ca="1" si="439"/>
        <v>-4736.1922274320641</v>
      </c>
      <c r="BX405" s="25">
        <f t="shared" ca="1" si="444"/>
        <v>-61226.689001344173</v>
      </c>
      <c r="BY405" s="23">
        <f t="shared" ca="1" si="411"/>
        <v>86437.724252477186</v>
      </c>
      <c r="BZ405" s="24">
        <f t="shared" ca="1" si="412"/>
        <v>0</v>
      </c>
      <c r="CA405" s="24">
        <f t="shared" ca="1" si="445"/>
        <v>0</v>
      </c>
      <c r="CB405" s="24">
        <f t="shared" ca="1" si="413"/>
        <v>0</v>
      </c>
      <c r="CC405" s="24">
        <f t="shared" ca="1" si="446"/>
        <v>0</v>
      </c>
      <c r="CD405" s="24">
        <f t="shared" ca="1" si="414"/>
        <v>-1293.9267130478788</v>
      </c>
      <c r="CE405" s="25">
        <f t="shared" ca="1" si="447"/>
        <v>-17037.581180075413</v>
      </c>
      <c r="CF405" s="23">
        <f t="shared" ca="1" si="448"/>
        <v>966653.4147657688</v>
      </c>
      <c r="CG405" s="25">
        <f t="array" aca="1" ref="CG405" ca="1">SUM(BF394:BF405/(1+inflation/100)^(AP394:AP405/12))</f>
        <v>267980.53702225385</v>
      </c>
      <c r="CH405" s="32">
        <f ca="1">IFERROR(IF(MOD(AP405-ap_months_since_start,12)=0,ap_drawdown/100*(AQ405+AV405+BA405-BC405),CH404),0)</f>
        <v>49914.850605530701</v>
      </c>
    </row>
    <row r="406" spans="40:86" x14ac:dyDescent="0.25">
      <c r="AN406" s="32">
        <f t="shared" ca="1" si="409"/>
        <v>88.083333333333329</v>
      </c>
      <c r="AO406" s="53">
        <f t="shared" ca="1" si="440"/>
        <v>57742</v>
      </c>
      <c r="AP406" s="22">
        <v>399</v>
      </c>
      <c r="AQ406" s="32">
        <f t="shared" ca="1" si="441"/>
        <v>317425.93749654712</v>
      </c>
      <c r="AR406" s="23">
        <f t="array" aca="1" ref="AR406" ca="1">SUM(IF(lsc_start_date=AO406,lsc_amount,0))</f>
        <v>0</v>
      </c>
      <c r="AS406" s="24">
        <f t="shared" ca="1" si="415"/>
        <v>0</v>
      </c>
      <c r="AT406" s="24">
        <f t="shared" ca="1" si="416"/>
        <v>0</v>
      </c>
      <c r="AU406" s="24">
        <f t="shared" ca="1" si="417"/>
        <v>0</v>
      </c>
      <c r="AV406" s="25">
        <f t="shared" ca="1" si="418"/>
        <v>0</v>
      </c>
      <c r="AW406" s="23">
        <f t="array" aca="1" ref="AW406" ca="1">SUM(IF(rcs_start_date&lt;=AO406,1,0)*IF(rcs_end_date&gt;=AO406,1,0)*rcs_amount*(1+rcs_escalation/100)^(INT((AP406-rcs_months_since_start)/12))*IF(MOD((AP406-rcs_months_since_start),rcs_frequency)=0,1,0)*IF(rcs_frequency=13,0,1))+SUM(IF(rcs_start_date=AO406,rcs_amount,0)*IF(rcs_frequency=13,1,0))</f>
        <v>0</v>
      </c>
      <c r="AX406" s="24">
        <f t="shared" ca="1" si="419"/>
        <v>0</v>
      </c>
      <c r="AY406" s="24">
        <f t="shared" ca="1" si="420"/>
        <v>0</v>
      </c>
      <c r="AZ406" s="24">
        <f t="shared" ca="1" si="421"/>
        <v>0</v>
      </c>
      <c r="BA406" s="25">
        <f t="shared" ca="1" si="422"/>
        <v>0</v>
      </c>
      <c r="BB406" s="23">
        <f t="array" aca="1" ref="BB406" ca="1">SUM(IF(w_start_date&lt;=AO406,1,0)*IF(w_end_date&gt;=AO406,1,0)*w_amount*(1+w_escalation/100)^(INT((AP406-w_months_since_start)/12))*IF(MOD(AP406-w_months_since_start,w_frequency)=0,1,0)*IF(w_frequency=13,0,1))+SUM(IF(w_start_date=AO406,w_amount,0)*IF(w_frequency=13,1,0))</f>
        <v>0</v>
      </c>
      <c r="BC406" s="25">
        <f t="shared" ca="1" si="423"/>
        <v>0</v>
      </c>
      <c r="BD406" s="24" t="b">
        <f t="shared" ca="1" si="424"/>
        <v>1</v>
      </c>
      <c r="BE406" s="24" t="b">
        <f t="shared" ca="1" si="425"/>
        <v>1</v>
      </c>
      <c r="BF406" s="23">
        <f t="array" aca="1" ref="BF406" ca="1">SUM(IF(BD406,1,0)*IF(ap_start_date&lt;=AO406,1,0)*IF(ap_end_date&gt;=AO406,1,0)*ap_amount*(1+ap_escalation/100)^(INT((AP406-ap_months_since_start)/12))*IF(MOD(AP406-ap_months_since_start,ap_frequency)=0,1,0))</f>
        <v>82947.157702673212</v>
      </c>
      <c r="BG406" s="24">
        <f t="shared" ca="1" si="426"/>
        <v>995365.8924320786</v>
      </c>
      <c r="BH406" s="24">
        <f t="shared" ca="1" si="427"/>
        <v>8119.1866755978253</v>
      </c>
      <c r="BI406">
        <f t="shared" ca="1" si="428"/>
        <v>0</v>
      </c>
      <c r="BJ406" s="24">
        <f t="shared" ca="1" si="429"/>
        <v>56834.306729184769</v>
      </c>
      <c r="BK406">
        <f t="shared" ca="1" si="430"/>
        <v>1</v>
      </c>
      <c r="BL406" s="25">
        <f t="shared" ca="1" si="431"/>
        <v>4736.1922274320641</v>
      </c>
      <c r="BM406" s="32">
        <f t="shared" ca="1" si="410"/>
        <v>314943.40136091004</v>
      </c>
      <c r="BN406" s="23">
        <f t="shared" ca="1" si="432"/>
        <v>0</v>
      </c>
      <c r="BO406" s="24">
        <f t="shared" ca="1" si="433"/>
        <v>0</v>
      </c>
      <c r="BP406" s="25">
        <f t="shared" ca="1" si="434"/>
        <v>0</v>
      </c>
      <c r="BQ406" s="34">
        <f t="shared" ca="1" si="435"/>
        <v>57769</v>
      </c>
      <c r="BR406" s="23">
        <f t="shared" ca="1" si="436"/>
        <v>314943.40136091004</v>
      </c>
      <c r="BS406" s="24">
        <f t="shared" ca="1" si="437"/>
        <v>0</v>
      </c>
      <c r="BT406" s="24">
        <f t="shared" ca="1" si="442"/>
        <v>0</v>
      </c>
      <c r="BU406" s="24">
        <f t="shared" ca="1" si="438"/>
        <v>0</v>
      </c>
      <c r="BV406" s="24">
        <f t="shared" ca="1" si="443"/>
        <v>0</v>
      </c>
      <c r="BW406" s="24">
        <f t="shared" ca="1" si="439"/>
        <v>-4736.1922274320641</v>
      </c>
      <c r="BX406" s="25">
        <f t="shared" ca="1" si="444"/>
        <v>-60738.646526659795</v>
      </c>
      <c r="BY406" s="23">
        <f t="shared" ca="1" si="411"/>
        <v>85481.863626612161</v>
      </c>
      <c r="BZ406" s="24">
        <f t="shared" ca="1" si="412"/>
        <v>0</v>
      </c>
      <c r="CA406" s="24">
        <f t="shared" ca="1" si="445"/>
        <v>0</v>
      </c>
      <c r="CB406" s="24">
        <f t="shared" ca="1" si="413"/>
        <v>0</v>
      </c>
      <c r="CC406" s="24">
        <f t="shared" ca="1" si="446"/>
        <v>0</v>
      </c>
      <c r="CD406" s="24">
        <f t="shared" ca="1" si="414"/>
        <v>-1289.7045559358289</v>
      </c>
      <c r="CE406" s="25">
        <f t="shared" ca="1" si="447"/>
        <v>-16847.779049632336</v>
      </c>
      <c r="CF406" s="23">
        <f t="shared" ca="1" si="448"/>
        <v>969843.69006202545</v>
      </c>
      <c r="CG406" s="25">
        <f t="array" aca="1" ref="CG406" ca="1">SUM(BF395:BF406/(1+inflation/100)^(AP395:AP406/12))</f>
        <v>267980.53702225379</v>
      </c>
      <c r="CH406" s="32">
        <f ca="1">IFERROR(IF(MOD(AP406-ap_months_since_start,12)=0,ap_drawdown/100*(AQ406+AV406+BA406-BC406),CH405),0)</f>
        <v>49914.850605530701</v>
      </c>
    </row>
    <row r="407" spans="40:86" x14ac:dyDescent="0.25">
      <c r="AN407" s="32">
        <f t="shared" ca="1" si="409"/>
        <v>88.166666666666671</v>
      </c>
      <c r="AO407" s="53">
        <f t="shared" ca="1" si="440"/>
        <v>57770</v>
      </c>
      <c r="AP407" s="22">
        <v>400</v>
      </c>
      <c r="AQ407" s="32">
        <f t="shared" ca="1" si="441"/>
        <v>314943.40136091004</v>
      </c>
      <c r="AR407" s="23">
        <f t="array" aca="1" ref="AR407" ca="1">SUM(IF(lsc_start_date=AO407,lsc_amount,0))</f>
        <v>0</v>
      </c>
      <c r="AS407" s="24">
        <f t="shared" ca="1" si="415"/>
        <v>0</v>
      </c>
      <c r="AT407" s="24">
        <f t="shared" ca="1" si="416"/>
        <v>0</v>
      </c>
      <c r="AU407" s="24">
        <f t="shared" ca="1" si="417"/>
        <v>0</v>
      </c>
      <c r="AV407" s="25">
        <f t="shared" ca="1" si="418"/>
        <v>0</v>
      </c>
      <c r="AW407" s="23">
        <f t="array" aca="1" ref="AW407" ca="1">SUM(IF(rcs_start_date&lt;=AO407,1,0)*IF(rcs_end_date&gt;=AO407,1,0)*rcs_amount*(1+rcs_escalation/100)^(INT((AP407-rcs_months_since_start)/12))*IF(MOD((AP407-rcs_months_since_start),rcs_frequency)=0,1,0)*IF(rcs_frequency=13,0,1))+SUM(IF(rcs_start_date=AO407,rcs_amount,0)*IF(rcs_frequency=13,1,0))</f>
        <v>0</v>
      </c>
      <c r="AX407" s="24">
        <f t="shared" ca="1" si="419"/>
        <v>0</v>
      </c>
      <c r="AY407" s="24">
        <f t="shared" ca="1" si="420"/>
        <v>0</v>
      </c>
      <c r="AZ407" s="24">
        <f t="shared" ca="1" si="421"/>
        <v>0</v>
      </c>
      <c r="BA407" s="25">
        <f t="shared" ca="1" si="422"/>
        <v>0</v>
      </c>
      <c r="BB407" s="23">
        <f t="array" aca="1" ref="BB407" ca="1">SUM(IF(w_start_date&lt;=AO407,1,0)*IF(w_end_date&gt;=AO407,1,0)*w_amount*(1+w_escalation/100)^(INT((AP407-w_months_since_start)/12))*IF(MOD(AP407-w_months_since_start,w_frequency)=0,1,0)*IF(w_frequency=13,0,1))+SUM(IF(w_start_date=AO407,w_amount,0)*IF(w_frequency=13,1,0))</f>
        <v>0</v>
      </c>
      <c r="BC407" s="25">
        <f t="shared" ca="1" si="423"/>
        <v>0</v>
      </c>
      <c r="BD407" s="24" t="b">
        <f t="shared" ca="1" si="424"/>
        <v>1</v>
      </c>
      <c r="BE407" s="24" t="b">
        <f t="shared" ca="1" si="425"/>
        <v>1</v>
      </c>
      <c r="BF407" s="23">
        <f t="array" aca="1" ref="BF407" ca="1">SUM(IF(BD407,1,0)*IF(ap_start_date&lt;=AO407,1,0)*IF(ap_end_date&gt;=AO407,1,0)*ap_amount*(1+ap_escalation/100)^(INT((AP407-ap_months_since_start)/12))*IF(MOD(AP407-ap_months_since_start,ap_frequency)=0,1,0))</f>
        <v>82947.157702673212</v>
      </c>
      <c r="BG407" s="24">
        <f t="shared" ca="1" si="426"/>
        <v>995365.8924320786</v>
      </c>
      <c r="BH407" s="24">
        <f t="shared" ca="1" si="427"/>
        <v>8119.1866755978253</v>
      </c>
      <c r="BI407">
        <f t="shared" ca="1" si="428"/>
        <v>0</v>
      </c>
      <c r="BJ407" s="24">
        <f t="shared" ca="1" si="429"/>
        <v>56834.306729184769</v>
      </c>
      <c r="BK407">
        <f t="shared" ca="1" si="430"/>
        <v>1</v>
      </c>
      <c r="BL407" s="25">
        <f t="shared" ca="1" si="431"/>
        <v>4736.1922274320641</v>
      </c>
      <c r="BM407" s="32">
        <f t="shared" ca="1" si="410"/>
        <v>312442.97278469941</v>
      </c>
      <c r="BN407" s="23">
        <f t="shared" ca="1" si="432"/>
        <v>0</v>
      </c>
      <c r="BO407" s="24">
        <f t="shared" ca="1" si="433"/>
        <v>0</v>
      </c>
      <c r="BP407" s="25">
        <f t="shared" ca="1" si="434"/>
        <v>0</v>
      </c>
      <c r="BQ407" s="34">
        <f t="shared" ca="1" si="435"/>
        <v>57800</v>
      </c>
      <c r="BR407" s="23">
        <f t="shared" ca="1" si="436"/>
        <v>312442.97278469941</v>
      </c>
      <c r="BS407" s="24">
        <f t="shared" ca="1" si="437"/>
        <v>0</v>
      </c>
      <c r="BT407" s="24">
        <f t="shared" ca="1" si="442"/>
        <v>0</v>
      </c>
      <c r="BU407" s="24">
        <f t="shared" ca="1" si="438"/>
        <v>0</v>
      </c>
      <c r="BV407" s="24">
        <f t="shared" ca="1" si="443"/>
        <v>0</v>
      </c>
      <c r="BW407" s="24">
        <f t="shared" ca="1" si="439"/>
        <v>-4736.1922274320641</v>
      </c>
      <c r="BX407" s="25">
        <f t="shared" ca="1" si="444"/>
        <v>-60250.604051975432</v>
      </c>
      <c r="BY407" s="23">
        <f t="shared" ca="1" si="411"/>
        <v>84526.480192054558</v>
      </c>
      <c r="BZ407" s="24">
        <f t="shared" ca="1" si="412"/>
        <v>0</v>
      </c>
      <c r="CA407" s="24">
        <f t="shared" ca="1" si="445"/>
        <v>0</v>
      </c>
      <c r="CB407" s="24">
        <f t="shared" ca="1" si="413"/>
        <v>0</v>
      </c>
      <c r="CC407" s="24">
        <f t="shared" ca="1" si="446"/>
        <v>0</v>
      </c>
      <c r="CD407" s="24">
        <f t="shared" ca="1" si="414"/>
        <v>-1285.4961759647083</v>
      </c>
      <c r="CE407" s="25">
        <f t="shared" ca="1" si="447"/>
        <v>-16658.596254432014</v>
      </c>
      <c r="CF407" s="23">
        <f t="shared" ca="1" si="448"/>
        <v>973033.96535828209</v>
      </c>
      <c r="CG407" s="25">
        <f t="array" aca="1" ref="CG407" ca="1">SUM(BF396:BF407/(1+inflation/100)^(AP396:AP407/12))</f>
        <v>267980.53702225385</v>
      </c>
      <c r="CH407" s="32">
        <f ca="1">IFERROR(IF(MOD(AP407-ap_months_since_start,12)=0,ap_drawdown/100*(AQ407+AV407+BA407-BC407),CH406),0)</f>
        <v>49914.850605530701</v>
      </c>
    </row>
    <row r="408" spans="40:86" x14ac:dyDescent="0.25">
      <c r="AN408" s="32">
        <f t="shared" ca="1" si="409"/>
        <v>88.25</v>
      </c>
      <c r="AO408" s="53">
        <f t="shared" ca="1" si="440"/>
        <v>57801</v>
      </c>
      <c r="AP408" s="22">
        <v>401</v>
      </c>
      <c r="AQ408" s="32">
        <f t="shared" ca="1" si="441"/>
        <v>312442.97278469941</v>
      </c>
      <c r="AR408" s="23">
        <f t="array" aca="1" ref="AR408" ca="1">SUM(IF(lsc_start_date=AO408,lsc_amount,0))</f>
        <v>0</v>
      </c>
      <c r="AS408" s="24">
        <f t="shared" ca="1" si="415"/>
        <v>0</v>
      </c>
      <c r="AT408" s="24">
        <f t="shared" ca="1" si="416"/>
        <v>0</v>
      </c>
      <c r="AU408" s="24">
        <f t="shared" ca="1" si="417"/>
        <v>0</v>
      </c>
      <c r="AV408" s="25">
        <f t="shared" ca="1" si="418"/>
        <v>0</v>
      </c>
      <c r="AW408" s="23">
        <f t="array" aca="1" ref="AW408" ca="1">SUM(IF(rcs_start_date&lt;=AO408,1,0)*IF(rcs_end_date&gt;=AO408,1,0)*rcs_amount*(1+rcs_escalation/100)^(INT((AP408-rcs_months_since_start)/12))*IF(MOD((AP408-rcs_months_since_start),rcs_frequency)=0,1,0)*IF(rcs_frequency=13,0,1))+SUM(IF(rcs_start_date=AO408,rcs_amount,0)*IF(rcs_frequency=13,1,0))</f>
        <v>0</v>
      </c>
      <c r="AX408" s="24">
        <f t="shared" ca="1" si="419"/>
        <v>0</v>
      </c>
      <c r="AY408" s="24">
        <f t="shared" ca="1" si="420"/>
        <v>0</v>
      </c>
      <c r="AZ408" s="24">
        <f t="shared" ca="1" si="421"/>
        <v>0</v>
      </c>
      <c r="BA408" s="25">
        <f t="shared" ca="1" si="422"/>
        <v>0</v>
      </c>
      <c r="BB408" s="23">
        <f t="array" aca="1" ref="BB408" ca="1">SUM(IF(w_start_date&lt;=AO408,1,0)*IF(w_end_date&gt;=AO408,1,0)*w_amount*(1+w_escalation/100)^(INT((AP408-w_months_since_start)/12))*IF(MOD(AP408-w_months_since_start,w_frequency)=0,1,0)*IF(w_frequency=13,0,1))+SUM(IF(w_start_date=AO408,w_amount,0)*IF(w_frequency=13,1,0))</f>
        <v>0</v>
      </c>
      <c r="BC408" s="25">
        <f t="shared" ca="1" si="423"/>
        <v>0</v>
      </c>
      <c r="BD408" s="24" t="b">
        <f t="shared" ca="1" si="424"/>
        <v>1</v>
      </c>
      <c r="BE408" s="24" t="b">
        <f t="shared" ca="1" si="425"/>
        <v>1</v>
      </c>
      <c r="BF408" s="23">
        <f t="array" aca="1" ref="BF408" ca="1">SUM(IF(BD408,1,0)*IF(ap_start_date&lt;=AO408,1,0)*IF(ap_end_date&gt;=AO408,1,0)*ap_amount*(1+ap_escalation/100)^(INT((AP408-ap_months_since_start)/12))*IF(MOD(AP408-ap_months_since_start,ap_frequency)=0,1,0))</f>
        <v>82947.157702673212</v>
      </c>
      <c r="BG408" s="24">
        <f t="shared" ca="1" si="426"/>
        <v>995365.8924320786</v>
      </c>
      <c r="BH408" s="24">
        <f t="shared" ca="1" si="427"/>
        <v>8119.1866755978253</v>
      </c>
      <c r="BI408">
        <f t="shared" ca="1" si="428"/>
        <v>0</v>
      </c>
      <c r="BJ408" s="24">
        <f t="shared" ca="1" si="429"/>
        <v>56834.306729184769</v>
      </c>
      <c r="BK408">
        <f t="shared" ca="1" si="430"/>
        <v>1</v>
      </c>
      <c r="BL408" s="25">
        <f t="shared" ca="1" si="431"/>
        <v>4736.1922274320641</v>
      </c>
      <c r="BM408" s="32">
        <f t="shared" ca="1" si="410"/>
        <v>309924.52281131112</v>
      </c>
      <c r="BN408" s="23">
        <f t="shared" ca="1" si="432"/>
        <v>0</v>
      </c>
      <c r="BO408" s="24">
        <f t="shared" ca="1" si="433"/>
        <v>0</v>
      </c>
      <c r="BP408" s="25">
        <f t="shared" ca="1" si="434"/>
        <v>0</v>
      </c>
      <c r="BQ408" s="34">
        <f t="shared" ca="1" si="435"/>
        <v>57830</v>
      </c>
      <c r="BR408" s="23">
        <f t="shared" ca="1" si="436"/>
        <v>309924.52281131112</v>
      </c>
      <c r="BS408" s="24">
        <f t="shared" ca="1" si="437"/>
        <v>0</v>
      </c>
      <c r="BT408" s="24">
        <f t="shared" ca="1" si="442"/>
        <v>0</v>
      </c>
      <c r="BU408" s="24">
        <f t="shared" ca="1" si="438"/>
        <v>0</v>
      </c>
      <c r="BV408" s="24">
        <f t="shared" ca="1" si="443"/>
        <v>0</v>
      </c>
      <c r="BW408" s="24">
        <f t="shared" ca="1" si="439"/>
        <v>-4736.1922274320641</v>
      </c>
      <c r="BX408" s="25">
        <f t="shared" ca="1" si="444"/>
        <v>-59762.561577291053</v>
      </c>
      <c r="BY408" s="23">
        <f t="shared" ca="1" si="411"/>
        <v>83571.562033725466</v>
      </c>
      <c r="BZ408" s="24">
        <f t="shared" ca="1" si="412"/>
        <v>0</v>
      </c>
      <c r="CA408" s="24">
        <f t="shared" ca="1" si="445"/>
        <v>0</v>
      </c>
      <c r="CB408" s="24">
        <f t="shared" ca="1" si="413"/>
        <v>0</v>
      </c>
      <c r="CC408" s="24">
        <f t="shared" ca="1" si="446"/>
        <v>0</v>
      </c>
      <c r="CD408" s="24">
        <f t="shared" ca="1" si="414"/>
        <v>-1281.3015281789169</v>
      </c>
      <c r="CE408" s="25">
        <f t="shared" ca="1" si="447"/>
        <v>-16470.030773548013</v>
      </c>
      <c r="CF408" s="23">
        <f t="shared" ca="1" si="448"/>
        <v>976224.24065453873</v>
      </c>
      <c r="CG408" s="25">
        <f t="array" aca="1" ref="CG408" ca="1">SUM(BF397:BF408/(1+inflation/100)^(AP397:AP408/12))</f>
        <v>267980.53702225379</v>
      </c>
      <c r="CH408" s="32">
        <f ca="1">IFERROR(IF(MOD(AP408-ap_months_since_start,12)=0,ap_drawdown/100*(AQ408+AV408+BA408-BC408),CH407),0)</f>
        <v>49914.850605530701</v>
      </c>
    </row>
    <row r="409" spans="40:86" x14ac:dyDescent="0.25">
      <c r="AN409" s="32">
        <f t="shared" ca="1" si="409"/>
        <v>88.333333333333329</v>
      </c>
      <c r="AO409" s="53">
        <f t="shared" ca="1" si="440"/>
        <v>57831</v>
      </c>
      <c r="AP409" s="22">
        <v>402</v>
      </c>
      <c r="AQ409" s="32">
        <f t="shared" ca="1" si="441"/>
        <v>309924.52281131112</v>
      </c>
      <c r="AR409" s="23">
        <f t="array" aca="1" ref="AR409" ca="1">SUM(IF(lsc_start_date=AO409,lsc_amount,0))</f>
        <v>0</v>
      </c>
      <c r="AS409" s="24">
        <f t="shared" ca="1" si="415"/>
        <v>0</v>
      </c>
      <c r="AT409" s="24">
        <f t="shared" ca="1" si="416"/>
        <v>0</v>
      </c>
      <c r="AU409" s="24">
        <f t="shared" ca="1" si="417"/>
        <v>0</v>
      </c>
      <c r="AV409" s="25">
        <f t="shared" ca="1" si="418"/>
        <v>0</v>
      </c>
      <c r="AW409" s="23">
        <f t="array" aca="1" ref="AW409" ca="1">SUM(IF(rcs_start_date&lt;=AO409,1,0)*IF(rcs_end_date&gt;=AO409,1,0)*rcs_amount*(1+rcs_escalation/100)^(INT((AP409-rcs_months_since_start)/12))*IF(MOD((AP409-rcs_months_since_start),rcs_frequency)=0,1,0)*IF(rcs_frequency=13,0,1))+SUM(IF(rcs_start_date=AO409,rcs_amount,0)*IF(rcs_frequency=13,1,0))</f>
        <v>0</v>
      </c>
      <c r="AX409" s="24">
        <f t="shared" ca="1" si="419"/>
        <v>0</v>
      </c>
      <c r="AY409" s="24">
        <f t="shared" ca="1" si="420"/>
        <v>0</v>
      </c>
      <c r="AZ409" s="24">
        <f t="shared" ca="1" si="421"/>
        <v>0</v>
      </c>
      <c r="BA409" s="25">
        <f t="shared" ca="1" si="422"/>
        <v>0</v>
      </c>
      <c r="BB409" s="23">
        <f t="array" aca="1" ref="BB409" ca="1">SUM(IF(w_start_date&lt;=AO409,1,0)*IF(w_end_date&gt;=AO409,1,0)*w_amount*(1+w_escalation/100)^(INT((AP409-w_months_since_start)/12))*IF(MOD(AP409-w_months_since_start,w_frequency)=0,1,0)*IF(w_frequency=13,0,1))+SUM(IF(w_start_date=AO409,w_amount,0)*IF(w_frequency=13,1,0))</f>
        <v>0</v>
      </c>
      <c r="BC409" s="25">
        <f t="shared" ca="1" si="423"/>
        <v>0</v>
      </c>
      <c r="BD409" s="24" t="b">
        <f t="shared" ca="1" si="424"/>
        <v>1</v>
      </c>
      <c r="BE409" s="24" t="b">
        <f t="shared" ca="1" si="425"/>
        <v>1</v>
      </c>
      <c r="BF409" s="23">
        <f t="array" aca="1" ref="BF409" ca="1">SUM(IF(BD409,1,0)*IF(ap_start_date&lt;=AO409,1,0)*IF(ap_end_date&gt;=AO409,1,0)*ap_amount*(1+ap_escalation/100)^(INT((AP409-ap_months_since_start)/12))*IF(MOD(AP409-ap_months_since_start,ap_frequency)=0,1,0))</f>
        <v>82947.157702673212</v>
      </c>
      <c r="BG409" s="24">
        <f t="shared" ca="1" si="426"/>
        <v>995365.8924320786</v>
      </c>
      <c r="BH409" s="24">
        <f t="shared" ca="1" si="427"/>
        <v>8119.1866755978253</v>
      </c>
      <c r="BI409">
        <f t="shared" ca="1" si="428"/>
        <v>0</v>
      </c>
      <c r="BJ409" s="24">
        <f t="shared" ca="1" si="429"/>
        <v>56834.306729184769</v>
      </c>
      <c r="BK409">
        <f t="shared" ca="1" si="430"/>
        <v>1</v>
      </c>
      <c r="BL409" s="25">
        <f t="shared" ca="1" si="431"/>
        <v>4736.1922274320641</v>
      </c>
      <c r="BM409" s="32">
        <f t="shared" ca="1" si="410"/>
        <v>307387.92155470914</v>
      </c>
      <c r="BN409" s="23">
        <f t="shared" ca="1" si="432"/>
        <v>0</v>
      </c>
      <c r="BO409" s="24">
        <f t="shared" ca="1" si="433"/>
        <v>0</v>
      </c>
      <c r="BP409" s="25">
        <f t="shared" ca="1" si="434"/>
        <v>0</v>
      </c>
      <c r="BQ409" s="34">
        <f t="shared" ca="1" si="435"/>
        <v>57861</v>
      </c>
      <c r="BR409" s="23">
        <f t="shared" ca="1" si="436"/>
        <v>307387.92155470914</v>
      </c>
      <c r="BS409" s="24">
        <f t="shared" ca="1" si="437"/>
        <v>0</v>
      </c>
      <c r="BT409" s="24">
        <f t="shared" ca="1" si="442"/>
        <v>0</v>
      </c>
      <c r="BU409" s="24">
        <f t="shared" ca="1" si="438"/>
        <v>0</v>
      </c>
      <c r="BV409" s="24">
        <f t="shared" ca="1" si="443"/>
        <v>0</v>
      </c>
      <c r="BW409" s="24">
        <f t="shared" ca="1" si="439"/>
        <v>-4736.1922274320641</v>
      </c>
      <c r="BX409" s="25">
        <f t="shared" ca="1" si="444"/>
        <v>-59274.519102606675</v>
      </c>
      <c r="BY409" s="23">
        <f t="shared" ca="1" si="411"/>
        <v>82617.097234814559</v>
      </c>
      <c r="BZ409" s="24">
        <f t="shared" ca="1" si="412"/>
        <v>0</v>
      </c>
      <c r="CA409" s="24">
        <f t="shared" ca="1" si="445"/>
        <v>0</v>
      </c>
      <c r="CB409" s="24">
        <f t="shared" ca="1" si="413"/>
        <v>0</v>
      </c>
      <c r="CC409" s="24">
        <f t="shared" ca="1" si="446"/>
        <v>0</v>
      </c>
      <c r="CD409" s="24">
        <f t="shared" ca="1" si="414"/>
        <v>-1277.1205677695457</v>
      </c>
      <c r="CE409" s="25">
        <f t="shared" ca="1" si="447"/>
        <v>-16282.080592648295</v>
      </c>
      <c r="CF409" s="23">
        <f t="shared" ca="1" si="448"/>
        <v>979414.51595079538</v>
      </c>
      <c r="CG409" s="25">
        <f t="array" aca="1" ref="CG409" ca="1">SUM(BF398:BF409/(1+inflation/100)^(AP398:AP409/12))</f>
        <v>267980.53702225379</v>
      </c>
      <c r="CH409" s="32">
        <f ca="1">IFERROR(IF(MOD(AP409-ap_months_since_start,12)=0,ap_drawdown/100*(AQ409+AV409+BA409-BC409),CH408),0)</f>
        <v>49914.850605530701</v>
      </c>
    </row>
    <row r="410" spans="40:86" x14ac:dyDescent="0.25">
      <c r="AN410" s="32">
        <f t="shared" ca="1" si="409"/>
        <v>88.416666666666671</v>
      </c>
      <c r="AO410" s="53">
        <f t="shared" ca="1" si="440"/>
        <v>57862</v>
      </c>
      <c r="AP410" s="22">
        <v>403</v>
      </c>
      <c r="AQ410" s="32">
        <f t="shared" ca="1" si="441"/>
        <v>307387.92155470914</v>
      </c>
      <c r="AR410" s="23">
        <f t="array" aca="1" ref="AR410" ca="1">SUM(IF(lsc_start_date=AO410,lsc_amount,0))</f>
        <v>0</v>
      </c>
      <c r="AS410" s="24">
        <f t="shared" ca="1" si="415"/>
        <v>0</v>
      </c>
      <c r="AT410" s="24">
        <f t="shared" ca="1" si="416"/>
        <v>0</v>
      </c>
      <c r="AU410" s="24">
        <f t="shared" ca="1" si="417"/>
        <v>0</v>
      </c>
      <c r="AV410" s="25">
        <f t="shared" ca="1" si="418"/>
        <v>0</v>
      </c>
      <c r="AW410" s="23">
        <f t="array" aca="1" ref="AW410" ca="1">SUM(IF(rcs_start_date&lt;=AO410,1,0)*IF(rcs_end_date&gt;=AO410,1,0)*rcs_amount*(1+rcs_escalation/100)^(INT((AP410-rcs_months_since_start)/12))*IF(MOD((AP410-rcs_months_since_start),rcs_frequency)=0,1,0)*IF(rcs_frequency=13,0,1))+SUM(IF(rcs_start_date=AO410,rcs_amount,0)*IF(rcs_frequency=13,1,0))</f>
        <v>0</v>
      </c>
      <c r="AX410" s="24">
        <f t="shared" ca="1" si="419"/>
        <v>0</v>
      </c>
      <c r="AY410" s="24">
        <f t="shared" ca="1" si="420"/>
        <v>0</v>
      </c>
      <c r="AZ410" s="24">
        <f t="shared" ca="1" si="421"/>
        <v>0</v>
      </c>
      <c r="BA410" s="25">
        <f t="shared" ca="1" si="422"/>
        <v>0</v>
      </c>
      <c r="BB410" s="23">
        <f t="array" aca="1" ref="BB410" ca="1">SUM(IF(w_start_date&lt;=AO410,1,0)*IF(w_end_date&gt;=AO410,1,0)*w_amount*(1+w_escalation/100)^(INT((AP410-w_months_since_start)/12))*IF(MOD(AP410-w_months_since_start,w_frequency)=0,1,0)*IF(w_frequency=13,0,1))+SUM(IF(w_start_date=AO410,w_amount,0)*IF(w_frequency=13,1,0))</f>
        <v>0</v>
      </c>
      <c r="BC410" s="25">
        <f t="shared" ca="1" si="423"/>
        <v>0</v>
      </c>
      <c r="BD410" s="24" t="b">
        <f t="shared" ca="1" si="424"/>
        <v>1</v>
      </c>
      <c r="BE410" s="24" t="b">
        <f t="shared" ca="1" si="425"/>
        <v>1</v>
      </c>
      <c r="BF410" s="23">
        <f t="array" aca="1" ref="BF410" ca="1">SUM(IF(BD410,1,0)*IF(ap_start_date&lt;=AO410,1,0)*IF(ap_end_date&gt;=AO410,1,0)*ap_amount*(1+ap_escalation/100)^(INT((AP410-ap_months_since_start)/12))*IF(MOD(AP410-ap_months_since_start,ap_frequency)=0,1,0))</f>
        <v>82947.157702673212</v>
      </c>
      <c r="BG410" s="24">
        <f t="shared" ca="1" si="426"/>
        <v>995365.8924320786</v>
      </c>
      <c r="BH410" s="24">
        <f t="shared" ca="1" si="427"/>
        <v>8119.1866755978253</v>
      </c>
      <c r="BI410">
        <f t="shared" ca="1" si="428"/>
        <v>0</v>
      </c>
      <c r="BJ410" s="24">
        <f t="shared" ca="1" si="429"/>
        <v>56834.306729184769</v>
      </c>
      <c r="BK410">
        <f t="shared" ca="1" si="430"/>
        <v>1</v>
      </c>
      <c r="BL410" s="25">
        <f t="shared" ca="1" si="431"/>
        <v>4736.1922274320641</v>
      </c>
      <c r="BM410" s="32">
        <f t="shared" ca="1" si="410"/>
        <v>304833.03819272667</v>
      </c>
      <c r="BN410" s="23">
        <f t="shared" ca="1" si="432"/>
        <v>0</v>
      </c>
      <c r="BO410" s="24">
        <f t="shared" ca="1" si="433"/>
        <v>0</v>
      </c>
      <c r="BP410" s="25">
        <f t="shared" ca="1" si="434"/>
        <v>0</v>
      </c>
      <c r="BQ410" s="34">
        <f t="shared" ca="1" si="435"/>
        <v>57891</v>
      </c>
      <c r="BR410" s="23">
        <f t="shared" ca="1" si="436"/>
        <v>304833.03819272667</v>
      </c>
      <c r="BS410" s="24">
        <f t="shared" ca="1" si="437"/>
        <v>0</v>
      </c>
      <c r="BT410" s="24">
        <f t="shared" ca="1" si="442"/>
        <v>0</v>
      </c>
      <c r="BU410" s="24">
        <f t="shared" ca="1" si="438"/>
        <v>0</v>
      </c>
      <c r="BV410" s="24">
        <f t="shared" ca="1" si="443"/>
        <v>0</v>
      </c>
      <c r="BW410" s="24">
        <f t="shared" ca="1" si="439"/>
        <v>-4736.1922274320641</v>
      </c>
      <c r="BX410" s="25">
        <f t="shared" ca="1" si="444"/>
        <v>-58786.476627922297</v>
      </c>
      <c r="BY410" s="23">
        <f t="shared" ca="1" si="411"/>
        <v>81663.073876626484</v>
      </c>
      <c r="BZ410" s="24">
        <f t="shared" ca="1" si="412"/>
        <v>0</v>
      </c>
      <c r="CA410" s="24">
        <f t="shared" ca="1" si="445"/>
        <v>0</v>
      </c>
      <c r="CB410" s="24">
        <f t="shared" ca="1" si="413"/>
        <v>0</v>
      </c>
      <c r="CC410" s="24">
        <f t="shared" ca="1" si="446"/>
        <v>0</v>
      </c>
      <c r="CD410" s="24">
        <f t="shared" ca="1" si="414"/>
        <v>-1272.9532500738992</v>
      </c>
      <c r="CE410" s="25">
        <f t="shared" ca="1" si="447"/>
        <v>-16094.743703973701</v>
      </c>
      <c r="CF410" s="23">
        <f t="shared" ca="1" si="448"/>
        <v>982604.79124705202</v>
      </c>
      <c r="CG410" s="25">
        <f t="array" aca="1" ref="CG410" ca="1">SUM(BF399:BF410/(1+inflation/100)^(AP399:AP410/12))</f>
        <v>267980.53702225379</v>
      </c>
      <c r="CH410" s="32">
        <f ca="1">IFERROR(IF(MOD(AP410-ap_months_since_start,12)=0,ap_drawdown/100*(AQ410+AV410+BA410-BC410),CH409),0)</f>
        <v>49914.850605530701</v>
      </c>
    </row>
    <row r="411" spans="40:86" x14ac:dyDescent="0.25">
      <c r="AN411" s="32">
        <f t="shared" ca="1" si="409"/>
        <v>88.5</v>
      </c>
      <c r="AO411" s="53">
        <f t="shared" ca="1" si="440"/>
        <v>57892</v>
      </c>
      <c r="AP411" s="22">
        <v>404</v>
      </c>
      <c r="AQ411" s="32">
        <f t="shared" ca="1" si="441"/>
        <v>304833.03819272667</v>
      </c>
      <c r="AR411" s="23">
        <f t="array" aca="1" ref="AR411" ca="1">SUM(IF(lsc_start_date=AO411,lsc_amount,0))</f>
        <v>0</v>
      </c>
      <c r="AS411" s="24">
        <f t="shared" ca="1" si="415"/>
        <v>0</v>
      </c>
      <c r="AT411" s="24">
        <f t="shared" ca="1" si="416"/>
        <v>0</v>
      </c>
      <c r="AU411" s="24">
        <f t="shared" ca="1" si="417"/>
        <v>0</v>
      </c>
      <c r="AV411" s="25">
        <f t="shared" ca="1" si="418"/>
        <v>0</v>
      </c>
      <c r="AW411" s="23">
        <f t="array" aca="1" ref="AW411" ca="1">SUM(IF(rcs_start_date&lt;=AO411,1,0)*IF(rcs_end_date&gt;=AO411,1,0)*rcs_amount*(1+rcs_escalation/100)^(INT((AP411-rcs_months_since_start)/12))*IF(MOD((AP411-rcs_months_since_start),rcs_frequency)=0,1,0)*IF(rcs_frequency=13,0,1))+SUM(IF(rcs_start_date=AO411,rcs_amount,0)*IF(rcs_frequency=13,1,0))</f>
        <v>0</v>
      </c>
      <c r="AX411" s="24">
        <f t="shared" ca="1" si="419"/>
        <v>0</v>
      </c>
      <c r="AY411" s="24">
        <f t="shared" ca="1" si="420"/>
        <v>0</v>
      </c>
      <c r="AZ411" s="24">
        <f t="shared" ca="1" si="421"/>
        <v>0</v>
      </c>
      <c r="BA411" s="25">
        <f t="shared" ca="1" si="422"/>
        <v>0</v>
      </c>
      <c r="BB411" s="23">
        <f t="array" aca="1" ref="BB411" ca="1">SUM(IF(w_start_date&lt;=AO411,1,0)*IF(w_end_date&gt;=AO411,1,0)*w_amount*(1+w_escalation/100)^(INT((AP411-w_months_since_start)/12))*IF(MOD(AP411-w_months_since_start,w_frequency)=0,1,0)*IF(w_frequency=13,0,1))+SUM(IF(w_start_date=AO411,w_amount,0)*IF(w_frequency=13,1,0))</f>
        <v>0</v>
      </c>
      <c r="BC411" s="25">
        <f t="shared" ca="1" si="423"/>
        <v>0</v>
      </c>
      <c r="BD411" s="24" t="b">
        <f t="shared" ca="1" si="424"/>
        <v>1</v>
      </c>
      <c r="BE411" s="24" t="b">
        <f t="shared" ca="1" si="425"/>
        <v>1</v>
      </c>
      <c r="BF411" s="23">
        <f t="array" aca="1" ref="BF411" ca="1">SUM(IF(BD411,1,0)*IF(ap_start_date&lt;=AO411,1,0)*IF(ap_end_date&gt;=AO411,1,0)*ap_amount*(1+ap_escalation/100)^(INT((AP411-ap_months_since_start)/12))*IF(MOD(AP411-ap_months_since_start,ap_frequency)=0,1,0))</f>
        <v>82947.157702673212</v>
      </c>
      <c r="BG411" s="24">
        <f t="shared" ca="1" si="426"/>
        <v>995365.8924320786</v>
      </c>
      <c r="BH411" s="24">
        <f t="shared" ca="1" si="427"/>
        <v>8119.1866755978253</v>
      </c>
      <c r="BI411">
        <f t="shared" ca="1" si="428"/>
        <v>0</v>
      </c>
      <c r="BJ411" s="24">
        <f t="shared" ca="1" si="429"/>
        <v>56834.306729184769</v>
      </c>
      <c r="BK411">
        <f t="shared" ca="1" si="430"/>
        <v>1</v>
      </c>
      <c r="BL411" s="25">
        <f t="shared" ca="1" si="431"/>
        <v>4736.1922274320641</v>
      </c>
      <c r="BM411" s="32">
        <f t="shared" ca="1" si="410"/>
        <v>302259.74096031941</v>
      </c>
      <c r="BN411" s="23">
        <f t="shared" ca="1" si="432"/>
        <v>0</v>
      </c>
      <c r="BO411" s="24">
        <f t="shared" ca="1" si="433"/>
        <v>0</v>
      </c>
      <c r="BP411" s="25">
        <f t="shared" ca="1" si="434"/>
        <v>0</v>
      </c>
      <c r="BQ411" s="34">
        <f t="shared" ca="1" si="435"/>
        <v>57922</v>
      </c>
      <c r="BR411" s="23">
        <f t="shared" ca="1" si="436"/>
        <v>302259.74096031941</v>
      </c>
      <c r="BS411" s="24">
        <f t="shared" ca="1" si="437"/>
        <v>0</v>
      </c>
      <c r="BT411" s="24">
        <f t="shared" ca="1" si="442"/>
        <v>0</v>
      </c>
      <c r="BU411" s="24">
        <f t="shared" ca="1" si="438"/>
        <v>0</v>
      </c>
      <c r="BV411" s="24">
        <f t="shared" ca="1" si="443"/>
        <v>0</v>
      </c>
      <c r="BW411" s="24">
        <f t="shared" ca="1" si="439"/>
        <v>-4736.1922274320641</v>
      </c>
      <c r="BX411" s="25">
        <f t="shared" ca="1" si="444"/>
        <v>-58298.434153237919</v>
      </c>
      <c r="BY411" s="23">
        <f t="shared" ca="1" si="411"/>
        <v>80709.480038427297</v>
      </c>
      <c r="BZ411" s="24">
        <f t="shared" ca="1" si="412"/>
        <v>0</v>
      </c>
      <c r="CA411" s="24">
        <f t="shared" ca="1" si="445"/>
        <v>0</v>
      </c>
      <c r="CB411" s="24">
        <f t="shared" ca="1" si="413"/>
        <v>0</v>
      </c>
      <c r="CC411" s="24">
        <f t="shared" ca="1" si="446"/>
        <v>0</v>
      </c>
      <c r="CD411" s="24">
        <f t="shared" ca="1" si="414"/>
        <v>-1268.7995305750201</v>
      </c>
      <c r="CE411" s="25">
        <f t="shared" ca="1" si="447"/>
        <v>-15908.018106316515</v>
      </c>
      <c r="CF411" s="23">
        <f t="shared" ca="1" si="448"/>
        <v>985795.06654330867</v>
      </c>
      <c r="CG411" s="25">
        <f t="array" aca="1" ref="CG411" ca="1">SUM(BF400:BF411/(1+inflation/100)^(AP400:AP411/12))</f>
        <v>267980.53702225379</v>
      </c>
      <c r="CH411" s="32">
        <f ca="1">IFERROR(IF(MOD(AP411-ap_months_since_start,12)=0,ap_drawdown/100*(AQ411+AV411+BA411-BC411),CH410),0)</f>
        <v>49914.850605530701</v>
      </c>
    </row>
    <row r="412" spans="40:86" x14ac:dyDescent="0.25">
      <c r="AN412" s="32">
        <f t="shared" ca="1" si="409"/>
        <v>88.583333333333329</v>
      </c>
      <c r="AO412" s="53">
        <f t="shared" ca="1" si="440"/>
        <v>57923</v>
      </c>
      <c r="AP412" s="22">
        <v>405</v>
      </c>
      <c r="AQ412" s="32">
        <f t="shared" ca="1" si="441"/>
        <v>302259.74096031941</v>
      </c>
      <c r="AR412" s="23">
        <f t="array" aca="1" ref="AR412" ca="1">SUM(IF(lsc_start_date=AO412,lsc_amount,0))</f>
        <v>0</v>
      </c>
      <c r="AS412" s="24">
        <f t="shared" ca="1" si="415"/>
        <v>0</v>
      </c>
      <c r="AT412" s="24">
        <f t="shared" ca="1" si="416"/>
        <v>0</v>
      </c>
      <c r="AU412" s="24">
        <f t="shared" ca="1" si="417"/>
        <v>0</v>
      </c>
      <c r="AV412" s="25">
        <f t="shared" ca="1" si="418"/>
        <v>0</v>
      </c>
      <c r="AW412" s="23">
        <f t="array" aca="1" ref="AW412" ca="1">SUM(IF(rcs_start_date&lt;=AO412,1,0)*IF(rcs_end_date&gt;=AO412,1,0)*rcs_amount*(1+rcs_escalation/100)^(INT((AP412-rcs_months_since_start)/12))*IF(MOD((AP412-rcs_months_since_start),rcs_frequency)=0,1,0)*IF(rcs_frequency=13,0,1))+SUM(IF(rcs_start_date=AO412,rcs_amount,0)*IF(rcs_frequency=13,1,0))</f>
        <v>0</v>
      </c>
      <c r="AX412" s="24">
        <f t="shared" ca="1" si="419"/>
        <v>0</v>
      </c>
      <c r="AY412" s="24">
        <f t="shared" ca="1" si="420"/>
        <v>0</v>
      </c>
      <c r="AZ412" s="24">
        <f t="shared" ca="1" si="421"/>
        <v>0</v>
      </c>
      <c r="BA412" s="25">
        <f t="shared" ca="1" si="422"/>
        <v>0</v>
      </c>
      <c r="BB412" s="23">
        <f t="array" aca="1" ref="BB412" ca="1">SUM(IF(w_start_date&lt;=AO412,1,0)*IF(w_end_date&gt;=AO412,1,0)*w_amount*(1+w_escalation/100)^(INT((AP412-w_months_since_start)/12))*IF(MOD(AP412-w_months_since_start,w_frequency)=0,1,0)*IF(w_frequency=13,0,1))+SUM(IF(w_start_date=AO412,w_amount,0)*IF(w_frequency=13,1,0))</f>
        <v>0</v>
      </c>
      <c r="BC412" s="25">
        <f t="shared" ca="1" si="423"/>
        <v>0</v>
      </c>
      <c r="BD412" s="24" t="b">
        <f t="shared" ca="1" si="424"/>
        <v>1</v>
      </c>
      <c r="BE412" s="24" t="b">
        <f t="shared" ca="1" si="425"/>
        <v>1</v>
      </c>
      <c r="BF412" s="23">
        <f t="array" aca="1" ref="BF412" ca="1">SUM(IF(BD412,1,0)*IF(ap_start_date&lt;=AO412,1,0)*IF(ap_end_date&gt;=AO412,1,0)*ap_amount*(1+ap_escalation/100)^(INT((AP412-ap_months_since_start)/12))*IF(MOD(AP412-ap_months_since_start,ap_frequency)=0,1,0))</f>
        <v>82947.157702673212</v>
      </c>
      <c r="BG412" s="24">
        <f t="shared" ca="1" si="426"/>
        <v>995365.8924320786</v>
      </c>
      <c r="BH412" s="24">
        <f t="shared" ca="1" si="427"/>
        <v>8119.1866755978253</v>
      </c>
      <c r="BI412">
        <f t="shared" ca="1" si="428"/>
        <v>0</v>
      </c>
      <c r="BJ412" s="24">
        <f t="shared" ca="1" si="429"/>
        <v>56834.306729184769</v>
      </c>
      <c r="BK412">
        <f t="shared" ca="1" si="430"/>
        <v>1</v>
      </c>
      <c r="BL412" s="25">
        <f t="shared" ca="1" si="431"/>
        <v>4736.1922274320641</v>
      </c>
      <c r="BM412" s="32">
        <f t="shared" ca="1" si="410"/>
        <v>299667.89714276965</v>
      </c>
      <c r="BN412" s="23">
        <f t="shared" ca="1" si="432"/>
        <v>0</v>
      </c>
      <c r="BO412" s="24">
        <f t="shared" ca="1" si="433"/>
        <v>0</v>
      </c>
      <c r="BP412" s="25">
        <f t="shared" ca="1" si="434"/>
        <v>0</v>
      </c>
      <c r="BQ412" s="34">
        <f t="shared" ca="1" si="435"/>
        <v>57953</v>
      </c>
      <c r="BR412" s="23">
        <f t="shared" ca="1" si="436"/>
        <v>299667.89714276965</v>
      </c>
      <c r="BS412" s="24">
        <f t="shared" ca="1" si="437"/>
        <v>0</v>
      </c>
      <c r="BT412" s="24">
        <f t="shared" ca="1" si="442"/>
        <v>0</v>
      </c>
      <c r="BU412" s="24">
        <f t="shared" ca="1" si="438"/>
        <v>0</v>
      </c>
      <c r="BV412" s="24">
        <f t="shared" ca="1" si="443"/>
        <v>0</v>
      </c>
      <c r="BW412" s="24">
        <f t="shared" ca="1" si="439"/>
        <v>-4736.1922274320641</v>
      </c>
      <c r="BX412" s="25">
        <f t="shared" ca="1" si="444"/>
        <v>-57810.39167855354</v>
      </c>
      <c r="BY412" s="23">
        <f t="shared" ca="1" si="411"/>
        <v>79756.303797290369</v>
      </c>
      <c r="BZ412" s="24">
        <f t="shared" ca="1" si="412"/>
        <v>0</v>
      </c>
      <c r="CA412" s="24">
        <f t="shared" ca="1" si="445"/>
        <v>0</v>
      </c>
      <c r="CB412" s="24">
        <f t="shared" ca="1" si="413"/>
        <v>0</v>
      </c>
      <c r="CC412" s="24">
        <f t="shared" ca="1" si="446"/>
        <v>0</v>
      </c>
      <c r="CD412" s="24">
        <f t="shared" ca="1" si="414"/>
        <v>-1264.6593649012129</v>
      </c>
      <c r="CE412" s="25">
        <f t="shared" ca="1" si="447"/>
        <v>-15721.90180499907</v>
      </c>
      <c r="CF412" s="23">
        <f t="shared" ca="1" si="448"/>
        <v>988985.34183956531</v>
      </c>
      <c r="CG412" s="25">
        <f t="array" aca="1" ref="CG412" ca="1">SUM(BF401:BF412/(1+inflation/100)^(AP401:AP412/12))</f>
        <v>267980.53702225379</v>
      </c>
      <c r="CH412" s="32">
        <f ca="1">IFERROR(IF(MOD(AP412-ap_months_since_start,12)=0,ap_drawdown/100*(AQ412+AV412+BA412-BC412),CH411),0)</f>
        <v>49914.850605530701</v>
      </c>
    </row>
    <row r="413" spans="40:86" x14ac:dyDescent="0.25">
      <c r="AN413" s="32">
        <f t="shared" ca="1" si="409"/>
        <v>88.666666666666671</v>
      </c>
      <c r="AO413" s="53">
        <f t="shared" ca="1" si="440"/>
        <v>57954</v>
      </c>
      <c r="AP413" s="22">
        <v>406</v>
      </c>
      <c r="AQ413" s="32">
        <f t="shared" ca="1" si="441"/>
        <v>299667.89714276965</v>
      </c>
      <c r="AR413" s="23">
        <f t="array" aca="1" ref="AR413" ca="1">SUM(IF(lsc_start_date=AO413,lsc_amount,0))</f>
        <v>0</v>
      </c>
      <c r="AS413" s="24">
        <f t="shared" ca="1" si="415"/>
        <v>0</v>
      </c>
      <c r="AT413" s="24">
        <f t="shared" ca="1" si="416"/>
        <v>0</v>
      </c>
      <c r="AU413" s="24">
        <f t="shared" ca="1" si="417"/>
        <v>0</v>
      </c>
      <c r="AV413" s="25">
        <f t="shared" ca="1" si="418"/>
        <v>0</v>
      </c>
      <c r="AW413" s="23">
        <f t="array" aca="1" ref="AW413" ca="1">SUM(IF(rcs_start_date&lt;=AO413,1,0)*IF(rcs_end_date&gt;=AO413,1,0)*rcs_amount*(1+rcs_escalation/100)^(INT((AP413-rcs_months_since_start)/12))*IF(MOD((AP413-rcs_months_since_start),rcs_frequency)=0,1,0)*IF(rcs_frequency=13,0,1))+SUM(IF(rcs_start_date=AO413,rcs_amount,0)*IF(rcs_frequency=13,1,0))</f>
        <v>0</v>
      </c>
      <c r="AX413" s="24">
        <f t="shared" ca="1" si="419"/>
        <v>0</v>
      </c>
      <c r="AY413" s="24">
        <f t="shared" ca="1" si="420"/>
        <v>0</v>
      </c>
      <c r="AZ413" s="24">
        <f t="shared" ca="1" si="421"/>
        <v>0</v>
      </c>
      <c r="BA413" s="25">
        <f t="shared" ca="1" si="422"/>
        <v>0</v>
      </c>
      <c r="BB413" s="23">
        <f t="array" aca="1" ref="BB413" ca="1">SUM(IF(w_start_date&lt;=AO413,1,0)*IF(w_end_date&gt;=AO413,1,0)*w_amount*(1+w_escalation/100)^(INT((AP413-w_months_since_start)/12))*IF(MOD(AP413-w_months_since_start,w_frequency)=0,1,0)*IF(w_frequency=13,0,1))+SUM(IF(w_start_date=AO413,w_amount,0)*IF(w_frequency=13,1,0))</f>
        <v>0</v>
      </c>
      <c r="BC413" s="25">
        <f t="shared" ca="1" si="423"/>
        <v>0</v>
      </c>
      <c r="BD413" s="24" t="b">
        <f t="shared" ca="1" si="424"/>
        <v>1</v>
      </c>
      <c r="BE413" s="24" t="b">
        <f t="shared" ca="1" si="425"/>
        <v>1</v>
      </c>
      <c r="BF413" s="23">
        <f t="array" aca="1" ref="BF413" ca="1">SUM(IF(BD413,1,0)*IF(ap_start_date&lt;=AO413,1,0)*IF(ap_end_date&gt;=AO413,1,0)*ap_amount*(1+ap_escalation/100)^(INT((AP413-ap_months_since_start)/12))*IF(MOD(AP413-ap_months_since_start,ap_frequency)=0,1,0))</f>
        <v>82947.157702673212</v>
      </c>
      <c r="BG413" s="24">
        <f t="shared" ca="1" si="426"/>
        <v>995365.8924320786</v>
      </c>
      <c r="BH413" s="24">
        <f t="shared" ca="1" si="427"/>
        <v>8119.1866755978253</v>
      </c>
      <c r="BI413">
        <f t="shared" ca="1" si="428"/>
        <v>0</v>
      </c>
      <c r="BJ413" s="24">
        <f t="shared" ca="1" si="429"/>
        <v>56834.306729184769</v>
      </c>
      <c r="BK413">
        <f t="shared" ca="1" si="430"/>
        <v>1</v>
      </c>
      <c r="BL413" s="25">
        <f t="shared" ca="1" si="431"/>
        <v>4736.1922274320641</v>
      </c>
      <c r="BM413" s="32">
        <f t="shared" ca="1" si="410"/>
        <v>297057.37306884187</v>
      </c>
      <c r="BN413" s="23">
        <f t="shared" ca="1" si="432"/>
        <v>0</v>
      </c>
      <c r="BO413" s="24">
        <f t="shared" ca="1" si="433"/>
        <v>0</v>
      </c>
      <c r="BP413" s="25">
        <f t="shared" ca="1" si="434"/>
        <v>0</v>
      </c>
      <c r="BQ413" s="34">
        <f t="shared" ca="1" si="435"/>
        <v>57983</v>
      </c>
      <c r="BR413" s="23">
        <f t="shared" ca="1" si="436"/>
        <v>297057.37306884187</v>
      </c>
      <c r="BS413" s="24">
        <f t="shared" ca="1" si="437"/>
        <v>0</v>
      </c>
      <c r="BT413" s="24">
        <f t="shared" ca="1" si="442"/>
        <v>0</v>
      </c>
      <c r="BU413" s="24">
        <f t="shared" ca="1" si="438"/>
        <v>0</v>
      </c>
      <c r="BV413" s="24">
        <f t="shared" ca="1" si="443"/>
        <v>0</v>
      </c>
      <c r="BW413" s="24">
        <f t="shared" ca="1" si="439"/>
        <v>-4736.1922274320641</v>
      </c>
      <c r="BX413" s="25">
        <f t="shared" ca="1" si="444"/>
        <v>-57322.349203869162</v>
      </c>
      <c r="BY413" s="23">
        <f t="shared" ca="1" si="411"/>
        <v>78803.533227942695</v>
      </c>
      <c r="BZ413" s="24">
        <f t="shared" ca="1" si="412"/>
        <v>0</v>
      </c>
      <c r="CA413" s="24">
        <f t="shared" ca="1" si="445"/>
        <v>0</v>
      </c>
      <c r="CB413" s="24">
        <f t="shared" ca="1" si="413"/>
        <v>0</v>
      </c>
      <c r="CC413" s="24">
        <f t="shared" ca="1" si="446"/>
        <v>0</v>
      </c>
      <c r="CD413" s="24">
        <f t="shared" ca="1" si="414"/>
        <v>-1260.5327088255679</v>
      </c>
      <c r="CE413" s="25">
        <f t="shared" ca="1" si="447"/>
        <v>-15536.39281185244</v>
      </c>
      <c r="CF413" s="23">
        <f t="shared" ca="1" si="448"/>
        <v>992175.61713582196</v>
      </c>
      <c r="CG413" s="25">
        <f t="array" aca="1" ref="CG413" ca="1">SUM(BF402:BF413/(1+inflation/100)^(AP402:AP413/12))</f>
        <v>267980.53702225379</v>
      </c>
      <c r="CH413" s="32">
        <f ca="1">IFERROR(IF(MOD(AP413-ap_months_since_start,12)=0,ap_drawdown/100*(AQ413+AV413+BA413-BC413),CH412),0)</f>
        <v>49914.850605530701</v>
      </c>
    </row>
    <row r="414" spans="40:86" x14ac:dyDescent="0.25">
      <c r="AN414" s="32">
        <f t="shared" ca="1" si="409"/>
        <v>88.75</v>
      </c>
      <c r="AO414" s="53">
        <f t="shared" ca="1" si="440"/>
        <v>57984</v>
      </c>
      <c r="AP414" s="22">
        <v>407</v>
      </c>
      <c r="AQ414" s="32">
        <f t="shared" ca="1" si="441"/>
        <v>297057.37306884187</v>
      </c>
      <c r="AR414" s="23">
        <f t="array" aca="1" ref="AR414" ca="1">SUM(IF(lsc_start_date=AO414,lsc_amount,0))</f>
        <v>0</v>
      </c>
      <c r="AS414" s="24">
        <f t="shared" ca="1" si="415"/>
        <v>0</v>
      </c>
      <c r="AT414" s="24">
        <f t="shared" ca="1" si="416"/>
        <v>0</v>
      </c>
      <c r="AU414" s="24">
        <f t="shared" ca="1" si="417"/>
        <v>0</v>
      </c>
      <c r="AV414" s="25">
        <f t="shared" ca="1" si="418"/>
        <v>0</v>
      </c>
      <c r="AW414" s="23">
        <f t="array" aca="1" ref="AW414" ca="1">SUM(IF(rcs_start_date&lt;=AO414,1,0)*IF(rcs_end_date&gt;=AO414,1,0)*rcs_amount*(1+rcs_escalation/100)^(INT((AP414-rcs_months_since_start)/12))*IF(MOD((AP414-rcs_months_since_start),rcs_frequency)=0,1,0)*IF(rcs_frequency=13,0,1))+SUM(IF(rcs_start_date=AO414,rcs_amount,0)*IF(rcs_frequency=13,1,0))</f>
        <v>0</v>
      </c>
      <c r="AX414" s="24">
        <f t="shared" ca="1" si="419"/>
        <v>0</v>
      </c>
      <c r="AY414" s="24">
        <f t="shared" ca="1" si="420"/>
        <v>0</v>
      </c>
      <c r="AZ414" s="24">
        <f t="shared" ca="1" si="421"/>
        <v>0</v>
      </c>
      <c r="BA414" s="25">
        <f t="shared" ca="1" si="422"/>
        <v>0</v>
      </c>
      <c r="BB414" s="23">
        <f t="array" aca="1" ref="BB414" ca="1">SUM(IF(w_start_date&lt;=AO414,1,0)*IF(w_end_date&gt;=AO414,1,0)*w_amount*(1+w_escalation/100)^(INT((AP414-w_months_since_start)/12))*IF(MOD(AP414-w_months_since_start,w_frequency)=0,1,0)*IF(w_frequency=13,0,1))+SUM(IF(w_start_date=AO414,w_amount,0)*IF(w_frequency=13,1,0))</f>
        <v>0</v>
      </c>
      <c r="BC414" s="25">
        <f t="shared" ca="1" si="423"/>
        <v>0</v>
      </c>
      <c r="BD414" s="24" t="b">
        <f t="shared" ca="1" si="424"/>
        <v>1</v>
      </c>
      <c r="BE414" s="24" t="b">
        <f t="shared" ca="1" si="425"/>
        <v>1</v>
      </c>
      <c r="BF414" s="23">
        <f t="array" aca="1" ref="BF414" ca="1">SUM(IF(BD414,1,0)*IF(ap_start_date&lt;=AO414,1,0)*IF(ap_end_date&gt;=AO414,1,0)*ap_amount*(1+ap_escalation/100)^(INT((AP414-ap_months_since_start)/12))*IF(MOD(AP414-ap_months_since_start,ap_frequency)=0,1,0))</f>
        <v>82947.157702673212</v>
      </c>
      <c r="BG414" s="24">
        <f t="shared" ca="1" si="426"/>
        <v>995365.8924320786</v>
      </c>
      <c r="BH414" s="24">
        <f t="shared" ca="1" si="427"/>
        <v>8119.1866755978253</v>
      </c>
      <c r="BI414">
        <f t="shared" ca="1" si="428"/>
        <v>0</v>
      </c>
      <c r="BJ414" s="24">
        <f t="shared" ca="1" si="429"/>
        <v>56834.306729184769</v>
      </c>
      <c r="BK414">
        <f t="shared" ca="1" si="430"/>
        <v>1</v>
      </c>
      <c r="BL414" s="25">
        <f t="shared" ca="1" si="431"/>
        <v>4736.1922274320641</v>
      </c>
      <c r="BM414" s="32">
        <f t="shared" ca="1" si="410"/>
        <v>294428.03410388873</v>
      </c>
      <c r="BN414" s="23">
        <f t="shared" ca="1" si="432"/>
        <v>0</v>
      </c>
      <c r="BO414" s="24">
        <f t="shared" ca="1" si="433"/>
        <v>0</v>
      </c>
      <c r="BP414" s="25">
        <f t="shared" ca="1" si="434"/>
        <v>0</v>
      </c>
      <c r="BQ414" s="34">
        <f t="shared" ca="1" si="435"/>
        <v>58014</v>
      </c>
      <c r="BR414" s="23">
        <f t="shared" ca="1" si="436"/>
        <v>294428.03410388873</v>
      </c>
      <c r="BS414" s="24">
        <f t="shared" ca="1" si="437"/>
        <v>0</v>
      </c>
      <c r="BT414" s="24">
        <f t="shared" ca="1" si="442"/>
        <v>0</v>
      </c>
      <c r="BU414" s="24">
        <f t="shared" ca="1" si="438"/>
        <v>0</v>
      </c>
      <c r="BV414" s="24">
        <f t="shared" ca="1" si="443"/>
        <v>0</v>
      </c>
      <c r="BW414" s="24">
        <f t="shared" ca="1" si="439"/>
        <v>-4736.1922274320641</v>
      </c>
      <c r="BX414" s="25">
        <f t="shared" ca="1" si="444"/>
        <v>-56834.306729184784</v>
      </c>
      <c r="BY414" s="23">
        <f t="shared" ca="1" si="411"/>
        <v>77851.15640261065</v>
      </c>
      <c r="BZ414" s="24">
        <f t="shared" ca="1" si="412"/>
        <v>0</v>
      </c>
      <c r="CA414" s="24">
        <f t="shared" ca="1" si="445"/>
        <v>0</v>
      </c>
      <c r="CB414" s="24">
        <f t="shared" ca="1" si="413"/>
        <v>0</v>
      </c>
      <c r="CC414" s="24">
        <f t="shared" ca="1" si="446"/>
        <v>0</v>
      </c>
      <c r="CD414" s="24">
        <f t="shared" ca="1" si="414"/>
        <v>-1256.419518265491</v>
      </c>
      <c r="CE414" s="25">
        <f t="shared" ca="1" si="447"/>
        <v>-15351.489145195223</v>
      </c>
      <c r="CF414" s="23">
        <f t="shared" ca="1" si="448"/>
        <v>995365.8924320786</v>
      </c>
      <c r="CG414" s="25">
        <f t="array" aca="1" ref="CG414" ca="1">SUM(BF403:BF414/(1+inflation/100)^(AP403:AP414/12))</f>
        <v>267980.53702225385</v>
      </c>
      <c r="CH414" s="32">
        <f ca="1">IFERROR(IF(MOD(AP414-ap_months_since_start,12)=0,ap_drawdown/100*(AQ414+AV414+BA414-BC414),CH413),0)</f>
        <v>49914.850605530701</v>
      </c>
    </row>
    <row r="415" spans="40:86" x14ac:dyDescent="0.25">
      <c r="AN415" s="32">
        <f t="shared" ca="1" si="409"/>
        <v>88.833333333333329</v>
      </c>
      <c r="AO415" s="53">
        <f t="shared" ca="1" si="440"/>
        <v>58015</v>
      </c>
      <c r="AP415" s="22">
        <v>408</v>
      </c>
      <c r="AQ415" s="32">
        <f t="shared" ca="1" si="441"/>
        <v>294428.03410388873</v>
      </c>
      <c r="AR415" s="23">
        <f t="array" aca="1" ref="AR415" ca="1">SUM(IF(lsc_start_date=AO415,lsc_amount,0))</f>
        <v>0</v>
      </c>
      <c r="AS415" s="24">
        <f t="shared" ca="1" si="415"/>
        <v>0</v>
      </c>
      <c r="AT415" s="24">
        <f t="shared" ca="1" si="416"/>
        <v>0</v>
      </c>
      <c r="AU415" s="24">
        <f t="shared" ca="1" si="417"/>
        <v>0</v>
      </c>
      <c r="AV415" s="25">
        <f t="shared" ca="1" si="418"/>
        <v>0</v>
      </c>
      <c r="AW415" s="23">
        <f t="array" aca="1" ref="AW415" ca="1">SUM(IF(rcs_start_date&lt;=AO415,1,0)*IF(rcs_end_date&gt;=AO415,1,0)*rcs_amount*(1+rcs_escalation/100)^(INT((AP415-rcs_months_since_start)/12))*IF(MOD((AP415-rcs_months_since_start),rcs_frequency)=0,1,0)*IF(rcs_frequency=13,0,1))+SUM(IF(rcs_start_date=AO415,rcs_amount,0)*IF(rcs_frequency=13,1,0))</f>
        <v>0</v>
      </c>
      <c r="AX415" s="24">
        <f t="shared" ca="1" si="419"/>
        <v>0</v>
      </c>
      <c r="AY415" s="24">
        <f t="shared" ca="1" si="420"/>
        <v>0</v>
      </c>
      <c r="AZ415" s="24">
        <f t="shared" ca="1" si="421"/>
        <v>0</v>
      </c>
      <c r="BA415" s="25">
        <f t="shared" ca="1" si="422"/>
        <v>0</v>
      </c>
      <c r="BB415" s="23">
        <f t="array" aca="1" ref="BB415" ca="1">SUM(IF(w_start_date&lt;=AO415,1,0)*IF(w_end_date&gt;=AO415,1,0)*w_amount*(1+w_escalation/100)^(INT((AP415-w_months_since_start)/12))*IF(MOD(AP415-w_months_since_start,w_frequency)=0,1,0)*IF(w_frequency=13,0,1))+SUM(IF(w_start_date=AO415,w_amount,0)*IF(w_frequency=13,1,0))</f>
        <v>0</v>
      </c>
      <c r="BC415" s="25">
        <f t="shared" ca="1" si="423"/>
        <v>0</v>
      </c>
      <c r="BD415" s="24" t="b">
        <f t="shared" ca="1" si="424"/>
        <v>1</v>
      </c>
      <c r="BE415" s="24" t="b">
        <f t="shared" ca="1" si="425"/>
        <v>1</v>
      </c>
      <c r="BF415" s="23">
        <f t="array" aca="1" ref="BF415" ca="1">SUM(IF(BD415,1,0)*IF(ap_start_date&lt;=AO415,1,0)*IF(ap_end_date&gt;=AO415,1,0)*ap_amount*(1+ap_escalation/100)^(INT((AP415-ap_months_since_start)/12))*IF(MOD(AP415-ap_months_since_start,ap_frequency)=0,1,0))</f>
        <v>86265.044010780126</v>
      </c>
      <c r="BG415" s="24">
        <f t="shared" ca="1" si="426"/>
        <v>1035180.5281293617</v>
      </c>
      <c r="BH415" s="24">
        <f t="shared" ca="1" si="427"/>
        <v>7360.7008525972187</v>
      </c>
      <c r="BI415">
        <f t="shared" ca="1" si="428"/>
        <v>0</v>
      </c>
      <c r="BJ415" s="24">
        <f t="shared" ca="1" si="429"/>
        <v>51524.905968180523</v>
      </c>
      <c r="BK415">
        <f t="shared" ca="1" si="430"/>
        <v>1</v>
      </c>
      <c r="BL415" s="25">
        <f t="shared" ca="1" si="431"/>
        <v>4293.7421640150424</v>
      </c>
      <c r="BM415" s="32">
        <f t="shared" ca="1" si="410"/>
        <v>292225.38358698279</v>
      </c>
      <c r="BN415" s="23">
        <f t="shared" ca="1" si="432"/>
        <v>0</v>
      </c>
      <c r="BO415" s="24">
        <f t="shared" ca="1" si="433"/>
        <v>0</v>
      </c>
      <c r="BP415" s="25">
        <f t="shared" ca="1" si="434"/>
        <v>0</v>
      </c>
      <c r="BQ415" s="34">
        <f t="shared" ca="1" si="435"/>
        <v>58044</v>
      </c>
      <c r="BR415" s="23">
        <f t="shared" ca="1" si="436"/>
        <v>292225.38358698279</v>
      </c>
      <c r="BS415" s="24">
        <f t="shared" ca="1" si="437"/>
        <v>0</v>
      </c>
      <c r="BT415" s="24">
        <f t="shared" ca="1" si="442"/>
        <v>0</v>
      </c>
      <c r="BU415" s="24">
        <f t="shared" ca="1" si="438"/>
        <v>0</v>
      </c>
      <c r="BV415" s="24">
        <f t="shared" ca="1" si="443"/>
        <v>0</v>
      </c>
      <c r="BW415" s="24">
        <f t="shared" ca="1" si="439"/>
        <v>-4293.7421640150424</v>
      </c>
      <c r="BX415" s="25">
        <f t="shared" ca="1" si="444"/>
        <v>-56391.856665767758</v>
      </c>
      <c r="BY415" s="23">
        <f t="shared" ca="1" si="411"/>
        <v>77016.610465764621</v>
      </c>
      <c r="BZ415" s="24">
        <f t="shared" ca="1" si="412"/>
        <v>0</v>
      </c>
      <c r="CA415" s="24">
        <f t="shared" ca="1" si="445"/>
        <v>0</v>
      </c>
      <c r="CB415" s="24">
        <f t="shared" ca="1" si="413"/>
        <v>0</v>
      </c>
      <c r="CC415" s="24">
        <f t="shared" ca="1" si="446"/>
        <v>0</v>
      </c>
      <c r="CD415" s="24">
        <f t="shared" ca="1" si="414"/>
        <v>-1135.3293642047381</v>
      </c>
      <c r="CE415" s="25">
        <f t="shared" ca="1" si="447"/>
        <v>-15184.405970146439</v>
      </c>
      <c r="CF415" s="23">
        <f t="shared" ca="1" si="448"/>
        <v>998683.77874018555</v>
      </c>
      <c r="CG415" s="25">
        <f t="array" aca="1" ref="CG415" ca="1">SUM(BF404:BF415/(1+inflation/100)^(AP404:AP415/12))</f>
        <v>267980.53702225379</v>
      </c>
      <c r="CH415" s="32">
        <f ca="1">IFERROR(IF(MOD(AP415-ap_months_since_start,12)=0,ap_drawdown/100*(AQ415+AV415+BA415-BC415),CH414),0)</f>
        <v>45251.858109585824</v>
      </c>
    </row>
    <row r="416" spans="40:86" x14ac:dyDescent="0.25">
      <c r="AN416" s="32">
        <f t="shared" ca="1" si="409"/>
        <v>88.916666666666671</v>
      </c>
      <c r="AO416" s="53">
        <f t="shared" ca="1" si="440"/>
        <v>58045</v>
      </c>
      <c r="AP416" s="22">
        <v>409</v>
      </c>
      <c r="AQ416" s="32">
        <f t="shared" ca="1" si="441"/>
        <v>292225.38358698279</v>
      </c>
      <c r="AR416" s="23">
        <f t="array" aca="1" ref="AR416" ca="1">SUM(IF(lsc_start_date=AO416,lsc_amount,0))</f>
        <v>0</v>
      </c>
      <c r="AS416" s="24">
        <f t="shared" ca="1" si="415"/>
        <v>0</v>
      </c>
      <c r="AT416" s="24">
        <f t="shared" ca="1" si="416"/>
        <v>0</v>
      </c>
      <c r="AU416" s="24">
        <f t="shared" ca="1" si="417"/>
        <v>0</v>
      </c>
      <c r="AV416" s="25">
        <f t="shared" ca="1" si="418"/>
        <v>0</v>
      </c>
      <c r="AW416" s="23">
        <f t="array" aca="1" ref="AW416" ca="1">SUM(IF(rcs_start_date&lt;=AO416,1,0)*IF(rcs_end_date&gt;=AO416,1,0)*rcs_amount*(1+rcs_escalation/100)^(INT((AP416-rcs_months_since_start)/12))*IF(MOD((AP416-rcs_months_since_start),rcs_frequency)=0,1,0)*IF(rcs_frequency=13,0,1))+SUM(IF(rcs_start_date=AO416,rcs_amount,0)*IF(rcs_frequency=13,1,0))</f>
        <v>0</v>
      </c>
      <c r="AX416" s="24">
        <f t="shared" ca="1" si="419"/>
        <v>0</v>
      </c>
      <c r="AY416" s="24">
        <f t="shared" ca="1" si="420"/>
        <v>0</v>
      </c>
      <c r="AZ416" s="24">
        <f t="shared" ca="1" si="421"/>
        <v>0</v>
      </c>
      <c r="BA416" s="25">
        <f t="shared" ca="1" si="422"/>
        <v>0</v>
      </c>
      <c r="BB416" s="23">
        <f t="array" aca="1" ref="BB416" ca="1">SUM(IF(w_start_date&lt;=AO416,1,0)*IF(w_end_date&gt;=AO416,1,0)*w_amount*(1+w_escalation/100)^(INT((AP416-w_months_since_start)/12))*IF(MOD(AP416-w_months_since_start,w_frequency)=0,1,0)*IF(w_frequency=13,0,1))+SUM(IF(w_start_date=AO416,w_amount,0)*IF(w_frequency=13,1,0))</f>
        <v>0</v>
      </c>
      <c r="BC416" s="25">
        <f t="shared" ca="1" si="423"/>
        <v>0</v>
      </c>
      <c r="BD416" s="24" t="b">
        <f t="shared" ca="1" si="424"/>
        <v>1</v>
      </c>
      <c r="BE416" s="24" t="b">
        <f t="shared" ca="1" si="425"/>
        <v>1</v>
      </c>
      <c r="BF416" s="23">
        <f t="array" aca="1" ref="BF416" ca="1">SUM(IF(BD416,1,0)*IF(ap_start_date&lt;=AO416,1,0)*IF(ap_end_date&gt;=AO416,1,0)*ap_amount*(1+ap_escalation/100)^(INT((AP416-ap_months_since_start)/12))*IF(MOD(AP416-ap_months_since_start,ap_frequency)=0,1,0))</f>
        <v>86265.044010780126</v>
      </c>
      <c r="BG416" s="24">
        <f t="shared" ca="1" si="426"/>
        <v>1035180.5281293617</v>
      </c>
      <c r="BH416" s="24">
        <f t="shared" ca="1" si="427"/>
        <v>7360.7008525972187</v>
      </c>
      <c r="BI416">
        <f t="shared" ca="1" si="428"/>
        <v>0</v>
      </c>
      <c r="BJ416" s="24">
        <f t="shared" ca="1" si="429"/>
        <v>51524.905968180523</v>
      </c>
      <c r="BK416">
        <f t="shared" ca="1" si="430"/>
        <v>1</v>
      </c>
      <c r="BL416" s="25">
        <f t="shared" ca="1" si="431"/>
        <v>4293.7421640150424</v>
      </c>
      <c r="BM416" s="32">
        <f t="shared" ca="1" si="410"/>
        <v>290006.85785564902</v>
      </c>
      <c r="BN416" s="23">
        <f t="shared" ca="1" si="432"/>
        <v>0</v>
      </c>
      <c r="BO416" s="24">
        <f t="shared" ca="1" si="433"/>
        <v>0</v>
      </c>
      <c r="BP416" s="25">
        <f t="shared" ca="1" si="434"/>
        <v>0</v>
      </c>
      <c r="BQ416" s="34">
        <f t="shared" ca="1" si="435"/>
        <v>58075</v>
      </c>
      <c r="BR416" s="23">
        <f t="shared" ca="1" si="436"/>
        <v>290006.85785564902</v>
      </c>
      <c r="BS416" s="24">
        <f t="shared" ca="1" si="437"/>
        <v>0</v>
      </c>
      <c r="BT416" s="24">
        <f t="shared" ca="1" si="442"/>
        <v>0</v>
      </c>
      <c r="BU416" s="24">
        <f t="shared" ca="1" si="438"/>
        <v>0</v>
      </c>
      <c r="BV416" s="24">
        <f t="shared" ca="1" si="443"/>
        <v>0</v>
      </c>
      <c r="BW416" s="24">
        <f t="shared" ca="1" si="439"/>
        <v>-4293.7421640150424</v>
      </c>
      <c r="BX416" s="25">
        <f t="shared" ca="1" si="444"/>
        <v>-55949.406602350733</v>
      </c>
      <c r="BY416" s="23">
        <f t="shared" ca="1" si="411"/>
        <v>76182.511654426096</v>
      </c>
      <c r="BZ416" s="24">
        <f t="shared" ca="1" si="412"/>
        <v>0</v>
      </c>
      <c r="CA416" s="24">
        <f t="shared" ca="1" si="445"/>
        <v>0</v>
      </c>
      <c r="CB416" s="24">
        <f t="shared" ca="1" si="413"/>
        <v>0</v>
      </c>
      <c r="CC416" s="24">
        <f t="shared" ca="1" si="446"/>
        <v>0</v>
      </c>
      <c r="CD416" s="24">
        <f t="shared" ca="1" si="414"/>
        <v>-1131.6247193425065</v>
      </c>
      <c r="CE416" s="25">
        <f t="shared" ca="1" si="447"/>
        <v>-15017.867997085314</v>
      </c>
      <c r="CF416" s="23">
        <f t="shared" ca="1" si="448"/>
        <v>1002001.6650482925</v>
      </c>
      <c r="CG416" s="25">
        <f t="array" aca="1" ref="CG416" ca="1">SUM(BF405:BF416/(1+inflation/100)^(AP405:AP416/12))</f>
        <v>267980.53702225379</v>
      </c>
      <c r="CH416" s="32">
        <f ca="1">IFERROR(IF(MOD(AP416-ap_months_since_start,12)=0,ap_drawdown/100*(AQ416+AV416+BA416-BC416),CH415),0)</f>
        <v>45251.858109585824</v>
      </c>
    </row>
    <row r="417" spans="40:86" x14ac:dyDescent="0.25">
      <c r="AN417" s="32">
        <f t="shared" ca="1" si="409"/>
        <v>89</v>
      </c>
      <c r="AO417" s="53">
        <f t="shared" ca="1" si="440"/>
        <v>58076</v>
      </c>
      <c r="AP417" s="22">
        <v>410</v>
      </c>
      <c r="AQ417" s="32">
        <f t="shared" ca="1" si="441"/>
        <v>290006.85785564902</v>
      </c>
      <c r="AR417" s="23">
        <f t="array" aca="1" ref="AR417" ca="1">SUM(IF(lsc_start_date=AO417,lsc_amount,0))</f>
        <v>0</v>
      </c>
      <c r="AS417" s="24">
        <f t="shared" ca="1" si="415"/>
        <v>0</v>
      </c>
      <c r="AT417" s="24">
        <f t="shared" ca="1" si="416"/>
        <v>0</v>
      </c>
      <c r="AU417" s="24">
        <f t="shared" ca="1" si="417"/>
        <v>0</v>
      </c>
      <c r="AV417" s="25">
        <f t="shared" ca="1" si="418"/>
        <v>0</v>
      </c>
      <c r="AW417" s="23">
        <f t="array" aca="1" ref="AW417" ca="1">SUM(IF(rcs_start_date&lt;=AO417,1,0)*IF(rcs_end_date&gt;=AO417,1,0)*rcs_amount*(1+rcs_escalation/100)^(INT((AP417-rcs_months_since_start)/12))*IF(MOD((AP417-rcs_months_since_start),rcs_frequency)=0,1,0)*IF(rcs_frequency=13,0,1))+SUM(IF(rcs_start_date=AO417,rcs_amount,0)*IF(rcs_frequency=13,1,0))</f>
        <v>0</v>
      </c>
      <c r="AX417" s="24">
        <f t="shared" ca="1" si="419"/>
        <v>0</v>
      </c>
      <c r="AY417" s="24">
        <f t="shared" ca="1" si="420"/>
        <v>0</v>
      </c>
      <c r="AZ417" s="24">
        <f t="shared" ca="1" si="421"/>
        <v>0</v>
      </c>
      <c r="BA417" s="25">
        <f t="shared" ca="1" si="422"/>
        <v>0</v>
      </c>
      <c r="BB417" s="23">
        <f t="array" aca="1" ref="BB417" ca="1">SUM(IF(w_start_date&lt;=AO417,1,0)*IF(w_end_date&gt;=AO417,1,0)*w_amount*(1+w_escalation/100)^(INT((AP417-w_months_since_start)/12))*IF(MOD(AP417-w_months_since_start,w_frequency)=0,1,0)*IF(w_frequency=13,0,1))+SUM(IF(w_start_date=AO417,w_amount,0)*IF(w_frequency=13,1,0))</f>
        <v>0</v>
      </c>
      <c r="BC417" s="25">
        <f t="shared" ca="1" si="423"/>
        <v>0</v>
      </c>
      <c r="BD417" s="24" t="b">
        <f t="shared" ca="1" si="424"/>
        <v>1</v>
      </c>
      <c r="BE417" s="24" t="b">
        <f t="shared" ca="1" si="425"/>
        <v>1</v>
      </c>
      <c r="BF417" s="23">
        <f t="array" aca="1" ref="BF417" ca="1">SUM(IF(BD417,1,0)*IF(ap_start_date&lt;=AO417,1,0)*IF(ap_end_date&gt;=AO417,1,0)*ap_amount*(1+ap_escalation/100)^(INT((AP417-ap_months_since_start)/12))*IF(MOD(AP417-ap_months_since_start,ap_frequency)=0,1,0))</f>
        <v>86265.044010780126</v>
      </c>
      <c r="BG417" s="24">
        <f t="shared" ca="1" si="426"/>
        <v>1035180.5281293617</v>
      </c>
      <c r="BH417" s="24">
        <f t="shared" ca="1" si="427"/>
        <v>7360.7008525972187</v>
      </c>
      <c r="BI417">
        <f t="shared" ca="1" si="428"/>
        <v>0</v>
      </c>
      <c r="BJ417" s="24">
        <f t="shared" ca="1" si="429"/>
        <v>51524.905968180523</v>
      </c>
      <c r="BK417">
        <f t="shared" ca="1" si="430"/>
        <v>1</v>
      </c>
      <c r="BL417" s="25">
        <f t="shared" ca="1" si="431"/>
        <v>4293.7421640150424</v>
      </c>
      <c r="BM417" s="32">
        <f t="shared" ca="1" si="410"/>
        <v>287772.34249208437</v>
      </c>
      <c r="BN417" s="23">
        <f t="shared" ca="1" si="432"/>
        <v>0</v>
      </c>
      <c r="BO417" s="24">
        <f t="shared" ca="1" si="433"/>
        <v>0</v>
      </c>
      <c r="BP417" s="25">
        <f t="shared" ca="1" si="434"/>
        <v>0</v>
      </c>
      <c r="BQ417" s="34">
        <f t="shared" ca="1" si="435"/>
        <v>58106</v>
      </c>
      <c r="BR417" s="23">
        <f t="shared" ca="1" si="436"/>
        <v>287772.34249208437</v>
      </c>
      <c r="BS417" s="24">
        <f t="shared" ca="1" si="437"/>
        <v>0</v>
      </c>
      <c r="BT417" s="24">
        <f t="shared" ca="1" si="442"/>
        <v>0</v>
      </c>
      <c r="BU417" s="24">
        <f t="shared" ca="1" si="438"/>
        <v>0</v>
      </c>
      <c r="BV417" s="24">
        <f t="shared" ca="1" si="443"/>
        <v>0</v>
      </c>
      <c r="BW417" s="24">
        <f t="shared" ca="1" si="439"/>
        <v>-4293.7421640150424</v>
      </c>
      <c r="BX417" s="25">
        <f t="shared" ca="1" si="444"/>
        <v>-55506.956538933708</v>
      </c>
      <c r="BY417" s="23">
        <f t="shared" ca="1" si="411"/>
        <v>75348.849585796896</v>
      </c>
      <c r="BZ417" s="24">
        <f t="shared" ca="1" si="412"/>
        <v>0</v>
      </c>
      <c r="CA417" s="24">
        <f t="shared" ca="1" si="445"/>
        <v>0</v>
      </c>
      <c r="CB417" s="24">
        <f t="shared" ca="1" si="413"/>
        <v>0</v>
      </c>
      <c r="CC417" s="24">
        <f t="shared" ca="1" si="446"/>
        <v>0</v>
      </c>
      <c r="CD417" s="24">
        <f t="shared" ca="1" si="414"/>
        <v>-1127.9321629490389</v>
      </c>
      <c r="CE417" s="25">
        <f t="shared" ca="1" si="447"/>
        <v>-14851.873446986472</v>
      </c>
      <c r="CF417" s="23">
        <f t="shared" ca="1" si="448"/>
        <v>1005319.5513563994</v>
      </c>
      <c r="CG417" s="25">
        <f t="array" aca="1" ref="CG417" ca="1">SUM(BF406:BF417/(1+inflation/100)^(AP406:AP417/12))</f>
        <v>267980.53702225379</v>
      </c>
      <c r="CH417" s="32">
        <f ca="1">IFERROR(IF(MOD(AP417-ap_months_since_start,12)=0,ap_drawdown/100*(AQ417+AV417+BA417-BC417),CH416),0)</f>
        <v>45251.858109585824</v>
      </c>
    </row>
    <row r="418" spans="40:86" x14ac:dyDescent="0.25">
      <c r="AN418" s="32">
        <f t="shared" ca="1" si="409"/>
        <v>89.083333333333329</v>
      </c>
      <c r="AO418" s="53">
        <f t="shared" ca="1" si="440"/>
        <v>58107</v>
      </c>
      <c r="AP418" s="22">
        <v>411</v>
      </c>
      <c r="AQ418" s="32">
        <f t="shared" ca="1" si="441"/>
        <v>287772.34249208437</v>
      </c>
      <c r="AR418" s="23">
        <f t="array" aca="1" ref="AR418" ca="1">SUM(IF(lsc_start_date=AO418,lsc_amount,0))</f>
        <v>0</v>
      </c>
      <c r="AS418" s="24">
        <f t="shared" ca="1" si="415"/>
        <v>0</v>
      </c>
      <c r="AT418" s="24">
        <f t="shared" ca="1" si="416"/>
        <v>0</v>
      </c>
      <c r="AU418" s="24">
        <f t="shared" ca="1" si="417"/>
        <v>0</v>
      </c>
      <c r="AV418" s="25">
        <f t="shared" ca="1" si="418"/>
        <v>0</v>
      </c>
      <c r="AW418" s="23">
        <f t="array" aca="1" ref="AW418" ca="1">SUM(IF(rcs_start_date&lt;=AO418,1,0)*IF(rcs_end_date&gt;=AO418,1,0)*rcs_amount*(1+rcs_escalation/100)^(INT((AP418-rcs_months_since_start)/12))*IF(MOD((AP418-rcs_months_since_start),rcs_frequency)=0,1,0)*IF(rcs_frequency=13,0,1))+SUM(IF(rcs_start_date=AO418,rcs_amount,0)*IF(rcs_frequency=13,1,0))</f>
        <v>0</v>
      </c>
      <c r="AX418" s="24">
        <f t="shared" ca="1" si="419"/>
        <v>0</v>
      </c>
      <c r="AY418" s="24">
        <f t="shared" ca="1" si="420"/>
        <v>0</v>
      </c>
      <c r="AZ418" s="24">
        <f t="shared" ca="1" si="421"/>
        <v>0</v>
      </c>
      <c r="BA418" s="25">
        <f t="shared" ca="1" si="422"/>
        <v>0</v>
      </c>
      <c r="BB418" s="23">
        <f t="array" aca="1" ref="BB418" ca="1">SUM(IF(w_start_date&lt;=AO418,1,0)*IF(w_end_date&gt;=AO418,1,0)*w_amount*(1+w_escalation/100)^(INT((AP418-w_months_since_start)/12))*IF(MOD(AP418-w_months_since_start,w_frequency)=0,1,0)*IF(w_frequency=13,0,1))+SUM(IF(w_start_date=AO418,w_amount,0)*IF(w_frequency=13,1,0))</f>
        <v>0</v>
      </c>
      <c r="BC418" s="25">
        <f t="shared" ca="1" si="423"/>
        <v>0</v>
      </c>
      <c r="BD418" s="24" t="b">
        <f t="shared" ca="1" si="424"/>
        <v>1</v>
      </c>
      <c r="BE418" s="24" t="b">
        <f t="shared" ca="1" si="425"/>
        <v>1</v>
      </c>
      <c r="BF418" s="23">
        <f t="array" aca="1" ref="BF418" ca="1">SUM(IF(BD418,1,0)*IF(ap_start_date&lt;=AO418,1,0)*IF(ap_end_date&gt;=AO418,1,0)*ap_amount*(1+ap_escalation/100)^(INT((AP418-ap_months_since_start)/12))*IF(MOD(AP418-ap_months_since_start,ap_frequency)=0,1,0))</f>
        <v>86265.044010780126</v>
      </c>
      <c r="BG418" s="24">
        <f t="shared" ca="1" si="426"/>
        <v>1035180.5281293617</v>
      </c>
      <c r="BH418" s="24">
        <f t="shared" ca="1" si="427"/>
        <v>7360.7008525972187</v>
      </c>
      <c r="BI418">
        <f t="shared" ca="1" si="428"/>
        <v>0</v>
      </c>
      <c r="BJ418" s="24">
        <f t="shared" ca="1" si="429"/>
        <v>51524.905968180523</v>
      </c>
      <c r="BK418">
        <f t="shared" ca="1" si="430"/>
        <v>1</v>
      </c>
      <c r="BL418" s="25">
        <f t="shared" ca="1" si="431"/>
        <v>4293.7421640150424</v>
      </c>
      <c r="BM418" s="32">
        <f t="shared" ca="1" si="410"/>
        <v>285521.7222538396</v>
      </c>
      <c r="BN418" s="23">
        <f t="shared" ca="1" si="432"/>
        <v>0</v>
      </c>
      <c r="BO418" s="24">
        <f t="shared" ca="1" si="433"/>
        <v>0</v>
      </c>
      <c r="BP418" s="25">
        <f t="shared" ca="1" si="434"/>
        <v>0</v>
      </c>
      <c r="BQ418" s="34">
        <f t="shared" ca="1" si="435"/>
        <v>58134</v>
      </c>
      <c r="BR418" s="23">
        <f t="shared" ca="1" si="436"/>
        <v>285521.7222538396</v>
      </c>
      <c r="BS418" s="24">
        <f t="shared" ca="1" si="437"/>
        <v>0</v>
      </c>
      <c r="BT418" s="24">
        <f t="shared" ca="1" si="442"/>
        <v>0</v>
      </c>
      <c r="BU418" s="24">
        <f t="shared" ca="1" si="438"/>
        <v>0</v>
      </c>
      <c r="BV418" s="24">
        <f t="shared" ca="1" si="443"/>
        <v>0</v>
      </c>
      <c r="BW418" s="24">
        <f t="shared" ca="1" si="439"/>
        <v>-4293.7421640150424</v>
      </c>
      <c r="BX418" s="25">
        <f t="shared" ca="1" si="444"/>
        <v>-55064.506475516682</v>
      </c>
      <c r="BY418" s="23">
        <f t="shared" ca="1" si="411"/>
        <v>74515.613875970492</v>
      </c>
      <c r="BZ418" s="24">
        <f t="shared" ca="1" si="412"/>
        <v>0</v>
      </c>
      <c r="CA418" s="24">
        <f t="shared" ca="1" si="445"/>
        <v>0</v>
      </c>
      <c r="CB418" s="24">
        <f t="shared" ca="1" si="413"/>
        <v>0</v>
      </c>
      <c r="CC418" s="24">
        <f t="shared" ca="1" si="446"/>
        <v>0</v>
      </c>
      <c r="CD418" s="24">
        <f t="shared" ca="1" si="414"/>
        <v>-1124.2516555789675</v>
      </c>
      <c r="CE418" s="25">
        <f t="shared" ca="1" si="447"/>
        <v>-14686.420546629612</v>
      </c>
      <c r="CF418" s="23">
        <f t="shared" ca="1" si="448"/>
        <v>1008637.4376645064</v>
      </c>
      <c r="CG418" s="25">
        <f t="array" aca="1" ref="CG418" ca="1">SUM(BF407:BF418/(1+inflation/100)^(AP407:AP418/12))</f>
        <v>267980.53702225379</v>
      </c>
      <c r="CH418" s="32">
        <f ca="1">IFERROR(IF(MOD(AP418-ap_months_since_start,12)=0,ap_drawdown/100*(AQ418+AV418+BA418-BC418),CH417),0)</f>
        <v>45251.858109585824</v>
      </c>
    </row>
    <row r="419" spans="40:86" x14ac:dyDescent="0.25">
      <c r="AN419" s="32">
        <f t="shared" ca="1" si="409"/>
        <v>89.166666666666671</v>
      </c>
      <c r="AO419" s="53">
        <f t="shared" ca="1" si="440"/>
        <v>58135</v>
      </c>
      <c r="AP419" s="22">
        <v>412</v>
      </c>
      <c r="AQ419" s="32">
        <f t="shared" ca="1" si="441"/>
        <v>285521.7222538396</v>
      </c>
      <c r="AR419" s="23">
        <f t="array" aca="1" ref="AR419" ca="1">SUM(IF(lsc_start_date=AO419,lsc_amount,0))</f>
        <v>0</v>
      </c>
      <c r="AS419" s="24">
        <f t="shared" ca="1" si="415"/>
        <v>0</v>
      </c>
      <c r="AT419" s="24">
        <f t="shared" ca="1" si="416"/>
        <v>0</v>
      </c>
      <c r="AU419" s="24">
        <f t="shared" ca="1" si="417"/>
        <v>0</v>
      </c>
      <c r="AV419" s="25">
        <f t="shared" ca="1" si="418"/>
        <v>0</v>
      </c>
      <c r="AW419" s="23">
        <f t="array" aca="1" ref="AW419" ca="1">SUM(IF(rcs_start_date&lt;=AO419,1,0)*IF(rcs_end_date&gt;=AO419,1,0)*rcs_amount*(1+rcs_escalation/100)^(INT((AP419-rcs_months_since_start)/12))*IF(MOD((AP419-rcs_months_since_start),rcs_frequency)=0,1,0)*IF(rcs_frequency=13,0,1))+SUM(IF(rcs_start_date=AO419,rcs_amount,0)*IF(rcs_frequency=13,1,0))</f>
        <v>0</v>
      </c>
      <c r="AX419" s="24">
        <f t="shared" ca="1" si="419"/>
        <v>0</v>
      </c>
      <c r="AY419" s="24">
        <f t="shared" ca="1" si="420"/>
        <v>0</v>
      </c>
      <c r="AZ419" s="24">
        <f t="shared" ca="1" si="421"/>
        <v>0</v>
      </c>
      <c r="BA419" s="25">
        <f t="shared" ca="1" si="422"/>
        <v>0</v>
      </c>
      <c r="BB419" s="23">
        <f t="array" aca="1" ref="BB419" ca="1">SUM(IF(w_start_date&lt;=AO419,1,0)*IF(w_end_date&gt;=AO419,1,0)*w_amount*(1+w_escalation/100)^(INT((AP419-w_months_since_start)/12))*IF(MOD(AP419-w_months_since_start,w_frequency)=0,1,0)*IF(w_frequency=13,0,1))+SUM(IF(w_start_date=AO419,w_amount,0)*IF(w_frequency=13,1,0))</f>
        <v>0</v>
      </c>
      <c r="BC419" s="25">
        <f t="shared" ca="1" si="423"/>
        <v>0</v>
      </c>
      <c r="BD419" s="24" t="b">
        <f t="shared" ca="1" si="424"/>
        <v>1</v>
      </c>
      <c r="BE419" s="24" t="b">
        <f t="shared" ca="1" si="425"/>
        <v>1</v>
      </c>
      <c r="BF419" s="23">
        <f t="array" aca="1" ref="BF419" ca="1">SUM(IF(BD419,1,0)*IF(ap_start_date&lt;=AO419,1,0)*IF(ap_end_date&gt;=AO419,1,0)*ap_amount*(1+ap_escalation/100)^(INT((AP419-ap_months_since_start)/12))*IF(MOD(AP419-ap_months_since_start,ap_frequency)=0,1,0))</f>
        <v>86265.044010780126</v>
      </c>
      <c r="BG419" s="24">
        <f t="shared" ca="1" si="426"/>
        <v>1035180.5281293617</v>
      </c>
      <c r="BH419" s="24">
        <f t="shared" ca="1" si="427"/>
        <v>7360.7008525972187</v>
      </c>
      <c r="BI419">
        <f t="shared" ca="1" si="428"/>
        <v>0</v>
      </c>
      <c r="BJ419" s="24">
        <f t="shared" ca="1" si="429"/>
        <v>51524.905968180523</v>
      </c>
      <c r="BK419">
        <f t="shared" ca="1" si="430"/>
        <v>1</v>
      </c>
      <c r="BL419" s="25">
        <f t="shared" ca="1" si="431"/>
        <v>4293.7421640150424</v>
      </c>
      <c r="BM419" s="32">
        <f t="shared" ca="1" si="410"/>
        <v>283254.88106787595</v>
      </c>
      <c r="BN419" s="23">
        <f t="shared" ca="1" si="432"/>
        <v>0</v>
      </c>
      <c r="BO419" s="24">
        <f t="shared" ca="1" si="433"/>
        <v>0</v>
      </c>
      <c r="BP419" s="25">
        <f t="shared" ca="1" si="434"/>
        <v>0</v>
      </c>
      <c r="BQ419" s="34">
        <f t="shared" ca="1" si="435"/>
        <v>58165</v>
      </c>
      <c r="BR419" s="23">
        <f t="shared" ca="1" si="436"/>
        <v>283254.88106787595</v>
      </c>
      <c r="BS419" s="24">
        <f t="shared" ca="1" si="437"/>
        <v>0</v>
      </c>
      <c r="BT419" s="24">
        <f t="shared" ca="1" si="442"/>
        <v>0</v>
      </c>
      <c r="BU419" s="24">
        <f t="shared" ca="1" si="438"/>
        <v>0</v>
      </c>
      <c r="BV419" s="24">
        <f t="shared" ca="1" si="443"/>
        <v>0</v>
      </c>
      <c r="BW419" s="24">
        <f t="shared" ca="1" si="439"/>
        <v>-4293.7421640150424</v>
      </c>
      <c r="BX419" s="25">
        <f t="shared" ca="1" si="444"/>
        <v>-54622.056412099657</v>
      </c>
      <c r="BY419" s="23">
        <f t="shared" ca="1" si="411"/>
        <v>73682.794139798629</v>
      </c>
      <c r="BZ419" s="24">
        <f t="shared" ca="1" si="412"/>
        <v>0</v>
      </c>
      <c r="CA419" s="24">
        <f t="shared" ca="1" si="445"/>
        <v>0</v>
      </c>
      <c r="CB419" s="24">
        <f t="shared" ca="1" si="413"/>
        <v>0</v>
      </c>
      <c r="CC419" s="24">
        <f t="shared" ca="1" si="446"/>
        <v>0</v>
      </c>
      <c r="CD419" s="24">
        <f t="shared" ca="1" si="414"/>
        <v>-1120.5831579156365</v>
      </c>
      <c r="CE419" s="25">
        <f t="shared" ca="1" si="447"/>
        <v>-14521.507528580541</v>
      </c>
      <c r="CF419" s="23">
        <f t="shared" ca="1" si="448"/>
        <v>1011955.3239726133</v>
      </c>
      <c r="CG419" s="25">
        <f t="array" aca="1" ref="CG419" ca="1">SUM(BF408:BF419/(1+inflation/100)^(AP408:AP419/12))</f>
        <v>267980.53702225379</v>
      </c>
      <c r="CH419" s="32">
        <f ca="1">IFERROR(IF(MOD(AP419-ap_months_since_start,12)=0,ap_drawdown/100*(AQ419+AV419+BA419-BC419),CH418),0)</f>
        <v>45251.858109585824</v>
      </c>
    </row>
    <row r="420" spans="40:86" x14ac:dyDescent="0.25">
      <c r="AN420" s="32">
        <f t="shared" ca="1" si="409"/>
        <v>89.25</v>
      </c>
      <c r="AO420" s="53">
        <f t="shared" ca="1" si="440"/>
        <v>58166</v>
      </c>
      <c r="AP420" s="22">
        <v>413</v>
      </c>
      <c r="AQ420" s="32">
        <f t="shared" ca="1" si="441"/>
        <v>283254.88106787595</v>
      </c>
      <c r="AR420" s="23">
        <f t="array" aca="1" ref="AR420" ca="1">SUM(IF(lsc_start_date=AO420,lsc_amount,0))</f>
        <v>0</v>
      </c>
      <c r="AS420" s="24">
        <f t="shared" ca="1" si="415"/>
        <v>0</v>
      </c>
      <c r="AT420" s="24">
        <f t="shared" ca="1" si="416"/>
        <v>0</v>
      </c>
      <c r="AU420" s="24">
        <f t="shared" ca="1" si="417"/>
        <v>0</v>
      </c>
      <c r="AV420" s="25">
        <f t="shared" ca="1" si="418"/>
        <v>0</v>
      </c>
      <c r="AW420" s="23">
        <f t="array" aca="1" ref="AW420" ca="1">SUM(IF(rcs_start_date&lt;=AO420,1,0)*IF(rcs_end_date&gt;=AO420,1,0)*rcs_amount*(1+rcs_escalation/100)^(INT((AP420-rcs_months_since_start)/12))*IF(MOD((AP420-rcs_months_since_start),rcs_frequency)=0,1,0)*IF(rcs_frequency=13,0,1))+SUM(IF(rcs_start_date=AO420,rcs_amount,0)*IF(rcs_frequency=13,1,0))</f>
        <v>0</v>
      </c>
      <c r="AX420" s="24">
        <f t="shared" ca="1" si="419"/>
        <v>0</v>
      </c>
      <c r="AY420" s="24">
        <f t="shared" ca="1" si="420"/>
        <v>0</v>
      </c>
      <c r="AZ420" s="24">
        <f t="shared" ca="1" si="421"/>
        <v>0</v>
      </c>
      <c r="BA420" s="25">
        <f t="shared" ca="1" si="422"/>
        <v>0</v>
      </c>
      <c r="BB420" s="23">
        <f t="array" aca="1" ref="BB420" ca="1">SUM(IF(w_start_date&lt;=AO420,1,0)*IF(w_end_date&gt;=AO420,1,0)*w_amount*(1+w_escalation/100)^(INT((AP420-w_months_since_start)/12))*IF(MOD(AP420-w_months_since_start,w_frequency)=0,1,0)*IF(w_frequency=13,0,1))+SUM(IF(w_start_date=AO420,w_amount,0)*IF(w_frequency=13,1,0))</f>
        <v>0</v>
      </c>
      <c r="BC420" s="25">
        <f t="shared" ca="1" si="423"/>
        <v>0</v>
      </c>
      <c r="BD420" s="24" t="b">
        <f t="shared" ca="1" si="424"/>
        <v>1</v>
      </c>
      <c r="BE420" s="24" t="b">
        <f t="shared" ca="1" si="425"/>
        <v>1</v>
      </c>
      <c r="BF420" s="23">
        <f t="array" aca="1" ref="BF420" ca="1">SUM(IF(BD420,1,0)*IF(ap_start_date&lt;=AO420,1,0)*IF(ap_end_date&gt;=AO420,1,0)*ap_amount*(1+ap_escalation/100)^(INT((AP420-ap_months_since_start)/12))*IF(MOD(AP420-ap_months_since_start,ap_frequency)=0,1,0))</f>
        <v>86265.044010780126</v>
      </c>
      <c r="BG420" s="24">
        <f t="shared" ca="1" si="426"/>
        <v>1035180.5281293617</v>
      </c>
      <c r="BH420" s="24">
        <f t="shared" ca="1" si="427"/>
        <v>7360.7008525972187</v>
      </c>
      <c r="BI420">
        <f t="shared" ca="1" si="428"/>
        <v>0</v>
      </c>
      <c r="BJ420" s="24">
        <f t="shared" ca="1" si="429"/>
        <v>51524.905968180523</v>
      </c>
      <c r="BK420">
        <f t="shared" ca="1" si="430"/>
        <v>1</v>
      </c>
      <c r="BL420" s="25">
        <f t="shared" ca="1" si="431"/>
        <v>4293.7421640150424</v>
      </c>
      <c r="BM420" s="32">
        <f t="shared" ca="1" si="410"/>
        <v>280971.70202457876</v>
      </c>
      <c r="BN420" s="23">
        <f t="shared" ca="1" si="432"/>
        <v>0</v>
      </c>
      <c r="BO420" s="24">
        <f t="shared" ca="1" si="433"/>
        <v>0</v>
      </c>
      <c r="BP420" s="25">
        <f t="shared" ca="1" si="434"/>
        <v>0</v>
      </c>
      <c r="BQ420" s="34">
        <f t="shared" ca="1" si="435"/>
        <v>58195</v>
      </c>
      <c r="BR420" s="23">
        <f t="shared" ca="1" si="436"/>
        <v>280971.70202457876</v>
      </c>
      <c r="BS420" s="24">
        <f t="shared" ca="1" si="437"/>
        <v>0</v>
      </c>
      <c r="BT420" s="24">
        <f t="shared" ca="1" si="442"/>
        <v>0</v>
      </c>
      <c r="BU420" s="24">
        <f t="shared" ca="1" si="438"/>
        <v>0</v>
      </c>
      <c r="BV420" s="24">
        <f t="shared" ca="1" si="443"/>
        <v>0</v>
      </c>
      <c r="BW420" s="24">
        <f t="shared" ca="1" si="439"/>
        <v>-4293.7421640150424</v>
      </c>
      <c r="BX420" s="25">
        <f t="shared" ca="1" si="444"/>
        <v>-54179.606348682639</v>
      </c>
      <c r="BY420" s="23">
        <f t="shared" ca="1" si="411"/>
        <v>72850.379990757414</v>
      </c>
      <c r="BZ420" s="24">
        <f t="shared" ca="1" si="412"/>
        <v>0</v>
      </c>
      <c r="CA420" s="24">
        <f t="shared" ca="1" si="445"/>
        <v>0</v>
      </c>
      <c r="CB420" s="24">
        <f t="shared" ca="1" si="413"/>
        <v>0</v>
      </c>
      <c r="CC420" s="24">
        <f t="shared" ca="1" si="446"/>
        <v>0</v>
      </c>
      <c r="CD420" s="24">
        <f t="shared" ca="1" si="414"/>
        <v>-1116.9266307706853</v>
      </c>
      <c r="CE420" s="25">
        <f t="shared" ca="1" si="447"/>
        <v>-14357.13263117231</v>
      </c>
      <c r="CF420" s="23">
        <f t="shared" ca="1" si="448"/>
        <v>1015273.2102807203</v>
      </c>
      <c r="CG420" s="25">
        <f t="array" aca="1" ref="CG420" ca="1">SUM(BF409:BF420/(1+inflation/100)^(AP409:AP420/12))</f>
        <v>267980.53702225379</v>
      </c>
      <c r="CH420" s="32">
        <f ca="1">IFERROR(IF(MOD(AP420-ap_months_since_start,12)=0,ap_drawdown/100*(AQ420+AV420+BA420-BC420),CH419),0)</f>
        <v>45251.858109585824</v>
      </c>
    </row>
    <row r="421" spans="40:86" x14ac:dyDescent="0.25">
      <c r="AN421" s="32">
        <f t="shared" ca="1" si="409"/>
        <v>89.333333333333329</v>
      </c>
      <c r="AO421" s="53">
        <f t="shared" ca="1" si="440"/>
        <v>58196</v>
      </c>
      <c r="AP421" s="22">
        <v>414</v>
      </c>
      <c r="AQ421" s="32">
        <f t="shared" ca="1" si="441"/>
        <v>280971.70202457876</v>
      </c>
      <c r="AR421" s="23">
        <f t="array" aca="1" ref="AR421" ca="1">SUM(IF(lsc_start_date=AO421,lsc_amount,0))</f>
        <v>0</v>
      </c>
      <c r="AS421" s="24">
        <f t="shared" ca="1" si="415"/>
        <v>0</v>
      </c>
      <c r="AT421" s="24">
        <f t="shared" ca="1" si="416"/>
        <v>0</v>
      </c>
      <c r="AU421" s="24">
        <f t="shared" ca="1" si="417"/>
        <v>0</v>
      </c>
      <c r="AV421" s="25">
        <f t="shared" ca="1" si="418"/>
        <v>0</v>
      </c>
      <c r="AW421" s="23">
        <f t="array" aca="1" ref="AW421" ca="1">SUM(IF(rcs_start_date&lt;=AO421,1,0)*IF(rcs_end_date&gt;=AO421,1,0)*rcs_amount*(1+rcs_escalation/100)^(INT((AP421-rcs_months_since_start)/12))*IF(MOD((AP421-rcs_months_since_start),rcs_frequency)=0,1,0)*IF(rcs_frequency=13,0,1))+SUM(IF(rcs_start_date=AO421,rcs_amount,0)*IF(rcs_frequency=13,1,0))</f>
        <v>0</v>
      </c>
      <c r="AX421" s="24">
        <f t="shared" ca="1" si="419"/>
        <v>0</v>
      </c>
      <c r="AY421" s="24">
        <f t="shared" ca="1" si="420"/>
        <v>0</v>
      </c>
      <c r="AZ421" s="24">
        <f t="shared" ca="1" si="421"/>
        <v>0</v>
      </c>
      <c r="BA421" s="25">
        <f t="shared" ca="1" si="422"/>
        <v>0</v>
      </c>
      <c r="BB421" s="23">
        <f t="array" aca="1" ref="BB421" ca="1">SUM(IF(w_start_date&lt;=AO421,1,0)*IF(w_end_date&gt;=AO421,1,0)*w_amount*(1+w_escalation/100)^(INT((AP421-w_months_since_start)/12))*IF(MOD(AP421-w_months_since_start,w_frequency)=0,1,0)*IF(w_frequency=13,0,1))+SUM(IF(w_start_date=AO421,w_amount,0)*IF(w_frequency=13,1,0))</f>
        <v>0</v>
      </c>
      <c r="BC421" s="25">
        <f t="shared" ca="1" si="423"/>
        <v>0</v>
      </c>
      <c r="BD421" s="24" t="b">
        <f t="shared" ca="1" si="424"/>
        <v>1</v>
      </c>
      <c r="BE421" s="24" t="b">
        <f t="shared" ca="1" si="425"/>
        <v>1</v>
      </c>
      <c r="BF421" s="23">
        <f t="array" aca="1" ref="BF421" ca="1">SUM(IF(BD421,1,0)*IF(ap_start_date&lt;=AO421,1,0)*IF(ap_end_date&gt;=AO421,1,0)*ap_amount*(1+ap_escalation/100)^(INT((AP421-ap_months_since_start)/12))*IF(MOD(AP421-ap_months_since_start,ap_frequency)=0,1,0))</f>
        <v>86265.044010780126</v>
      </c>
      <c r="BG421" s="24">
        <f t="shared" ca="1" si="426"/>
        <v>1035180.5281293617</v>
      </c>
      <c r="BH421" s="24">
        <f t="shared" ca="1" si="427"/>
        <v>7360.7008525972187</v>
      </c>
      <c r="BI421">
        <f t="shared" ca="1" si="428"/>
        <v>0</v>
      </c>
      <c r="BJ421" s="24">
        <f t="shared" ca="1" si="429"/>
        <v>51524.905968180523</v>
      </c>
      <c r="BK421">
        <f t="shared" ca="1" si="430"/>
        <v>1</v>
      </c>
      <c r="BL421" s="25">
        <f t="shared" ca="1" si="431"/>
        <v>4293.7421640150424</v>
      </c>
      <c r="BM421" s="32">
        <f t="shared" ca="1" si="410"/>
        <v>278672.0673717279</v>
      </c>
      <c r="BN421" s="23">
        <f t="shared" ca="1" si="432"/>
        <v>0</v>
      </c>
      <c r="BO421" s="24">
        <f t="shared" ca="1" si="433"/>
        <v>0</v>
      </c>
      <c r="BP421" s="25">
        <f t="shared" ca="1" si="434"/>
        <v>0</v>
      </c>
      <c r="BQ421" s="34">
        <f t="shared" ca="1" si="435"/>
        <v>58226</v>
      </c>
      <c r="BR421" s="23">
        <f t="shared" ca="1" si="436"/>
        <v>278672.0673717279</v>
      </c>
      <c r="BS421" s="24">
        <f t="shared" ca="1" si="437"/>
        <v>0</v>
      </c>
      <c r="BT421" s="24">
        <f t="shared" ca="1" si="442"/>
        <v>0</v>
      </c>
      <c r="BU421" s="24">
        <f t="shared" ca="1" si="438"/>
        <v>0</v>
      </c>
      <c r="BV421" s="24">
        <f t="shared" ca="1" si="443"/>
        <v>0</v>
      </c>
      <c r="BW421" s="24">
        <f t="shared" ca="1" si="439"/>
        <v>-4293.7421640150424</v>
      </c>
      <c r="BX421" s="25">
        <f t="shared" ca="1" si="444"/>
        <v>-53737.156285265621</v>
      </c>
      <c r="BY421" s="23">
        <f t="shared" ca="1" si="411"/>
        <v>72018.361040813645</v>
      </c>
      <c r="BZ421" s="24">
        <f t="shared" ca="1" si="412"/>
        <v>0</v>
      </c>
      <c r="CA421" s="24">
        <f t="shared" ca="1" si="445"/>
        <v>0</v>
      </c>
      <c r="CB421" s="24">
        <f t="shared" ca="1" si="413"/>
        <v>0</v>
      </c>
      <c r="CC421" s="24">
        <f t="shared" ca="1" si="446"/>
        <v>0</v>
      </c>
      <c r="CD421" s="24">
        <f t="shared" ca="1" si="414"/>
        <v>-1113.282035083625</v>
      </c>
      <c r="CE421" s="25">
        <f t="shared" ca="1" si="447"/>
        <v>-14193.294098486389</v>
      </c>
      <c r="CF421" s="23">
        <f t="shared" ca="1" si="448"/>
        <v>1018591.0965888272</v>
      </c>
      <c r="CG421" s="25">
        <f t="array" aca="1" ref="CG421" ca="1">SUM(BF410:BF421/(1+inflation/100)^(AP410:AP421/12))</f>
        <v>267980.53702225379</v>
      </c>
      <c r="CH421" s="32">
        <f ca="1">IFERROR(IF(MOD(AP421-ap_months_since_start,12)=0,ap_drawdown/100*(AQ421+AV421+BA421-BC421),CH420),0)</f>
        <v>45251.858109585824</v>
      </c>
    </row>
    <row r="422" spans="40:86" x14ac:dyDescent="0.25">
      <c r="AN422" s="32">
        <f t="shared" ca="1" si="409"/>
        <v>89.416666666666671</v>
      </c>
      <c r="AO422" s="53">
        <f t="shared" ca="1" si="440"/>
        <v>58227</v>
      </c>
      <c r="AP422" s="22">
        <v>415</v>
      </c>
      <c r="AQ422" s="32">
        <f t="shared" ca="1" si="441"/>
        <v>278672.0673717279</v>
      </c>
      <c r="AR422" s="23">
        <f t="array" aca="1" ref="AR422" ca="1">SUM(IF(lsc_start_date=AO422,lsc_amount,0))</f>
        <v>0</v>
      </c>
      <c r="AS422" s="24">
        <f t="shared" ca="1" si="415"/>
        <v>0</v>
      </c>
      <c r="AT422" s="24">
        <f t="shared" ca="1" si="416"/>
        <v>0</v>
      </c>
      <c r="AU422" s="24">
        <f t="shared" ca="1" si="417"/>
        <v>0</v>
      </c>
      <c r="AV422" s="25">
        <f t="shared" ca="1" si="418"/>
        <v>0</v>
      </c>
      <c r="AW422" s="23">
        <f t="array" aca="1" ref="AW422" ca="1">SUM(IF(rcs_start_date&lt;=AO422,1,0)*IF(rcs_end_date&gt;=AO422,1,0)*rcs_amount*(1+rcs_escalation/100)^(INT((AP422-rcs_months_since_start)/12))*IF(MOD((AP422-rcs_months_since_start),rcs_frequency)=0,1,0)*IF(rcs_frequency=13,0,1))+SUM(IF(rcs_start_date=AO422,rcs_amount,0)*IF(rcs_frequency=13,1,0))</f>
        <v>0</v>
      </c>
      <c r="AX422" s="24">
        <f t="shared" ca="1" si="419"/>
        <v>0</v>
      </c>
      <c r="AY422" s="24">
        <f t="shared" ca="1" si="420"/>
        <v>0</v>
      </c>
      <c r="AZ422" s="24">
        <f t="shared" ca="1" si="421"/>
        <v>0</v>
      </c>
      <c r="BA422" s="25">
        <f t="shared" ca="1" si="422"/>
        <v>0</v>
      </c>
      <c r="BB422" s="23">
        <f t="array" aca="1" ref="BB422" ca="1">SUM(IF(w_start_date&lt;=AO422,1,0)*IF(w_end_date&gt;=AO422,1,0)*w_amount*(1+w_escalation/100)^(INT((AP422-w_months_since_start)/12))*IF(MOD(AP422-w_months_since_start,w_frequency)=0,1,0)*IF(w_frequency=13,0,1))+SUM(IF(w_start_date=AO422,w_amount,0)*IF(w_frequency=13,1,0))</f>
        <v>0</v>
      </c>
      <c r="BC422" s="25">
        <f t="shared" ca="1" si="423"/>
        <v>0</v>
      </c>
      <c r="BD422" s="24" t="b">
        <f t="shared" ca="1" si="424"/>
        <v>1</v>
      </c>
      <c r="BE422" s="24" t="b">
        <f t="shared" ca="1" si="425"/>
        <v>1</v>
      </c>
      <c r="BF422" s="23">
        <f t="array" aca="1" ref="BF422" ca="1">SUM(IF(BD422,1,0)*IF(ap_start_date&lt;=AO422,1,0)*IF(ap_end_date&gt;=AO422,1,0)*ap_amount*(1+ap_escalation/100)^(INT((AP422-ap_months_since_start)/12))*IF(MOD(AP422-ap_months_since_start,ap_frequency)=0,1,0))</f>
        <v>86265.044010780126</v>
      </c>
      <c r="BG422" s="24">
        <f t="shared" ca="1" si="426"/>
        <v>1035180.5281293617</v>
      </c>
      <c r="BH422" s="24">
        <f t="shared" ca="1" si="427"/>
        <v>7360.7008525972187</v>
      </c>
      <c r="BI422">
        <f t="shared" ca="1" si="428"/>
        <v>0</v>
      </c>
      <c r="BJ422" s="24">
        <f t="shared" ca="1" si="429"/>
        <v>51524.905968180523</v>
      </c>
      <c r="BK422">
        <f t="shared" ca="1" si="430"/>
        <v>1</v>
      </c>
      <c r="BL422" s="25">
        <f t="shared" ca="1" si="431"/>
        <v>4293.7421640150424</v>
      </c>
      <c r="BM422" s="32">
        <f t="shared" ca="1" si="410"/>
        <v>276355.85850842489</v>
      </c>
      <c r="BN422" s="23">
        <f t="shared" ca="1" si="432"/>
        <v>0</v>
      </c>
      <c r="BO422" s="24">
        <f t="shared" ca="1" si="433"/>
        <v>0</v>
      </c>
      <c r="BP422" s="25">
        <f t="shared" ca="1" si="434"/>
        <v>0</v>
      </c>
      <c r="BQ422" s="34">
        <f t="shared" ca="1" si="435"/>
        <v>58256</v>
      </c>
      <c r="BR422" s="23">
        <f t="shared" ca="1" si="436"/>
        <v>276355.85850842489</v>
      </c>
      <c r="BS422" s="24">
        <f t="shared" ca="1" si="437"/>
        <v>0</v>
      </c>
      <c r="BT422" s="24">
        <f t="shared" ca="1" si="442"/>
        <v>0</v>
      </c>
      <c r="BU422" s="24">
        <f t="shared" ca="1" si="438"/>
        <v>0</v>
      </c>
      <c r="BV422" s="24">
        <f t="shared" ca="1" si="443"/>
        <v>0</v>
      </c>
      <c r="BW422" s="24">
        <f t="shared" ca="1" si="439"/>
        <v>-4293.7421640150424</v>
      </c>
      <c r="BX422" s="25">
        <f t="shared" ca="1" si="444"/>
        <v>-53294.706221848595</v>
      </c>
      <c r="BY422" s="23">
        <f t="shared" ca="1" si="411"/>
        <v>71186.726900290887</v>
      </c>
      <c r="BZ422" s="24">
        <f t="shared" ca="1" si="412"/>
        <v>0</v>
      </c>
      <c r="CA422" s="24">
        <f t="shared" ca="1" si="445"/>
        <v>0</v>
      </c>
      <c r="CB422" s="24">
        <f t="shared" ca="1" si="413"/>
        <v>0</v>
      </c>
      <c r="CC422" s="24">
        <f t="shared" ca="1" si="446"/>
        <v>0</v>
      </c>
      <c r="CD422" s="24">
        <f t="shared" ca="1" si="414"/>
        <v>-1109.6493319214235</v>
      </c>
      <c r="CE422" s="25">
        <f t="shared" ca="1" si="447"/>
        <v>-14029.990180333914</v>
      </c>
      <c r="CF422" s="23">
        <f t="shared" ca="1" si="448"/>
        <v>1021908.982896934</v>
      </c>
      <c r="CG422" s="25">
        <f t="array" aca="1" ref="CG422" ca="1">SUM(BF411:BF422/(1+inflation/100)^(AP411:AP422/12))</f>
        <v>267980.53702225379</v>
      </c>
      <c r="CH422" s="32">
        <f ca="1">IFERROR(IF(MOD(AP422-ap_months_since_start,12)=0,ap_drawdown/100*(AQ422+AV422+BA422-BC422),CH421),0)</f>
        <v>45251.858109585824</v>
      </c>
    </row>
    <row r="423" spans="40:86" x14ac:dyDescent="0.25">
      <c r="AN423" s="32">
        <f t="shared" ca="1" si="409"/>
        <v>89.5</v>
      </c>
      <c r="AO423" s="53">
        <f t="shared" ca="1" si="440"/>
        <v>58257</v>
      </c>
      <c r="AP423" s="22">
        <v>416</v>
      </c>
      <c r="AQ423" s="32">
        <f t="shared" ca="1" si="441"/>
        <v>276355.85850842489</v>
      </c>
      <c r="AR423" s="23">
        <f t="array" aca="1" ref="AR423" ca="1">SUM(IF(lsc_start_date=AO423,lsc_amount,0))</f>
        <v>0</v>
      </c>
      <c r="AS423" s="24">
        <f t="shared" ca="1" si="415"/>
        <v>0</v>
      </c>
      <c r="AT423" s="24">
        <f t="shared" ca="1" si="416"/>
        <v>0</v>
      </c>
      <c r="AU423" s="24">
        <f t="shared" ca="1" si="417"/>
        <v>0</v>
      </c>
      <c r="AV423" s="25">
        <f t="shared" ca="1" si="418"/>
        <v>0</v>
      </c>
      <c r="AW423" s="23">
        <f t="array" aca="1" ref="AW423" ca="1">SUM(IF(rcs_start_date&lt;=AO423,1,0)*IF(rcs_end_date&gt;=AO423,1,0)*rcs_amount*(1+rcs_escalation/100)^(INT((AP423-rcs_months_since_start)/12))*IF(MOD((AP423-rcs_months_since_start),rcs_frequency)=0,1,0)*IF(rcs_frequency=13,0,1))+SUM(IF(rcs_start_date=AO423,rcs_amount,0)*IF(rcs_frequency=13,1,0))</f>
        <v>0</v>
      </c>
      <c r="AX423" s="24">
        <f t="shared" ca="1" si="419"/>
        <v>0</v>
      </c>
      <c r="AY423" s="24">
        <f t="shared" ca="1" si="420"/>
        <v>0</v>
      </c>
      <c r="AZ423" s="24">
        <f t="shared" ca="1" si="421"/>
        <v>0</v>
      </c>
      <c r="BA423" s="25">
        <f t="shared" ca="1" si="422"/>
        <v>0</v>
      </c>
      <c r="BB423" s="23">
        <f t="array" aca="1" ref="BB423" ca="1">SUM(IF(w_start_date&lt;=AO423,1,0)*IF(w_end_date&gt;=AO423,1,0)*w_amount*(1+w_escalation/100)^(INT((AP423-w_months_since_start)/12))*IF(MOD(AP423-w_months_since_start,w_frequency)=0,1,0)*IF(w_frequency=13,0,1))+SUM(IF(w_start_date=AO423,w_amount,0)*IF(w_frequency=13,1,0))</f>
        <v>0</v>
      </c>
      <c r="BC423" s="25">
        <f t="shared" ca="1" si="423"/>
        <v>0</v>
      </c>
      <c r="BD423" s="24" t="b">
        <f t="shared" ca="1" si="424"/>
        <v>1</v>
      </c>
      <c r="BE423" s="24" t="b">
        <f t="shared" ca="1" si="425"/>
        <v>1</v>
      </c>
      <c r="BF423" s="23">
        <f t="array" aca="1" ref="BF423" ca="1">SUM(IF(BD423,1,0)*IF(ap_start_date&lt;=AO423,1,0)*IF(ap_end_date&gt;=AO423,1,0)*ap_amount*(1+ap_escalation/100)^(INT((AP423-ap_months_since_start)/12))*IF(MOD(AP423-ap_months_since_start,ap_frequency)=0,1,0))</f>
        <v>86265.044010780126</v>
      </c>
      <c r="BG423" s="24">
        <f t="shared" ca="1" si="426"/>
        <v>1035180.5281293617</v>
      </c>
      <c r="BH423" s="24">
        <f t="shared" ca="1" si="427"/>
        <v>7360.7008525972187</v>
      </c>
      <c r="BI423">
        <f t="shared" ca="1" si="428"/>
        <v>0</v>
      </c>
      <c r="BJ423" s="24">
        <f t="shared" ca="1" si="429"/>
        <v>51524.905968180523</v>
      </c>
      <c r="BK423">
        <f t="shared" ca="1" si="430"/>
        <v>1</v>
      </c>
      <c r="BL423" s="25">
        <f t="shared" ca="1" si="431"/>
        <v>4293.7421640150424</v>
      </c>
      <c r="BM423" s="32">
        <f t="shared" ca="1" si="410"/>
        <v>274022.95597897645</v>
      </c>
      <c r="BN423" s="23">
        <f t="shared" ca="1" si="432"/>
        <v>0</v>
      </c>
      <c r="BO423" s="24">
        <f t="shared" ca="1" si="433"/>
        <v>0</v>
      </c>
      <c r="BP423" s="25">
        <f t="shared" ca="1" si="434"/>
        <v>0</v>
      </c>
      <c r="BQ423" s="34">
        <f t="shared" ca="1" si="435"/>
        <v>58287</v>
      </c>
      <c r="BR423" s="23">
        <f t="shared" ca="1" si="436"/>
        <v>274022.95597897645</v>
      </c>
      <c r="BS423" s="24">
        <f t="shared" ca="1" si="437"/>
        <v>0</v>
      </c>
      <c r="BT423" s="24">
        <f t="shared" ca="1" si="442"/>
        <v>0</v>
      </c>
      <c r="BU423" s="24">
        <f t="shared" ca="1" si="438"/>
        <v>0</v>
      </c>
      <c r="BV423" s="24">
        <f t="shared" ca="1" si="443"/>
        <v>0</v>
      </c>
      <c r="BW423" s="24">
        <f t="shared" ca="1" si="439"/>
        <v>-4293.7421640150424</v>
      </c>
      <c r="BX423" s="25">
        <f t="shared" ca="1" si="444"/>
        <v>-52852.25615843157</v>
      </c>
      <c r="BY423" s="23">
        <f t="shared" ca="1" si="411"/>
        <v>70355.467177735729</v>
      </c>
      <c r="BZ423" s="24">
        <f t="shared" ca="1" si="412"/>
        <v>0</v>
      </c>
      <c r="CA423" s="24">
        <f t="shared" ca="1" si="445"/>
        <v>0</v>
      </c>
      <c r="CB423" s="24">
        <f t="shared" ca="1" si="413"/>
        <v>0</v>
      </c>
      <c r="CC423" s="24">
        <f t="shared" ca="1" si="446"/>
        <v>0</v>
      </c>
      <c r="CD423" s="24">
        <f t="shared" ca="1" si="414"/>
        <v>-1106.0284824780897</v>
      </c>
      <c r="CE423" s="25">
        <f t="shared" ca="1" si="447"/>
        <v>-13867.219132236985</v>
      </c>
      <c r="CF423" s="23">
        <f t="shared" ca="1" si="448"/>
        <v>1025226.869205041</v>
      </c>
      <c r="CG423" s="25">
        <f t="array" aca="1" ref="CG423" ca="1">SUM(BF412:BF423/(1+inflation/100)^(AP412:AP423/12))</f>
        <v>267980.53702225373</v>
      </c>
      <c r="CH423" s="32">
        <f ca="1">IFERROR(IF(MOD(AP423-ap_months_since_start,12)=0,ap_drawdown/100*(AQ423+AV423+BA423-BC423),CH422),0)</f>
        <v>45251.858109585824</v>
      </c>
    </row>
    <row r="424" spans="40:86" x14ac:dyDescent="0.25">
      <c r="AN424" s="32">
        <f t="shared" ca="1" si="409"/>
        <v>89.583333333333329</v>
      </c>
      <c r="AO424" s="53">
        <f t="shared" ca="1" si="440"/>
        <v>58288</v>
      </c>
      <c r="AP424" s="22">
        <v>417</v>
      </c>
      <c r="AQ424" s="32">
        <f t="shared" ca="1" si="441"/>
        <v>274022.95597897645</v>
      </c>
      <c r="AR424" s="23">
        <f t="array" aca="1" ref="AR424" ca="1">SUM(IF(lsc_start_date=AO424,lsc_amount,0))</f>
        <v>0</v>
      </c>
      <c r="AS424" s="24">
        <f t="shared" ca="1" si="415"/>
        <v>0</v>
      </c>
      <c r="AT424" s="24">
        <f t="shared" ca="1" si="416"/>
        <v>0</v>
      </c>
      <c r="AU424" s="24">
        <f t="shared" ca="1" si="417"/>
        <v>0</v>
      </c>
      <c r="AV424" s="25">
        <f t="shared" ca="1" si="418"/>
        <v>0</v>
      </c>
      <c r="AW424" s="23">
        <f t="array" aca="1" ref="AW424" ca="1">SUM(IF(rcs_start_date&lt;=AO424,1,0)*IF(rcs_end_date&gt;=AO424,1,0)*rcs_amount*(1+rcs_escalation/100)^(INT((AP424-rcs_months_since_start)/12))*IF(MOD((AP424-rcs_months_since_start),rcs_frequency)=0,1,0)*IF(rcs_frequency=13,0,1))+SUM(IF(rcs_start_date=AO424,rcs_amount,0)*IF(rcs_frequency=13,1,0))</f>
        <v>0</v>
      </c>
      <c r="AX424" s="24">
        <f t="shared" ca="1" si="419"/>
        <v>0</v>
      </c>
      <c r="AY424" s="24">
        <f t="shared" ca="1" si="420"/>
        <v>0</v>
      </c>
      <c r="AZ424" s="24">
        <f t="shared" ca="1" si="421"/>
        <v>0</v>
      </c>
      <c r="BA424" s="25">
        <f t="shared" ca="1" si="422"/>
        <v>0</v>
      </c>
      <c r="BB424" s="23">
        <f t="array" aca="1" ref="BB424" ca="1">SUM(IF(w_start_date&lt;=AO424,1,0)*IF(w_end_date&gt;=AO424,1,0)*w_amount*(1+w_escalation/100)^(INT((AP424-w_months_since_start)/12))*IF(MOD(AP424-w_months_since_start,w_frequency)=0,1,0)*IF(w_frequency=13,0,1))+SUM(IF(w_start_date=AO424,w_amount,0)*IF(w_frequency=13,1,0))</f>
        <v>0</v>
      </c>
      <c r="BC424" s="25">
        <f t="shared" ca="1" si="423"/>
        <v>0</v>
      </c>
      <c r="BD424" s="24" t="b">
        <f t="shared" ca="1" si="424"/>
        <v>1</v>
      </c>
      <c r="BE424" s="24" t="b">
        <f t="shared" ca="1" si="425"/>
        <v>1</v>
      </c>
      <c r="BF424" s="23">
        <f t="array" aca="1" ref="BF424" ca="1">SUM(IF(BD424,1,0)*IF(ap_start_date&lt;=AO424,1,0)*IF(ap_end_date&gt;=AO424,1,0)*ap_amount*(1+ap_escalation/100)^(INT((AP424-ap_months_since_start)/12))*IF(MOD(AP424-ap_months_since_start,ap_frequency)=0,1,0))</f>
        <v>86265.044010780126</v>
      </c>
      <c r="BG424" s="24">
        <f t="shared" ca="1" si="426"/>
        <v>1035180.5281293617</v>
      </c>
      <c r="BH424" s="24">
        <f t="shared" ca="1" si="427"/>
        <v>7360.7008525972187</v>
      </c>
      <c r="BI424">
        <f t="shared" ca="1" si="428"/>
        <v>0</v>
      </c>
      <c r="BJ424" s="24">
        <f t="shared" ca="1" si="429"/>
        <v>51524.905968180523</v>
      </c>
      <c r="BK424">
        <f t="shared" ca="1" si="430"/>
        <v>1</v>
      </c>
      <c r="BL424" s="25">
        <f t="shared" ca="1" si="431"/>
        <v>4293.7421640150424</v>
      </c>
      <c r="BM424" s="32">
        <f t="shared" ca="1" si="410"/>
        <v>271673.23946673318</v>
      </c>
      <c r="BN424" s="23">
        <f t="shared" ca="1" si="432"/>
        <v>0</v>
      </c>
      <c r="BO424" s="24">
        <f t="shared" ca="1" si="433"/>
        <v>0</v>
      </c>
      <c r="BP424" s="25">
        <f t="shared" ca="1" si="434"/>
        <v>0</v>
      </c>
      <c r="BQ424" s="34">
        <f t="shared" ca="1" si="435"/>
        <v>58318</v>
      </c>
      <c r="BR424" s="23">
        <f t="shared" ca="1" si="436"/>
        <v>271673.23946673318</v>
      </c>
      <c r="BS424" s="24">
        <f t="shared" ca="1" si="437"/>
        <v>0</v>
      </c>
      <c r="BT424" s="24">
        <f t="shared" ca="1" si="442"/>
        <v>0</v>
      </c>
      <c r="BU424" s="24">
        <f t="shared" ca="1" si="438"/>
        <v>0</v>
      </c>
      <c r="BV424" s="24">
        <f t="shared" ca="1" si="443"/>
        <v>0</v>
      </c>
      <c r="BW424" s="24">
        <f t="shared" ca="1" si="439"/>
        <v>-4293.7421640150424</v>
      </c>
      <c r="BX424" s="25">
        <f t="shared" ca="1" si="444"/>
        <v>-52409.806095014552</v>
      </c>
      <c r="BY424" s="23">
        <f t="shared" ca="1" si="411"/>
        <v>69524.571479783292</v>
      </c>
      <c r="BZ424" s="24">
        <f t="shared" ca="1" si="412"/>
        <v>0</v>
      </c>
      <c r="CA424" s="24">
        <f t="shared" ca="1" si="445"/>
        <v>0</v>
      </c>
      <c r="CB424" s="24">
        <f t="shared" ca="1" si="413"/>
        <v>0</v>
      </c>
      <c r="CC424" s="24">
        <f t="shared" ca="1" si="446"/>
        <v>0</v>
      </c>
      <c r="CD424" s="24">
        <f t="shared" ca="1" si="414"/>
        <v>-1102.4194480742594</v>
      </c>
      <c r="CE424" s="25">
        <f t="shared" ca="1" si="447"/>
        <v>-13704.979215410031</v>
      </c>
      <c r="CF424" s="23">
        <f t="shared" ca="1" si="448"/>
        <v>1028544.7555131479</v>
      </c>
      <c r="CG424" s="25">
        <f t="array" aca="1" ref="CG424" ca="1">SUM(BF413:BF424/(1+inflation/100)^(AP413:AP424/12))</f>
        <v>267980.53702225373</v>
      </c>
      <c r="CH424" s="32">
        <f ca="1">IFERROR(IF(MOD(AP424-ap_months_since_start,12)=0,ap_drawdown/100*(AQ424+AV424+BA424-BC424),CH423),0)</f>
        <v>45251.858109585824</v>
      </c>
    </row>
    <row r="425" spans="40:86" x14ac:dyDescent="0.25">
      <c r="AN425" s="32">
        <f t="shared" ca="1" si="409"/>
        <v>89.666666666666671</v>
      </c>
      <c r="AO425" s="53">
        <f t="shared" ca="1" si="440"/>
        <v>58319</v>
      </c>
      <c r="AP425" s="22">
        <v>418</v>
      </c>
      <c r="AQ425" s="32">
        <f t="shared" ca="1" si="441"/>
        <v>271673.23946673318</v>
      </c>
      <c r="AR425" s="23">
        <f t="array" aca="1" ref="AR425" ca="1">SUM(IF(lsc_start_date=AO425,lsc_amount,0))</f>
        <v>0</v>
      </c>
      <c r="AS425" s="24">
        <f t="shared" ca="1" si="415"/>
        <v>0</v>
      </c>
      <c r="AT425" s="24">
        <f t="shared" ca="1" si="416"/>
        <v>0</v>
      </c>
      <c r="AU425" s="24">
        <f t="shared" ca="1" si="417"/>
        <v>0</v>
      </c>
      <c r="AV425" s="25">
        <f t="shared" ca="1" si="418"/>
        <v>0</v>
      </c>
      <c r="AW425" s="23">
        <f t="array" aca="1" ref="AW425" ca="1">SUM(IF(rcs_start_date&lt;=AO425,1,0)*IF(rcs_end_date&gt;=AO425,1,0)*rcs_amount*(1+rcs_escalation/100)^(INT((AP425-rcs_months_since_start)/12))*IF(MOD((AP425-rcs_months_since_start),rcs_frequency)=0,1,0)*IF(rcs_frequency=13,0,1))+SUM(IF(rcs_start_date=AO425,rcs_amount,0)*IF(rcs_frequency=13,1,0))</f>
        <v>0</v>
      </c>
      <c r="AX425" s="24">
        <f t="shared" ca="1" si="419"/>
        <v>0</v>
      </c>
      <c r="AY425" s="24">
        <f t="shared" ca="1" si="420"/>
        <v>0</v>
      </c>
      <c r="AZ425" s="24">
        <f t="shared" ca="1" si="421"/>
        <v>0</v>
      </c>
      <c r="BA425" s="25">
        <f t="shared" ca="1" si="422"/>
        <v>0</v>
      </c>
      <c r="BB425" s="23">
        <f t="array" aca="1" ref="BB425" ca="1">SUM(IF(w_start_date&lt;=AO425,1,0)*IF(w_end_date&gt;=AO425,1,0)*w_amount*(1+w_escalation/100)^(INT((AP425-w_months_since_start)/12))*IF(MOD(AP425-w_months_since_start,w_frequency)=0,1,0)*IF(w_frequency=13,0,1))+SUM(IF(w_start_date=AO425,w_amount,0)*IF(w_frequency=13,1,0))</f>
        <v>0</v>
      </c>
      <c r="BC425" s="25">
        <f t="shared" ca="1" si="423"/>
        <v>0</v>
      </c>
      <c r="BD425" s="24" t="b">
        <f t="shared" ca="1" si="424"/>
        <v>1</v>
      </c>
      <c r="BE425" s="24" t="b">
        <f t="shared" ca="1" si="425"/>
        <v>1</v>
      </c>
      <c r="BF425" s="23">
        <f t="array" aca="1" ref="BF425" ca="1">SUM(IF(BD425,1,0)*IF(ap_start_date&lt;=AO425,1,0)*IF(ap_end_date&gt;=AO425,1,0)*ap_amount*(1+ap_escalation/100)^(INT((AP425-ap_months_since_start)/12))*IF(MOD(AP425-ap_months_since_start,ap_frequency)=0,1,0))</f>
        <v>86265.044010780126</v>
      </c>
      <c r="BG425" s="24">
        <f t="shared" ca="1" si="426"/>
        <v>1035180.5281293617</v>
      </c>
      <c r="BH425" s="24">
        <f t="shared" ca="1" si="427"/>
        <v>7360.7008525972187</v>
      </c>
      <c r="BI425">
        <f t="shared" ca="1" si="428"/>
        <v>0</v>
      </c>
      <c r="BJ425" s="24">
        <f t="shared" ca="1" si="429"/>
        <v>51524.905968180523</v>
      </c>
      <c r="BK425">
        <f t="shared" ca="1" si="430"/>
        <v>1</v>
      </c>
      <c r="BL425" s="25">
        <f t="shared" ca="1" si="431"/>
        <v>4293.7421640150424</v>
      </c>
      <c r="BM425" s="32">
        <f t="shared" ca="1" si="410"/>
        <v>269306.58778788493</v>
      </c>
      <c r="BN425" s="23">
        <f t="shared" ca="1" si="432"/>
        <v>0</v>
      </c>
      <c r="BO425" s="24">
        <f t="shared" ca="1" si="433"/>
        <v>0</v>
      </c>
      <c r="BP425" s="25">
        <f t="shared" ca="1" si="434"/>
        <v>0</v>
      </c>
      <c r="BQ425" s="34">
        <f t="shared" ca="1" si="435"/>
        <v>58348</v>
      </c>
      <c r="BR425" s="23">
        <f t="shared" ca="1" si="436"/>
        <v>269306.58778788493</v>
      </c>
      <c r="BS425" s="24">
        <f t="shared" ca="1" si="437"/>
        <v>0</v>
      </c>
      <c r="BT425" s="24">
        <f t="shared" ca="1" si="442"/>
        <v>0</v>
      </c>
      <c r="BU425" s="24">
        <f t="shared" ca="1" si="438"/>
        <v>0</v>
      </c>
      <c r="BV425" s="24">
        <f t="shared" ca="1" si="443"/>
        <v>0</v>
      </c>
      <c r="BW425" s="24">
        <f t="shared" ca="1" si="439"/>
        <v>-4293.7421640150424</v>
      </c>
      <c r="BX425" s="25">
        <f t="shared" ca="1" si="444"/>
        <v>-51967.356031597534</v>
      </c>
      <c r="BY425" s="23">
        <f t="shared" ca="1" si="411"/>
        <v>68694.029411023352</v>
      </c>
      <c r="BZ425" s="24">
        <f t="shared" ca="1" si="412"/>
        <v>0</v>
      </c>
      <c r="CA425" s="24">
        <f t="shared" ca="1" si="445"/>
        <v>0</v>
      </c>
      <c r="CB425" s="24">
        <f t="shared" ca="1" si="413"/>
        <v>0</v>
      </c>
      <c r="CC425" s="24">
        <f t="shared" ca="1" si="446"/>
        <v>0</v>
      </c>
      <c r="CD425" s="24">
        <f t="shared" ca="1" si="414"/>
        <v>-1098.8221901567802</v>
      </c>
      <c r="CE425" s="25">
        <f t="shared" ca="1" si="447"/>
        <v>-13543.268696741241</v>
      </c>
      <c r="CF425" s="23">
        <f t="shared" ca="1" si="448"/>
        <v>1031862.6418212547</v>
      </c>
      <c r="CG425" s="25">
        <f t="array" aca="1" ref="CG425" ca="1">SUM(BF414:BF425/(1+inflation/100)^(AP414:AP425/12))</f>
        <v>267980.53702225379</v>
      </c>
      <c r="CH425" s="32">
        <f ca="1">IFERROR(IF(MOD(AP425-ap_months_since_start,12)=0,ap_drawdown/100*(AQ425+AV425+BA425-BC425),CH424),0)</f>
        <v>45251.858109585824</v>
      </c>
    </row>
    <row r="426" spans="40:86" x14ac:dyDescent="0.25">
      <c r="AN426" s="32">
        <f t="shared" ca="1" si="409"/>
        <v>89.75</v>
      </c>
      <c r="AO426" s="53">
        <f t="shared" ca="1" si="440"/>
        <v>58349</v>
      </c>
      <c r="AP426" s="22">
        <v>419</v>
      </c>
      <c r="AQ426" s="32">
        <f t="shared" ca="1" si="441"/>
        <v>269306.58778788493</v>
      </c>
      <c r="AR426" s="23">
        <f t="array" aca="1" ref="AR426" ca="1">SUM(IF(lsc_start_date=AO426,lsc_amount,0))</f>
        <v>0</v>
      </c>
      <c r="AS426" s="24">
        <f t="shared" ca="1" si="415"/>
        <v>0</v>
      </c>
      <c r="AT426" s="24">
        <f t="shared" ca="1" si="416"/>
        <v>0</v>
      </c>
      <c r="AU426" s="24">
        <f t="shared" ca="1" si="417"/>
        <v>0</v>
      </c>
      <c r="AV426" s="25">
        <f t="shared" ca="1" si="418"/>
        <v>0</v>
      </c>
      <c r="AW426" s="23">
        <f t="array" aca="1" ref="AW426" ca="1">SUM(IF(rcs_start_date&lt;=AO426,1,0)*IF(rcs_end_date&gt;=AO426,1,0)*rcs_amount*(1+rcs_escalation/100)^(INT((AP426-rcs_months_since_start)/12))*IF(MOD((AP426-rcs_months_since_start),rcs_frequency)=0,1,0)*IF(rcs_frequency=13,0,1))+SUM(IF(rcs_start_date=AO426,rcs_amount,0)*IF(rcs_frequency=13,1,0))</f>
        <v>0</v>
      </c>
      <c r="AX426" s="24">
        <f t="shared" ca="1" si="419"/>
        <v>0</v>
      </c>
      <c r="AY426" s="24">
        <f t="shared" ca="1" si="420"/>
        <v>0</v>
      </c>
      <c r="AZ426" s="24">
        <f t="shared" ca="1" si="421"/>
        <v>0</v>
      </c>
      <c r="BA426" s="25">
        <f t="shared" ca="1" si="422"/>
        <v>0</v>
      </c>
      <c r="BB426" s="23">
        <f t="array" aca="1" ref="BB426" ca="1">SUM(IF(w_start_date&lt;=AO426,1,0)*IF(w_end_date&gt;=AO426,1,0)*w_amount*(1+w_escalation/100)^(INT((AP426-w_months_since_start)/12))*IF(MOD(AP426-w_months_since_start,w_frequency)=0,1,0)*IF(w_frequency=13,0,1))+SUM(IF(w_start_date=AO426,w_amount,0)*IF(w_frequency=13,1,0))</f>
        <v>0</v>
      </c>
      <c r="BC426" s="25">
        <f t="shared" ca="1" si="423"/>
        <v>0</v>
      </c>
      <c r="BD426" s="24" t="b">
        <f t="shared" ca="1" si="424"/>
        <v>1</v>
      </c>
      <c r="BE426" s="24" t="b">
        <f t="shared" ca="1" si="425"/>
        <v>1</v>
      </c>
      <c r="BF426" s="23">
        <f t="array" aca="1" ref="BF426" ca="1">SUM(IF(BD426,1,0)*IF(ap_start_date&lt;=AO426,1,0)*IF(ap_end_date&gt;=AO426,1,0)*ap_amount*(1+ap_escalation/100)^(INT((AP426-ap_months_since_start)/12))*IF(MOD(AP426-ap_months_since_start,ap_frequency)=0,1,0))</f>
        <v>86265.044010780126</v>
      </c>
      <c r="BG426" s="24">
        <f t="shared" ca="1" si="426"/>
        <v>1035180.5281293617</v>
      </c>
      <c r="BH426" s="24">
        <f t="shared" ca="1" si="427"/>
        <v>7360.7008525972187</v>
      </c>
      <c r="BI426">
        <f t="shared" ca="1" si="428"/>
        <v>0</v>
      </c>
      <c r="BJ426" s="24">
        <f t="shared" ca="1" si="429"/>
        <v>51524.905968180523</v>
      </c>
      <c r="BK426">
        <f t="shared" ca="1" si="430"/>
        <v>1</v>
      </c>
      <c r="BL426" s="25">
        <f t="shared" ca="1" si="431"/>
        <v>4293.7421640150424</v>
      </c>
      <c r="BM426" s="32">
        <f t="shared" ca="1" si="410"/>
        <v>266922.87888521055</v>
      </c>
      <c r="BN426" s="23">
        <f t="shared" ca="1" si="432"/>
        <v>0</v>
      </c>
      <c r="BO426" s="24">
        <f t="shared" ca="1" si="433"/>
        <v>0</v>
      </c>
      <c r="BP426" s="25">
        <f t="shared" ca="1" si="434"/>
        <v>0</v>
      </c>
      <c r="BQ426" s="34">
        <f t="shared" ca="1" si="435"/>
        <v>58379</v>
      </c>
      <c r="BR426" s="23">
        <f t="shared" ca="1" si="436"/>
        <v>266922.87888521055</v>
      </c>
      <c r="BS426" s="24">
        <f t="shared" ca="1" si="437"/>
        <v>0</v>
      </c>
      <c r="BT426" s="24">
        <f t="shared" ca="1" si="442"/>
        <v>0</v>
      </c>
      <c r="BU426" s="24">
        <f t="shared" ca="1" si="438"/>
        <v>0</v>
      </c>
      <c r="BV426" s="24">
        <f t="shared" ca="1" si="443"/>
        <v>0</v>
      </c>
      <c r="BW426" s="24">
        <f t="shared" ca="1" si="439"/>
        <v>-4293.7421640150424</v>
      </c>
      <c r="BX426" s="25">
        <f t="shared" ca="1" si="444"/>
        <v>-51524.905968180508</v>
      </c>
      <c r="BY426" s="23">
        <f t="shared" ca="1" si="411"/>
        <v>67863.830573865911</v>
      </c>
      <c r="BZ426" s="24">
        <f t="shared" ca="1" si="412"/>
        <v>0</v>
      </c>
      <c r="CA426" s="24">
        <f t="shared" ca="1" si="445"/>
        <v>0</v>
      </c>
      <c r="CB426" s="24">
        <f t="shared" ca="1" si="413"/>
        <v>0</v>
      </c>
      <c r="CC426" s="24">
        <f t="shared" ca="1" si="446"/>
        <v>0</v>
      </c>
      <c r="CD426" s="24">
        <f t="shared" ca="1" si="414"/>
        <v>-1095.2366702983018</v>
      </c>
      <c r="CE426" s="25">
        <f t="shared" ca="1" si="447"/>
        <v>-13382.085848774052</v>
      </c>
      <c r="CF426" s="23">
        <f t="shared" ca="1" si="448"/>
        <v>1035180.5281293617</v>
      </c>
      <c r="CG426" s="25">
        <f t="array" aca="1" ref="CG426" ca="1">SUM(BF415:BF426/(1+inflation/100)^(AP415:AP426/12))</f>
        <v>267980.53702225373</v>
      </c>
      <c r="CH426" s="32">
        <f ca="1">IFERROR(IF(MOD(AP426-ap_months_since_start,12)=0,ap_drawdown/100*(AQ426+AV426+BA426-BC426),CH425),0)</f>
        <v>45251.858109585824</v>
      </c>
    </row>
    <row r="427" spans="40:86" x14ac:dyDescent="0.25">
      <c r="AN427" s="32">
        <f t="shared" ca="1" si="409"/>
        <v>89.833333333333329</v>
      </c>
      <c r="AO427" s="53">
        <f t="shared" ca="1" si="440"/>
        <v>58380</v>
      </c>
      <c r="AP427" s="22">
        <v>420</v>
      </c>
      <c r="AQ427" s="32">
        <f t="shared" ca="1" si="441"/>
        <v>266922.87888521055</v>
      </c>
      <c r="AR427" s="23">
        <f t="array" aca="1" ref="AR427" ca="1">SUM(IF(lsc_start_date=AO427,lsc_amount,0))</f>
        <v>0</v>
      </c>
      <c r="AS427" s="24">
        <f t="shared" ca="1" si="415"/>
        <v>0</v>
      </c>
      <c r="AT427" s="24">
        <f t="shared" ca="1" si="416"/>
        <v>0</v>
      </c>
      <c r="AU427" s="24">
        <f t="shared" ca="1" si="417"/>
        <v>0</v>
      </c>
      <c r="AV427" s="25">
        <f t="shared" ca="1" si="418"/>
        <v>0</v>
      </c>
      <c r="AW427" s="23">
        <f t="array" aca="1" ref="AW427" ca="1">SUM(IF(rcs_start_date&lt;=AO427,1,0)*IF(rcs_end_date&gt;=AO427,1,0)*rcs_amount*(1+rcs_escalation/100)^(INT((AP427-rcs_months_since_start)/12))*IF(MOD((AP427-rcs_months_since_start),rcs_frequency)=0,1,0)*IF(rcs_frequency=13,0,1))+SUM(IF(rcs_start_date=AO427,rcs_amount,0)*IF(rcs_frequency=13,1,0))</f>
        <v>0</v>
      </c>
      <c r="AX427" s="24">
        <f t="shared" ca="1" si="419"/>
        <v>0</v>
      </c>
      <c r="AY427" s="24">
        <f t="shared" ca="1" si="420"/>
        <v>0</v>
      </c>
      <c r="AZ427" s="24">
        <f t="shared" ca="1" si="421"/>
        <v>0</v>
      </c>
      <c r="BA427" s="25">
        <f t="shared" ca="1" si="422"/>
        <v>0</v>
      </c>
      <c r="BB427" s="23">
        <f t="array" aca="1" ref="BB427" ca="1">SUM(IF(w_start_date&lt;=AO427,1,0)*IF(w_end_date&gt;=AO427,1,0)*w_amount*(1+w_escalation/100)^(INT((AP427-w_months_since_start)/12))*IF(MOD(AP427-w_months_since_start,w_frequency)=0,1,0)*IF(w_frequency=13,0,1))+SUM(IF(w_start_date=AO427,w_amount,0)*IF(w_frequency=13,1,0))</f>
        <v>0</v>
      </c>
      <c r="BC427" s="25">
        <f t="shared" ca="1" si="423"/>
        <v>0</v>
      </c>
      <c r="BD427" s="24" t="b">
        <f t="shared" ca="1" si="424"/>
        <v>1</v>
      </c>
      <c r="BE427" s="24" t="b">
        <f t="shared" ca="1" si="425"/>
        <v>1</v>
      </c>
      <c r="BF427" s="23">
        <f t="array" aca="1" ref="BF427" ca="1">SUM(IF(BD427,1,0)*IF(ap_start_date&lt;=AO427,1,0)*IF(ap_end_date&gt;=AO427,1,0)*ap_amount*(1+ap_escalation/100)^(INT((AP427-ap_months_since_start)/12))*IF(MOD(AP427-ap_months_since_start,ap_frequency)=0,1,0))</f>
        <v>89715.645771211348</v>
      </c>
      <c r="BG427" s="24">
        <f t="shared" ca="1" si="426"/>
        <v>1076587.7492545361</v>
      </c>
      <c r="BH427" s="24">
        <f t="shared" ca="1" si="427"/>
        <v>6673.0719721302639</v>
      </c>
      <c r="BI427">
        <f t="shared" ca="1" si="428"/>
        <v>0</v>
      </c>
      <c r="BJ427" s="24">
        <f t="shared" ca="1" si="429"/>
        <v>46711.503804911845</v>
      </c>
      <c r="BK427">
        <f t="shared" ca="1" si="430"/>
        <v>1</v>
      </c>
      <c r="BL427" s="25">
        <f t="shared" ca="1" si="431"/>
        <v>3892.6253170759874</v>
      </c>
      <c r="BM427" s="32">
        <f t="shared" ca="1" si="410"/>
        <v>264925.99764752551</v>
      </c>
      <c r="BN427" s="23">
        <f t="shared" ca="1" si="432"/>
        <v>0</v>
      </c>
      <c r="BO427" s="24">
        <f t="shared" ca="1" si="433"/>
        <v>0</v>
      </c>
      <c r="BP427" s="25">
        <f t="shared" ca="1" si="434"/>
        <v>0</v>
      </c>
      <c r="BQ427" s="34">
        <f t="shared" ca="1" si="435"/>
        <v>58409</v>
      </c>
      <c r="BR427" s="23">
        <f t="shared" ca="1" si="436"/>
        <v>264925.99764752551</v>
      </c>
      <c r="BS427" s="24">
        <f t="shared" ca="1" si="437"/>
        <v>0</v>
      </c>
      <c r="BT427" s="24">
        <f t="shared" ca="1" si="442"/>
        <v>0</v>
      </c>
      <c r="BU427" s="24">
        <f t="shared" ca="1" si="438"/>
        <v>0</v>
      </c>
      <c r="BV427" s="24">
        <f t="shared" ca="1" si="443"/>
        <v>0</v>
      </c>
      <c r="BW427" s="24">
        <f t="shared" ca="1" si="439"/>
        <v>-3892.6253170759874</v>
      </c>
      <c r="BX427" s="25">
        <f t="shared" ca="1" si="444"/>
        <v>-51123.789121241454</v>
      </c>
      <c r="BY427" s="23">
        <f t="shared" ca="1" si="411"/>
        <v>67136.346401744726</v>
      </c>
      <c r="BZ427" s="24">
        <f t="shared" ca="1" si="412"/>
        <v>0</v>
      </c>
      <c r="CA427" s="24">
        <f t="shared" ca="1" si="445"/>
        <v>0</v>
      </c>
      <c r="CB427" s="24">
        <f t="shared" ca="1" si="413"/>
        <v>0</v>
      </c>
      <c r="CC427" s="24">
        <f t="shared" ca="1" si="446"/>
        <v>0</v>
      </c>
      <c r="CD427" s="24">
        <f t="shared" ca="1" si="414"/>
        <v>-989.68086253554463</v>
      </c>
      <c r="CE427" s="25">
        <f t="shared" ca="1" si="447"/>
        <v>-13236.437347104857</v>
      </c>
      <c r="CF427" s="23">
        <f t="shared" ca="1" si="448"/>
        <v>1038631.1298897929</v>
      </c>
      <c r="CG427" s="25">
        <f t="array" aca="1" ref="CG427" ca="1">SUM(BF416:BF427/(1+inflation/100)^(AP416:AP427/12))</f>
        <v>267980.53702225373</v>
      </c>
      <c r="CH427" s="32">
        <f ca="1">IFERROR(IF(MOD(AP427-ap_months_since_start,12)=0,ap_drawdown/100*(AQ427+AV427+BA427-BC427),CH426),0)</f>
        <v>41024.477435642999</v>
      </c>
    </row>
    <row r="428" spans="40:86" x14ac:dyDescent="0.25">
      <c r="AN428" s="32">
        <f t="shared" ca="1" si="409"/>
        <v>89.916666666666671</v>
      </c>
      <c r="AO428" s="53">
        <f t="shared" ca="1" si="440"/>
        <v>58410</v>
      </c>
      <c r="AP428" s="22">
        <v>421</v>
      </c>
      <c r="AQ428" s="32">
        <f t="shared" ca="1" si="441"/>
        <v>264925.99764752551</v>
      </c>
      <c r="AR428" s="23">
        <f t="array" aca="1" ref="AR428" ca="1">SUM(IF(lsc_start_date=AO428,lsc_amount,0))</f>
        <v>0</v>
      </c>
      <c r="AS428" s="24">
        <f t="shared" ca="1" si="415"/>
        <v>0</v>
      </c>
      <c r="AT428" s="24">
        <f t="shared" ca="1" si="416"/>
        <v>0</v>
      </c>
      <c r="AU428" s="24">
        <f t="shared" ca="1" si="417"/>
        <v>0</v>
      </c>
      <c r="AV428" s="25">
        <f t="shared" ca="1" si="418"/>
        <v>0</v>
      </c>
      <c r="AW428" s="23">
        <f t="array" aca="1" ref="AW428" ca="1">SUM(IF(rcs_start_date&lt;=AO428,1,0)*IF(rcs_end_date&gt;=AO428,1,0)*rcs_amount*(1+rcs_escalation/100)^(INT((AP428-rcs_months_since_start)/12))*IF(MOD((AP428-rcs_months_since_start),rcs_frequency)=0,1,0)*IF(rcs_frequency=13,0,1))+SUM(IF(rcs_start_date=AO428,rcs_amount,0)*IF(rcs_frequency=13,1,0))</f>
        <v>0</v>
      </c>
      <c r="AX428" s="24">
        <f t="shared" ca="1" si="419"/>
        <v>0</v>
      </c>
      <c r="AY428" s="24">
        <f t="shared" ca="1" si="420"/>
        <v>0</v>
      </c>
      <c r="AZ428" s="24">
        <f t="shared" ca="1" si="421"/>
        <v>0</v>
      </c>
      <c r="BA428" s="25">
        <f t="shared" ca="1" si="422"/>
        <v>0</v>
      </c>
      <c r="BB428" s="23">
        <f t="array" aca="1" ref="BB428" ca="1">SUM(IF(w_start_date&lt;=AO428,1,0)*IF(w_end_date&gt;=AO428,1,0)*w_amount*(1+w_escalation/100)^(INT((AP428-w_months_since_start)/12))*IF(MOD(AP428-w_months_since_start,w_frequency)=0,1,0)*IF(w_frequency=13,0,1))+SUM(IF(w_start_date=AO428,w_amount,0)*IF(w_frequency=13,1,0))</f>
        <v>0</v>
      </c>
      <c r="BC428" s="25">
        <f t="shared" ca="1" si="423"/>
        <v>0</v>
      </c>
      <c r="BD428" s="24" t="b">
        <f t="shared" ca="1" si="424"/>
        <v>1</v>
      </c>
      <c r="BE428" s="24" t="b">
        <f t="shared" ca="1" si="425"/>
        <v>1</v>
      </c>
      <c r="BF428" s="23">
        <f t="array" aca="1" ref="BF428" ca="1">SUM(IF(BD428,1,0)*IF(ap_start_date&lt;=AO428,1,0)*IF(ap_end_date&gt;=AO428,1,0)*ap_amount*(1+ap_escalation/100)^(INT((AP428-ap_months_since_start)/12))*IF(MOD(AP428-ap_months_since_start,ap_frequency)=0,1,0))</f>
        <v>89715.645771211348</v>
      </c>
      <c r="BG428" s="24">
        <f t="shared" ca="1" si="426"/>
        <v>1076587.7492545361</v>
      </c>
      <c r="BH428" s="24">
        <f t="shared" ca="1" si="427"/>
        <v>6673.0719721302639</v>
      </c>
      <c r="BI428">
        <f t="shared" ca="1" si="428"/>
        <v>0</v>
      </c>
      <c r="BJ428" s="24">
        <f t="shared" ca="1" si="429"/>
        <v>46711.503804911845</v>
      </c>
      <c r="BK428">
        <f t="shared" ca="1" si="430"/>
        <v>1</v>
      </c>
      <c r="BL428" s="25">
        <f t="shared" ca="1" si="431"/>
        <v>3892.6253170759874</v>
      </c>
      <c r="BM428" s="32">
        <f t="shared" ca="1" si="410"/>
        <v>262914.72424113657</v>
      </c>
      <c r="BN428" s="23">
        <f t="shared" ca="1" si="432"/>
        <v>0</v>
      </c>
      <c r="BO428" s="24">
        <f t="shared" ca="1" si="433"/>
        <v>0</v>
      </c>
      <c r="BP428" s="25">
        <f t="shared" ca="1" si="434"/>
        <v>0</v>
      </c>
      <c r="BQ428" s="34">
        <f t="shared" ca="1" si="435"/>
        <v>58440</v>
      </c>
      <c r="BR428" s="23">
        <f t="shared" ca="1" si="436"/>
        <v>262914.72424113657</v>
      </c>
      <c r="BS428" s="24">
        <f t="shared" ca="1" si="437"/>
        <v>0</v>
      </c>
      <c r="BT428" s="24">
        <f t="shared" ca="1" si="442"/>
        <v>0</v>
      </c>
      <c r="BU428" s="24">
        <f t="shared" ca="1" si="438"/>
        <v>0</v>
      </c>
      <c r="BV428" s="24">
        <f t="shared" ca="1" si="443"/>
        <v>0</v>
      </c>
      <c r="BW428" s="24">
        <f t="shared" ca="1" si="439"/>
        <v>-3892.6253170759874</v>
      </c>
      <c r="BX428" s="25">
        <f t="shared" ca="1" si="444"/>
        <v>-50722.6722743024</v>
      </c>
      <c r="BY428" s="23">
        <f t="shared" ca="1" si="411"/>
        <v>66409.251994542821</v>
      </c>
      <c r="BZ428" s="24">
        <f t="shared" ca="1" si="412"/>
        <v>0</v>
      </c>
      <c r="CA428" s="24">
        <f t="shared" ca="1" si="445"/>
        <v>0</v>
      </c>
      <c r="CB428" s="24">
        <f t="shared" ca="1" si="413"/>
        <v>0</v>
      </c>
      <c r="CC428" s="24">
        <f t="shared" ca="1" si="446"/>
        <v>0</v>
      </c>
      <c r="CD428" s="24">
        <f t="shared" ca="1" si="414"/>
        <v>-986.45147709177968</v>
      </c>
      <c r="CE428" s="25">
        <f t="shared" ca="1" si="447"/>
        <v>-13091.26410485413</v>
      </c>
      <c r="CF428" s="23">
        <f t="shared" ca="1" si="448"/>
        <v>1042081.7316502241</v>
      </c>
      <c r="CG428" s="25">
        <f t="array" aca="1" ref="CG428" ca="1">SUM(BF417:BF428/(1+inflation/100)^(AP417:AP428/12))</f>
        <v>267980.53702225373</v>
      </c>
      <c r="CH428" s="32">
        <f ca="1">IFERROR(IF(MOD(AP428-ap_months_since_start,12)=0,ap_drawdown/100*(AQ428+AV428+BA428-BC428),CH427),0)</f>
        <v>41024.477435642999</v>
      </c>
    </row>
    <row r="429" spans="40:86" x14ac:dyDescent="0.25">
      <c r="AN429" s="32">
        <f t="shared" ca="1" si="409"/>
        <v>90</v>
      </c>
      <c r="AO429" s="53">
        <f t="shared" ca="1" si="440"/>
        <v>58441</v>
      </c>
      <c r="AP429" s="22">
        <v>422</v>
      </c>
      <c r="AQ429" s="32">
        <f t="shared" ca="1" si="441"/>
        <v>262914.72424113657</v>
      </c>
      <c r="AR429" s="23">
        <f t="array" aca="1" ref="AR429" ca="1">SUM(IF(lsc_start_date=AO429,lsc_amount,0))</f>
        <v>0</v>
      </c>
      <c r="AS429" s="24">
        <f t="shared" ca="1" si="415"/>
        <v>0</v>
      </c>
      <c r="AT429" s="24">
        <f t="shared" ca="1" si="416"/>
        <v>0</v>
      </c>
      <c r="AU429" s="24">
        <f t="shared" ca="1" si="417"/>
        <v>0</v>
      </c>
      <c r="AV429" s="25">
        <f t="shared" ca="1" si="418"/>
        <v>0</v>
      </c>
      <c r="AW429" s="23">
        <f t="array" aca="1" ref="AW429" ca="1">SUM(IF(rcs_start_date&lt;=AO429,1,0)*IF(rcs_end_date&gt;=AO429,1,0)*rcs_amount*(1+rcs_escalation/100)^(INT((AP429-rcs_months_since_start)/12))*IF(MOD((AP429-rcs_months_since_start),rcs_frequency)=0,1,0)*IF(rcs_frequency=13,0,1))+SUM(IF(rcs_start_date=AO429,rcs_amount,0)*IF(rcs_frequency=13,1,0))</f>
        <v>0</v>
      </c>
      <c r="AX429" s="24">
        <f t="shared" ca="1" si="419"/>
        <v>0</v>
      </c>
      <c r="AY429" s="24">
        <f t="shared" ca="1" si="420"/>
        <v>0</v>
      </c>
      <c r="AZ429" s="24">
        <f t="shared" ca="1" si="421"/>
        <v>0</v>
      </c>
      <c r="BA429" s="25">
        <f t="shared" ca="1" si="422"/>
        <v>0</v>
      </c>
      <c r="BB429" s="23">
        <f t="array" aca="1" ref="BB429" ca="1">SUM(IF(w_start_date&lt;=AO429,1,0)*IF(w_end_date&gt;=AO429,1,0)*w_amount*(1+w_escalation/100)^(INT((AP429-w_months_since_start)/12))*IF(MOD(AP429-w_months_since_start,w_frequency)=0,1,0)*IF(w_frequency=13,0,1))+SUM(IF(w_start_date=AO429,w_amount,0)*IF(w_frequency=13,1,0))</f>
        <v>0</v>
      </c>
      <c r="BC429" s="25">
        <f t="shared" ca="1" si="423"/>
        <v>0</v>
      </c>
      <c r="BD429" s="24" t="b">
        <f t="shared" ca="1" si="424"/>
        <v>1</v>
      </c>
      <c r="BE429" s="24" t="b">
        <f t="shared" ca="1" si="425"/>
        <v>1</v>
      </c>
      <c r="BF429" s="23">
        <f t="array" aca="1" ref="BF429" ca="1">SUM(IF(BD429,1,0)*IF(ap_start_date&lt;=AO429,1,0)*IF(ap_end_date&gt;=AO429,1,0)*ap_amount*(1+ap_escalation/100)^(INT((AP429-ap_months_since_start)/12))*IF(MOD(AP429-ap_months_since_start,ap_frequency)=0,1,0))</f>
        <v>89715.645771211348</v>
      </c>
      <c r="BG429" s="24">
        <f t="shared" ca="1" si="426"/>
        <v>1076587.7492545361</v>
      </c>
      <c r="BH429" s="24">
        <f t="shared" ca="1" si="427"/>
        <v>6673.0719721302639</v>
      </c>
      <c r="BI429">
        <f t="shared" ca="1" si="428"/>
        <v>0</v>
      </c>
      <c r="BJ429" s="24">
        <f t="shared" ca="1" si="429"/>
        <v>46711.503804911845</v>
      </c>
      <c r="BK429">
        <f t="shared" ca="1" si="430"/>
        <v>1</v>
      </c>
      <c r="BL429" s="25">
        <f t="shared" ca="1" si="431"/>
        <v>3892.6253170759874</v>
      </c>
      <c r="BM429" s="32">
        <f t="shared" ca="1" si="410"/>
        <v>260888.95493703065</v>
      </c>
      <c r="BN429" s="23">
        <f t="shared" ca="1" si="432"/>
        <v>0</v>
      </c>
      <c r="BO429" s="24">
        <f t="shared" ca="1" si="433"/>
        <v>0</v>
      </c>
      <c r="BP429" s="25">
        <f t="shared" ca="1" si="434"/>
        <v>0</v>
      </c>
      <c r="BQ429" s="34">
        <f t="shared" ca="1" si="435"/>
        <v>58471</v>
      </c>
      <c r="BR429" s="23">
        <f t="shared" ca="1" si="436"/>
        <v>260888.95493703065</v>
      </c>
      <c r="BS429" s="24">
        <f t="shared" ca="1" si="437"/>
        <v>0</v>
      </c>
      <c r="BT429" s="24">
        <f t="shared" ca="1" si="442"/>
        <v>0</v>
      </c>
      <c r="BU429" s="24">
        <f t="shared" ca="1" si="438"/>
        <v>0</v>
      </c>
      <c r="BV429" s="24">
        <f t="shared" ca="1" si="443"/>
        <v>0</v>
      </c>
      <c r="BW429" s="24">
        <f t="shared" ca="1" si="439"/>
        <v>-3892.6253170759874</v>
      </c>
      <c r="BX429" s="25">
        <f t="shared" ca="1" si="444"/>
        <v>-50321.555427363346</v>
      </c>
      <c r="BY429" s="23">
        <f t="shared" ca="1" si="411"/>
        <v>65682.538301444554</v>
      </c>
      <c r="BZ429" s="24">
        <f t="shared" ca="1" si="412"/>
        <v>0</v>
      </c>
      <c r="CA429" s="24">
        <f t="shared" ca="1" si="445"/>
        <v>0</v>
      </c>
      <c r="CB429" s="24">
        <f t="shared" ca="1" si="413"/>
        <v>0</v>
      </c>
      <c r="CC429" s="24">
        <f t="shared" ca="1" si="446"/>
        <v>0</v>
      </c>
      <c r="CD429" s="24">
        <f t="shared" ca="1" si="414"/>
        <v>-983.23262931802572</v>
      </c>
      <c r="CE429" s="25">
        <f t="shared" ca="1" si="447"/>
        <v>-12946.564571223116</v>
      </c>
      <c r="CF429" s="23">
        <f t="shared" ca="1" si="448"/>
        <v>1045532.3334106553</v>
      </c>
      <c r="CG429" s="25">
        <f t="array" aca="1" ref="CG429" ca="1">SUM(BF418:BF429/(1+inflation/100)^(AP418:AP429/12))</f>
        <v>267980.53702225373</v>
      </c>
      <c r="CH429" s="32">
        <f ca="1">IFERROR(IF(MOD(AP429-ap_months_since_start,12)=0,ap_drawdown/100*(AQ429+AV429+BA429-BC429),CH428),0)</f>
        <v>41024.477435642999</v>
      </c>
    </row>
    <row r="430" spans="40:86" x14ac:dyDescent="0.25">
      <c r="AN430" s="32">
        <f t="shared" ca="1" si="409"/>
        <v>90.083333333333329</v>
      </c>
      <c r="AO430" s="53">
        <f t="shared" ca="1" si="440"/>
        <v>58472</v>
      </c>
      <c r="AP430" s="22">
        <v>423</v>
      </c>
      <c r="AQ430" s="32">
        <f t="shared" ca="1" si="441"/>
        <v>260888.95493703065</v>
      </c>
      <c r="AR430" s="23">
        <f t="array" aca="1" ref="AR430" ca="1">SUM(IF(lsc_start_date=AO430,lsc_amount,0))</f>
        <v>0</v>
      </c>
      <c r="AS430" s="24">
        <f t="shared" ca="1" si="415"/>
        <v>0</v>
      </c>
      <c r="AT430" s="24">
        <f t="shared" ca="1" si="416"/>
        <v>0</v>
      </c>
      <c r="AU430" s="24">
        <f t="shared" ca="1" si="417"/>
        <v>0</v>
      </c>
      <c r="AV430" s="25">
        <f t="shared" ca="1" si="418"/>
        <v>0</v>
      </c>
      <c r="AW430" s="23">
        <f t="array" aca="1" ref="AW430" ca="1">SUM(IF(rcs_start_date&lt;=AO430,1,0)*IF(rcs_end_date&gt;=AO430,1,0)*rcs_amount*(1+rcs_escalation/100)^(INT((AP430-rcs_months_since_start)/12))*IF(MOD((AP430-rcs_months_since_start),rcs_frequency)=0,1,0)*IF(rcs_frequency=13,0,1))+SUM(IF(rcs_start_date=AO430,rcs_amount,0)*IF(rcs_frequency=13,1,0))</f>
        <v>0</v>
      </c>
      <c r="AX430" s="24">
        <f t="shared" ca="1" si="419"/>
        <v>0</v>
      </c>
      <c r="AY430" s="24">
        <f t="shared" ca="1" si="420"/>
        <v>0</v>
      </c>
      <c r="AZ430" s="24">
        <f t="shared" ca="1" si="421"/>
        <v>0</v>
      </c>
      <c r="BA430" s="25">
        <f t="shared" ca="1" si="422"/>
        <v>0</v>
      </c>
      <c r="BB430" s="23">
        <f t="array" aca="1" ref="BB430" ca="1">SUM(IF(w_start_date&lt;=AO430,1,0)*IF(w_end_date&gt;=AO430,1,0)*w_amount*(1+w_escalation/100)^(INT((AP430-w_months_since_start)/12))*IF(MOD(AP430-w_months_since_start,w_frequency)=0,1,0)*IF(w_frequency=13,0,1))+SUM(IF(w_start_date=AO430,w_amount,0)*IF(w_frequency=13,1,0))</f>
        <v>0</v>
      </c>
      <c r="BC430" s="25">
        <f t="shared" ca="1" si="423"/>
        <v>0</v>
      </c>
      <c r="BD430" s="24" t="b">
        <f t="shared" ca="1" si="424"/>
        <v>1</v>
      </c>
      <c r="BE430" s="24" t="b">
        <f t="shared" ca="1" si="425"/>
        <v>1</v>
      </c>
      <c r="BF430" s="23">
        <f t="array" aca="1" ref="BF430" ca="1">SUM(IF(BD430,1,0)*IF(ap_start_date&lt;=AO430,1,0)*IF(ap_end_date&gt;=AO430,1,0)*ap_amount*(1+ap_escalation/100)^(INT((AP430-ap_months_since_start)/12))*IF(MOD(AP430-ap_months_since_start,ap_frequency)=0,1,0))</f>
        <v>89715.645771211348</v>
      </c>
      <c r="BG430" s="24">
        <f t="shared" ca="1" si="426"/>
        <v>1076587.7492545361</v>
      </c>
      <c r="BH430" s="24">
        <f t="shared" ca="1" si="427"/>
        <v>6673.0719721302639</v>
      </c>
      <c r="BI430">
        <f t="shared" ca="1" si="428"/>
        <v>0</v>
      </c>
      <c r="BJ430" s="24">
        <f t="shared" ca="1" si="429"/>
        <v>46711.503804911845</v>
      </c>
      <c r="BK430">
        <f t="shared" ca="1" si="430"/>
        <v>1</v>
      </c>
      <c r="BL430" s="25">
        <f t="shared" ca="1" si="431"/>
        <v>3892.6253170759874</v>
      </c>
      <c r="BM430" s="32">
        <f t="shared" ca="1" si="410"/>
        <v>258848.58525858613</v>
      </c>
      <c r="BN430" s="23">
        <f t="shared" ca="1" si="432"/>
        <v>0</v>
      </c>
      <c r="BO430" s="24">
        <f t="shared" ca="1" si="433"/>
        <v>0</v>
      </c>
      <c r="BP430" s="25">
        <f t="shared" ca="1" si="434"/>
        <v>0</v>
      </c>
      <c r="BQ430" s="34">
        <f t="shared" ca="1" si="435"/>
        <v>58500</v>
      </c>
      <c r="BR430" s="23">
        <f t="shared" ca="1" si="436"/>
        <v>258848.58525858613</v>
      </c>
      <c r="BS430" s="24">
        <f t="shared" ca="1" si="437"/>
        <v>0</v>
      </c>
      <c r="BT430" s="24">
        <f t="shared" ca="1" si="442"/>
        <v>0</v>
      </c>
      <c r="BU430" s="24">
        <f t="shared" ca="1" si="438"/>
        <v>0</v>
      </c>
      <c r="BV430" s="24">
        <f t="shared" ca="1" si="443"/>
        <v>0</v>
      </c>
      <c r="BW430" s="24">
        <f t="shared" ca="1" si="439"/>
        <v>-3892.6253170759874</v>
      </c>
      <c r="BX430" s="25">
        <f t="shared" ca="1" si="444"/>
        <v>-49920.438580424292</v>
      </c>
      <c r="BY430" s="23">
        <f t="shared" ca="1" si="411"/>
        <v>64956.196270668319</v>
      </c>
      <c r="BZ430" s="24">
        <f t="shared" ca="1" si="412"/>
        <v>0</v>
      </c>
      <c r="CA430" s="24">
        <f t="shared" ca="1" si="445"/>
        <v>0</v>
      </c>
      <c r="CB430" s="24">
        <f t="shared" ca="1" si="413"/>
        <v>0</v>
      </c>
      <c r="CC430" s="24">
        <f t="shared" ca="1" si="446"/>
        <v>0</v>
      </c>
      <c r="CD430" s="24">
        <f t="shared" ca="1" si="414"/>
        <v>-980.02428482925927</v>
      </c>
      <c r="CE430" s="25">
        <f t="shared" ca="1" si="447"/>
        <v>-12802.33720047341</v>
      </c>
      <c r="CF430" s="23">
        <f t="shared" ca="1" si="448"/>
        <v>1048982.9351710863</v>
      </c>
      <c r="CG430" s="25">
        <f t="array" aca="1" ref="CG430" ca="1">SUM(BF419:BF430/(1+inflation/100)^(AP419:AP430/12))</f>
        <v>267980.53702225373</v>
      </c>
      <c r="CH430" s="32">
        <f ca="1">IFERROR(IF(MOD(AP430-ap_months_since_start,12)=0,ap_drawdown/100*(AQ430+AV430+BA430-BC430),CH429),0)</f>
        <v>41024.477435642999</v>
      </c>
    </row>
    <row r="431" spans="40:86" x14ac:dyDescent="0.25">
      <c r="AN431" s="32">
        <f t="shared" ca="1" si="409"/>
        <v>90.166666666666671</v>
      </c>
      <c r="AO431" s="53">
        <f t="shared" ca="1" si="440"/>
        <v>58501</v>
      </c>
      <c r="AP431" s="22">
        <v>424</v>
      </c>
      <c r="AQ431" s="32">
        <f t="shared" ca="1" si="441"/>
        <v>258848.58525858613</v>
      </c>
      <c r="AR431" s="23">
        <f t="array" aca="1" ref="AR431" ca="1">SUM(IF(lsc_start_date=AO431,lsc_amount,0))</f>
        <v>0</v>
      </c>
      <c r="AS431" s="24">
        <f t="shared" ca="1" si="415"/>
        <v>0</v>
      </c>
      <c r="AT431" s="24">
        <f t="shared" ca="1" si="416"/>
        <v>0</v>
      </c>
      <c r="AU431" s="24">
        <f t="shared" ca="1" si="417"/>
        <v>0</v>
      </c>
      <c r="AV431" s="25">
        <f t="shared" ca="1" si="418"/>
        <v>0</v>
      </c>
      <c r="AW431" s="23">
        <f t="array" aca="1" ref="AW431" ca="1">SUM(IF(rcs_start_date&lt;=AO431,1,0)*IF(rcs_end_date&gt;=AO431,1,0)*rcs_amount*(1+rcs_escalation/100)^(INT((AP431-rcs_months_since_start)/12))*IF(MOD((AP431-rcs_months_since_start),rcs_frequency)=0,1,0)*IF(rcs_frequency=13,0,1))+SUM(IF(rcs_start_date=AO431,rcs_amount,0)*IF(rcs_frequency=13,1,0))</f>
        <v>0</v>
      </c>
      <c r="AX431" s="24">
        <f t="shared" ca="1" si="419"/>
        <v>0</v>
      </c>
      <c r="AY431" s="24">
        <f t="shared" ca="1" si="420"/>
        <v>0</v>
      </c>
      <c r="AZ431" s="24">
        <f t="shared" ca="1" si="421"/>
        <v>0</v>
      </c>
      <c r="BA431" s="25">
        <f t="shared" ca="1" si="422"/>
        <v>0</v>
      </c>
      <c r="BB431" s="23">
        <f t="array" aca="1" ref="BB431" ca="1">SUM(IF(w_start_date&lt;=AO431,1,0)*IF(w_end_date&gt;=AO431,1,0)*w_amount*(1+w_escalation/100)^(INT((AP431-w_months_since_start)/12))*IF(MOD(AP431-w_months_since_start,w_frequency)=0,1,0)*IF(w_frequency=13,0,1))+SUM(IF(w_start_date=AO431,w_amount,0)*IF(w_frequency=13,1,0))</f>
        <v>0</v>
      </c>
      <c r="BC431" s="25">
        <f t="shared" ca="1" si="423"/>
        <v>0</v>
      </c>
      <c r="BD431" s="24" t="b">
        <f t="shared" ca="1" si="424"/>
        <v>1</v>
      </c>
      <c r="BE431" s="24" t="b">
        <f t="shared" ca="1" si="425"/>
        <v>1</v>
      </c>
      <c r="BF431" s="23">
        <f t="array" aca="1" ref="BF431" ca="1">SUM(IF(BD431,1,0)*IF(ap_start_date&lt;=AO431,1,0)*IF(ap_end_date&gt;=AO431,1,0)*ap_amount*(1+ap_escalation/100)^(INT((AP431-ap_months_since_start)/12))*IF(MOD(AP431-ap_months_since_start,ap_frequency)=0,1,0))</f>
        <v>89715.645771211348</v>
      </c>
      <c r="BG431" s="24">
        <f t="shared" ca="1" si="426"/>
        <v>1076587.7492545361</v>
      </c>
      <c r="BH431" s="24">
        <f t="shared" ca="1" si="427"/>
        <v>6673.0719721302639</v>
      </c>
      <c r="BI431">
        <f t="shared" ca="1" si="428"/>
        <v>0</v>
      </c>
      <c r="BJ431" s="24">
        <f t="shared" ca="1" si="429"/>
        <v>46711.503804911845</v>
      </c>
      <c r="BK431">
        <f t="shared" ca="1" si="430"/>
        <v>1</v>
      </c>
      <c r="BL431" s="25">
        <f t="shared" ca="1" si="431"/>
        <v>3892.6253170759874</v>
      </c>
      <c r="BM431" s="32">
        <f t="shared" ca="1" si="410"/>
        <v>256793.50997618461</v>
      </c>
      <c r="BN431" s="23">
        <f t="shared" ca="1" si="432"/>
        <v>0</v>
      </c>
      <c r="BO431" s="24">
        <f t="shared" ca="1" si="433"/>
        <v>0</v>
      </c>
      <c r="BP431" s="25">
        <f t="shared" ca="1" si="434"/>
        <v>0</v>
      </c>
      <c r="BQ431" s="34">
        <f t="shared" ca="1" si="435"/>
        <v>58531</v>
      </c>
      <c r="BR431" s="23">
        <f t="shared" ca="1" si="436"/>
        <v>256793.50997618461</v>
      </c>
      <c r="BS431" s="24">
        <f t="shared" ca="1" si="437"/>
        <v>0</v>
      </c>
      <c r="BT431" s="24">
        <f t="shared" ca="1" si="442"/>
        <v>0</v>
      </c>
      <c r="BU431" s="24">
        <f t="shared" ca="1" si="438"/>
        <v>0</v>
      </c>
      <c r="BV431" s="24">
        <f t="shared" ca="1" si="443"/>
        <v>0</v>
      </c>
      <c r="BW431" s="24">
        <f t="shared" ca="1" si="439"/>
        <v>-3892.6253170759874</v>
      </c>
      <c r="BX431" s="25">
        <f t="shared" ca="1" si="444"/>
        <v>-49519.321733485238</v>
      </c>
      <c r="BY431" s="23">
        <f t="shared" ca="1" si="411"/>
        <v>64230.216849349861</v>
      </c>
      <c r="BZ431" s="24">
        <f t="shared" ca="1" si="412"/>
        <v>0</v>
      </c>
      <c r="CA431" s="24">
        <f t="shared" ca="1" si="445"/>
        <v>0</v>
      </c>
      <c r="CB431" s="24">
        <f t="shared" ca="1" si="413"/>
        <v>0</v>
      </c>
      <c r="CC431" s="24">
        <f t="shared" ca="1" si="446"/>
        <v>0</v>
      </c>
      <c r="CD431" s="24">
        <f t="shared" ca="1" si="414"/>
        <v>-976.82640935265908</v>
      </c>
      <c r="CE431" s="25">
        <f t="shared" ca="1" si="447"/>
        <v>-12658.580451910433</v>
      </c>
      <c r="CF431" s="23">
        <f t="shared" ca="1" si="448"/>
        <v>1052433.5369315175</v>
      </c>
      <c r="CG431" s="25">
        <f t="array" aca="1" ref="CG431" ca="1">SUM(BF420:BF431/(1+inflation/100)^(AP420:AP431/12))</f>
        <v>267980.53702225379</v>
      </c>
      <c r="CH431" s="32">
        <f ca="1">IFERROR(IF(MOD(AP431-ap_months_since_start,12)=0,ap_drawdown/100*(AQ431+AV431+BA431-BC431),CH430),0)</f>
        <v>41024.477435642999</v>
      </c>
    </row>
    <row r="432" spans="40:86" x14ac:dyDescent="0.25">
      <c r="AN432" s="32">
        <f t="shared" ca="1" si="409"/>
        <v>90.25</v>
      </c>
      <c r="AO432" s="53">
        <f t="shared" ca="1" si="440"/>
        <v>58532</v>
      </c>
      <c r="AP432" s="22">
        <v>425</v>
      </c>
      <c r="AQ432" s="32">
        <f t="shared" ca="1" si="441"/>
        <v>256793.50997618461</v>
      </c>
      <c r="AR432" s="23">
        <f t="array" aca="1" ref="AR432" ca="1">SUM(IF(lsc_start_date=AO432,lsc_amount,0))</f>
        <v>0</v>
      </c>
      <c r="AS432" s="24">
        <f t="shared" ca="1" si="415"/>
        <v>0</v>
      </c>
      <c r="AT432" s="24">
        <f t="shared" ca="1" si="416"/>
        <v>0</v>
      </c>
      <c r="AU432" s="24">
        <f t="shared" ca="1" si="417"/>
        <v>0</v>
      </c>
      <c r="AV432" s="25">
        <f t="shared" ca="1" si="418"/>
        <v>0</v>
      </c>
      <c r="AW432" s="23">
        <f t="array" aca="1" ref="AW432" ca="1">SUM(IF(rcs_start_date&lt;=AO432,1,0)*IF(rcs_end_date&gt;=AO432,1,0)*rcs_amount*(1+rcs_escalation/100)^(INT((AP432-rcs_months_since_start)/12))*IF(MOD((AP432-rcs_months_since_start),rcs_frequency)=0,1,0)*IF(rcs_frequency=13,0,1))+SUM(IF(rcs_start_date=AO432,rcs_amount,0)*IF(rcs_frequency=13,1,0))</f>
        <v>0</v>
      </c>
      <c r="AX432" s="24">
        <f t="shared" ca="1" si="419"/>
        <v>0</v>
      </c>
      <c r="AY432" s="24">
        <f t="shared" ca="1" si="420"/>
        <v>0</v>
      </c>
      <c r="AZ432" s="24">
        <f t="shared" ca="1" si="421"/>
        <v>0</v>
      </c>
      <c r="BA432" s="25">
        <f t="shared" ca="1" si="422"/>
        <v>0</v>
      </c>
      <c r="BB432" s="23">
        <f t="array" aca="1" ref="BB432" ca="1">SUM(IF(w_start_date&lt;=AO432,1,0)*IF(w_end_date&gt;=AO432,1,0)*w_amount*(1+w_escalation/100)^(INT((AP432-w_months_since_start)/12))*IF(MOD(AP432-w_months_since_start,w_frequency)=0,1,0)*IF(w_frequency=13,0,1))+SUM(IF(w_start_date=AO432,w_amount,0)*IF(w_frequency=13,1,0))</f>
        <v>0</v>
      </c>
      <c r="BC432" s="25">
        <f t="shared" ca="1" si="423"/>
        <v>0</v>
      </c>
      <c r="BD432" s="24" t="b">
        <f t="shared" ca="1" si="424"/>
        <v>1</v>
      </c>
      <c r="BE432" s="24" t="b">
        <f t="shared" ca="1" si="425"/>
        <v>1</v>
      </c>
      <c r="BF432" s="23">
        <f t="array" aca="1" ref="BF432" ca="1">SUM(IF(BD432,1,0)*IF(ap_start_date&lt;=AO432,1,0)*IF(ap_end_date&gt;=AO432,1,0)*ap_amount*(1+ap_escalation/100)^(INT((AP432-ap_months_since_start)/12))*IF(MOD(AP432-ap_months_since_start,ap_frequency)=0,1,0))</f>
        <v>89715.645771211348</v>
      </c>
      <c r="BG432" s="24">
        <f t="shared" ca="1" si="426"/>
        <v>1076587.7492545361</v>
      </c>
      <c r="BH432" s="24">
        <f t="shared" ca="1" si="427"/>
        <v>6673.0719721302639</v>
      </c>
      <c r="BI432">
        <f t="shared" ca="1" si="428"/>
        <v>0</v>
      </c>
      <c r="BJ432" s="24">
        <f t="shared" ca="1" si="429"/>
        <v>46711.503804911845</v>
      </c>
      <c r="BK432">
        <f t="shared" ca="1" si="430"/>
        <v>1</v>
      </c>
      <c r="BL432" s="25">
        <f t="shared" ca="1" si="431"/>
        <v>3892.6253170759874</v>
      </c>
      <c r="BM432" s="32">
        <f t="shared" ca="1" si="410"/>
        <v>254723.6231017838</v>
      </c>
      <c r="BN432" s="23">
        <f t="shared" ca="1" si="432"/>
        <v>0</v>
      </c>
      <c r="BO432" s="24">
        <f t="shared" ca="1" si="433"/>
        <v>0</v>
      </c>
      <c r="BP432" s="25">
        <f t="shared" ca="1" si="434"/>
        <v>0</v>
      </c>
      <c r="BQ432" s="34">
        <f t="shared" ca="1" si="435"/>
        <v>58561</v>
      </c>
      <c r="BR432" s="23">
        <f t="shared" ca="1" si="436"/>
        <v>254723.6231017838</v>
      </c>
      <c r="BS432" s="24">
        <f t="shared" ca="1" si="437"/>
        <v>0</v>
      </c>
      <c r="BT432" s="24">
        <f t="shared" ca="1" si="442"/>
        <v>0</v>
      </c>
      <c r="BU432" s="24">
        <f t="shared" ca="1" si="438"/>
        <v>0</v>
      </c>
      <c r="BV432" s="24">
        <f t="shared" ca="1" si="443"/>
        <v>0</v>
      </c>
      <c r="BW432" s="24">
        <f t="shared" ca="1" si="439"/>
        <v>-3892.6253170759874</v>
      </c>
      <c r="BX432" s="25">
        <f t="shared" ca="1" si="444"/>
        <v>-49118.204886546184</v>
      </c>
      <c r="BY432" s="23">
        <f t="shared" ca="1" si="411"/>
        <v>63504.590983425951</v>
      </c>
      <c r="BZ432" s="24">
        <f t="shared" ca="1" si="412"/>
        <v>0</v>
      </c>
      <c r="CA432" s="24">
        <f t="shared" ca="1" si="445"/>
        <v>0</v>
      </c>
      <c r="CB432" s="24">
        <f t="shared" ca="1" si="413"/>
        <v>0</v>
      </c>
      <c r="CC432" s="24">
        <f t="shared" ca="1" si="446"/>
        <v>0</v>
      </c>
      <c r="CD432" s="24">
        <f t="shared" ca="1" si="414"/>
        <v>-973.6389687272374</v>
      </c>
      <c r="CE432" s="25">
        <f t="shared" ca="1" si="447"/>
        <v>-12515.292789866986</v>
      </c>
      <c r="CF432" s="23">
        <f t="shared" ca="1" si="448"/>
        <v>1055884.1386919487</v>
      </c>
      <c r="CG432" s="25">
        <f t="array" aca="1" ref="CG432" ca="1">SUM(BF421:BF432/(1+inflation/100)^(AP421:AP432/12))</f>
        <v>267980.53702225379</v>
      </c>
      <c r="CH432" s="32">
        <f ca="1">IFERROR(IF(MOD(AP432-ap_months_since_start,12)=0,ap_drawdown/100*(AQ432+AV432+BA432-BC432),CH431),0)</f>
        <v>41024.477435642999</v>
      </c>
    </row>
    <row r="433" spans="40:86" x14ac:dyDescent="0.25">
      <c r="AN433" s="32">
        <f t="shared" ca="1" si="409"/>
        <v>90.333333333333329</v>
      </c>
      <c r="AO433" s="53">
        <f t="shared" ca="1" si="440"/>
        <v>58562</v>
      </c>
      <c r="AP433" s="22">
        <v>426</v>
      </c>
      <c r="AQ433" s="32">
        <f t="shared" ca="1" si="441"/>
        <v>254723.6231017838</v>
      </c>
      <c r="AR433" s="23">
        <f t="array" aca="1" ref="AR433" ca="1">SUM(IF(lsc_start_date=AO433,lsc_amount,0))</f>
        <v>0</v>
      </c>
      <c r="AS433" s="24">
        <f t="shared" ca="1" si="415"/>
        <v>0</v>
      </c>
      <c r="AT433" s="24">
        <f t="shared" ca="1" si="416"/>
        <v>0</v>
      </c>
      <c r="AU433" s="24">
        <f t="shared" ca="1" si="417"/>
        <v>0</v>
      </c>
      <c r="AV433" s="25">
        <f t="shared" ca="1" si="418"/>
        <v>0</v>
      </c>
      <c r="AW433" s="23">
        <f t="array" aca="1" ref="AW433" ca="1">SUM(IF(rcs_start_date&lt;=AO433,1,0)*IF(rcs_end_date&gt;=AO433,1,0)*rcs_amount*(1+rcs_escalation/100)^(INT((AP433-rcs_months_since_start)/12))*IF(MOD((AP433-rcs_months_since_start),rcs_frequency)=0,1,0)*IF(rcs_frequency=13,0,1))+SUM(IF(rcs_start_date=AO433,rcs_amount,0)*IF(rcs_frequency=13,1,0))</f>
        <v>0</v>
      </c>
      <c r="AX433" s="24">
        <f t="shared" ca="1" si="419"/>
        <v>0</v>
      </c>
      <c r="AY433" s="24">
        <f t="shared" ca="1" si="420"/>
        <v>0</v>
      </c>
      <c r="AZ433" s="24">
        <f t="shared" ca="1" si="421"/>
        <v>0</v>
      </c>
      <c r="BA433" s="25">
        <f t="shared" ca="1" si="422"/>
        <v>0</v>
      </c>
      <c r="BB433" s="23">
        <f t="array" aca="1" ref="BB433" ca="1">SUM(IF(w_start_date&lt;=AO433,1,0)*IF(w_end_date&gt;=AO433,1,0)*w_amount*(1+w_escalation/100)^(INT((AP433-w_months_since_start)/12))*IF(MOD(AP433-w_months_since_start,w_frequency)=0,1,0)*IF(w_frequency=13,0,1))+SUM(IF(w_start_date=AO433,w_amount,0)*IF(w_frequency=13,1,0))</f>
        <v>0</v>
      </c>
      <c r="BC433" s="25">
        <f t="shared" ca="1" si="423"/>
        <v>0</v>
      </c>
      <c r="BD433" s="24" t="b">
        <f t="shared" ca="1" si="424"/>
        <v>1</v>
      </c>
      <c r="BE433" s="24" t="b">
        <f t="shared" ca="1" si="425"/>
        <v>1</v>
      </c>
      <c r="BF433" s="23">
        <f t="array" aca="1" ref="BF433" ca="1">SUM(IF(BD433,1,0)*IF(ap_start_date&lt;=AO433,1,0)*IF(ap_end_date&gt;=AO433,1,0)*ap_amount*(1+ap_escalation/100)^(INT((AP433-ap_months_since_start)/12))*IF(MOD(AP433-ap_months_since_start,ap_frequency)=0,1,0))</f>
        <v>89715.645771211348</v>
      </c>
      <c r="BG433" s="24">
        <f t="shared" ca="1" si="426"/>
        <v>1076587.7492545361</v>
      </c>
      <c r="BH433" s="24">
        <f t="shared" ca="1" si="427"/>
        <v>6673.0719721302639</v>
      </c>
      <c r="BI433">
        <f t="shared" ca="1" si="428"/>
        <v>0</v>
      </c>
      <c r="BJ433" s="24">
        <f t="shared" ca="1" si="429"/>
        <v>46711.503804911845</v>
      </c>
      <c r="BK433">
        <f t="shared" ca="1" si="430"/>
        <v>1</v>
      </c>
      <c r="BL433" s="25">
        <f t="shared" ca="1" si="431"/>
        <v>3892.6253170759874</v>
      </c>
      <c r="BM433" s="32">
        <f t="shared" ca="1" si="410"/>
        <v>252638.81788345138</v>
      </c>
      <c r="BN433" s="23">
        <f t="shared" ca="1" si="432"/>
        <v>0</v>
      </c>
      <c r="BO433" s="24">
        <f t="shared" ca="1" si="433"/>
        <v>0</v>
      </c>
      <c r="BP433" s="25">
        <f t="shared" ca="1" si="434"/>
        <v>0</v>
      </c>
      <c r="BQ433" s="34">
        <f t="shared" ca="1" si="435"/>
        <v>58592</v>
      </c>
      <c r="BR433" s="23">
        <f t="shared" ca="1" si="436"/>
        <v>252638.81788345138</v>
      </c>
      <c r="BS433" s="24">
        <f t="shared" ca="1" si="437"/>
        <v>0</v>
      </c>
      <c r="BT433" s="24">
        <f t="shared" ca="1" si="442"/>
        <v>0</v>
      </c>
      <c r="BU433" s="24">
        <f t="shared" ca="1" si="438"/>
        <v>0</v>
      </c>
      <c r="BV433" s="24">
        <f t="shared" ca="1" si="443"/>
        <v>0</v>
      </c>
      <c r="BW433" s="24">
        <f t="shared" ca="1" si="439"/>
        <v>-3892.6253170759874</v>
      </c>
      <c r="BX433" s="25">
        <f t="shared" ca="1" si="444"/>
        <v>-48717.08803960713</v>
      </c>
      <c r="BY433" s="23">
        <f t="shared" ca="1" si="411"/>
        <v>62779.309617517596</v>
      </c>
      <c r="BZ433" s="24">
        <f t="shared" ca="1" si="412"/>
        <v>0</v>
      </c>
      <c r="CA433" s="24">
        <f t="shared" ca="1" si="445"/>
        <v>0</v>
      </c>
      <c r="CB433" s="24">
        <f t="shared" ca="1" si="413"/>
        <v>0</v>
      </c>
      <c r="CC433" s="24">
        <f t="shared" ca="1" si="446"/>
        <v>0</v>
      </c>
      <c r="CD433" s="24">
        <f t="shared" ca="1" si="414"/>
        <v>-970.46192890347675</v>
      </c>
      <c r="CE433" s="25">
        <f t="shared" ca="1" si="447"/>
        <v>-12372.472683686836</v>
      </c>
      <c r="CF433" s="23">
        <f t="shared" ca="1" si="448"/>
        <v>1059334.7404523802</v>
      </c>
      <c r="CG433" s="25">
        <f t="array" aca="1" ref="CG433" ca="1">SUM(BF422:BF433/(1+inflation/100)^(AP422:AP433/12))</f>
        <v>267980.53702225373</v>
      </c>
      <c r="CH433" s="32">
        <f ca="1">IFERROR(IF(MOD(AP433-ap_months_since_start,12)=0,ap_drawdown/100*(AQ433+AV433+BA433-BC433),CH432),0)</f>
        <v>41024.477435642999</v>
      </c>
    </row>
    <row r="434" spans="40:86" x14ac:dyDescent="0.25">
      <c r="AN434" s="32">
        <f t="shared" ca="1" si="409"/>
        <v>90.416666666666671</v>
      </c>
      <c r="AO434" s="53">
        <f t="shared" ca="1" si="440"/>
        <v>58593</v>
      </c>
      <c r="AP434" s="22">
        <v>427</v>
      </c>
      <c r="AQ434" s="32">
        <f t="shared" ca="1" si="441"/>
        <v>252638.81788345138</v>
      </c>
      <c r="AR434" s="23">
        <f t="array" aca="1" ref="AR434" ca="1">SUM(IF(lsc_start_date=AO434,lsc_amount,0))</f>
        <v>0</v>
      </c>
      <c r="AS434" s="24">
        <f t="shared" ca="1" si="415"/>
        <v>0</v>
      </c>
      <c r="AT434" s="24">
        <f t="shared" ca="1" si="416"/>
        <v>0</v>
      </c>
      <c r="AU434" s="24">
        <f t="shared" ca="1" si="417"/>
        <v>0</v>
      </c>
      <c r="AV434" s="25">
        <f t="shared" ca="1" si="418"/>
        <v>0</v>
      </c>
      <c r="AW434" s="23">
        <f t="array" aca="1" ref="AW434" ca="1">SUM(IF(rcs_start_date&lt;=AO434,1,0)*IF(rcs_end_date&gt;=AO434,1,0)*rcs_amount*(1+rcs_escalation/100)^(INT((AP434-rcs_months_since_start)/12))*IF(MOD((AP434-rcs_months_since_start),rcs_frequency)=0,1,0)*IF(rcs_frequency=13,0,1))+SUM(IF(rcs_start_date=AO434,rcs_amount,0)*IF(rcs_frequency=13,1,0))</f>
        <v>0</v>
      </c>
      <c r="AX434" s="24">
        <f t="shared" ca="1" si="419"/>
        <v>0</v>
      </c>
      <c r="AY434" s="24">
        <f t="shared" ca="1" si="420"/>
        <v>0</v>
      </c>
      <c r="AZ434" s="24">
        <f t="shared" ca="1" si="421"/>
        <v>0</v>
      </c>
      <c r="BA434" s="25">
        <f t="shared" ca="1" si="422"/>
        <v>0</v>
      </c>
      <c r="BB434" s="23">
        <f t="array" aca="1" ref="BB434" ca="1">SUM(IF(w_start_date&lt;=AO434,1,0)*IF(w_end_date&gt;=AO434,1,0)*w_amount*(1+w_escalation/100)^(INT((AP434-w_months_since_start)/12))*IF(MOD(AP434-w_months_since_start,w_frequency)=0,1,0)*IF(w_frequency=13,0,1))+SUM(IF(w_start_date=AO434,w_amount,0)*IF(w_frequency=13,1,0))</f>
        <v>0</v>
      </c>
      <c r="BC434" s="25">
        <f t="shared" ca="1" si="423"/>
        <v>0</v>
      </c>
      <c r="BD434" s="24" t="b">
        <f t="shared" ca="1" si="424"/>
        <v>1</v>
      </c>
      <c r="BE434" s="24" t="b">
        <f t="shared" ca="1" si="425"/>
        <v>1</v>
      </c>
      <c r="BF434" s="23">
        <f t="array" aca="1" ref="BF434" ca="1">SUM(IF(BD434,1,0)*IF(ap_start_date&lt;=AO434,1,0)*IF(ap_end_date&gt;=AO434,1,0)*ap_amount*(1+ap_escalation/100)^(INT((AP434-ap_months_since_start)/12))*IF(MOD(AP434-ap_months_since_start,ap_frequency)=0,1,0))</f>
        <v>89715.645771211348</v>
      </c>
      <c r="BG434" s="24">
        <f t="shared" ca="1" si="426"/>
        <v>1076587.7492545361</v>
      </c>
      <c r="BH434" s="24">
        <f t="shared" ca="1" si="427"/>
        <v>6673.0719721302639</v>
      </c>
      <c r="BI434">
        <f t="shared" ca="1" si="428"/>
        <v>0</v>
      </c>
      <c r="BJ434" s="24">
        <f t="shared" ca="1" si="429"/>
        <v>46711.503804911845</v>
      </c>
      <c r="BK434">
        <f t="shared" ca="1" si="430"/>
        <v>1</v>
      </c>
      <c r="BL434" s="25">
        <f t="shared" ca="1" si="431"/>
        <v>3892.6253170759874</v>
      </c>
      <c r="BM434" s="32">
        <f t="shared" ca="1" si="410"/>
        <v>250538.98679985927</v>
      </c>
      <c r="BN434" s="23">
        <f t="shared" ca="1" si="432"/>
        <v>0</v>
      </c>
      <c r="BO434" s="24">
        <f t="shared" ca="1" si="433"/>
        <v>0</v>
      </c>
      <c r="BP434" s="25">
        <f t="shared" ca="1" si="434"/>
        <v>0</v>
      </c>
      <c r="BQ434" s="34">
        <f t="shared" ca="1" si="435"/>
        <v>58622</v>
      </c>
      <c r="BR434" s="23">
        <f t="shared" ca="1" si="436"/>
        <v>250538.98679985927</v>
      </c>
      <c r="BS434" s="24">
        <f t="shared" ca="1" si="437"/>
        <v>0</v>
      </c>
      <c r="BT434" s="24">
        <f t="shared" ca="1" si="442"/>
        <v>0</v>
      </c>
      <c r="BU434" s="24">
        <f t="shared" ca="1" si="438"/>
        <v>0</v>
      </c>
      <c r="BV434" s="24">
        <f t="shared" ca="1" si="443"/>
        <v>0</v>
      </c>
      <c r="BW434" s="24">
        <f t="shared" ca="1" si="439"/>
        <v>-3892.6253170759874</v>
      </c>
      <c r="BX434" s="25">
        <f t="shared" ca="1" si="444"/>
        <v>-48315.971192668076</v>
      </c>
      <c r="BY434" s="23">
        <f t="shared" ca="1" si="411"/>
        <v>62054.363694813437</v>
      </c>
      <c r="BZ434" s="24">
        <f t="shared" ca="1" si="412"/>
        <v>0</v>
      </c>
      <c r="CA434" s="24">
        <f t="shared" ca="1" si="445"/>
        <v>0</v>
      </c>
      <c r="CB434" s="24">
        <f t="shared" ca="1" si="413"/>
        <v>0</v>
      </c>
      <c r="CC434" s="24">
        <f t="shared" ca="1" si="446"/>
        <v>0</v>
      </c>
      <c r="CD434" s="24">
        <f t="shared" ca="1" si="414"/>
        <v>-967.29525594296422</v>
      </c>
      <c r="CE434" s="25">
        <f t="shared" ca="1" si="447"/>
        <v>-12230.118607708378</v>
      </c>
      <c r="CF434" s="23">
        <f t="shared" ca="1" si="448"/>
        <v>1062785.3422128113</v>
      </c>
      <c r="CG434" s="25">
        <f t="array" aca="1" ref="CG434" ca="1">SUM(BF423:BF434/(1+inflation/100)^(AP423:AP434/12))</f>
        <v>267980.53702225379</v>
      </c>
      <c r="CH434" s="32">
        <f ca="1">IFERROR(IF(MOD(AP434-ap_months_since_start,12)=0,ap_drawdown/100*(AQ434+AV434+BA434-BC434),CH433),0)</f>
        <v>41024.477435642999</v>
      </c>
    </row>
    <row r="435" spans="40:86" x14ac:dyDescent="0.25">
      <c r="AN435" s="32">
        <f t="shared" ca="1" si="409"/>
        <v>90.5</v>
      </c>
      <c r="AO435" s="53">
        <f t="shared" ca="1" si="440"/>
        <v>58623</v>
      </c>
      <c r="AP435" s="22">
        <v>428</v>
      </c>
      <c r="AQ435" s="32">
        <f t="shared" ca="1" si="441"/>
        <v>250538.98679985927</v>
      </c>
      <c r="AR435" s="23">
        <f t="array" aca="1" ref="AR435" ca="1">SUM(IF(lsc_start_date=AO435,lsc_amount,0))</f>
        <v>0</v>
      </c>
      <c r="AS435" s="24">
        <f t="shared" ca="1" si="415"/>
        <v>0</v>
      </c>
      <c r="AT435" s="24">
        <f t="shared" ca="1" si="416"/>
        <v>0</v>
      </c>
      <c r="AU435" s="24">
        <f t="shared" ca="1" si="417"/>
        <v>0</v>
      </c>
      <c r="AV435" s="25">
        <f t="shared" ca="1" si="418"/>
        <v>0</v>
      </c>
      <c r="AW435" s="23">
        <f t="array" aca="1" ref="AW435" ca="1">SUM(IF(rcs_start_date&lt;=AO435,1,0)*IF(rcs_end_date&gt;=AO435,1,0)*rcs_amount*(1+rcs_escalation/100)^(INT((AP435-rcs_months_since_start)/12))*IF(MOD((AP435-rcs_months_since_start),rcs_frequency)=0,1,0)*IF(rcs_frequency=13,0,1))+SUM(IF(rcs_start_date=AO435,rcs_amount,0)*IF(rcs_frequency=13,1,0))</f>
        <v>0</v>
      </c>
      <c r="AX435" s="24">
        <f t="shared" ca="1" si="419"/>
        <v>0</v>
      </c>
      <c r="AY435" s="24">
        <f t="shared" ca="1" si="420"/>
        <v>0</v>
      </c>
      <c r="AZ435" s="24">
        <f t="shared" ca="1" si="421"/>
        <v>0</v>
      </c>
      <c r="BA435" s="25">
        <f t="shared" ca="1" si="422"/>
        <v>0</v>
      </c>
      <c r="BB435" s="23">
        <f t="array" aca="1" ref="BB435" ca="1">SUM(IF(w_start_date&lt;=AO435,1,0)*IF(w_end_date&gt;=AO435,1,0)*w_amount*(1+w_escalation/100)^(INT((AP435-w_months_since_start)/12))*IF(MOD(AP435-w_months_since_start,w_frequency)=0,1,0)*IF(w_frequency=13,0,1))+SUM(IF(w_start_date=AO435,w_amount,0)*IF(w_frequency=13,1,0))</f>
        <v>0</v>
      </c>
      <c r="BC435" s="25">
        <f t="shared" ca="1" si="423"/>
        <v>0</v>
      </c>
      <c r="BD435" s="24" t="b">
        <f t="shared" ca="1" si="424"/>
        <v>1</v>
      </c>
      <c r="BE435" s="24" t="b">
        <f t="shared" ca="1" si="425"/>
        <v>1</v>
      </c>
      <c r="BF435" s="23">
        <f t="array" aca="1" ref="BF435" ca="1">SUM(IF(BD435,1,0)*IF(ap_start_date&lt;=AO435,1,0)*IF(ap_end_date&gt;=AO435,1,0)*ap_amount*(1+ap_escalation/100)^(INT((AP435-ap_months_since_start)/12))*IF(MOD(AP435-ap_months_since_start,ap_frequency)=0,1,0))</f>
        <v>89715.645771211348</v>
      </c>
      <c r="BG435" s="24">
        <f t="shared" ca="1" si="426"/>
        <v>1076587.7492545361</v>
      </c>
      <c r="BH435" s="24">
        <f t="shared" ca="1" si="427"/>
        <v>6673.0719721302639</v>
      </c>
      <c r="BI435">
        <f t="shared" ca="1" si="428"/>
        <v>0</v>
      </c>
      <c r="BJ435" s="24">
        <f t="shared" ca="1" si="429"/>
        <v>46711.503804911845</v>
      </c>
      <c r="BK435">
        <f t="shared" ca="1" si="430"/>
        <v>1</v>
      </c>
      <c r="BL435" s="25">
        <f t="shared" ca="1" si="431"/>
        <v>3892.6253170759874</v>
      </c>
      <c r="BM435" s="32">
        <f t="shared" ca="1" si="410"/>
        <v>248424.02155473843</v>
      </c>
      <c r="BN435" s="23">
        <f t="shared" ca="1" si="432"/>
        <v>0</v>
      </c>
      <c r="BO435" s="24">
        <f t="shared" ca="1" si="433"/>
        <v>0</v>
      </c>
      <c r="BP435" s="25">
        <f t="shared" ca="1" si="434"/>
        <v>0</v>
      </c>
      <c r="BQ435" s="34">
        <f t="shared" ca="1" si="435"/>
        <v>58653</v>
      </c>
      <c r="BR435" s="23">
        <f t="shared" ca="1" si="436"/>
        <v>248424.02155473843</v>
      </c>
      <c r="BS435" s="24">
        <f t="shared" ca="1" si="437"/>
        <v>0</v>
      </c>
      <c r="BT435" s="24">
        <f t="shared" ca="1" si="442"/>
        <v>0</v>
      </c>
      <c r="BU435" s="24">
        <f t="shared" ca="1" si="438"/>
        <v>0</v>
      </c>
      <c r="BV435" s="24">
        <f t="shared" ca="1" si="443"/>
        <v>0</v>
      </c>
      <c r="BW435" s="24">
        <f t="shared" ca="1" si="439"/>
        <v>-3892.6253170759874</v>
      </c>
      <c r="BX435" s="25">
        <f t="shared" ca="1" si="444"/>
        <v>-47914.854345729022</v>
      </c>
      <c r="BY435" s="23">
        <f t="shared" ca="1" si="411"/>
        <v>61329.744156952955</v>
      </c>
      <c r="BZ435" s="24">
        <f t="shared" ca="1" si="412"/>
        <v>0</v>
      </c>
      <c r="CA435" s="24">
        <f t="shared" ca="1" si="445"/>
        <v>0</v>
      </c>
      <c r="CB435" s="24">
        <f t="shared" ca="1" si="413"/>
        <v>0</v>
      </c>
      <c r="CC435" s="24">
        <f t="shared" ca="1" si="446"/>
        <v>0</v>
      </c>
      <c r="CD435" s="24">
        <f t="shared" ca="1" si="414"/>
        <v>-964.13891601802982</v>
      </c>
      <c r="CE435" s="25">
        <f t="shared" ca="1" si="447"/>
        <v>-12088.229041248316</v>
      </c>
      <c r="CF435" s="23">
        <f t="shared" ca="1" si="448"/>
        <v>1066235.9439732425</v>
      </c>
      <c r="CG435" s="25">
        <f t="array" aca="1" ref="CG435" ca="1">SUM(BF424:BF435/(1+inflation/100)^(AP424:AP435/12))</f>
        <v>267980.53702225379</v>
      </c>
      <c r="CH435" s="32">
        <f ca="1">IFERROR(IF(MOD(AP435-ap_months_since_start,12)=0,ap_drawdown/100*(AQ435+AV435+BA435-BC435),CH434),0)</f>
        <v>41024.477435642999</v>
      </c>
    </row>
    <row r="436" spans="40:86" x14ac:dyDescent="0.25">
      <c r="AN436" s="32">
        <f t="shared" ca="1" si="409"/>
        <v>90.583333333333329</v>
      </c>
      <c r="AO436" s="53">
        <f t="shared" ca="1" si="440"/>
        <v>58654</v>
      </c>
      <c r="AP436" s="22">
        <v>429</v>
      </c>
      <c r="AQ436" s="32">
        <f t="shared" ca="1" si="441"/>
        <v>248424.02155473843</v>
      </c>
      <c r="AR436" s="23">
        <f t="array" aca="1" ref="AR436" ca="1">SUM(IF(lsc_start_date=AO436,lsc_amount,0))</f>
        <v>0</v>
      </c>
      <c r="AS436" s="24">
        <f t="shared" ca="1" si="415"/>
        <v>0</v>
      </c>
      <c r="AT436" s="24">
        <f t="shared" ca="1" si="416"/>
        <v>0</v>
      </c>
      <c r="AU436" s="24">
        <f t="shared" ca="1" si="417"/>
        <v>0</v>
      </c>
      <c r="AV436" s="25">
        <f t="shared" ca="1" si="418"/>
        <v>0</v>
      </c>
      <c r="AW436" s="23">
        <f t="array" aca="1" ref="AW436" ca="1">SUM(IF(rcs_start_date&lt;=AO436,1,0)*IF(rcs_end_date&gt;=AO436,1,0)*rcs_amount*(1+rcs_escalation/100)^(INT((AP436-rcs_months_since_start)/12))*IF(MOD((AP436-rcs_months_since_start),rcs_frequency)=0,1,0)*IF(rcs_frequency=13,0,1))+SUM(IF(rcs_start_date=AO436,rcs_amount,0)*IF(rcs_frequency=13,1,0))</f>
        <v>0</v>
      </c>
      <c r="AX436" s="24">
        <f t="shared" ca="1" si="419"/>
        <v>0</v>
      </c>
      <c r="AY436" s="24">
        <f t="shared" ca="1" si="420"/>
        <v>0</v>
      </c>
      <c r="AZ436" s="24">
        <f t="shared" ca="1" si="421"/>
        <v>0</v>
      </c>
      <c r="BA436" s="25">
        <f t="shared" ca="1" si="422"/>
        <v>0</v>
      </c>
      <c r="BB436" s="23">
        <f t="array" aca="1" ref="BB436" ca="1">SUM(IF(w_start_date&lt;=AO436,1,0)*IF(w_end_date&gt;=AO436,1,0)*w_amount*(1+w_escalation/100)^(INT((AP436-w_months_since_start)/12))*IF(MOD(AP436-w_months_since_start,w_frequency)=0,1,0)*IF(w_frequency=13,0,1))+SUM(IF(w_start_date=AO436,w_amount,0)*IF(w_frequency=13,1,0))</f>
        <v>0</v>
      </c>
      <c r="BC436" s="25">
        <f t="shared" ca="1" si="423"/>
        <v>0</v>
      </c>
      <c r="BD436" s="24" t="b">
        <f t="shared" ca="1" si="424"/>
        <v>1</v>
      </c>
      <c r="BE436" s="24" t="b">
        <f t="shared" ca="1" si="425"/>
        <v>1</v>
      </c>
      <c r="BF436" s="23">
        <f t="array" aca="1" ref="BF436" ca="1">SUM(IF(BD436,1,0)*IF(ap_start_date&lt;=AO436,1,0)*IF(ap_end_date&gt;=AO436,1,0)*ap_amount*(1+ap_escalation/100)^(INT((AP436-ap_months_since_start)/12))*IF(MOD(AP436-ap_months_since_start,ap_frequency)=0,1,0))</f>
        <v>89715.645771211348</v>
      </c>
      <c r="BG436" s="24">
        <f t="shared" ca="1" si="426"/>
        <v>1076587.7492545361</v>
      </c>
      <c r="BH436" s="24">
        <f t="shared" ca="1" si="427"/>
        <v>6673.0719721302639</v>
      </c>
      <c r="BI436">
        <f t="shared" ca="1" si="428"/>
        <v>0</v>
      </c>
      <c r="BJ436" s="24">
        <f t="shared" ca="1" si="429"/>
        <v>46711.503804911845</v>
      </c>
      <c r="BK436">
        <f t="shared" ca="1" si="430"/>
        <v>1</v>
      </c>
      <c r="BL436" s="25">
        <f t="shared" ca="1" si="431"/>
        <v>3892.6253170759874</v>
      </c>
      <c r="BM436" s="32">
        <f t="shared" ca="1" si="410"/>
        <v>246293.81307129361</v>
      </c>
      <c r="BN436" s="23">
        <f t="shared" ca="1" si="432"/>
        <v>0</v>
      </c>
      <c r="BO436" s="24">
        <f t="shared" ca="1" si="433"/>
        <v>0</v>
      </c>
      <c r="BP436" s="25">
        <f t="shared" ca="1" si="434"/>
        <v>0</v>
      </c>
      <c r="BQ436" s="34">
        <f t="shared" ca="1" si="435"/>
        <v>58684</v>
      </c>
      <c r="BR436" s="23">
        <f t="shared" ca="1" si="436"/>
        <v>246293.81307129361</v>
      </c>
      <c r="BS436" s="24">
        <f t="shared" ca="1" si="437"/>
        <v>0</v>
      </c>
      <c r="BT436" s="24">
        <f t="shared" ca="1" si="442"/>
        <v>0</v>
      </c>
      <c r="BU436" s="24">
        <f t="shared" ca="1" si="438"/>
        <v>0</v>
      </c>
      <c r="BV436" s="24">
        <f t="shared" ca="1" si="443"/>
        <v>0</v>
      </c>
      <c r="BW436" s="24">
        <f t="shared" ca="1" si="439"/>
        <v>-3892.6253170759874</v>
      </c>
      <c r="BX436" s="25">
        <f t="shared" ca="1" si="444"/>
        <v>-47513.737498789968</v>
      </c>
      <c r="BY436" s="23">
        <f t="shared" ca="1" si="411"/>
        <v>60605.441943909558</v>
      </c>
      <c r="BZ436" s="24">
        <f t="shared" ca="1" si="412"/>
        <v>0</v>
      </c>
      <c r="CA436" s="24">
        <f t="shared" ca="1" si="445"/>
        <v>0</v>
      </c>
      <c r="CB436" s="24">
        <f t="shared" ca="1" si="413"/>
        <v>0</v>
      </c>
      <c r="CC436" s="24">
        <f t="shared" ca="1" si="446"/>
        <v>0</v>
      </c>
      <c r="CD436" s="24">
        <f t="shared" ca="1" si="414"/>
        <v>-960.99287541138585</v>
      </c>
      <c r="CE436" s="25">
        <f t="shared" ca="1" si="447"/>
        <v>-11946.802468585447</v>
      </c>
      <c r="CF436" s="23">
        <f t="shared" ca="1" si="448"/>
        <v>1069686.5457336737</v>
      </c>
      <c r="CG436" s="25">
        <f t="array" aca="1" ref="CG436" ca="1">SUM(BF425:BF436/(1+inflation/100)^(AP425:AP436/12))</f>
        <v>267980.53702225379</v>
      </c>
      <c r="CH436" s="32">
        <f ca="1">IFERROR(IF(MOD(AP436-ap_months_since_start,12)=0,ap_drawdown/100*(AQ436+AV436+BA436-BC436),CH435),0)</f>
        <v>41024.477435642999</v>
      </c>
    </row>
    <row r="437" spans="40:86" x14ac:dyDescent="0.25">
      <c r="AN437" s="32">
        <f t="shared" ca="1" si="409"/>
        <v>90.666666666666671</v>
      </c>
      <c r="AO437" s="53">
        <f t="shared" ca="1" si="440"/>
        <v>58685</v>
      </c>
      <c r="AP437" s="22">
        <v>430</v>
      </c>
      <c r="AQ437" s="32">
        <f t="shared" ca="1" si="441"/>
        <v>246293.81307129361</v>
      </c>
      <c r="AR437" s="23">
        <f t="array" aca="1" ref="AR437" ca="1">SUM(IF(lsc_start_date=AO437,lsc_amount,0))</f>
        <v>0</v>
      </c>
      <c r="AS437" s="24">
        <f t="shared" ca="1" si="415"/>
        <v>0</v>
      </c>
      <c r="AT437" s="24">
        <f t="shared" ca="1" si="416"/>
        <v>0</v>
      </c>
      <c r="AU437" s="24">
        <f t="shared" ca="1" si="417"/>
        <v>0</v>
      </c>
      <c r="AV437" s="25">
        <f t="shared" ca="1" si="418"/>
        <v>0</v>
      </c>
      <c r="AW437" s="23">
        <f t="array" aca="1" ref="AW437" ca="1">SUM(IF(rcs_start_date&lt;=AO437,1,0)*IF(rcs_end_date&gt;=AO437,1,0)*rcs_amount*(1+rcs_escalation/100)^(INT((AP437-rcs_months_since_start)/12))*IF(MOD((AP437-rcs_months_since_start),rcs_frequency)=0,1,0)*IF(rcs_frequency=13,0,1))+SUM(IF(rcs_start_date=AO437,rcs_amount,0)*IF(rcs_frequency=13,1,0))</f>
        <v>0</v>
      </c>
      <c r="AX437" s="24">
        <f t="shared" ca="1" si="419"/>
        <v>0</v>
      </c>
      <c r="AY437" s="24">
        <f t="shared" ca="1" si="420"/>
        <v>0</v>
      </c>
      <c r="AZ437" s="24">
        <f t="shared" ca="1" si="421"/>
        <v>0</v>
      </c>
      <c r="BA437" s="25">
        <f t="shared" ca="1" si="422"/>
        <v>0</v>
      </c>
      <c r="BB437" s="23">
        <f t="array" aca="1" ref="BB437" ca="1">SUM(IF(w_start_date&lt;=AO437,1,0)*IF(w_end_date&gt;=AO437,1,0)*w_amount*(1+w_escalation/100)^(INT((AP437-w_months_since_start)/12))*IF(MOD(AP437-w_months_since_start,w_frequency)=0,1,0)*IF(w_frequency=13,0,1))+SUM(IF(w_start_date=AO437,w_amount,0)*IF(w_frequency=13,1,0))</f>
        <v>0</v>
      </c>
      <c r="BC437" s="25">
        <f t="shared" ca="1" si="423"/>
        <v>0</v>
      </c>
      <c r="BD437" s="24" t="b">
        <f t="shared" ca="1" si="424"/>
        <v>1</v>
      </c>
      <c r="BE437" s="24" t="b">
        <f t="shared" ca="1" si="425"/>
        <v>1</v>
      </c>
      <c r="BF437" s="23">
        <f t="array" aca="1" ref="BF437" ca="1">SUM(IF(BD437,1,0)*IF(ap_start_date&lt;=AO437,1,0)*IF(ap_end_date&gt;=AO437,1,0)*ap_amount*(1+ap_escalation/100)^(INT((AP437-ap_months_since_start)/12))*IF(MOD(AP437-ap_months_since_start,ap_frequency)=0,1,0))</f>
        <v>89715.645771211348</v>
      </c>
      <c r="BG437" s="24">
        <f t="shared" ca="1" si="426"/>
        <v>1076587.7492545361</v>
      </c>
      <c r="BH437" s="24">
        <f t="shared" ca="1" si="427"/>
        <v>6673.0719721302639</v>
      </c>
      <c r="BI437">
        <f t="shared" ca="1" si="428"/>
        <v>0</v>
      </c>
      <c r="BJ437" s="24">
        <f t="shared" ca="1" si="429"/>
        <v>46711.503804911845</v>
      </c>
      <c r="BK437">
        <f t="shared" ca="1" si="430"/>
        <v>1</v>
      </c>
      <c r="BL437" s="25">
        <f t="shared" ca="1" si="431"/>
        <v>3892.6253170759874</v>
      </c>
      <c r="BM437" s="32">
        <f t="shared" ca="1" si="410"/>
        <v>244148.25148657782</v>
      </c>
      <c r="BN437" s="23">
        <f t="shared" ca="1" si="432"/>
        <v>0</v>
      </c>
      <c r="BO437" s="24">
        <f t="shared" ca="1" si="433"/>
        <v>0</v>
      </c>
      <c r="BP437" s="25">
        <f t="shared" ca="1" si="434"/>
        <v>0</v>
      </c>
      <c r="BQ437" s="34">
        <f t="shared" ca="1" si="435"/>
        <v>58714</v>
      </c>
      <c r="BR437" s="23">
        <f t="shared" ca="1" si="436"/>
        <v>244148.25148657782</v>
      </c>
      <c r="BS437" s="24">
        <f t="shared" ca="1" si="437"/>
        <v>0</v>
      </c>
      <c r="BT437" s="24">
        <f t="shared" ca="1" si="442"/>
        <v>0</v>
      </c>
      <c r="BU437" s="24">
        <f t="shared" ca="1" si="438"/>
        <v>0</v>
      </c>
      <c r="BV437" s="24">
        <f t="shared" ca="1" si="443"/>
        <v>0</v>
      </c>
      <c r="BW437" s="24">
        <f t="shared" ca="1" si="439"/>
        <v>-3892.6253170759874</v>
      </c>
      <c r="BX437" s="25">
        <f t="shared" ca="1" si="444"/>
        <v>-47112.620651850906</v>
      </c>
      <c r="BY437" s="23">
        <f t="shared" ca="1" si="411"/>
        <v>59881.447993873611</v>
      </c>
      <c r="BZ437" s="24">
        <f t="shared" ca="1" si="412"/>
        <v>0</v>
      </c>
      <c r="CA437" s="24">
        <f t="shared" ca="1" si="445"/>
        <v>0</v>
      </c>
      <c r="CB437" s="24">
        <f t="shared" ca="1" si="413"/>
        <v>0</v>
      </c>
      <c r="CC437" s="24">
        <f t="shared" ca="1" si="446"/>
        <v>0</v>
      </c>
      <c r="CD437" s="24">
        <f t="shared" ca="1" si="414"/>
        <v>-957.85710051576575</v>
      </c>
      <c r="CE437" s="25">
        <f t="shared" ca="1" si="447"/>
        <v>-11805.837378944432</v>
      </c>
      <c r="CF437" s="23">
        <f t="shared" ca="1" si="448"/>
        <v>1073137.1474941049</v>
      </c>
      <c r="CG437" s="25">
        <f t="array" aca="1" ref="CG437" ca="1">SUM(BF426:BF437/(1+inflation/100)^(AP426:AP437/12))</f>
        <v>267980.53702225379</v>
      </c>
      <c r="CH437" s="32">
        <f ca="1">IFERROR(IF(MOD(AP437-ap_months_since_start,12)=0,ap_drawdown/100*(AQ437+AV437+BA437-BC437),CH436),0)</f>
        <v>41024.477435642999</v>
      </c>
    </row>
    <row r="438" spans="40:86" x14ac:dyDescent="0.25">
      <c r="AN438" s="32">
        <f t="shared" ca="1" si="409"/>
        <v>90.75</v>
      </c>
      <c r="AO438" s="53">
        <f t="shared" ca="1" si="440"/>
        <v>58715</v>
      </c>
      <c r="AP438" s="22">
        <v>431</v>
      </c>
      <c r="AQ438" s="32">
        <f t="shared" ca="1" si="441"/>
        <v>244148.25148657782</v>
      </c>
      <c r="AR438" s="23">
        <f t="array" aca="1" ref="AR438" ca="1">SUM(IF(lsc_start_date=AO438,lsc_amount,0))</f>
        <v>0</v>
      </c>
      <c r="AS438" s="24">
        <f t="shared" ca="1" si="415"/>
        <v>0</v>
      </c>
      <c r="AT438" s="24">
        <f t="shared" ca="1" si="416"/>
        <v>0</v>
      </c>
      <c r="AU438" s="24">
        <f t="shared" ca="1" si="417"/>
        <v>0</v>
      </c>
      <c r="AV438" s="25">
        <f t="shared" ca="1" si="418"/>
        <v>0</v>
      </c>
      <c r="AW438" s="23">
        <f t="array" aca="1" ref="AW438" ca="1">SUM(IF(rcs_start_date&lt;=AO438,1,0)*IF(rcs_end_date&gt;=AO438,1,0)*rcs_amount*(1+rcs_escalation/100)^(INT((AP438-rcs_months_since_start)/12))*IF(MOD((AP438-rcs_months_since_start),rcs_frequency)=0,1,0)*IF(rcs_frequency=13,0,1))+SUM(IF(rcs_start_date=AO438,rcs_amount,0)*IF(rcs_frequency=13,1,0))</f>
        <v>0</v>
      </c>
      <c r="AX438" s="24">
        <f t="shared" ca="1" si="419"/>
        <v>0</v>
      </c>
      <c r="AY438" s="24">
        <f t="shared" ca="1" si="420"/>
        <v>0</v>
      </c>
      <c r="AZ438" s="24">
        <f t="shared" ca="1" si="421"/>
        <v>0</v>
      </c>
      <c r="BA438" s="25">
        <f t="shared" ca="1" si="422"/>
        <v>0</v>
      </c>
      <c r="BB438" s="23">
        <f t="array" aca="1" ref="BB438" ca="1">SUM(IF(w_start_date&lt;=AO438,1,0)*IF(w_end_date&gt;=AO438,1,0)*w_amount*(1+w_escalation/100)^(INT((AP438-w_months_since_start)/12))*IF(MOD(AP438-w_months_since_start,w_frequency)=0,1,0)*IF(w_frequency=13,0,1))+SUM(IF(w_start_date=AO438,w_amount,0)*IF(w_frequency=13,1,0))</f>
        <v>0</v>
      </c>
      <c r="BC438" s="25">
        <f t="shared" ca="1" si="423"/>
        <v>0</v>
      </c>
      <c r="BD438" s="24" t="b">
        <f t="shared" ca="1" si="424"/>
        <v>1</v>
      </c>
      <c r="BE438" s="24" t="b">
        <f t="shared" ca="1" si="425"/>
        <v>1</v>
      </c>
      <c r="BF438" s="23">
        <f t="array" aca="1" ref="BF438" ca="1">SUM(IF(BD438,1,0)*IF(ap_start_date&lt;=AO438,1,0)*IF(ap_end_date&gt;=AO438,1,0)*ap_amount*(1+ap_escalation/100)^(INT((AP438-ap_months_since_start)/12))*IF(MOD(AP438-ap_months_since_start,ap_frequency)=0,1,0))</f>
        <v>89715.645771211348</v>
      </c>
      <c r="BG438" s="24">
        <f t="shared" ca="1" si="426"/>
        <v>1076587.7492545361</v>
      </c>
      <c r="BH438" s="24">
        <f t="shared" ca="1" si="427"/>
        <v>6673.0719721302639</v>
      </c>
      <c r="BI438">
        <f t="shared" ca="1" si="428"/>
        <v>0</v>
      </c>
      <c r="BJ438" s="24">
        <f t="shared" ca="1" si="429"/>
        <v>46711.503804911845</v>
      </c>
      <c r="BK438">
        <f t="shared" ca="1" si="430"/>
        <v>1</v>
      </c>
      <c r="BL438" s="25">
        <f t="shared" ca="1" si="431"/>
        <v>3892.6253170759874</v>
      </c>
      <c r="BM438" s="32">
        <f t="shared" ca="1" si="410"/>
        <v>241987.22614582631</v>
      </c>
      <c r="BN438" s="23">
        <f t="shared" ca="1" si="432"/>
        <v>0</v>
      </c>
      <c r="BO438" s="24">
        <f t="shared" ca="1" si="433"/>
        <v>0</v>
      </c>
      <c r="BP438" s="25">
        <f t="shared" ca="1" si="434"/>
        <v>0</v>
      </c>
      <c r="BQ438" s="34">
        <f t="shared" ca="1" si="435"/>
        <v>58745</v>
      </c>
      <c r="BR438" s="23">
        <f t="shared" ca="1" si="436"/>
        <v>241987.22614582631</v>
      </c>
      <c r="BS438" s="24">
        <f t="shared" ca="1" si="437"/>
        <v>0</v>
      </c>
      <c r="BT438" s="24">
        <f t="shared" ca="1" si="442"/>
        <v>0</v>
      </c>
      <c r="BU438" s="24">
        <f t="shared" ca="1" si="438"/>
        <v>0</v>
      </c>
      <c r="BV438" s="24">
        <f t="shared" ca="1" si="443"/>
        <v>0</v>
      </c>
      <c r="BW438" s="24">
        <f t="shared" ca="1" si="439"/>
        <v>-3892.6253170759874</v>
      </c>
      <c r="BX438" s="25">
        <f t="shared" ca="1" si="444"/>
        <v>-46711.503804911852</v>
      </c>
      <c r="BY438" s="23">
        <f t="shared" ca="1" si="411"/>
        <v>59157.753243135347</v>
      </c>
      <c r="BZ438" s="24">
        <f t="shared" ca="1" si="412"/>
        <v>0</v>
      </c>
      <c r="CA438" s="24">
        <f t="shared" ca="1" si="445"/>
        <v>0</v>
      </c>
      <c r="CB438" s="24">
        <f t="shared" ca="1" si="413"/>
        <v>0</v>
      </c>
      <c r="CC438" s="24">
        <f t="shared" ca="1" si="446"/>
        <v>0</v>
      </c>
      <c r="CD438" s="24">
        <f t="shared" ca="1" si="414"/>
        <v>-954.73155783356526</v>
      </c>
      <c r="CE438" s="25">
        <f t="shared" ca="1" si="447"/>
        <v>-11665.332266479696</v>
      </c>
      <c r="CF438" s="23">
        <f t="shared" ca="1" si="448"/>
        <v>1076587.7492545361</v>
      </c>
      <c r="CG438" s="25">
        <f t="array" aca="1" ref="CG438" ca="1">SUM(BF427:BF438/(1+inflation/100)^(AP427:AP438/12))</f>
        <v>267980.53702225379</v>
      </c>
      <c r="CH438" s="32">
        <f ca="1">IFERROR(IF(MOD(AP438-ap_months_since_start,12)=0,ap_drawdown/100*(AQ438+AV438+BA438-BC438),CH437),0)</f>
        <v>41024.477435642999</v>
      </c>
    </row>
    <row r="439" spans="40:86" x14ac:dyDescent="0.25">
      <c r="AN439" s="32">
        <f t="shared" ca="1" si="409"/>
        <v>90.833333333333329</v>
      </c>
      <c r="AO439" s="53">
        <f t="shared" ca="1" si="440"/>
        <v>58746</v>
      </c>
      <c r="AP439" s="22">
        <v>432</v>
      </c>
      <c r="AQ439" s="32">
        <f t="shared" ca="1" si="441"/>
        <v>241987.22614582631</v>
      </c>
      <c r="AR439" s="23">
        <f t="array" aca="1" ref="AR439" ca="1">SUM(IF(lsc_start_date=AO439,lsc_amount,0))</f>
        <v>0</v>
      </c>
      <c r="AS439" s="24">
        <f t="shared" ca="1" si="415"/>
        <v>0</v>
      </c>
      <c r="AT439" s="24">
        <f t="shared" ca="1" si="416"/>
        <v>0</v>
      </c>
      <c r="AU439" s="24">
        <f t="shared" ca="1" si="417"/>
        <v>0</v>
      </c>
      <c r="AV439" s="25">
        <f t="shared" ca="1" si="418"/>
        <v>0</v>
      </c>
      <c r="AW439" s="23">
        <f t="array" aca="1" ref="AW439" ca="1">SUM(IF(rcs_start_date&lt;=AO439,1,0)*IF(rcs_end_date&gt;=AO439,1,0)*rcs_amount*(1+rcs_escalation/100)^(INT((AP439-rcs_months_since_start)/12))*IF(MOD((AP439-rcs_months_since_start),rcs_frequency)=0,1,0)*IF(rcs_frequency=13,0,1))+SUM(IF(rcs_start_date=AO439,rcs_amount,0)*IF(rcs_frequency=13,1,0))</f>
        <v>0</v>
      </c>
      <c r="AX439" s="24">
        <f t="shared" ca="1" si="419"/>
        <v>0</v>
      </c>
      <c r="AY439" s="24">
        <f t="shared" ca="1" si="420"/>
        <v>0</v>
      </c>
      <c r="AZ439" s="24">
        <f t="shared" ca="1" si="421"/>
        <v>0</v>
      </c>
      <c r="BA439" s="25">
        <f t="shared" ca="1" si="422"/>
        <v>0</v>
      </c>
      <c r="BB439" s="23">
        <f t="array" aca="1" ref="BB439" ca="1">SUM(IF(w_start_date&lt;=AO439,1,0)*IF(w_end_date&gt;=AO439,1,0)*w_amount*(1+w_escalation/100)^(INT((AP439-w_months_since_start)/12))*IF(MOD(AP439-w_months_since_start,w_frequency)=0,1,0)*IF(w_frequency=13,0,1))+SUM(IF(w_start_date=AO439,w_amount,0)*IF(w_frequency=13,1,0))</f>
        <v>0</v>
      </c>
      <c r="BC439" s="25">
        <f t="shared" ca="1" si="423"/>
        <v>0</v>
      </c>
      <c r="BD439" s="24" t="b">
        <f t="shared" ca="1" si="424"/>
        <v>1</v>
      </c>
      <c r="BE439" s="24" t="b">
        <f t="shared" ca="1" si="425"/>
        <v>1</v>
      </c>
      <c r="BF439" s="23">
        <f t="array" aca="1" ref="BF439" ca="1">SUM(IF(BD439,1,0)*IF(ap_start_date&lt;=AO439,1,0)*IF(ap_end_date&gt;=AO439,1,0)*ap_amount*(1+ap_escalation/100)^(INT((AP439-ap_months_since_start)/12))*IF(MOD(AP439-ap_months_since_start,ap_frequency)=0,1,0))</f>
        <v>93304.271602059816</v>
      </c>
      <c r="BG439" s="24">
        <f t="shared" ca="1" si="426"/>
        <v>1119651.2592247177</v>
      </c>
      <c r="BH439" s="24">
        <f t="shared" ca="1" si="427"/>
        <v>6049.6806536456579</v>
      </c>
      <c r="BI439">
        <f t="shared" ca="1" si="428"/>
        <v>0</v>
      </c>
      <c r="BJ439" s="24">
        <f t="shared" ca="1" si="429"/>
        <v>42347.764575519599</v>
      </c>
      <c r="BK439">
        <f t="shared" ca="1" si="430"/>
        <v>1</v>
      </c>
      <c r="BL439" s="25">
        <f t="shared" ca="1" si="431"/>
        <v>3528.9803812933005</v>
      </c>
      <c r="BM439" s="32">
        <f t="shared" ca="1" si="410"/>
        <v>240176.89143915678</v>
      </c>
      <c r="BN439" s="23">
        <f t="shared" ca="1" si="432"/>
        <v>0</v>
      </c>
      <c r="BO439" s="24">
        <f t="shared" ca="1" si="433"/>
        <v>0</v>
      </c>
      <c r="BP439" s="25">
        <f t="shared" ca="1" si="434"/>
        <v>0</v>
      </c>
      <c r="BQ439" s="34">
        <f t="shared" ca="1" si="435"/>
        <v>58775</v>
      </c>
      <c r="BR439" s="23">
        <f t="shared" ca="1" si="436"/>
        <v>240176.89143915678</v>
      </c>
      <c r="BS439" s="24">
        <f t="shared" ca="1" si="437"/>
        <v>0</v>
      </c>
      <c r="BT439" s="24">
        <f t="shared" ca="1" si="442"/>
        <v>0</v>
      </c>
      <c r="BU439" s="24">
        <f t="shared" ca="1" si="438"/>
        <v>0</v>
      </c>
      <c r="BV439" s="24">
        <f t="shared" ca="1" si="443"/>
        <v>0</v>
      </c>
      <c r="BW439" s="24">
        <f t="shared" ca="1" si="439"/>
        <v>-3528.9803812933005</v>
      </c>
      <c r="BX439" s="25">
        <f t="shared" ca="1" si="444"/>
        <v>-46347.858869129166</v>
      </c>
      <c r="BY439" s="23">
        <f t="shared" ca="1" si="411"/>
        <v>58523.596155645449</v>
      </c>
      <c r="BZ439" s="24">
        <f t="shared" ca="1" si="412"/>
        <v>0</v>
      </c>
      <c r="CA439" s="24">
        <f t="shared" ca="1" si="445"/>
        <v>0</v>
      </c>
      <c r="CB439" s="24">
        <f t="shared" ca="1" si="413"/>
        <v>0</v>
      </c>
      <c r="CC439" s="24">
        <f t="shared" ca="1" si="446"/>
        <v>0</v>
      </c>
      <c r="CD439" s="24">
        <f t="shared" ca="1" si="414"/>
        <v>-862.71723479572381</v>
      </c>
      <c r="CE439" s="25">
        <f t="shared" ca="1" si="447"/>
        <v>-11538.368638739872</v>
      </c>
      <c r="CF439" s="23">
        <f t="shared" ca="1" si="448"/>
        <v>1080176.3750853846</v>
      </c>
      <c r="CG439" s="25">
        <f t="array" aca="1" ref="CG439" ca="1">SUM(BF428:BF439/(1+inflation/100)^(AP428:AP439/12))</f>
        <v>267980.53702225379</v>
      </c>
      <c r="CH439" s="32">
        <f ca="1">IFERROR(IF(MOD(AP439-ap_months_since_start,12)=0,ap_drawdown/100*(AQ439+AV439+BA439-BC439),CH438),0)</f>
        <v>37192.014188497276</v>
      </c>
    </row>
    <row r="440" spans="40:86" x14ac:dyDescent="0.25">
      <c r="AN440" s="32">
        <f t="shared" ca="1" si="409"/>
        <v>90.916666666666671</v>
      </c>
      <c r="AO440" s="53">
        <f t="shared" ca="1" si="440"/>
        <v>58776</v>
      </c>
      <c r="AP440" s="22">
        <v>433</v>
      </c>
      <c r="AQ440" s="32">
        <f t="shared" ca="1" si="441"/>
        <v>240176.89143915678</v>
      </c>
      <c r="AR440" s="23">
        <f t="array" aca="1" ref="AR440" ca="1">SUM(IF(lsc_start_date=AO440,lsc_amount,0))</f>
        <v>0</v>
      </c>
      <c r="AS440" s="24">
        <f t="shared" ca="1" si="415"/>
        <v>0</v>
      </c>
      <c r="AT440" s="24">
        <f t="shared" ca="1" si="416"/>
        <v>0</v>
      </c>
      <c r="AU440" s="24">
        <f t="shared" ca="1" si="417"/>
        <v>0</v>
      </c>
      <c r="AV440" s="25">
        <f t="shared" ca="1" si="418"/>
        <v>0</v>
      </c>
      <c r="AW440" s="23">
        <f t="array" aca="1" ref="AW440" ca="1">SUM(IF(rcs_start_date&lt;=AO440,1,0)*IF(rcs_end_date&gt;=AO440,1,0)*rcs_amount*(1+rcs_escalation/100)^(INT((AP440-rcs_months_since_start)/12))*IF(MOD((AP440-rcs_months_since_start),rcs_frequency)=0,1,0)*IF(rcs_frequency=13,0,1))+SUM(IF(rcs_start_date=AO440,rcs_amount,0)*IF(rcs_frequency=13,1,0))</f>
        <v>0</v>
      </c>
      <c r="AX440" s="24">
        <f t="shared" ca="1" si="419"/>
        <v>0</v>
      </c>
      <c r="AY440" s="24">
        <f t="shared" ca="1" si="420"/>
        <v>0</v>
      </c>
      <c r="AZ440" s="24">
        <f t="shared" ca="1" si="421"/>
        <v>0</v>
      </c>
      <c r="BA440" s="25">
        <f t="shared" ca="1" si="422"/>
        <v>0</v>
      </c>
      <c r="BB440" s="23">
        <f t="array" aca="1" ref="BB440" ca="1">SUM(IF(w_start_date&lt;=AO440,1,0)*IF(w_end_date&gt;=AO440,1,0)*w_amount*(1+w_escalation/100)^(INT((AP440-w_months_since_start)/12))*IF(MOD(AP440-w_months_since_start,w_frequency)=0,1,0)*IF(w_frequency=13,0,1))+SUM(IF(w_start_date=AO440,w_amount,0)*IF(w_frequency=13,1,0))</f>
        <v>0</v>
      </c>
      <c r="BC440" s="25">
        <f t="shared" ca="1" si="423"/>
        <v>0</v>
      </c>
      <c r="BD440" s="24" t="b">
        <f t="shared" ca="1" si="424"/>
        <v>1</v>
      </c>
      <c r="BE440" s="24" t="b">
        <f t="shared" ca="1" si="425"/>
        <v>1</v>
      </c>
      <c r="BF440" s="23">
        <f t="array" aca="1" ref="BF440" ca="1">SUM(IF(BD440,1,0)*IF(ap_start_date&lt;=AO440,1,0)*IF(ap_end_date&gt;=AO440,1,0)*ap_amount*(1+ap_escalation/100)^(INT((AP440-ap_months_since_start)/12))*IF(MOD(AP440-ap_months_since_start,ap_frequency)=0,1,0))</f>
        <v>93304.271602059816</v>
      </c>
      <c r="BG440" s="24">
        <f t="shared" ca="1" si="426"/>
        <v>1119651.2592247177</v>
      </c>
      <c r="BH440" s="24">
        <f t="shared" ca="1" si="427"/>
        <v>6049.6806536456579</v>
      </c>
      <c r="BI440">
        <f t="shared" ca="1" si="428"/>
        <v>0</v>
      </c>
      <c r="BJ440" s="24">
        <f t="shared" ca="1" si="429"/>
        <v>42347.764575519599</v>
      </c>
      <c r="BK440">
        <f t="shared" ca="1" si="430"/>
        <v>1</v>
      </c>
      <c r="BL440" s="25">
        <f t="shared" ca="1" si="431"/>
        <v>3528.9803812933005</v>
      </c>
      <c r="BM440" s="32">
        <f t="shared" ca="1" si="410"/>
        <v>238353.50906494586</v>
      </c>
      <c r="BN440" s="23">
        <f t="shared" ca="1" si="432"/>
        <v>0</v>
      </c>
      <c r="BO440" s="24">
        <f t="shared" ca="1" si="433"/>
        <v>0</v>
      </c>
      <c r="BP440" s="25">
        <f t="shared" ca="1" si="434"/>
        <v>0</v>
      </c>
      <c r="BQ440" s="34">
        <f t="shared" ca="1" si="435"/>
        <v>58806</v>
      </c>
      <c r="BR440" s="23">
        <f t="shared" ca="1" si="436"/>
        <v>238353.50906494586</v>
      </c>
      <c r="BS440" s="24">
        <f t="shared" ca="1" si="437"/>
        <v>0</v>
      </c>
      <c r="BT440" s="24">
        <f t="shared" ca="1" si="442"/>
        <v>0</v>
      </c>
      <c r="BU440" s="24">
        <f t="shared" ca="1" si="438"/>
        <v>0</v>
      </c>
      <c r="BV440" s="24">
        <f t="shared" ca="1" si="443"/>
        <v>0</v>
      </c>
      <c r="BW440" s="24">
        <f t="shared" ca="1" si="439"/>
        <v>-3528.9803812933005</v>
      </c>
      <c r="BX440" s="25">
        <f t="shared" ca="1" si="444"/>
        <v>-45984.21393334648</v>
      </c>
      <c r="BY440" s="23">
        <f t="shared" ca="1" si="411"/>
        <v>57889.778831129741</v>
      </c>
      <c r="BZ440" s="24">
        <f t="shared" ca="1" si="412"/>
        <v>0</v>
      </c>
      <c r="CA440" s="24">
        <f t="shared" ca="1" si="445"/>
        <v>0</v>
      </c>
      <c r="CB440" s="24">
        <f t="shared" ca="1" si="413"/>
        <v>0</v>
      </c>
      <c r="CC440" s="24">
        <f t="shared" ca="1" si="446"/>
        <v>0</v>
      </c>
      <c r="CD440" s="24">
        <f t="shared" ca="1" si="414"/>
        <v>-859.90213895462978</v>
      </c>
      <c r="CE440" s="25">
        <f t="shared" ca="1" si="447"/>
        <v>-11411.819300602723</v>
      </c>
      <c r="CF440" s="23">
        <f t="shared" ca="1" si="448"/>
        <v>1083765.0009162331</v>
      </c>
      <c r="CG440" s="25">
        <f t="array" aca="1" ref="CG440" ca="1">SUM(BF429:BF440/(1+inflation/100)^(AP429:AP440/12))</f>
        <v>267980.53702225379</v>
      </c>
      <c r="CH440" s="32">
        <f ca="1">IFERROR(IF(MOD(AP440-ap_months_since_start,12)=0,ap_drawdown/100*(AQ440+AV440+BA440-BC440),CH439),0)</f>
        <v>37192.014188497276</v>
      </c>
    </row>
    <row r="441" spans="40:86" x14ac:dyDescent="0.25">
      <c r="AN441" s="32">
        <f t="shared" ca="1" si="409"/>
        <v>91</v>
      </c>
      <c r="AO441" s="53">
        <f t="shared" ca="1" si="440"/>
        <v>58807</v>
      </c>
      <c r="AP441" s="22">
        <v>434</v>
      </c>
      <c r="AQ441" s="32">
        <f t="shared" ca="1" si="441"/>
        <v>238353.50906494586</v>
      </c>
      <c r="AR441" s="23">
        <f t="array" aca="1" ref="AR441" ca="1">SUM(IF(lsc_start_date=AO441,lsc_amount,0))</f>
        <v>0</v>
      </c>
      <c r="AS441" s="24">
        <f t="shared" ca="1" si="415"/>
        <v>0</v>
      </c>
      <c r="AT441" s="24">
        <f t="shared" ca="1" si="416"/>
        <v>0</v>
      </c>
      <c r="AU441" s="24">
        <f t="shared" ca="1" si="417"/>
        <v>0</v>
      </c>
      <c r="AV441" s="25">
        <f t="shared" ca="1" si="418"/>
        <v>0</v>
      </c>
      <c r="AW441" s="23">
        <f t="array" aca="1" ref="AW441" ca="1">SUM(IF(rcs_start_date&lt;=AO441,1,0)*IF(rcs_end_date&gt;=AO441,1,0)*rcs_amount*(1+rcs_escalation/100)^(INT((AP441-rcs_months_since_start)/12))*IF(MOD((AP441-rcs_months_since_start),rcs_frequency)=0,1,0)*IF(rcs_frequency=13,0,1))+SUM(IF(rcs_start_date=AO441,rcs_amount,0)*IF(rcs_frequency=13,1,0))</f>
        <v>0</v>
      </c>
      <c r="AX441" s="24">
        <f t="shared" ca="1" si="419"/>
        <v>0</v>
      </c>
      <c r="AY441" s="24">
        <f t="shared" ca="1" si="420"/>
        <v>0</v>
      </c>
      <c r="AZ441" s="24">
        <f t="shared" ca="1" si="421"/>
        <v>0</v>
      </c>
      <c r="BA441" s="25">
        <f t="shared" ca="1" si="422"/>
        <v>0</v>
      </c>
      <c r="BB441" s="23">
        <f t="array" aca="1" ref="BB441" ca="1">SUM(IF(w_start_date&lt;=AO441,1,0)*IF(w_end_date&gt;=AO441,1,0)*w_amount*(1+w_escalation/100)^(INT((AP441-w_months_since_start)/12))*IF(MOD(AP441-w_months_since_start,w_frequency)=0,1,0)*IF(w_frequency=13,0,1))+SUM(IF(w_start_date=AO441,w_amount,0)*IF(w_frequency=13,1,0))</f>
        <v>0</v>
      </c>
      <c r="BC441" s="25">
        <f t="shared" ca="1" si="423"/>
        <v>0</v>
      </c>
      <c r="BD441" s="24" t="b">
        <f t="shared" ca="1" si="424"/>
        <v>1</v>
      </c>
      <c r="BE441" s="24" t="b">
        <f t="shared" ca="1" si="425"/>
        <v>1</v>
      </c>
      <c r="BF441" s="23">
        <f t="array" aca="1" ref="BF441" ca="1">SUM(IF(BD441,1,0)*IF(ap_start_date&lt;=AO441,1,0)*IF(ap_end_date&gt;=AO441,1,0)*ap_amount*(1+ap_escalation/100)^(INT((AP441-ap_months_since_start)/12))*IF(MOD(AP441-ap_months_since_start,ap_frequency)=0,1,0))</f>
        <v>93304.271602059816</v>
      </c>
      <c r="BG441" s="24">
        <f t="shared" ca="1" si="426"/>
        <v>1119651.2592247177</v>
      </c>
      <c r="BH441" s="24">
        <f t="shared" ca="1" si="427"/>
        <v>6049.6806536456579</v>
      </c>
      <c r="BI441">
        <f t="shared" ca="1" si="428"/>
        <v>0</v>
      </c>
      <c r="BJ441" s="24">
        <f t="shared" ca="1" si="429"/>
        <v>42347.764575519599</v>
      </c>
      <c r="BK441">
        <f t="shared" ca="1" si="430"/>
        <v>1</v>
      </c>
      <c r="BL441" s="25">
        <f t="shared" ca="1" si="431"/>
        <v>3528.9803812933005</v>
      </c>
      <c r="BM441" s="32">
        <f t="shared" ca="1" si="410"/>
        <v>236516.98498443505</v>
      </c>
      <c r="BN441" s="23">
        <f t="shared" ca="1" si="432"/>
        <v>0</v>
      </c>
      <c r="BO441" s="24">
        <f t="shared" ca="1" si="433"/>
        <v>0</v>
      </c>
      <c r="BP441" s="25">
        <f t="shared" ca="1" si="434"/>
        <v>0</v>
      </c>
      <c r="BQ441" s="34">
        <f t="shared" ca="1" si="435"/>
        <v>58837</v>
      </c>
      <c r="BR441" s="23">
        <f t="shared" ca="1" si="436"/>
        <v>236516.98498443505</v>
      </c>
      <c r="BS441" s="24">
        <f t="shared" ca="1" si="437"/>
        <v>0</v>
      </c>
      <c r="BT441" s="24">
        <f t="shared" ca="1" si="442"/>
        <v>0</v>
      </c>
      <c r="BU441" s="24">
        <f t="shared" ca="1" si="438"/>
        <v>0</v>
      </c>
      <c r="BV441" s="24">
        <f t="shared" ca="1" si="443"/>
        <v>0</v>
      </c>
      <c r="BW441" s="24">
        <f t="shared" ca="1" si="439"/>
        <v>-3528.9803812933005</v>
      </c>
      <c r="BX441" s="25">
        <f t="shared" ca="1" si="444"/>
        <v>-45620.568997563794</v>
      </c>
      <c r="BY441" s="23">
        <f t="shared" ca="1" si="411"/>
        <v>57256.293379878625</v>
      </c>
      <c r="BZ441" s="24">
        <f t="shared" ca="1" si="412"/>
        <v>0</v>
      </c>
      <c r="CA441" s="24">
        <f t="shared" ca="1" si="445"/>
        <v>0</v>
      </c>
      <c r="CB441" s="24">
        <f t="shared" ca="1" si="413"/>
        <v>0</v>
      </c>
      <c r="CC441" s="24">
        <f t="shared" ca="1" si="446"/>
        <v>0</v>
      </c>
      <c r="CD441" s="24">
        <f t="shared" ca="1" si="414"/>
        <v>-857.09622893280005</v>
      </c>
      <c r="CE441" s="25">
        <f t="shared" ca="1" si="447"/>
        <v>-11285.682900217498</v>
      </c>
      <c r="CF441" s="23">
        <f t="shared" ca="1" si="448"/>
        <v>1087353.6267470815</v>
      </c>
      <c r="CG441" s="25">
        <f t="array" aca="1" ref="CG441" ca="1">SUM(BF430:BF441/(1+inflation/100)^(AP430:AP441/12))</f>
        <v>267980.53702225379</v>
      </c>
      <c r="CH441" s="32">
        <f ca="1">IFERROR(IF(MOD(AP441-ap_months_since_start,12)=0,ap_drawdown/100*(AQ441+AV441+BA441-BC441),CH440),0)</f>
        <v>37192.014188497276</v>
      </c>
    </row>
    <row r="442" spans="40:86" x14ac:dyDescent="0.25">
      <c r="AN442" s="32">
        <f t="shared" ca="1" si="409"/>
        <v>91.083333333333329</v>
      </c>
      <c r="AO442" s="53">
        <f t="shared" ca="1" si="440"/>
        <v>58838</v>
      </c>
      <c r="AP442" s="22">
        <v>435</v>
      </c>
      <c r="AQ442" s="32">
        <f t="shared" ca="1" si="441"/>
        <v>236516.98498443505</v>
      </c>
      <c r="AR442" s="23">
        <f t="array" aca="1" ref="AR442" ca="1">SUM(IF(lsc_start_date=AO442,lsc_amount,0))</f>
        <v>0</v>
      </c>
      <c r="AS442" s="24">
        <f t="shared" ca="1" si="415"/>
        <v>0</v>
      </c>
      <c r="AT442" s="24">
        <f t="shared" ca="1" si="416"/>
        <v>0</v>
      </c>
      <c r="AU442" s="24">
        <f t="shared" ca="1" si="417"/>
        <v>0</v>
      </c>
      <c r="AV442" s="25">
        <f t="shared" ca="1" si="418"/>
        <v>0</v>
      </c>
      <c r="AW442" s="23">
        <f t="array" aca="1" ref="AW442" ca="1">SUM(IF(rcs_start_date&lt;=AO442,1,0)*IF(rcs_end_date&gt;=AO442,1,0)*rcs_amount*(1+rcs_escalation/100)^(INT((AP442-rcs_months_since_start)/12))*IF(MOD((AP442-rcs_months_since_start),rcs_frequency)=0,1,0)*IF(rcs_frequency=13,0,1))+SUM(IF(rcs_start_date=AO442,rcs_amount,0)*IF(rcs_frequency=13,1,0))</f>
        <v>0</v>
      </c>
      <c r="AX442" s="24">
        <f t="shared" ca="1" si="419"/>
        <v>0</v>
      </c>
      <c r="AY442" s="24">
        <f t="shared" ca="1" si="420"/>
        <v>0</v>
      </c>
      <c r="AZ442" s="24">
        <f t="shared" ca="1" si="421"/>
        <v>0</v>
      </c>
      <c r="BA442" s="25">
        <f t="shared" ca="1" si="422"/>
        <v>0</v>
      </c>
      <c r="BB442" s="23">
        <f t="array" aca="1" ref="BB442" ca="1">SUM(IF(w_start_date&lt;=AO442,1,0)*IF(w_end_date&gt;=AO442,1,0)*w_amount*(1+w_escalation/100)^(INT((AP442-w_months_since_start)/12))*IF(MOD(AP442-w_months_since_start,w_frequency)=0,1,0)*IF(w_frequency=13,0,1))+SUM(IF(w_start_date=AO442,w_amount,0)*IF(w_frequency=13,1,0))</f>
        <v>0</v>
      </c>
      <c r="BC442" s="25">
        <f t="shared" ca="1" si="423"/>
        <v>0</v>
      </c>
      <c r="BD442" s="24" t="b">
        <f t="shared" ca="1" si="424"/>
        <v>1</v>
      </c>
      <c r="BE442" s="24" t="b">
        <f t="shared" ca="1" si="425"/>
        <v>1</v>
      </c>
      <c r="BF442" s="23">
        <f t="array" aca="1" ref="BF442" ca="1">SUM(IF(BD442,1,0)*IF(ap_start_date&lt;=AO442,1,0)*IF(ap_end_date&gt;=AO442,1,0)*ap_amount*(1+ap_escalation/100)^(INT((AP442-ap_months_since_start)/12))*IF(MOD(AP442-ap_months_since_start,ap_frequency)=0,1,0))</f>
        <v>93304.271602059816</v>
      </c>
      <c r="BG442" s="24">
        <f t="shared" ca="1" si="426"/>
        <v>1119651.2592247177</v>
      </c>
      <c r="BH442" s="24">
        <f t="shared" ca="1" si="427"/>
        <v>6049.6806536456579</v>
      </c>
      <c r="BI442">
        <f t="shared" ca="1" si="428"/>
        <v>0</v>
      </c>
      <c r="BJ442" s="24">
        <f t="shared" ca="1" si="429"/>
        <v>42347.764575519599</v>
      </c>
      <c r="BK442">
        <f t="shared" ca="1" si="430"/>
        <v>1</v>
      </c>
      <c r="BL442" s="25">
        <f t="shared" ca="1" si="431"/>
        <v>3528.9803812933005</v>
      </c>
      <c r="BM442" s="32">
        <f t="shared" ca="1" si="410"/>
        <v>234667.22448109815</v>
      </c>
      <c r="BN442" s="23">
        <f t="shared" ca="1" si="432"/>
        <v>0</v>
      </c>
      <c r="BO442" s="24">
        <f t="shared" ca="1" si="433"/>
        <v>0</v>
      </c>
      <c r="BP442" s="25">
        <f t="shared" ca="1" si="434"/>
        <v>0</v>
      </c>
      <c r="BQ442" s="34">
        <f t="shared" ca="1" si="435"/>
        <v>58865</v>
      </c>
      <c r="BR442" s="23">
        <f t="shared" ca="1" si="436"/>
        <v>234667.22448109815</v>
      </c>
      <c r="BS442" s="24">
        <f t="shared" ca="1" si="437"/>
        <v>0</v>
      </c>
      <c r="BT442" s="24">
        <f t="shared" ca="1" si="442"/>
        <v>0</v>
      </c>
      <c r="BU442" s="24">
        <f t="shared" ca="1" si="438"/>
        <v>0</v>
      </c>
      <c r="BV442" s="24">
        <f t="shared" ca="1" si="443"/>
        <v>0</v>
      </c>
      <c r="BW442" s="24">
        <f t="shared" ca="1" si="439"/>
        <v>-3528.9803812933005</v>
      </c>
      <c r="BX442" s="25">
        <f t="shared" ca="1" si="444"/>
        <v>-45256.924061781108</v>
      </c>
      <c r="BY442" s="23">
        <f t="shared" ca="1" si="411"/>
        <v>56623.131911340388</v>
      </c>
      <c r="BZ442" s="24">
        <f t="shared" ca="1" si="412"/>
        <v>0</v>
      </c>
      <c r="CA442" s="24">
        <f t="shared" ca="1" si="445"/>
        <v>0</v>
      </c>
      <c r="CB442" s="24">
        <f t="shared" ca="1" si="413"/>
        <v>0</v>
      </c>
      <c r="CC442" s="24">
        <f t="shared" ca="1" si="446"/>
        <v>0</v>
      </c>
      <c r="CD442" s="24">
        <f t="shared" ca="1" si="414"/>
        <v>-854.29947475637857</v>
      </c>
      <c r="CE442" s="25">
        <f t="shared" ca="1" si="447"/>
        <v>-11159.958090144617</v>
      </c>
      <c r="CF442" s="23">
        <f t="shared" ca="1" si="448"/>
        <v>1090942.25257793</v>
      </c>
      <c r="CG442" s="25">
        <f t="array" aca="1" ref="CG442" ca="1">SUM(BF431:BF442/(1+inflation/100)^(AP431:AP442/12))</f>
        <v>267980.53702225379</v>
      </c>
      <c r="CH442" s="32">
        <f ca="1">IFERROR(IF(MOD(AP442-ap_months_since_start,12)=0,ap_drawdown/100*(AQ442+AV442+BA442-BC442),CH441),0)</f>
        <v>37192.014188497276</v>
      </c>
    </row>
    <row r="443" spans="40:86" x14ac:dyDescent="0.25">
      <c r="AN443" s="32">
        <f t="shared" ca="1" si="409"/>
        <v>91.166666666666671</v>
      </c>
      <c r="AO443" s="53">
        <f t="shared" ca="1" si="440"/>
        <v>58866</v>
      </c>
      <c r="AP443" s="22">
        <v>436</v>
      </c>
      <c r="AQ443" s="32">
        <f t="shared" ca="1" si="441"/>
        <v>234667.22448109815</v>
      </c>
      <c r="AR443" s="23">
        <f t="array" aca="1" ref="AR443" ca="1">SUM(IF(lsc_start_date=AO443,lsc_amount,0))</f>
        <v>0</v>
      </c>
      <c r="AS443" s="24">
        <f t="shared" ca="1" si="415"/>
        <v>0</v>
      </c>
      <c r="AT443" s="24">
        <f t="shared" ca="1" si="416"/>
        <v>0</v>
      </c>
      <c r="AU443" s="24">
        <f t="shared" ca="1" si="417"/>
        <v>0</v>
      </c>
      <c r="AV443" s="25">
        <f t="shared" ca="1" si="418"/>
        <v>0</v>
      </c>
      <c r="AW443" s="23">
        <f t="array" aca="1" ref="AW443" ca="1">SUM(IF(rcs_start_date&lt;=AO443,1,0)*IF(rcs_end_date&gt;=AO443,1,0)*rcs_amount*(1+rcs_escalation/100)^(INT((AP443-rcs_months_since_start)/12))*IF(MOD((AP443-rcs_months_since_start),rcs_frequency)=0,1,0)*IF(rcs_frequency=13,0,1))+SUM(IF(rcs_start_date=AO443,rcs_amount,0)*IF(rcs_frequency=13,1,0))</f>
        <v>0</v>
      </c>
      <c r="AX443" s="24">
        <f t="shared" ca="1" si="419"/>
        <v>0</v>
      </c>
      <c r="AY443" s="24">
        <f t="shared" ca="1" si="420"/>
        <v>0</v>
      </c>
      <c r="AZ443" s="24">
        <f t="shared" ca="1" si="421"/>
        <v>0</v>
      </c>
      <c r="BA443" s="25">
        <f t="shared" ca="1" si="422"/>
        <v>0</v>
      </c>
      <c r="BB443" s="23">
        <f t="array" aca="1" ref="BB443" ca="1">SUM(IF(w_start_date&lt;=AO443,1,0)*IF(w_end_date&gt;=AO443,1,0)*w_amount*(1+w_escalation/100)^(INT((AP443-w_months_since_start)/12))*IF(MOD(AP443-w_months_since_start,w_frequency)=0,1,0)*IF(w_frequency=13,0,1))+SUM(IF(w_start_date=AO443,w_amount,0)*IF(w_frequency=13,1,0))</f>
        <v>0</v>
      </c>
      <c r="BC443" s="25">
        <f t="shared" ca="1" si="423"/>
        <v>0</v>
      </c>
      <c r="BD443" s="24" t="b">
        <f t="shared" ca="1" si="424"/>
        <v>1</v>
      </c>
      <c r="BE443" s="24" t="b">
        <f t="shared" ca="1" si="425"/>
        <v>1</v>
      </c>
      <c r="BF443" s="23">
        <f t="array" aca="1" ref="BF443" ca="1">SUM(IF(BD443,1,0)*IF(ap_start_date&lt;=AO443,1,0)*IF(ap_end_date&gt;=AO443,1,0)*ap_amount*(1+ap_escalation/100)^(INT((AP443-ap_months_since_start)/12))*IF(MOD(AP443-ap_months_since_start,ap_frequency)=0,1,0))</f>
        <v>93304.271602059816</v>
      </c>
      <c r="BG443" s="24">
        <f t="shared" ca="1" si="426"/>
        <v>1119651.2592247177</v>
      </c>
      <c r="BH443" s="24">
        <f t="shared" ca="1" si="427"/>
        <v>6049.6806536456579</v>
      </c>
      <c r="BI443">
        <f t="shared" ca="1" si="428"/>
        <v>0</v>
      </c>
      <c r="BJ443" s="24">
        <f t="shared" ca="1" si="429"/>
        <v>42347.764575519599</v>
      </c>
      <c r="BK443">
        <f t="shared" ca="1" si="430"/>
        <v>1</v>
      </c>
      <c r="BL443" s="25">
        <f t="shared" ca="1" si="431"/>
        <v>3528.9803812933005</v>
      </c>
      <c r="BM443" s="32">
        <f t="shared" ca="1" si="410"/>
        <v>232804.13215575626</v>
      </c>
      <c r="BN443" s="23">
        <f t="shared" ca="1" si="432"/>
        <v>0</v>
      </c>
      <c r="BO443" s="24">
        <f t="shared" ca="1" si="433"/>
        <v>0</v>
      </c>
      <c r="BP443" s="25">
        <f t="shared" ca="1" si="434"/>
        <v>0</v>
      </c>
      <c r="BQ443" s="34">
        <f t="shared" ca="1" si="435"/>
        <v>58896</v>
      </c>
      <c r="BR443" s="23">
        <f t="shared" ca="1" si="436"/>
        <v>232804.13215575626</v>
      </c>
      <c r="BS443" s="24">
        <f t="shared" ca="1" si="437"/>
        <v>0</v>
      </c>
      <c r="BT443" s="24">
        <f t="shared" ca="1" si="442"/>
        <v>0</v>
      </c>
      <c r="BU443" s="24">
        <f t="shared" ca="1" si="438"/>
        <v>0</v>
      </c>
      <c r="BV443" s="24">
        <f t="shared" ca="1" si="443"/>
        <v>0</v>
      </c>
      <c r="BW443" s="24">
        <f t="shared" ca="1" si="439"/>
        <v>-3528.9803812933005</v>
      </c>
      <c r="BX443" s="25">
        <f t="shared" ca="1" si="444"/>
        <v>-44893.279125998422</v>
      </c>
      <c r="BY443" s="23">
        <f t="shared" ca="1" si="411"/>
        <v>55990.286534019608</v>
      </c>
      <c r="BZ443" s="24">
        <f t="shared" ca="1" si="412"/>
        <v>0</v>
      </c>
      <c r="CA443" s="24">
        <f t="shared" ca="1" si="445"/>
        <v>0</v>
      </c>
      <c r="CB443" s="24">
        <f t="shared" ca="1" si="413"/>
        <v>0</v>
      </c>
      <c r="CC443" s="24">
        <f t="shared" ca="1" si="446"/>
        <v>0</v>
      </c>
      <c r="CD443" s="24">
        <f t="shared" ca="1" si="414"/>
        <v>-851.51184654931649</v>
      </c>
      <c r="CE443" s="25">
        <f t="shared" ca="1" si="447"/>
        <v>-11034.643527341274</v>
      </c>
      <c r="CF443" s="23">
        <f t="shared" ca="1" si="448"/>
        <v>1094530.8784087785</v>
      </c>
      <c r="CG443" s="25">
        <f t="array" aca="1" ref="CG443" ca="1">SUM(BF432:BF443/(1+inflation/100)^(AP432:AP443/12))</f>
        <v>267980.53702225385</v>
      </c>
      <c r="CH443" s="32">
        <f ca="1">IFERROR(IF(MOD(AP443-ap_months_since_start,12)=0,ap_drawdown/100*(AQ443+AV443+BA443-BC443),CH442),0)</f>
        <v>37192.014188497276</v>
      </c>
    </row>
    <row r="444" spans="40:86" x14ac:dyDescent="0.25">
      <c r="AN444" s="32">
        <f t="shared" ca="1" si="409"/>
        <v>91.25</v>
      </c>
      <c r="AO444" s="53">
        <f t="shared" ca="1" si="440"/>
        <v>58897</v>
      </c>
      <c r="AP444" s="22">
        <v>437</v>
      </c>
      <c r="AQ444" s="32">
        <f t="shared" ca="1" si="441"/>
        <v>232804.13215575626</v>
      </c>
      <c r="AR444" s="23">
        <f t="array" aca="1" ref="AR444" ca="1">SUM(IF(lsc_start_date=AO444,lsc_amount,0))</f>
        <v>0</v>
      </c>
      <c r="AS444" s="24">
        <f t="shared" ca="1" si="415"/>
        <v>0</v>
      </c>
      <c r="AT444" s="24">
        <f t="shared" ca="1" si="416"/>
        <v>0</v>
      </c>
      <c r="AU444" s="24">
        <f t="shared" ca="1" si="417"/>
        <v>0</v>
      </c>
      <c r="AV444" s="25">
        <f t="shared" ca="1" si="418"/>
        <v>0</v>
      </c>
      <c r="AW444" s="23">
        <f t="array" aca="1" ref="AW444" ca="1">SUM(IF(rcs_start_date&lt;=AO444,1,0)*IF(rcs_end_date&gt;=AO444,1,0)*rcs_amount*(1+rcs_escalation/100)^(INT((AP444-rcs_months_since_start)/12))*IF(MOD((AP444-rcs_months_since_start),rcs_frequency)=0,1,0)*IF(rcs_frequency=13,0,1))+SUM(IF(rcs_start_date=AO444,rcs_amount,0)*IF(rcs_frequency=13,1,0))</f>
        <v>0</v>
      </c>
      <c r="AX444" s="24">
        <f t="shared" ca="1" si="419"/>
        <v>0</v>
      </c>
      <c r="AY444" s="24">
        <f t="shared" ca="1" si="420"/>
        <v>0</v>
      </c>
      <c r="AZ444" s="24">
        <f t="shared" ca="1" si="421"/>
        <v>0</v>
      </c>
      <c r="BA444" s="25">
        <f t="shared" ca="1" si="422"/>
        <v>0</v>
      </c>
      <c r="BB444" s="23">
        <f t="array" aca="1" ref="BB444" ca="1">SUM(IF(w_start_date&lt;=AO444,1,0)*IF(w_end_date&gt;=AO444,1,0)*w_amount*(1+w_escalation/100)^(INT((AP444-w_months_since_start)/12))*IF(MOD(AP444-w_months_since_start,w_frequency)=0,1,0)*IF(w_frequency=13,0,1))+SUM(IF(w_start_date=AO444,w_amount,0)*IF(w_frequency=13,1,0))</f>
        <v>0</v>
      </c>
      <c r="BC444" s="25">
        <f t="shared" ca="1" si="423"/>
        <v>0</v>
      </c>
      <c r="BD444" s="24" t="b">
        <f t="shared" ca="1" si="424"/>
        <v>1</v>
      </c>
      <c r="BE444" s="24" t="b">
        <f t="shared" ca="1" si="425"/>
        <v>1</v>
      </c>
      <c r="BF444" s="23">
        <f t="array" aca="1" ref="BF444" ca="1">SUM(IF(BD444,1,0)*IF(ap_start_date&lt;=AO444,1,0)*IF(ap_end_date&gt;=AO444,1,0)*ap_amount*(1+ap_escalation/100)^(INT((AP444-ap_months_since_start)/12))*IF(MOD(AP444-ap_months_since_start,ap_frequency)=0,1,0))</f>
        <v>93304.271602059816</v>
      </c>
      <c r="BG444" s="24">
        <f t="shared" ca="1" si="426"/>
        <v>1119651.2592247177</v>
      </c>
      <c r="BH444" s="24">
        <f t="shared" ca="1" si="427"/>
        <v>6049.6806536456579</v>
      </c>
      <c r="BI444">
        <f t="shared" ca="1" si="428"/>
        <v>0</v>
      </c>
      <c r="BJ444" s="24">
        <f t="shared" ca="1" si="429"/>
        <v>42347.764575519599</v>
      </c>
      <c r="BK444">
        <f t="shared" ca="1" si="430"/>
        <v>1</v>
      </c>
      <c r="BL444" s="25">
        <f t="shared" ca="1" si="431"/>
        <v>3528.9803812933005</v>
      </c>
      <c r="BM444" s="32">
        <f t="shared" ca="1" si="410"/>
        <v>230927.61192165784</v>
      </c>
      <c r="BN444" s="23">
        <f t="shared" ca="1" si="432"/>
        <v>0</v>
      </c>
      <c r="BO444" s="24">
        <f t="shared" ca="1" si="433"/>
        <v>0</v>
      </c>
      <c r="BP444" s="25">
        <f t="shared" ca="1" si="434"/>
        <v>0</v>
      </c>
      <c r="BQ444" s="34">
        <f t="shared" ca="1" si="435"/>
        <v>58926</v>
      </c>
      <c r="BR444" s="23">
        <f t="shared" ca="1" si="436"/>
        <v>230927.61192165784</v>
      </c>
      <c r="BS444" s="24">
        <f t="shared" ca="1" si="437"/>
        <v>0</v>
      </c>
      <c r="BT444" s="24">
        <f t="shared" ca="1" si="442"/>
        <v>0</v>
      </c>
      <c r="BU444" s="24">
        <f t="shared" ca="1" si="438"/>
        <v>0</v>
      </c>
      <c r="BV444" s="24">
        <f t="shared" ca="1" si="443"/>
        <v>0</v>
      </c>
      <c r="BW444" s="24">
        <f t="shared" ca="1" si="439"/>
        <v>-3528.9803812933005</v>
      </c>
      <c r="BX444" s="25">
        <f t="shared" ca="1" si="444"/>
        <v>-44529.634190215736</v>
      </c>
      <c r="BY444" s="23">
        <f t="shared" ca="1" si="411"/>
        <v>55357.749355375679</v>
      </c>
      <c r="BZ444" s="24">
        <f t="shared" ca="1" si="412"/>
        <v>0</v>
      </c>
      <c r="CA444" s="24">
        <f t="shared" ca="1" si="445"/>
        <v>0</v>
      </c>
      <c r="CB444" s="24">
        <f t="shared" ca="1" si="413"/>
        <v>0</v>
      </c>
      <c r="CC444" s="24">
        <f t="shared" ca="1" si="446"/>
        <v>0</v>
      </c>
      <c r="CD444" s="24">
        <f t="shared" ca="1" si="414"/>
        <v>-848.73331453305195</v>
      </c>
      <c r="CE444" s="25">
        <f t="shared" ca="1" si="447"/>
        <v>-10909.737873147089</v>
      </c>
      <c r="CF444" s="23">
        <f t="shared" ca="1" si="448"/>
        <v>1098119.5042396269</v>
      </c>
      <c r="CG444" s="25">
        <f t="array" aca="1" ref="CG444" ca="1">SUM(BF433:BF444/(1+inflation/100)^(AP433:AP444/12))</f>
        <v>267980.53702225379</v>
      </c>
      <c r="CH444" s="32">
        <f ca="1">IFERROR(IF(MOD(AP444-ap_months_since_start,12)=0,ap_drawdown/100*(AQ444+AV444+BA444-BC444),CH443),0)</f>
        <v>37192.014188497276</v>
      </c>
    </row>
    <row r="445" spans="40:86" x14ac:dyDescent="0.25">
      <c r="AN445" s="32">
        <f t="shared" ca="1" si="409"/>
        <v>91.333333333333329</v>
      </c>
      <c r="AO445" s="53">
        <f t="shared" ca="1" si="440"/>
        <v>58927</v>
      </c>
      <c r="AP445" s="22">
        <v>438</v>
      </c>
      <c r="AQ445" s="32">
        <f t="shared" ca="1" si="441"/>
        <v>230927.61192165784</v>
      </c>
      <c r="AR445" s="23">
        <f t="array" aca="1" ref="AR445" ca="1">SUM(IF(lsc_start_date=AO445,lsc_amount,0))</f>
        <v>0</v>
      </c>
      <c r="AS445" s="24">
        <f t="shared" ca="1" si="415"/>
        <v>0</v>
      </c>
      <c r="AT445" s="24">
        <f t="shared" ca="1" si="416"/>
        <v>0</v>
      </c>
      <c r="AU445" s="24">
        <f t="shared" ca="1" si="417"/>
        <v>0</v>
      </c>
      <c r="AV445" s="25">
        <f t="shared" ca="1" si="418"/>
        <v>0</v>
      </c>
      <c r="AW445" s="23">
        <f t="array" aca="1" ref="AW445" ca="1">SUM(IF(rcs_start_date&lt;=AO445,1,0)*IF(rcs_end_date&gt;=AO445,1,0)*rcs_amount*(1+rcs_escalation/100)^(INT((AP445-rcs_months_since_start)/12))*IF(MOD((AP445-rcs_months_since_start),rcs_frequency)=0,1,0)*IF(rcs_frequency=13,0,1))+SUM(IF(rcs_start_date=AO445,rcs_amount,0)*IF(rcs_frequency=13,1,0))</f>
        <v>0</v>
      </c>
      <c r="AX445" s="24">
        <f t="shared" ca="1" si="419"/>
        <v>0</v>
      </c>
      <c r="AY445" s="24">
        <f t="shared" ca="1" si="420"/>
        <v>0</v>
      </c>
      <c r="AZ445" s="24">
        <f t="shared" ca="1" si="421"/>
        <v>0</v>
      </c>
      <c r="BA445" s="25">
        <f t="shared" ca="1" si="422"/>
        <v>0</v>
      </c>
      <c r="BB445" s="23">
        <f t="array" aca="1" ref="BB445" ca="1">SUM(IF(w_start_date&lt;=AO445,1,0)*IF(w_end_date&gt;=AO445,1,0)*w_amount*(1+w_escalation/100)^(INT((AP445-w_months_since_start)/12))*IF(MOD(AP445-w_months_since_start,w_frequency)=0,1,0)*IF(w_frequency=13,0,1))+SUM(IF(w_start_date=AO445,w_amount,0)*IF(w_frequency=13,1,0))</f>
        <v>0</v>
      </c>
      <c r="BC445" s="25">
        <f t="shared" ca="1" si="423"/>
        <v>0</v>
      </c>
      <c r="BD445" s="24" t="b">
        <f t="shared" ca="1" si="424"/>
        <v>1</v>
      </c>
      <c r="BE445" s="24" t="b">
        <f t="shared" ca="1" si="425"/>
        <v>1</v>
      </c>
      <c r="BF445" s="23">
        <f t="array" aca="1" ref="BF445" ca="1">SUM(IF(BD445,1,0)*IF(ap_start_date&lt;=AO445,1,0)*IF(ap_end_date&gt;=AO445,1,0)*ap_amount*(1+ap_escalation/100)^(INT((AP445-ap_months_since_start)/12))*IF(MOD(AP445-ap_months_since_start,ap_frequency)=0,1,0))</f>
        <v>93304.271602059816</v>
      </c>
      <c r="BG445" s="24">
        <f t="shared" ca="1" si="426"/>
        <v>1119651.2592247177</v>
      </c>
      <c r="BH445" s="24">
        <f t="shared" ca="1" si="427"/>
        <v>6049.6806536456579</v>
      </c>
      <c r="BI445">
        <f t="shared" ca="1" si="428"/>
        <v>0</v>
      </c>
      <c r="BJ445" s="24">
        <f t="shared" ca="1" si="429"/>
        <v>42347.764575519599</v>
      </c>
      <c r="BK445">
        <f t="shared" ca="1" si="430"/>
        <v>1</v>
      </c>
      <c r="BL445" s="25">
        <f t="shared" ca="1" si="431"/>
        <v>3528.9803812933005</v>
      </c>
      <c r="BM445" s="32">
        <f t="shared" ca="1" si="410"/>
        <v>229037.56699952297</v>
      </c>
      <c r="BN445" s="23">
        <f t="shared" ca="1" si="432"/>
        <v>0</v>
      </c>
      <c r="BO445" s="24">
        <f t="shared" ca="1" si="433"/>
        <v>0</v>
      </c>
      <c r="BP445" s="25">
        <f t="shared" ca="1" si="434"/>
        <v>0</v>
      </c>
      <c r="BQ445" s="34">
        <f t="shared" ca="1" si="435"/>
        <v>58957</v>
      </c>
      <c r="BR445" s="23">
        <f t="shared" ca="1" si="436"/>
        <v>229037.56699952297</v>
      </c>
      <c r="BS445" s="24">
        <f t="shared" ca="1" si="437"/>
        <v>0</v>
      </c>
      <c r="BT445" s="24">
        <f t="shared" ca="1" si="442"/>
        <v>0</v>
      </c>
      <c r="BU445" s="24">
        <f t="shared" ca="1" si="438"/>
        <v>0</v>
      </c>
      <c r="BV445" s="24">
        <f t="shared" ca="1" si="443"/>
        <v>0</v>
      </c>
      <c r="BW445" s="24">
        <f t="shared" ca="1" si="439"/>
        <v>-3528.9803812933005</v>
      </c>
      <c r="BX445" s="25">
        <f t="shared" ca="1" si="444"/>
        <v>-44165.989254433051</v>
      </c>
      <c r="BY445" s="23">
        <f t="shared" ca="1" si="411"/>
        <v>54725.512481721009</v>
      </c>
      <c r="BZ445" s="24">
        <f t="shared" ca="1" si="412"/>
        <v>0</v>
      </c>
      <c r="CA445" s="24">
        <f t="shared" ca="1" si="445"/>
        <v>0</v>
      </c>
      <c r="CB445" s="24">
        <f t="shared" ca="1" si="413"/>
        <v>0</v>
      </c>
      <c r="CC445" s="24">
        <f t="shared" ca="1" si="446"/>
        <v>0</v>
      </c>
      <c r="CD445" s="24">
        <f t="shared" ca="1" si="414"/>
        <v>-845.96384902619297</v>
      </c>
      <c r="CE445" s="25">
        <f t="shared" ca="1" si="447"/>
        <v>-10785.239793269804</v>
      </c>
      <c r="CF445" s="23">
        <f t="shared" ca="1" si="448"/>
        <v>1101708.1300704754</v>
      </c>
      <c r="CG445" s="25">
        <f t="array" aca="1" ref="CG445" ca="1">SUM(BF434:BF445/(1+inflation/100)^(AP434:AP445/12))</f>
        <v>267980.53702225379</v>
      </c>
      <c r="CH445" s="32">
        <f ca="1">IFERROR(IF(MOD(AP445-ap_months_since_start,12)=0,ap_drawdown/100*(AQ445+AV445+BA445-BC445),CH444),0)</f>
        <v>37192.014188497276</v>
      </c>
    </row>
    <row r="446" spans="40:86" x14ac:dyDescent="0.25">
      <c r="AN446" s="32">
        <f t="shared" ca="1" si="409"/>
        <v>91.416666666666671</v>
      </c>
      <c r="AO446" s="53">
        <f t="shared" ca="1" si="440"/>
        <v>58958</v>
      </c>
      <c r="AP446" s="22">
        <v>439</v>
      </c>
      <c r="AQ446" s="32">
        <f t="shared" ca="1" si="441"/>
        <v>229037.56699952297</v>
      </c>
      <c r="AR446" s="23">
        <f t="array" aca="1" ref="AR446" ca="1">SUM(IF(lsc_start_date=AO446,lsc_amount,0))</f>
        <v>0</v>
      </c>
      <c r="AS446" s="24">
        <f t="shared" ca="1" si="415"/>
        <v>0</v>
      </c>
      <c r="AT446" s="24">
        <f t="shared" ca="1" si="416"/>
        <v>0</v>
      </c>
      <c r="AU446" s="24">
        <f t="shared" ca="1" si="417"/>
        <v>0</v>
      </c>
      <c r="AV446" s="25">
        <f t="shared" ca="1" si="418"/>
        <v>0</v>
      </c>
      <c r="AW446" s="23">
        <f t="array" aca="1" ref="AW446" ca="1">SUM(IF(rcs_start_date&lt;=AO446,1,0)*IF(rcs_end_date&gt;=AO446,1,0)*rcs_amount*(1+rcs_escalation/100)^(INT((AP446-rcs_months_since_start)/12))*IF(MOD((AP446-rcs_months_since_start),rcs_frequency)=0,1,0)*IF(rcs_frequency=13,0,1))+SUM(IF(rcs_start_date=AO446,rcs_amount,0)*IF(rcs_frequency=13,1,0))</f>
        <v>0</v>
      </c>
      <c r="AX446" s="24">
        <f t="shared" ca="1" si="419"/>
        <v>0</v>
      </c>
      <c r="AY446" s="24">
        <f t="shared" ca="1" si="420"/>
        <v>0</v>
      </c>
      <c r="AZ446" s="24">
        <f t="shared" ca="1" si="421"/>
        <v>0</v>
      </c>
      <c r="BA446" s="25">
        <f t="shared" ca="1" si="422"/>
        <v>0</v>
      </c>
      <c r="BB446" s="23">
        <f t="array" aca="1" ref="BB446" ca="1">SUM(IF(w_start_date&lt;=AO446,1,0)*IF(w_end_date&gt;=AO446,1,0)*w_amount*(1+w_escalation/100)^(INT((AP446-w_months_since_start)/12))*IF(MOD(AP446-w_months_since_start,w_frequency)=0,1,0)*IF(w_frequency=13,0,1))+SUM(IF(w_start_date=AO446,w_amount,0)*IF(w_frequency=13,1,0))</f>
        <v>0</v>
      </c>
      <c r="BC446" s="25">
        <f t="shared" ca="1" si="423"/>
        <v>0</v>
      </c>
      <c r="BD446" s="24" t="b">
        <f t="shared" ca="1" si="424"/>
        <v>1</v>
      </c>
      <c r="BE446" s="24" t="b">
        <f t="shared" ca="1" si="425"/>
        <v>1</v>
      </c>
      <c r="BF446" s="23">
        <f t="array" aca="1" ref="BF446" ca="1">SUM(IF(BD446,1,0)*IF(ap_start_date&lt;=AO446,1,0)*IF(ap_end_date&gt;=AO446,1,0)*ap_amount*(1+ap_escalation/100)^(INT((AP446-ap_months_since_start)/12))*IF(MOD(AP446-ap_months_since_start,ap_frequency)=0,1,0))</f>
        <v>93304.271602059816</v>
      </c>
      <c r="BG446" s="24">
        <f t="shared" ca="1" si="426"/>
        <v>1119651.2592247177</v>
      </c>
      <c r="BH446" s="24">
        <f t="shared" ca="1" si="427"/>
        <v>6049.6806536456579</v>
      </c>
      <c r="BI446">
        <f t="shared" ca="1" si="428"/>
        <v>0</v>
      </c>
      <c r="BJ446" s="24">
        <f t="shared" ca="1" si="429"/>
        <v>42347.764575519599</v>
      </c>
      <c r="BK446">
        <f t="shared" ca="1" si="430"/>
        <v>1</v>
      </c>
      <c r="BL446" s="25">
        <f t="shared" ca="1" si="431"/>
        <v>3528.9803812933005</v>
      </c>
      <c r="BM446" s="32">
        <f t="shared" ca="1" si="410"/>
        <v>227133.89991255227</v>
      </c>
      <c r="BN446" s="23">
        <f t="shared" ca="1" si="432"/>
        <v>0</v>
      </c>
      <c r="BO446" s="24">
        <f t="shared" ca="1" si="433"/>
        <v>0</v>
      </c>
      <c r="BP446" s="25">
        <f t="shared" ca="1" si="434"/>
        <v>0</v>
      </c>
      <c r="BQ446" s="34">
        <f t="shared" ca="1" si="435"/>
        <v>58987</v>
      </c>
      <c r="BR446" s="23">
        <f t="shared" ca="1" si="436"/>
        <v>227133.89991255227</v>
      </c>
      <c r="BS446" s="24">
        <f t="shared" ca="1" si="437"/>
        <v>0</v>
      </c>
      <c r="BT446" s="24">
        <f t="shared" ca="1" si="442"/>
        <v>0</v>
      </c>
      <c r="BU446" s="24">
        <f t="shared" ca="1" si="438"/>
        <v>0</v>
      </c>
      <c r="BV446" s="24">
        <f t="shared" ca="1" si="443"/>
        <v>0</v>
      </c>
      <c r="BW446" s="24">
        <f t="shared" ca="1" si="439"/>
        <v>-3528.9803812933005</v>
      </c>
      <c r="BX446" s="25">
        <f t="shared" ca="1" si="444"/>
        <v>-43802.344318650365</v>
      </c>
      <c r="BY446" s="23">
        <f t="shared" ca="1" si="411"/>
        <v>54093.568018119433</v>
      </c>
      <c r="BZ446" s="24">
        <f t="shared" ca="1" si="412"/>
        <v>0</v>
      </c>
      <c r="CA446" s="24">
        <f t="shared" ca="1" si="445"/>
        <v>0</v>
      </c>
      <c r="CB446" s="24">
        <f t="shared" ca="1" si="413"/>
        <v>0</v>
      </c>
      <c r="CC446" s="24">
        <f t="shared" ca="1" si="446"/>
        <v>0</v>
      </c>
      <c r="CD446" s="24">
        <f t="shared" ca="1" si="414"/>
        <v>-843.20342044419863</v>
      </c>
      <c r="CE446" s="25">
        <f t="shared" ca="1" si="447"/>
        <v>-10661.14795777104</v>
      </c>
      <c r="CF446" s="23">
        <f t="shared" ca="1" si="448"/>
        <v>1105296.7559013239</v>
      </c>
      <c r="CG446" s="25">
        <f t="array" aca="1" ref="CG446" ca="1">SUM(BF435:BF446/(1+inflation/100)^(AP435:AP446/12))</f>
        <v>267980.53702225379</v>
      </c>
      <c r="CH446" s="32">
        <f ca="1">IFERROR(IF(MOD(AP446-ap_months_since_start,12)=0,ap_drawdown/100*(AQ446+AV446+BA446-BC446),CH445),0)</f>
        <v>37192.014188497276</v>
      </c>
    </row>
    <row r="447" spans="40:86" x14ac:dyDescent="0.25">
      <c r="AN447" s="32">
        <f t="shared" ca="1" si="409"/>
        <v>91.5</v>
      </c>
      <c r="AO447" s="53">
        <f t="shared" ca="1" si="440"/>
        <v>58988</v>
      </c>
      <c r="AP447" s="22">
        <v>440</v>
      </c>
      <c r="AQ447" s="32">
        <f t="shared" ca="1" si="441"/>
        <v>227133.89991255227</v>
      </c>
      <c r="AR447" s="23">
        <f t="array" aca="1" ref="AR447" ca="1">SUM(IF(lsc_start_date=AO447,lsc_amount,0))</f>
        <v>0</v>
      </c>
      <c r="AS447" s="24">
        <f t="shared" ca="1" si="415"/>
        <v>0</v>
      </c>
      <c r="AT447" s="24">
        <f t="shared" ca="1" si="416"/>
        <v>0</v>
      </c>
      <c r="AU447" s="24">
        <f t="shared" ca="1" si="417"/>
        <v>0</v>
      </c>
      <c r="AV447" s="25">
        <f t="shared" ca="1" si="418"/>
        <v>0</v>
      </c>
      <c r="AW447" s="23">
        <f t="array" aca="1" ref="AW447" ca="1">SUM(IF(rcs_start_date&lt;=AO447,1,0)*IF(rcs_end_date&gt;=AO447,1,0)*rcs_amount*(1+rcs_escalation/100)^(INT((AP447-rcs_months_since_start)/12))*IF(MOD((AP447-rcs_months_since_start),rcs_frequency)=0,1,0)*IF(rcs_frequency=13,0,1))+SUM(IF(rcs_start_date=AO447,rcs_amount,0)*IF(rcs_frequency=13,1,0))</f>
        <v>0</v>
      </c>
      <c r="AX447" s="24">
        <f t="shared" ca="1" si="419"/>
        <v>0</v>
      </c>
      <c r="AY447" s="24">
        <f t="shared" ca="1" si="420"/>
        <v>0</v>
      </c>
      <c r="AZ447" s="24">
        <f t="shared" ca="1" si="421"/>
        <v>0</v>
      </c>
      <c r="BA447" s="25">
        <f t="shared" ca="1" si="422"/>
        <v>0</v>
      </c>
      <c r="BB447" s="23">
        <f t="array" aca="1" ref="BB447" ca="1">SUM(IF(w_start_date&lt;=AO447,1,0)*IF(w_end_date&gt;=AO447,1,0)*w_amount*(1+w_escalation/100)^(INT((AP447-w_months_since_start)/12))*IF(MOD(AP447-w_months_since_start,w_frequency)=0,1,0)*IF(w_frequency=13,0,1))+SUM(IF(w_start_date=AO447,w_amount,0)*IF(w_frequency=13,1,0))</f>
        <v>0</v>
      </c>
      <c r="BC447" s="25">
        <f t="shared" ca="1" si="423"/>
        <v>0</v>
      </c>
      <c r="BD447" s="24" t="b">
        <f t="shared" ca="1" si="424"/>
        <v>1</v>
      </c>
      <c r="BE447" s="24" t="b">
        <f t="shared" ca="1" si="425"/>
        <v>1</v>
      </c>
      <c r="BF447" s="23">
        <f t="array" aca="1" ref="BF447" ca="1">SUM(IF(BD447,1,0)*IF(ap_start_date&lt;=AO447,1,0)*IF(ap_end_date&gt;=AO447,1,0)*ap_amount*(1+ap_escalation/100)^(INT((AP447-ap_months_since_start)/12))*IF(MOD(AP447-ap_months_since_start,ap_frequency)=0,1,0))</f>
        <v>93304.271602059816</v>
      </c>
      <c r="BG447" s="24">
        <f t="shared" ca="1" si="426"/>
        <v>1119651.2592247177</v>
      </c>
      <c r="BH447" s="24">
        <f t="shared" ca="1" si="427"/>
        <v>6049.6806536456579</v>
      </c>
      <c r="BI447">
        <f t="shared" ca="1" si="428"/>
        <v>0</v>
      </c>
      <c r="BJ447" s="24">
        <f t="shared" ca="1" si="429"/>
        <v>42347.764575519599</v>
      </c>
      <c r="BK447">
        <f t="shared" ca="1" si="430"/>
        <v>1</v>
      </c>
      <c r="BL447" s="25">
        <f t="shared" ca="1" si="431"/>
        <v>3528.9803812933005</v>
      </c>
      <c r="BM447" s="32">
        <f t="shared" ca="1" si="410"/>
        <v>225216.51248139946</v>
      </c>
      <c r="BN447" s="23">
        <f t="shared" ca="1" si="432"/>
        <v>0</v>
      </c>
      <c r="BO447" s="24">
        <f t="shared" ca="1" si="433"/>
        <v>0</v>
      </c>
      <c r="BP447" s="25">
        <f t="shared" ca="1" si="434"/>
        <v>0</v>
      </c>
      <c r="BQ447" s="34">
        <f t="shared" ca="1" si="435"/>
        <v>59018</v>
      </c>
      <c r="BR447" s="23">
        <f t="shared" ca="1" si="436"/>
        <v>225216.51248139946</v>
      </c>
      <c r="BS447" s="24">
        <f t="shared" ca="1" si="437"/>
        <v>0</v>
      </c>
      <c r="BT447" s="24">
        <f t="shared" ca="1" si="442"/>
        <v>0</v>
      </c>
      <c r="BU447" s="24">
        <f t="shared" ca="1" si="438"/>
        <v>0</v>
      </c>
      <c r="BV447" s="24">
        <f t="shared" ca="1" si="443"/>
        <v>0</v>
      </c>
      <c r="BW447" s="24">
        <f t="shared" ca="1" si="439"/>
        <v>-3528.9803812933005</v>
      </c>
      <c r="BX447" s="25">
        <f t="shared" ca="1" si="444"/>
        <v>-43438.699382867679</v>
      </c>
      <c r="BY447" s="23">
        <f t="shared" ca="1" si="411"/>
        <v>53461.908068284356</v>
      </c>
      <c r="BZ447" s="24">
        <f t="shared" ca="1" si="412"/>
        <v>0</v>
      </c>
      <c r="CA447" s="24">
        <f t="shared" ca="1" si="445"/>
        <v>0</v>
      </c>
      <c r="CB447" s="24">
        <f t="shared" ca="1" si="413"/>
        <v>0</v>
      </c>
      <c r="CC447" s="24">
        <f t="shared" ca="1" si="446"/>
        <v>0</v>
      </c>
      <c r="CD447" s="24">
        <f t="shared" ca="1" si="414"/>
        <v>-840.45199929906471</v>
      </c>
      <c r="CE447" s="25">
        <f t="shared" ca="1" si="447"/>
        <v>-10537.461041052075</v>
      </c>
      <c r="CF447" s="23">
        <f t="shared" ca="1" si="448"/>
        <v>1108885.3817321723</v>
      </c>
      <c r="CG447" s="25">
        <f t="array" aca="1" ref="CG447" ca="1">SUM(BF436:BF447/(1+inflation/100)^(AP436:AP447/12))</f>
        <v>267980.53702225385</v>
      </c>
      <c r="CH447" s="32">
        <f ca="1">IFERROR(IF(MOD(AP447-ap_months_since_start,12)=0,ap_drawdown/100*(AQ447+AV447+BA447-BC447),CH446),0)</f>
        <v>37192.014188497276</v>
      </c>
    </row>
    <row r="448" spans="40:86" x14ac:dyDescent="0.25">
      <c r="AN448" s="32">
        <f t="shared" ca="1" si="409"/>
        <v>91.583333333333329</v>
      </c>
      <c r="AO448" s="53">
        <f t="shared" ca="1" si="440"/>
        <v>59019</v>
      </c>
      <c r="AP448" s="22">
        <v>441</v>
      </c>
      <c r="AQ448" s="32">
        <f t="shared" ca="1" si="441"/>
        <v>225216.51248139946</v>
      </c>
      <c r="AR448" s="23">
        <f t="array" aca="1" ref="AR448" ca="1">SUM(IF(lsc_start_date=AO448,lsc_amount,0))</f>
        <v>0</v>
      </c>
      <c r="AS448" s="24">
        <f t="shared" ca="1" si="415"/>
        <v>0</v>
      </c>
      <c r="AT448" s="24">
        <f t="shared" ca="1" si="416"/>
        <v>0</v>
      </c>
      <c r="AU448" s="24">
        <f t="shared" ca="1" si="417"/>
        <v>0</v>
      </c>
      <c r="AV448" s="25">
        <f t="shared" ca="1" si="418"/>
        <v>0</v>
      </c>
      <c r="AW448" s="23">
        <f t="array" aca="1" ref="AW448" ca="1">SUM(IF(rcs_start_date&lt;=AO448,1,0)*IF(rcs_end_date&gt;=AO448,1,0)*rcs_amount*(1+rcs_escalation/100)^(INT((AP448-rcs_months_since_start)/12))*IF(MOD((AP448-rcs_months_since_start),rcs_frequency)=0,1,0)*IF(rcs_frequency=13,0,1))+SUM(IF(rcs_start_date=AO448,rcs_amount,0)*IF(rcs_frequency=13,1,0))</f>
        <v>0</v>
      </c>
      <c r="AX448" s="24">
        <f t="shared" ca="1" si="419"/>
        <v>0</v>
      </c>
      <c r="AY448" s="24">
        <f t="shared" ca="1" si="420"/>
        <v>0</v>
      </c>
      <c r="AZ448" s="24">
        <f t="shared" ca="1" si="421"/>
        <v>0</v>
      </c>
      <c r="BA448" s="25">
        <f t="shared" ca="1" si="422"/>
        <v>0</v>
      </c>
      <c r="BB448" s="23">
        <f t="array" aca="1" ref="BB448" ca="1">SUM(IF(w_start_date&lt;=AO448,1,0)*IF(w_end_date&gt;=AO448,1,0)*w_amount*(1+w_escalation/100)^(INT((AP448-w_months_since_start)/12))*IF(MOD(AP448-w_months_since_start,w_frequency)=0,1,0)*IF(w_frequency=13,0,1))+SUM(IF(w_start_date=AO448,w_amount,0)*IF(w_frequency=13,1,0))</f>
        <v>0</v>
      </c>
      <c r="BC448" s="25">
        <f t="shared" ca="1" si="423"/>
        <v>0</v>
      </c>
      <c r="BD448" s="24" t="b">
        <f t="shared" ca="1" si="424"/>
        <v>1</v>
      </c>
      <c r="BE448" s="24" t="b">
        <f t="shared" ca="1" si="425"/>
        <v>1</v>
      </c>
      <c r="BF448" s="23">
        <f t="array" aca="1" ref="BF448" ca="1">SUM(IF(BD448,1,0)*IF(ap_start_date&lt;=AO448,1,0)*IF(ap_end_date&gt;=AO448,1,0)*ap_amount*(1+ap_escalation/100)^(INT((AP448-ap_months_since_start)/12))*IF(MOD(AP448-ap_months_since_start,ap_frequency)=0,1,0))</f>
        <v>93304.271602059816</v>
      </c>
      <c r="BG448" s="24">
        <f t="shared" ca="1" si="426"/>
        <v>1119651.2592247177</v>
      </c>
      <c r="BH448" s="24">
        <f t="shared" ca="1" si="427"/>
        <v>6049.6806536456579</v>
      </c>
      <c r="BI448">
        <f t="shared" ca="1" si="428"/>
        <v>0</v>
      </c>
      <c r="BJ448" s="24">
        <f t="shared" ca="1" si="429"/>
        <v>42347.764575519599</v>
      </c>
      <c r="BK448">
        <f t="shared" ca="1" si="430"/>
        <v>1</v>
      </c>
      <c r="BL448" s="25">
        <f t="shared" ca="1" si="431"/>
        <v>3528.9803812933005</v>
      </c>
      <c r="BM448" s="32">
        <f t="shared" ca="1" si="410"/>
        <v>223285.30581910806</v>
      </c>
      <c r="BN448" s="23">
        <f t="shared" ca="1" si="432"/>
        <v>0</v>
      </c>
      <c r="BO448" s="24">
        <f t="shared" ca="1" si="433"/>
        <v>0</v>
      </c>
      <c r="BP448" s="25">
        <f t="shared" ca="1" si="434"/>
        <v>0</v>
      </c>
      <c r="BQ448" s="34">
        <f t="shared" ca="1" si="435"/>
        <v>59049</v>
      </c>
      <c r="BR448" s="23">
        <f t="shared" ca="1" si="436"/>
        <v>223285.30581910806</v>
      </c>
      <c r="BS448" s="24">
        <f t="shared" ca="1" si="437"/>
        <v>0</v>
      </c>
      <c r="BT448" s="24">
        <f t="shared" ca="1" si="442"/>
        <v>0</v>
      </c>
      <c r="BU448" s="24">
        <f t="shared" ca="1" si="438"/>
        <v>0</v>
      </c>
      <c r="BV448" s="24">
        <f t="shared" ca="1" si="443"/>
        <v>0</v>
      </c>
      <c r="BW448" s="24">
        <f t="shared" ca="1" si="439"/>
        <v>-3528.9803812933005</v>
      </c>
      <c r="BX448" s="25">
        <f t="shared" ca="1" si="444"/>
        <v>-43075.054447084993</v>
      </c>
      <c r="BY448" s="23">
        <f t="shared" ca="1" si="411"/>
        <v>52830.524734476799</v>
      </c>
      <c r="BZ448" s="24">
        <f t="shared" ca="1" si="412"/>
        <v>0</v>
      </c>
      <c r="CA448" s="24">
        <f t="shared" ca="1" si="445"/>
        <v>0</v>
      </c>
      <c r="CB448" s="24">
        <f t="shared" ca="1" si="413"/>
        <v>0</v>
      </c>
      <c r="CC448" s="24">
        <f t="shared" ca="1" si="446"/>
        <v>0</v>
      </c>
      <c r="CD448" s="24">
        <f t="shared" ca="1" si="414"/>
        <v>-837.70955619900815</v>
      </c>
      <c r="CE448" s="25">
        <f t="shared" ca="1" si="447"/>
        <v>-10414.177721839696</v>
      </c>
      <c r="CF448" s="23">
        <f t="shared" ca="1" si="448"/>
        <v>1112474.0075630208</v>
      </c>
      <c r="CG448" s="25">
        <f t="array" aca="1" ref="CG448" ca="1">SUM(BF437:BF448/(1+inflation/100)^(AP437:AP448/12))</f>
        <v>267980.53702225385</v>
      </c>
      <c r="CH448" s="32">
        <f ca="1">IFERROR(IF(MOD(AP448-ap_months_since_start,12)=0,ap_drawdown/100*(AQ448+AV448+BA448-BC448),CH447),0)</f>
        <v>37192.014188497276</v>
      </c>
    </row>
    <row r="449" spans="40:86" x14ac:dyDescent="0.25">
      <c r="AN449" s="32">
        <f t="shared" ca="1" si="409"/>
        <v>91.666666666666671</v>
      </c>
      <c r="AO449" s="53">
        <f t="shared" ca="1" si="440"/>
        <v>59050</v>
      </c>
      <c r="AP449" s="22">
        <v>442</v>
      </c>
      <c r="AQ449" s="32">
        <f t="shared" ca="1" si="441"/>
        <v>223285.30581910806</v>
      </c>
      <c r="AR449" s="23">
        <f t="array" aca="1" ref="AR449" ca="1">SUM(IF(lsc_start_date=AO449,lsc_amount,0))</f>
        <v>0</v>
      </c>
      <c r="AS449" s="24">
        <f t="shared" ca="1" si="415"/>
        <v>0</v>
      </c>
      <c r="AT449" s="24">
        <f t="shared" ca="1" si="416"/>
        <v>0</v>
      </c>
      <c r="AU449" s="24">
        <f t="shared" ca="1" si="417"/>
        <v>0</v>
      </c>
      <c r="AV449" s="25">
        <f t="shared" ca="1" si="418"/>
        <v>0</v>
      </c>
      <c r="AW449" s="23">
        <f t="array" aca="1" ref="AW449" ca="1">SUM(IF(rcs_start_date&lt;=AO449,1,0)*IF(rcs_end_date&gt;=AO449,1,0)*rcs_amount*(1+rcs_escalation/100)^(INT((AP449-rcs_months_since_start)/12))*IF(MOD((AP449-rcs_months_since_start),rcs_frequency)=0,1,0)*IF(rcs_frequency=13,0,1))+SUM(IF(rcs_start_date=AO449,rcs_amount,0)*IF(rcs_frequency=13,1,0))</f>
        <v>0</v>
      </c>
      <c r="AX449" s="24">
        <f t="shared" ca="1" si="419"/>
        <v>0</v>
      </c>
      <c r="AY449" s="24">
        <f t="shared" ca="1" si="420"/>
        <v>0</v>
      </c>
      <c r="AZ449" s="24">
        <f t="shared" ca="1" si="421"/>
        <v>0</v>
      </c>
      <c r="BA449" s="25">
        <f t="shared" ca="1" si="422"/>
        <v>0</v>
      </c>
      <c r="BB449" s="23">
        <f t="array" aca="1" ref="BB449" ca="1">SUM(IF(w_start_date&lt;=AO449,1,0)*IF(w_end_date&gt;=AO449,1,0)*w_amount*(1+w_escalation/100)^(INT((AP449-w_months_since_start)/12))*IF(MOD(AP449-w_months_since_start,w_frequency)=0,1,0)*IF(w_frequency=13,0,1))+SUM(IF(w_start_date=AO449,w_amount,0)*IF(w_frequency=13,1,0))</f>
        <v>0</v>
      </c>
      <c r="BC449" s="25">
        <f t="shared" ca="1" si="423"/>
        <v>0</v>
      </c>
      <c r="BD449" s="24" t="b">
        <f t="shared" ca="1" si="424"/>
        <v>1</v>
      </c>
      <c r="BE449" s="24" t="b">
        <f t="shared" ca="1" si="425"/>
        <v>1</v>
      </c>
      <c r="BF449" s="23">
        <f t="array" aca="1" ref="BF449" ca="1">SUM(IF(BD449,1,0)*IF(ap_start_date&lt;=AO449,1,0)*IF(ap_end_date&gt;=AO449,1,0)*ap_amount*(1+ap_escalation/100)^(INT((AP449-ap_months_since_start)/12))*IF(MOD(AP449-ap_months_since_start,ap_frequency)=0,1,0))</f>
        <v>93304.271602059816</v>
      </c>
      <c r="BG449" s="24">
        <f t="shared" ca="1" si="426"/>
        <v>1119651.2592247177</v>
      </c>
      <c r="BH449" s="24">
        <f t="shared" ca="1" si="427"/>
        <v>6049.6806536456579</v>
      </c>
      <c r="BI449">
        <f t="shared" ca="1" si="428"/>
        <v>0</v>
      </c>
      <c r="BJ449" s="24">
        <f t="shared" ca="1" si="429"/>
        <v>42347.764575519599</v>
      </c>
      <c r="BK449">
        <f t="shared" ca="1" si="430"/>
        <v>1</v>
      </c>
      <c r="BL449" s="25">
        <f t="shared" ca="1" si="431"/>
        <v>3528.9803812933005</v>
      </c>
      <c r="BM449" s="32">
        <f t="shared" ca="1" si="410"/>
        <v>221340.18032601124</v>
      </c>
      <c r="BN449" s="23">
        <f t="shared" ca="1" si="432"/>
        <v>0</v>
      </c>
      <c r="BO449" s="24">
        <f t="shared" ca="1" si="433"/>
        <v>0</v>
      </c>
      <c r="BP449" s="25">
        <f t="shared" ca="1" si="434"/>
        <v>0</v>
      </c>
      <c r="BQ449" s="34">
        <f t="shared" ca="1" si="435"/>
        <v>59079</v>
      </c>
      <c r="BR449" s="23">
        <f t="shared" ca="1" si="436"/>
        <v>221340.18032601124</v>
      </c>
      <c r="BS449" s="24">
        <f t="shared" ca="1" si="437"/>
        <v>0</v>
      </c>
      <c r="BT449" s="24">
        <f t="shared" ca="1" si="442"/>
        <v>0</v>
      </c>
      <c r="BU449" s="24">
        <f t="shared" ca="1" si="438"/>
        <v>0</v>
      </c>
      <c r="BV449" s="24">
        <f t="shared" ca="1" si="443"/>
        <v>0</v>
      </c>
      <c r="BW449" s="24">
        <f t="shared" ca="1" si="439"/>
        <v>-3528.9803812933005</v>
      </c>
      <c r="BX449" s="25">
        <f t="shared" ca="1" si="444"/>
        <v>-42711.409511302307</v>
      </c>
      <c r="BY449" s="23">
        <f t="shared" ca="1" si="411"/>
        <v>52199.410117403531</v>
      </c>
      <c r="BZ449" s="24">
        <f t="shared" ca="1" si="412"/>
        <v>0</v>
      </c>
      <c r="CA449" s="24">
        <f t="shared" ca="1" si="445"/>
        <v>0</v>
      </c>
      <c r="CB449" s="24">
        <f t="shared" ca="1" si="413"/>
        <v>0</v>
      </c>
      <c r="CC449" s="24">
        <f t="shared" ca="1" si="446"/>
        <v>0</v>
      </c>
      <c r="CD449" s="24">
        <f t="shared" ca="1" si="414"/>
        <v>-834.97606184815186</v>
      </c>
      <c r="CE449" s="25">
        <f t="shared" ca="1" si="447"/>
        <v>-10291.296683172082</v>
      </c>
      <c r="CF449" s="23">
        <f t="shared" ca="1" si="448"/>
        <v>1116062.6333938693</v>
      </c>
      <c r="CG449" s="25">
        <f t="array" aca="1" ref="CG449" ca="1">SUM(BF438:BF449/(1+inflation/100)^(AP438:AP449/12))</f>
        <v>267980.53702225379</v>
      </c>
      <c r="CH449" s="32">
        <f ca="1">IFERROR(IF(MOD(AP449-ap_months_since_start,12)=0,ap_drawdown/100*(AQ449+AV449+BA449-BC449),CH448),0)</f>
        <v>37192.014188497276</v>
      </c>
    </row>
    <row r="450" spans="40:86" x14ac:dyDescent="0.25">
      <c r="AN450" s="32">
        <f t="shared" ca="1" si="409"/>
        <v>91.75</v>
      </c>
      <c r="AO450" s="53">
        <f t="shared" ca="1" si="440"/>
        <v>59080</v>
      </c>
      <c r="AP450" s="22">
        <v>443</v>
      </c>
      <c r="AQ450" s="32">
        <f t="shared" ca="1" si="441"/>
        <v>221340.18032601124</v>
      </c>
      <c r="AR450" s="23">
        <f t="array" aca="1" ref="AR450" ca="1">SUM(IF(lsc_start_date=AO450,lsc_amount,0))</f>
        <v>0</v>
      </c>
      <c r="AS450" s="24">
        <f t="shared" ca="1" si="415"/>
        <v>0</v>
      </c>
      <c r="AT450" s="24">
        <f t="shared" ca="1" si="416"/>
        <v>0</v>
      </c>
      <c r="AU450" s="24">
        <f t="shared" ca="1" si="417"/>
        <v>0</v>
      </c>
      <c r="AV450" s="25">
        <f t="shared" ca="1" si="418"/>
        <v>0</v>
      </c>
      <c r="AW450" s="23">
        <f t="array" aca="1" ref="AW450" ca="1">SUM(IF(rcs_start_date&lt;=AO450,1,0)*IF(rcs_end_date&gt;=AO450,1,0)*rcs_amount*(1+rcs_escalation/100)^(INT((AP450-rcs_months_since_start)/12))*IF(MOD((AP450-rcs_months_since_start),rcs_frequency)=0,1,0)*IF(rcs_frequency=13,0,1))+SUM(IF(rcs_start_date=AO450,rcs_amount,0)*IF(rcs_frequency=13,1,0))</f>
        <v>0</v>
      </c>
      <c r="AX450" s="24">
        <f t="shared" ca="1" si="419"/>
        <v>0</v>
      </c>
      <c r="AY450" s="24">
        <f t="shared" ca="1" si="420"/>
        <v>0</v>
      </c>
      <c r="AZ450" s="24">
        <f t="shared" ca="1" si="421"/>
        <v>0</v>
      </c>
      <c r="BA450" s="25">
        <f t="shared" ca="1" si="422"/>
        <v>0</v>
      </c>
      <c r="BB450" s="23">
        <f t="array" aca="1" ref="BB450" ca="1">SUM(IF(w_start_date&lt;=AO450,1,0)*IF(w_end_date&gt;=AO450,1,0)*w_amount*(1+w_escalation/100)^(INT((AP450-w_months_since_start)/12))*IF(MOD(AP450-w_months_since_start,w_frequency)=0,1,0)*IF(w_frequency=13,0,1))+SUM(IF(w_start_date=AO450,w_amount,0)*IF(w_frequency=13,1,0))</f>
        <v>0</v>
      </c>
      <c r="BC450" s="25">
        <f t="shared" ca="1" si="423"/>
        <v>0</v>
      </c>
      <c r="BD450" s="24" t="b">
        <f t="shared" ca="1" si="424"/>
        <v>1</v>
      </c>
      <c r="BE450" s="24" t="b">
        <f t="shared" ca="1" si="425"/>
        <v>1</v>
      </c>
      <c r="BF450" s="23">
        <f t="array" aca="1" ref="BF450" ca="1">SUM(IF(BD450,1,0)*IF(ap_start_date&lt;=AO450,1,0)*IF(ap_end_date&gt;=AO450,1,0)*ap_amount*(1+ap_escalation/100)^(INT((AP450-ap_months_since_start)/12))*IF(MOD(AP450-ap_months_since_start,ap_frequency)=0,1,0))</f>
        <v>93304.271602059816</v>
      </c>
      <c r="BG450" s="24">
        <f t="shared" ca="1" si="426"/>
        <v>1119651.2592247177</v>
      </c>
      <c r="BH450" s="24">
        <f t="shared" ca="1" si="427"/>
        <v>6049.6806536456579</v>
      </c>
      <c r="BI450">
        <f t="shared" ca="1" si="428"/>
        <v>0</v>
      </c>
      <c r="BJ450" s="24">
        <f t="shared" ca="1" si="429"/>
        <v>42347.764575519599</v>
      </c>
      <c r="BK450">
        <f t="shared" ca="1" si="430"/>
        <v>1</v>
      </c>
      <c r="BL450" s="25">
        <f t="shared" ca="1" si="431"/>
        <v>3528.9803812933005</v>
      </c>
      <c r="BM450" s="32">
        <f t="shared" ca="1" si="410"/>
        <v>219381.0356845952</v>
      </c>
      <c r="BN450" s="23">
        <f t="shared" ca="1" si="432"/>
        <v>0</v>
      </c>
      <c r="BO450" s="24">
        <f t="shared" ca="1" si="433"/>
        <v>0</v>
      </c>
      <c r="BP450" s="25">
        <f t="shared" ca="1" si="434"/>
        <v>0</v>
      </c>
      <c r="BQ450" s="34">
        <f t="shared" ca="1" si="435"/>
        <v>59110</v>
      </c>
      <c r="BR450" s="23">
        <f t="shared" ca="1" si="436"/>
        <v>219381.0356845952</v>
      </c>
      <c r="BS450" s="24">
        <f t="shared" ca="1" si="437"/>
        <v>0</v>
      </c>
      <c r="BT450" s="24">
        <f t="shared" ca="1" si="442"/>
        <v>0</v>
      </c>
      <c r="BU450" s="24">
        <f t="shared" ca="1" si="438"/>
        <v>0</v>
      </c>
      <c r="BV450" s="24">
        <f t="shared" ca="1" si="443"/>
        <v>0</v>
      </c>
      <c r="BW450" s="24">
        <f t="shared" ca="1" si="439"/>
        <v>-3528.9803812933005</v>
      </c>
      <c r="BX450" s="25">
        <f t="shared" ca="1" si="444"/>
        <v>-42347.764575519621</v>
      </c>
      <c r="BY450" s="23">
        <f t="shared" ca="1" si="411"/>
        <v>51568.556316114962</v>
      </c>
      <c r="BZ450" s="24">
        <f t="shared" ca="1" si="412"/>
        <v>0</v>
      </c>
      <c r="CA450" s="24">
        <f t="shared" ca="1" si="445"/>
        <v>0</v>
      </c>
      <c r="CB450" s="24">
        <f t="shared" ca="1" si="413"/>
        <v>0</v>
      </c>
      <c r="CC450" s="24">
        <f t="shared" ca="1" si="446"/>
        <v>0</v>
      </c>
      <c r="CD450" s="24">
        <f t="shared" ca="1" si="414"/>
        <v>-832.25148704621438</v>
      </c>
      <c r="CE450" s="25">
        <f t="shared" ca="1" si="447"/>
        <v>-10168.816612384733</v>
      </c>
      <c r="CF450" s="23">
        <f t="shared" ca="1" si="448"/>
        <v>1119651.2592247177</v>
      </c>
      <c r="CG450" s="25">
        <f t="array" aca="1" ref="CG450" ca="1">SUM(BF439:BF450/(1+inflation/100)^(AP439:AP450/12))</f>
        <v>267980.53702225385</v>
      </c>
      <c r="CH450" s="32">
        <f ca="1">IFERROR(IF(MOD(AP450-ap_months_since_start,12)=0,ap_drawdown/100*(AQ450+AV450+BA450-BC450),CH449),0)</f>
        <v>37192.014188497276</v>
      </c>
    </row>
    <row r="451" spans="40:86" x14ac:dyDescent="0.25">
      <c r="AN451" s="32">
        <f t="shared" ca="1" si="409"/>
        <v>91.833333333333329</v>
      </c>
      <c r="AO451" s="53">
        <f t="shared" ca="1" si="440"/>
        <v>59111</v>
      </c>
      <c r="AP451" s="22">
        <v>444</v>
      </c>
      <c r="AQ451" s="32">
        <f t="shared" ca="1" si="441"/>
        <v>219381.0356845952</v>
      </c>
      <c r="AR451" s="23">
        <f t="array" aca="1" ref="AR451" ca="1">SUM(IF(lsc_start_date=AO451,lsc_amount,0))</f>
        <v>0</v>
      </c>
      <c r="AS451" s="24">
        <f t="shared" ca="1" si="415"/>
        <v>0</v>
      </c>
      <c r="AT451" s="24">
        <f t="shared" ca="1" si="416"/>
        <v>0</v>
      </c>
      <c r="AU451" s="24">
        <f t="shared" ca="1" si="417"/>
        <v>0</v>
      </c>
      <c r="AV451" s="25">
        <f t="shared" ca="1" si="418"/>
        <v>0</v>
      </c>
      <c r="AW451" s="23">
        <f t="array" aca="1" ref="AW451" ca="1">SUM(IF(rcs_start_date&lt;=AO451,1,0)*IF(rcs_end_date&gt;=AO451,1,0)*rcs_amount*(1+rcs_escalation/100)^(INT((AP451-rcs_months_since_start)/12))*IF(MOD((AP451-rcs_months_since_start),rcs_frequency)=0,1,0)*IF(rcs_frequency=13,0,1))+SUM(IF(rcs_start_date=AO451,rcs_amount,0)*IF(rcs_frequency=13,1,0))</f>
        <v>0</v>
      </c>
      <c r="AX451" s="24">
        <f t="shared" ca="1" si="419"/>
        <v>0</v>
      </c>
      <c r="AY451" s="24">
        <f t="shared" ca="1" si="420"/>
        <v>0</v>
      </c>
      <c r="AZ451" s="24">
        <f t="shared" ca="1" si="421"/>
        <v>0</v>
      </c>
      <c r="BA451" s="25">
        <f t="shared" ca="1" si="422"/>
        <v>0</v>
      </c>
      <c r="BB451" s="23">
        <f t="array" aca="1" ref="BB451" ca="1">SUM(IF(w_start_date&lt;=AO451,1,0)*IF(w_end_date&gt;=AO451,1,0)*w_amount*(1+w_escalation/100)^(INT((AP451-w_months_since_start)/12))*IF(MOD(AP451-w_months_since_start,w_frequency)=0,1,0)*IF(w_frequency=13,0,1))+SUM(IF(w_start_date=AO451,w_amount,0)*IF(w_frequency=13,1,0))</f>
        <v>0</v>
      </c>
      <c r="BC451" s="25">
        <f t="shared" ca="1" si="423"/>
        <v>0</v>
      </c>
      <c r="BD451" s="24" t="b">
        <f t="shared" ca="1" si="424"/>
        <v>1</v>
      </c>
      <c r="BE451" s="24" t="b">
        <f t="shared" ca="1" si="425"/>
        <v>1</v>
      </c>
      <c r="BF451" s="23">
        <f t="array" aca="1" ref="BF451" ca="1">SUM(IF(BD451,1,0)*IF(ap_start_date&lt;=AO451,1,0)*IF(ap_end_date&gt;=AO451,1,0)*ap_amount*(1+ap_escalation/100)^(INT((AP451-ap_months_since_start)/12))*IF(MOD(AP451-ap_months_since_start,ap_frequency)=0,1,0))</f>
        <v>97036.442466142194</v>
      </c>
      <c r="BG451" s="24">
        <f t="shared" ca="1" si="426"/>
        <v>1164437.3095937064</v>
      </c>
      <c r="BH451" s="24">
        <f t="shared" ca="1" si="427"/>
        <v>5484.5258921148807</v>
      </c>
      <c r="BI451">
        <f t="shared" ca="1" si="428"/>
        <v>0</v>
      </c>
      <c r="BJ451" s="24">
        <f t="shared" ca="1" si="429"/>
        <v>38391.68124480416</v>
      </c>
      <c r="BK451">
        <f t="shared" ca="1" si="430"/>
        <v>1</v>
      </c>
      <c r="BL451" s="25">
        <f t="shared" ca="1" si="431"/>
        <v>3199.3067704003465</v>
      </c>
      <c r="BM451" s="32">
        <f t="shared" ca="1" si="410"/>
        <v>217739.82052952089</v>
      </c>
      <c r="BN451" s="23">
        <f t="shared" ca="1" si="432"/>
        <v>0</v>
      </c>
      <c r="BO451" s="24">
        <f t="shared" ca="1" si="433"/>
        <v>0</v>
      </c>
      <c r="BP451" s="25">
        <f t="shared" ca="1" si="434"/>
        <v>0</v>
      </c>
      <c r="BQ451" s="34">
        <f t="shared" ca="1" si="435"/>
        <v>59140</v>
      </c>
      <c r="BR451" s="23">
        <f t="shared" ca="1" si="436"/>
        <v>217739.82052952089</v>
      </c>
      <c r="BS451" s="24">
        <f t="shared" ca="1" si="437"/>
        <v>0</v>
      </c>
      <c r="BT451" s="24">
        <f t="shared" ca="1" si="442"/>
        <v>0</v>
      </c>
      <c r="BU451" s="24">
        <f t="shared" ca="1" si="438"/>
        <v>0</v>
      </c>
      <c r="BV451" s="24">
        <f t="shared" ca="1" si="443"/>
        <v>0</v>
      </c>
      <c r="BW451" s="24">
        <f t="shared" ca="1" si="439"/>
        <v>-3199.3067704003465</v>
      </c>
      <c r="BX451" s="25">
        <f t="shared" ca="1" si="444"/>
        <v>-42018.090964626666</v>
      </c>
      <c r="BY451" s="23">
        <f t="shared" ca="1" si="411"/>
        <v>51015.753620159281</v>
      </c>
      <c r="BZ451" s="24">
        <f t="shared" ca="1" si="412"/>
        <v>0</v>
      </c>
      <c r="CA451" s="24">
        <f t="shared" ca="1" si="445"/>
        <v>0</v>
      </c>
      <c r="CB451" s="24">
        <f t="shared" ca="1" si="413"/>
        <v>0</v>
      </c>
      <c r="CC451" s="24">
        <f t="shared" ca="1" si="446"/>
        <v>0</v>
      </c>
      <c r="CD451" s="24">
        <f t="shared" ca="1" si="414"/>
        <v>-752.04144627667654</v>
      </c>
      <c r="CE451" s="25">
        <f t="shared" ca="1" si="447"/>
        <v>-10058.140823865684</v>
      </c>
      <c r="CF451" s="23">
        <f t="shared" ca="1" si="448"/>
        <v>1123383.4300888001</v>
      </c>
      <c r="CG451" s="25">
        <f t="array" aca="1" ref="CG451" ca="1">SUM(BF440:BF451/(1+inflation/100)^(AP440:AP451/12))</f>
        <v>267980.53702225379</v>
      </c>
      <c r="CH451" s="32">
        <f ca="1">IFERROR(IF(MOD(AP451-ap_months_since_start,12)=0,ap_drawdown/100*(AQ451+AV451+BA451-BC451),CH450),0)</f>
        <v>33717.575600258264</v>
      </c>
    </row>
    <row r="452" spans="40:86" x14ac:dyDescent="0.25">
      <c r="AN452" s="32">
        <f t="shared" ca="1" si="409"/>
        <v>91.916666666666671</v>
      </c>
      <c r="AO452" s="53">
        <f t="shared" ca="1" si="440"/>
        <v>59141</v>
      </c>
      <c r="AP452" s="22">
        <v>445</v>
      </c>
      <c r="AQ452" s="32">
        <f t="shared" ca="1" si="441"/>
        <v>217739.82052952089</v>
      </c>
      <c r="AR452" s="23">
        <f t="array" aca="1" ref="AR452" ca="1">SUM(IF(lsc_start_date=AO452,lsc_amount,0))</f>
        <v>0</v>
      </c>
      <c r="AS452" s="24">
        <f t="shared" ca="1" si="415"/>
        <v>0</v>
      </c>
      <c r="AT452" s="24">
        <f t="shared" ca="1" si="416"/>
        <v>0</v>
      </c>
      <c r="AU452" s="24">
        <f t="shared" ca="1" si="417"/>
        <v>0</v>
      </c>
      <c r="AV452" s="25">
        <f t="shared" ca="1" si="418"/>
        <v>0</v>
      </c>
      <c r="AW452" s="23">
        <f t="array" aca="1" ref="AW452" ca="1">SUM(IF(rcs_start_date&lt;=AO452,1,0)*IF(rcs_end_date&gt;=AO452,1,0)*rcs_amount*(1+rcs_escalation/100)^(INT((AP452-rcs_months_since_start)/12))*IF(MOD((AP452-rcs_months_since_start),rcs_frequency)=0,1,0)*IF(rcs_frequency=13,0,1))+SUM(IF(rcs_start_date=AO452,rcs_amount,0)*IF(rcs_frequency=13,1,0))</f>
        <v>0</v>
      </c>
      <c r="AX452" s="24">
        <f t="shared" ca="1" si="419"/>
        <v>0</v>
      </c>
      <c r="AY452" s="24">
        <f t="shared" ca="1" si="420"/>
        <v>0</v>
      </c>
      <c r="AZ452" s="24">
        <f t="shared" ca="1" si="421"/>
        <v>0</v>
      </c>
      <c r="BA452" s="25">
        <f t="shared" ca="1" si="422"/>
        <v>0</v>
      </c>
      <c r="BB452" s="23">
        <f t="array" aca="1" ref="BB452" ca="1">SUM(IF(w_start_date&lt;=AO452,1,0)*IF(w_end_date&gt;=AO452,1,0)*w_amount*(1+w_escalation/100)^(INT((AP452-w_months_since_start)/12))*IF(MOD(AP452-w_months_since_start,w_frequency)=0,1,0)*IF(w_frequency=13,0,1))+SUM(IF(w_start_date=AO452,w_amount,0)*IF(w_frequency=13,1,0))</f>
        <v>0</v>
      </c>
      <c r="BC452" s="25">
        <f t="shared" ca="1" si="423"/>
        <v>0</v>
      </c>
      <c r="BD452" s="24" t="b">
        <f t="shared" ca="1" si="424"/>
        <v>1</v>
      </c>
      <c r="BE452" s="24" t="b">
        <f t="shared" ca="1" si="425"/>
        <v>1</v>
      </c>
      <c r="BF452" s="23">
        <f t="array" aca="1" ref="BF452" ca="1">SUM(IF(BD452,1,0)*IF(ap_start_date&lt;=AO452,1,0)*IF(ap_end_date&gt;=AO452,1,0)*ap_amount*(1+ap_escalation/100)^(INT((AP452-ap_months_since_start)/12))*IF(MOD(AP452-ap_months_since_start,ap_frequency)=0,1,0))</f>
        <v>97036.442466142194</v>
      </c>
      <c r="BG452" s="24">
        <f t="shared" ca="1" si="426"/>
        <v>1164437.3095937064</v>
      </c>
      <c r="BH452" s="24">
        <f t="shared" ca="1" si="427"/>
        <v>5484.5258921148807</v>
      </c>
      <c r="BI452">
        <f t="shared" ca="1" si="428"/>
        <v>0</v>
      </c>
      <c r="BJ452" s="24">
        <f t="shared" ca="1" si="429"/>
        <v>38391.68124480416</v>
      </c>
      <c r="BK452">
        <f t="shared" ca="1" si="430"/>
        <v>1</v>
      </c>
      <c r="BL452" s="25">
        <f t="shared" ca="1" si="431"/>
        <v>3199.3067704003465</v>
      </c>
      <c r="BM452" s="32">
        <f t="shared" ca="1" si="410"/>
        <v>216086.77660619261</v>
      </c>
      <c r="BN452" s="23">
        <f t="shared" ca="1" si="432"/>
        <v>0</v>
      </c>
      <c r="BO452" s="24">
        <f t="shared" ca="1" si="433"/>
        <v>0</v>
      </c>
      <c r="BP452" s="25">
        <f t="shared" ca="1" si="434"/>
        <v>0</v>
      </c>
      <c r="BQ452" s="34">
        <f t="shared" ca="1" si="435"/>
        <v>59171</v>
      </c>
      <c r="BR452" s="23">
        <f t="shared" ca="1" si="436"/>
        <v>216086.77660619261</v>
      </c>
      <c r="BS452" s="24">
        <f t="shared" ca="1" si="437"/>
        <v>0</v>
      </c>
      <c r="BT452" s="24">
        <f t="shared" ca="1" si="442"/>
        <v>0</v>
      </c>
      <c r="BU452" s="24">
        <f t="shared" ca="1" si="438"/>
        <v>0</v>
      </c>
      <c r="BV452" s="24">
        <f t="shared" ca="1" si="443"/>
        <v>0</v>
      </c>
      <c r="BW452" s="24">
        <f t="shared" ca="1" si="439"/>
        <v>-3199.3067704003465</v>
      </c>
      <c r="BX452" s="25">
        <f t="shared" ca="1" si="444"/>
        <v>-41688.417353733712</v>
      </c>
      <c r="BY452" s="23">
        <f t="shared" ca="1" si="411"/>
        <v>50463.247099854445</v>
      </c>
      <c r="BZ452" s="24">
        <f t="shared" ca="1" si="412"/>
        <v>0</v>
      </c>
      <c r="CA452" s="24">
        <f t="shared" ca="1" si="445"/>
        <v>0</v>
      </c>
      <c r="CB452" s="24">
        <f t="shared" ca="1" si="413"/>
        <v>0</v>
      </c>
      <c r="CC452" s="24">
        <f t="shared" ca="1" si="446"/>
        <v>0</v>
      </c>
      <c r="CD452" s="24">
        <f t="shared" ca="1" si="414"/>
        <v>-749.58749188425588</v>
      </c>
      <c r="CE452" s="25">
        <f t="shared" ca="1" si="447"/>
        <v>-9947.8261767953118</v>
      </c>
      <c r="CF452" s="23">
        <f t="shared" ca="1" si="448"/>
        <v>1127115.6009528826</v>
      </c>
      <c r="CG452" s="25">
        <f t="array" aca="1" ref="CG452" ca="1">SUM(BF441:BF452/(1+inflation/100)^(AP441:AP452/12))</f>
        <v>267980.53702225379</v>
      </c>
      <c r="CH452" s="32">
        <f ca="1">IFERROR(IF(MOD(AP452-ap_months_since_start,12)=0,ap_drawdown/100*(AQ452+AV452+BA452-BC452),CH451),0)</f>
        <v>33717.575600258264</v>
      </c>
    </row>
    <row r="453" spans="40:86" x14ac:dyDescent="0.25">
      <c r="AN453" s="32">
        <f t="shared" ca="1" si="409"/>
        <v>92</v>
      </c>
      <c r="AO453" s="53">
        <f t="shared" ca="1" si="440"/>
        <v>59172</v>
      </c>
      <c r="AP453" s="22">
        <v>446</v>
      </c>
      <c r="AQ453" s="32">
        <f t="shared" ca="1" si="441"/>
        <v>216086.77660619261</v>
      </c>
      <c r="AR453" s="23">
        <f t="array" aca="1" ref="AR453" ca="1">SUM(IF(lsc_start_date=AO453,lsc_amount,0))</f>
        <v>0</v>
      </c>
      <c r="AS453" s="24">
        <f t="shared" ca="1" si="415"/>
        <v>0</v>
      </c>
      <c r="AT453" s="24">
        <f t="shared" ca="1" si="416"/>
        <v>0</v>
      </c>
      <c r="AU453" s="24">
        <f t="shared" ca="1" si="417"/>
        <v>0</v>
      </c>
      <c r="AV453" s="25">
        <f t="shared" ca="1" si="418"/>
        <v>0</v>
      </c>
      <c r="AW453" s="23">
        <f t="array" aca="1" ref="AW453" ca="1">SUM(IF(rcs_start_date&lt;=AO453,1,0)*IF(rcs_end_date&gt;=AO453,1,0)*rcs_amount*(1+rcs_escalation/100)^(INT((AP453-rcs_months_since_start)/12))*IF(MOD((AP453-rcs_months_since_start),rcs_frequency)=0,1,0)*IF(rcs_frequency=13,0,1))+SUM(IF(rcs_start_date=AO453,rcs_amount,0)*IF(rcs_frequency=13,1,0))</f>
        <v>0</v>
      </c>
      <c r="AX453" s="24">
        <f t="shared" ca="1" si="419"/>
        <v>0</v>
      </c>
      <c r="AY453" s="24">
        <f t="shared" ca="1" si="420"/>
        <v>0</v>
      </c>
      <c r="AZ453" s="24">
        <f t="shared" ca="1" si="421"/>
        <v>0</v>
      </c>
      <c r="BA453" s="25">
        <f t="shared" ca="1" si="422"/>
        <v>0</v>
      </c>
      <c r="BB453" s="23">
        <f t="array" aca="1" ref="BB453" ca="1">SUM(IF(w_start_date&lt;=AO453,1,0)*IF(w_end_date&gt;=AO453,1,0)*w_amount*(1+w_escalation/100)^(INT((AP453-w_months_since_start)/12))*IF(MOD(AP453-w_months_since_start,w_frequency)=0,1,0)*IF(w_frequency=13,0,1))+SUM(IF(w_start_date=AO453,w_amount,0)*IF(w_frequency=13,1,0))</f>
        <v>0</v>
      </c>
      <c r="BC453" s="25">
        <f t="shared" ca="1" si="423"/>
        <v>0</v>
      </c>
      <c r="BD453" s="24" t="b">
        <f t="shared" ca="1" si="424"/>
        <v>1</v>
      </c>
      <c r="BE453" s="24" t="b">
        <f t="shared" ca="1" si="425"/>
        <v>1</v>
      </c>
      <c r="BF453" s="23">
        <f t="array" aca="1" ref="BF453" ca="1">SUM(IF(BD453,1,0)*IF(ap_start_date&lt;=AO453,1,0)*IF(ap_end_date&gt;=AO453,1,0)*ap_amount*(1+ap_escalation/100)^(INT((AP453-ap_months_since_start)/12))*IF(MOD(AP453-ap_months_since_start,ap_frequency)=0,1,0))</f>
        <v>97036.442466142194</v>
      </c>
      <c r="BG453" s="24">
        <f t="shared" ca="1" si="426"/>
        <v>1164437.3095937064</v>
      </c>
      <c r="BH453" s="24">
        <f t="shared" ca="1" si="427"/>
        <v>5484.5258921148807</v>
      </c>
      <c r="BI453">
        <f t="shared" ca="1" si="428"/>
        <v>0</v>
      </c>
      <c r="BJ453" s="24">
        <f t="shared" ca="1" si="429"/>
        <v>38391.68124480416</v>
      </c>
      <c r="BK453">
        <f t="shared" ca="1" si="430"/>
        <v>1</v>
      </c>
      <c r="BL453" s="25">
        <f t="shared" ca="1" si="431"/>
        <v>3199.3067704003465</v>
      </c>
      <c r="BM453" s="32">
        <f t="shared" ca="1" si="410"/>
        <v>214421.81866085311</v>
      </c>
      <c r="BN453" s="23">
        <f t="shared" ca="1" si="432"/>
        <v>0</v>
      </c>
      <c r="BO453" s="24">
        <f t="shared" ca="1" si="433"/>
        <v>0</v>
      </c>
      <c r="BP453" s="25">
        <f t="shared" ca="1" si="434"/>
        <v>0</v>
      </c>
      <c r="BQ453" s="34">
        <f t="shared" ca="1" si="435"/>
        <v>59202</v>
      </c>
      <c r="BR453" s="23">
        <f t="shared" ca="1" si="436"/>
        <v>214421.81866085311</v>
      </c>
      <c r="BS453" s="24">
        <f t="shared" ca="1" si="437"/>
        <v>0</v>
      </c>
      <c r="BT453" s="24">
        <f t="shared" ca="1" si="442"/>
        <v>0</v>
      </c>
      <c r="BU453" s="24">
        <f t="shared" ca="1" si="438"/>
        <v>0</v>
      </c>
      <c r="BV453" s="24">
        <f t="shared" ca="1" si="443"/>
        <v>0</v>
      </c>
      <c r="BW453" s="24">
        <f t="shared" ca="1" si="439"/>
        <v>-3199.3067704003465</v>
      </c>
      <c r="BX453" s="25">
        <f t="shared" ca="1" si="444"/>
        <v>-41358.743742840757</v>
      </c>
      <c r="BY453" s="23">
        <f t="shared" ca="1" si="411"/>
        <v>49911.029877641507</v>
      </c>
      <c r="BZ453" s="24">
        <f t="shared" ca="1" si="412"/>
        <v>0</v>
      </c>
      <c r="CA453" s="24">
        <f t="shared" ca="1" si="445"/>
        <v>0</v>
      </c>
      <c r="CB453" s="24">
        <f t="shared" ca="1" si="413"/>
        <v>0</v>
      </c>
      <c r="CC453" s="24">
        <f t="shared" ca="1" si="446"/>
        <v>0</v>
      </c>
      <c r="CD453" s="24">
        <f t="shared" ca="1" si="414"/>
        <v>-747.14154488583006</v>
      </c>
      <c r="CE453" s="25">
        <f t="shared" ca="1" si="447"/>
        <v>-9837.8714927483416</v>
      </c>
      <c r="CF453" s="23">
        <f t="shared" ca="1" si="448"/>
        <v>1130847.771816965</v>
      </c>
      <c r="CG453" s="25">
        <f t="array" aca="1" ref="CG453" ca="1">SUM(BF442:BF453/(1+inflation/100)^(AP442:AP453/12))</f>
        <v>267980.53702225379</v>
      </c>
      <c r="CH453" s="32">
        <f ca="1">IFERROR(IF(MOD(AP453-ap_months_since_start,12)=0,ap_drawdown/100*(AQ453+AV453+BA453-BC453),CH452),0)</f>
        <v>33717.575600258264</v>
      </c>
    </row>
    <row r="454" spans="40:86" x14ac:dyDescent="0.25">
      <c r="AN454" s="32">
        <f t="shared" ca="1" si="409"/>
        <v>92.083333333333329</v>
      </c>
      <c r="AO454" s="53">
        <f t="shared" ca="1" si="440"/>
        <v>59203</v>
      </c>
      <c r="AP454" s="22">
        <v>447</v>
      </c>
      <c r="AQ454" s="32">
        <f t="shared" ca="1" si="441"/>
        <v>214421.81866085311</v>
      </c>
      <c r="AR454" s="23">
        <f t="array" aca="1" ref="AR454" ca="1">SUM(IF(lsc_start_date=AO454,lsc_amount,0))</f>
        <v>0</v>
      </c>
      <c r="AS454" s="24">
        <f t="shared" ca="1" si="415"/>
        <v>0</v>
      </c>
      <c r="AT454" s="24">
        <f t="shared" ca="1" si="416"/>
        <v>0</v>
      </c>
      <c r="AU454" s="24">
        <f t="shared" ca="1" si="417"/>
        <v>0</v>
      </c>
      <c r="AV454" s="25">
        <f t="shared" ca="1" si="418"/>
        <v>0</v>
      </c>
      <c r="AW454" s="23">
        <f t="array" aca="1" ref="AW454" ca="1">SUM(IF(rcs_start_date&lt;=AO454,1,0)*IF(rcs_end_date&gt;=AO454,1,0)*rcs_amount*(1+rcs_escalation/100)^(INT((AP454-rcs_months_since_start)/12))*IF(MOD((AP454-rcs_months_since_start),rcs_frequency)=0,1,0)*IF(rcs_frequency=13,0,1))+SUM(IF(rcs_start_date=AO454,rcs_amount,0)*IF(rcs_frequency=13,1,0))</f>
        <v>0</v>
      </c>
      <c r="AX454" s="24">
        <f t="shared" ca="1" si="419"/>
        <v>0</v>
      </c>
      <c r="AY454" s="24">
        <f t="shared" ca="1" si="420"/>
        <v>0</v>
      </c>
      <c r="AZ454" s="24">
        <f t="shared" ca="1" si="421"/>
        <v>0</v>
      </c>
      <c r="BA454" s="25">
        <f t="shared" ca="1" si="422"/>
        <v>0</v>
      </c>
      <c r="BB454" s="23">
        <f t="array" aca="1" ref="BB454" ca="1">SUM(IF(w_start_date&lt;=AO454,1,0)*IF(w_end_date&gt;=AO454,1,0)*w_amount*(1+w_escalation/100)^(INT((AP454-w_months_since_start)/12))*IF(MOD(AP454-w_months_since_start,w_frequency)=0,1,0)*IF(w_frequency=13,0,1))+SUM(IF(w_start_date=AO454,w_amount,0)*IF(w_frequency=13,1,0))</f>
        <v>0</v>
      </c>
      <c r="BC454" s="25">
        <f t="shared" ca="1" si="423"/>
        <v>0</v>
      </c>
      <c r="BD454" s="24" t="b">
        <f t="shared" ca="1" si="424"/>
        <v>1</v>
      </c>
      <c r="BE454" s="24" t="b">
        <f t="shared" ca="1" si="425"/>
        <v>1</v>
      </c>
      <c r="BF454" s="23">
        <f t="array" aca="1" ref="BF454" ca="1">SUM(IF(BD454,1,0)*IF(ap_start_date&lt;=AO454,1,0)*IF(ap_end_date&gt;=AO454,1,0)*ap_amount*(1+ap_escalation/100)^(INT((AP454-ap_months_since_start)/12))*IF(MOD(AP454-ap_months_since_start,ap_frequency)=0,1,0))</f>
        <v>97036.442466142194</v>
      </c>
      <c r="BG454" s="24">
        <f t="shared" ca="1" si="426"/>
        <v>1164437.3095937064</v>
      </c>
      <c r="BH454" s="24">
        <f t="shared" ca="1" si="427"/>
        <v>5484.5258921148807</v>
      </c>
      <c r="BI454">
        <f t="shared" ca="1" si="428"/>
        <v>0</v>
      </c>
      <c r="BJ454" s="24">
        <f t="shared" ca="1" si="429"/>
        <v>38391.68124480416</v>
      </c>
      <c r="BK454">
        <f t="shared" ca="1" si="430"/>
        <v>1</v>
      </c>
      <c r="BL454" s="25">
        <f t="shared" ca="1" si="431"/>
        <v>3199.3067704003465</v>
      </c>
      <c r="BM454" s="32">
        <f t="shared" ca="1" si="410"/>
        <v>212744.86082529378</v>
      </c>
      <c r="BN454" s="23">
        <f t="shared" ca="1" si="432"/>
        <v>0</v>
      </c>
      <c r="BO454" s="24">
        <f t="shared" ca="1" si="433"/>
        <v>0</v>
      </c>
      <c r="BP454" s="25">
        <f t="shared" ca="1" si="434"/>
        <v>0</v>
      </c>
      <c r="BQ454" s="34">
        <f t="shared" ca="1" si="435"/>
        <v>59230</v>
      </c>
      <c r="BR454" s="23">
        <f t="shared" ca="1" si="436"/>
        <v>212744.86082529378</v>
      </c>
      <c r="BS454" s="24">
        <f t="shared" ca="1" si="437"/>
        <v>0</v>
      </c>
      <c r="BT454" s="24">
        <f t="shared" ca="1" si="442"/>
        <v>0</v>
      </c>
      <c r="BU454" s="24">
        <f t="shared" ca="1" si="438"/>
        <v>0</v>
      </c>
      <c r="BV454" s="24">
        <f t="shared" ca="1" si="443"/>
        <v>0</v>
      </c>
      <c r="BW454" s="24">
        <f t="shared" ca="1" si="439"/>
        <v>-3199.3067704003465</v>
      </c>
      <c r="BX454" s="25">
        <f t="shared" ca="1" si="444"/>
        <v>-41029.070131947803</v>
      </c>
      <c r="BY454" s="23">
        <f t="shared" ca="1" si="411"/>
        <v>49359.095075227466</v>
      </c>
      <c r="BZ454" s="24">
        <f t="shared" ca="1" si="412"/>
        <v>0</v>
      </c>
      <c r="CA454" s="24">
        <f t="shared" ca="1" si="445"/>
        <v>0</v>
      </c>
      <c r="CB454" s="24">
        <f t="shared" ca="1" si="413"/>
        <v>0</v>
      </c>
      <c r="CC454" s="24">
        <f t="shared" ca="1" si="446"/>
        <v>0</v>
      </c>
      <c r="CD454" s="24">
        <f t="shared" ca="1" si="414"/>
        <v>-744.7035791528117</v>
      </c>
      <c r="CE454" s="25">
        <f t="shared" ca="1" si="447"/>
        <v>-9728.275597144775</v>
      </c>
      <c r="CF454" s="23">
        <f t="shared" ca="1" si="448"/>
        <v>1134579.9426810474</v>
      </c>
      <c r="CG454" s="25">
        <f t="array" aca="1" ref="CG454" ca="1">SUM(BF443:BF454/(1+inflation/100)^(AP443:AP454/12))</f>
        <v>267980.53702225379</v>
      </c>
      <c r="CH454" s="32">
        <f ca="1">IFERROR(IF(MOD(AP454-ap_months_since_start,12)=0,ap_drawdown/100*(AQ454+AV454+BA454-BC454),CH453),0)</f>
        <v>33717.575600258264</v>
      </c>
    </row>
    <row r="455" spans="40:86" x14ac:dyDescent="0.25">
      <c r="AN455" s="32">
        <f t="shared" ca="1" si="409"/>
        <v>92.166666666666671</v>
      </c>
      <c r="AO455" s="53">
        <f t="shared" ca="1" si="440"/>
        <v>59231</v>
      </c>
      <c r="AP455" s="22">
        <v>448</v>
      </c>
      <c r="AQ455" s="32">
        <f t="shared" ca="1" si="441"/>
        <v>212744.86082529378</v>
      </c>
      <c r="AR455" s="23">
        <f t="array" aca="1" ref="AR455" ca="1">SUM(IF(lsc_start_date=AO455,lsc_amount,0))</f>
        <v>0</v>
      </c>
      <c r="AS455" s="24">
        <f t="shared" ca="1" si="415"/>
        <v>0</v>
      </c>
      <c r="AT455" s="24">
        <f t="shared" ca="1" si="416"/>
        <v>0</v>
      </c>
      <c r="AU455" s="24">
        <f t="shared" ca="1" si="417"/>
        <v>0</v>
      </c>
      <c r="AV455" s="25">
        <f t="shared" ca="1" si="418"/>
        <v>0</v>
      </c>
      <c r="AW455" s="23">
        <f t="array" aca="1" ref="AW455" ca="1">SUM(IF(rcs_start_date&lt;=AO455,1,0)*IF(rcs_end_date&gt;=AO455,1,0)*rcs_amount*(1+rcs_escalation/100)^(INT((AP455-rcs_months_since_start)/12))*IF(MOD((AP455-rcs_months_since_start),rcs_frequency)=0,1,0)*IF(rcs_frequency=13,0,1))+SUM(IF(rcs_start_date=AO455,rcs_amount,0)*IF(rcs_frequency=13,1,0))</f>
        <v>0</v>
      </c>
      <c r="AX455" s="24">
        <f t="shared" ca="1" si="419"/>
        <v>0</v>
      </c>
      <c r="AY455" s="24">
        <f t="shared" ca="1" si="420"/>
        <v>0</v>
      </c>
      <c r="AZ455" s="24">
        <f t="shared" ca="1" si="421"/>
        <v>0</v>
      </c>
      <c r="BA455" s="25">
        <f t="shared" ca="1" si="422"/>
        <v>0</v>
      </c>
      <c r="BB455" s="23">
        <f t="array" aca="1" ref="BB455" ca="1">SUM(IF(w_start_date&lt;=AO455,1,0)*IF(w_end_date&gt;=AO455,1,0)*w_amount*(1+w_escalation/100)^(INT((AP455-w_months_since_start)/12))*IF(MOD(AP455-w_months_since_start,w_frequency)=0,1,0)*IF(w_frequency=13,0,1))+SUM(IF(w_start_date=AO455,w_amount,0)*IF(w_frequency=13,1,0))</f>
        <v>0</v>
      </c>
      <c r="BC455" s="25">
        <f t="shared" ca="1" si="423"/>
        <v>0</v>
      </c>
      <c r="BD455" s="24" t="b">
        <f t="shared" ca="1" si="424"/>
        <v>1</v>
      </c>
      <c r="BE455" s="24" t="b">
        <f t="shared" ca="1" si="425"/>
        <v>1</v>
      </c>
      <c r="BF455" s="23">
        <f t="array" aca="1" ref="BF455" ca="1">SUM(IF(BD455,1,0)*IF(ap_start_date&lt;=AO455,1,0)*IF(ap_end_date&gt;=AO455,1,0)*ap_amount*(1+ap_escalation/100)^(INT((AP455-ap_months_since_start)/12))*IF(MOD(AP455-ap_months_since_start,ap_frequency)=0,1,0))</f>
        <v>97036.442466142194</v>
      </c>
      <c r="BG455" s="24">
        <f t="shared" ca="1" si="426"/>
        <v>1164437.3095937064</v>
      </c>
      <c r="BH455" s="24">
        <f t="shared" ca="1" si="427"/>
        <v>5484.5258921148807</v>
      </c>
      <c r="BI455">
        <f t="shared" ca="1" si="428"/>
        <v>0</v>
      </c>
      <c r="BJ455" s="24">
        <f t="shared" ca="1" si="429"/>
        <v>38391.68124480416</v>
      </c>
      <c r="BK455">
        <f t="shared" ca="1" si="430"/>
        <v>1</v>
      </c>
      <c r="BL455" s="25">
        <f t="shared" ca="1" si="431"/>
        <v>3199.3067704003465</v>
      </c>
      <c r="BM455" s="32">
        <f t="shared" ca="1" si="410"/>
        <v>211055.81661242605</v>
      </c>
      <c r="BN455" s="23">
        <f t="shared" ca="1" si="432"/>
        <v>0</v>
      </c>
      <c r="BO455" s="24">
        <f t="shared" ca="1" si="433"/>
        <v>0</v>
      </c>
      <c r="BP455" s="25">
        <f t="shared" ca="1" si="434"/>
        <v>0</v>
      </c>
      <c r="BQ455" s="34">
        <f t="shared" ca="1" si="435"/>
        <v>59261</v>
      </c>
      <c r="BR455" s="23">
        <f t="shared" ca="1" si="436"/>
        <v>211055.81661242605</v>
      </c>
      <c r="BS455" s="24">
        <f t="shared" ca="1" si="437"/>
        <v>0</v>
      </c>
      <c r="BT455" s="24">
        <f t="shared" ca="1" si="442"/>
        <v>0</v>
      </c>
      <c r="BU455" s="24">
        <f t="shared" ca="1" si="438"/>
        <v>0</v>
      </c>
      <c r="BV455" s="24">
        <f t="shared" ca="1" si="443"/>
        <v>0</v>
      </c>
      <c r="BW455" s="24">
        <f t="shared" ca="1" si="439"/>
        <v>-3199.3067704003465</v>
      </c>
      <c r="BX455" s="25">
        <f t="shared" ca="1" si="444"/>
        <v>-40699.396521054849</v>
      </c>
      <c r="BY455" s="23">
        <f t="shared" ca="1" si="411"/>
        <v>48807.435813496682</v>
      </c>
      <c r="BZ455" s="24">
        <f t="shared" ca="1" si="412"/>
        <v>0</v>
      </c>
      <c r="CA455" s="24">
        <f t="shared" ca="1" si="445"/>
        <v>0</v>
      </c>
      <c r="CB455" s="24">
        <f t="shared" ca="1" si="413"/>
        <v>0</v>
      </c>
      <c r="CC455" s="24">
        <f t="shared" ca="1" si="446"/>
        <v>0</v>
      </c>
      <c r="CD455" s="24">
        <f t="shared" ca="1" si="414"/>
        <v>-742.27356864187391</v>
      </c>
      <c r="CE455" s="25">
        <f t="shared" ca="1" si="447"/>
        <v>-9619.0373192373299</v>
      </c>
      <c r="CF455" s="23">
        <f t="shared" ca="1" si="448"/>
        <v>1138312.1135451298</v>
      </c>
      <c r="CG455" s="25">
        <f t="array" aca="1" ref="CG455" ca="1">SUM(BF444:BF455/(1+inflation/100)^(AP444:AP455/12))</f>
        <v>267980.53702225385</v>
      </c>
      <c r="CH455" s="32">
        <f ca="1">IFERROR(IF(MOD(AP455-ap_months_since_start,12)=0,ap_drawdown/100*(AQ455+AV455+BA455-BC455),CH454),0)</f>
        <v>33717.575600258264</v>
      </c>
    </row>
    <row r="456" spans="40:86" x14ac:dyDescent="0.25">
      <c r="AN456" s="32">
        <f t="shared" ref="AN456:AN519" ca="1" si="449">IF(AND(Date_of_birth&lt;&gt;"",Date_of_birth&lt;&gt;"Please enter date of birth"),YEARFRAC(Date_of_birth,AO456),AP456/12)</f>
        <v>92.25</v>
      </c>
      <c r="AO456" s="53">
        <f t="shared" ca="1" si="440"/>
        <v>59262</v>
      </c>
      <c r="AP456" s="22">
        <v>449</v>
      </c>
      <c r="AQ456" s="32">
        <f t="shared" ca="1" si="441"/>
        <v>211055.81661242605</v>
      </c>
      <c r="AR456" s="23">
        <f t="array" aca="1" ref="AR456" ca="1">SUM(IF(lsc_start_date=AO456,lsc_amount,0))</f>
        <v>0</v>
      </c>
      <c r="AS456" s="24">
        <f t="shared" ca="1" si="415"/>
        <v>0</v>
      </c>
      <c r="AT456" s="24">
        <f t="shared" ca="1" si="416"/>
        <v>0</v>
      </c>
      <c r="AU456" s="24">
        <f t="shared" ca="1" si="417"/>
        <v>0</v>
      </c>
      <c r="AV456" s="25">
        <f t="shared" ca="1" si="418"/>
        <v>0</v>
      </c>
      <c r="AW456" s="23">
        <f t="array" aca="1" ref="AW456" ca="1">SUM(IF(rcs_start_date&lt;=AO456,1,0)*IF(rcs_end_date&gt;=AO456,1,0)*rcs_amount*(1+rcs_escalation/100)^(INT((AP456-rcs_months_since_start)/12))*IF(MOD((AP456-rcs_months_since_start),rcs_frequency)=0,1,0)*IF(rcs_frequency=13,0,1))+SUM(IF(rcs_start_date=AO456,rcs_amount,0)*IF(rcs_frequency=13,1,0))</f>
        <v>0</v>
      </c>
      <c r="AX456" s="24">
        <f t="shared" ca="1" si="419"/>
        <v>0</v>
      </c>
      <c r="AY456" s="24">
        <f t="shared" ca="1" si="420"/>
        <v>0</v>
      </c>
      <c r="AZ456" s="24">
        <f t="shared" ca="1" si="421"/>
        <v>0</v>
      </c>
      <c r="BA456" s="25">
        <f t="shared" ca="1" si="422"/>
        <v>0</v>
      </c>
      <c r="BB456" s="23">
        <f t="array" aca="1" ref="BB456" ca="1">SUM(IF(w_start_date&lt;=AO456,1,0)*IF(w_end_date&gt;=AO456,1,0)*w_amount*(1+w_escalation/100)^(INT((AP456-w_months_since_start)/12))*IF(MOD(AP456-w_months_since_start,w_frequency)=0,1,0)*IF(w_frequency=13,0,1))+SUM(IF(w_start_date=AO456,w_amount,0)*IF(w_frequency=13,1,0))</f>
        <v>0</v>
      </c>
      <c r="BC456" s="25">
        <f t="shared" ca="1" si="423"/>
        <v>0</v>
      </c>
      <c r="BD456" s="24" t="b">
        <f t="shared" ca="1" si="424"/>
        <v>1</v>
      </c>
      <c r="BE456" s="24" t="b">
        <f t="shared" ca="1" si="425"/>
        <v>1</v>
      </c>
      <c r="BF456" s="23">
        <f t="array" aca="1" ref="BF456" ca="1">SUM(IF(BD456,1,0)*IF(ap_start_date&lt;=AO456,1,0)*IF(ap_end_date&gt;=AO456,1,0)*ap_amount*(1+ap_escalation/100)^(INT((AP456-ap_months_since_start)/12))*IF(MOD(AP456-ap_months_since_start,ap_frequency)=0,1,0))</f>
        <v>97036.442466142194</v>
      </c>
      <c r="BG456" s="24">
        <f t="shared" ca="1" si="426"/>
        <v>1164437.3095937064</v>
      </c>
      <c r="BH456" s="24">
        <f t="shared" ca="1" si="427"/>
        <v>5484.5258921148807</v>
      </c>
      <c r="BI456">
        <f t="shared" ca="1" si="428"/>
        <v>0</v>
      </c>
      <c r="BJ456" s="24">
        <f t="shared" ca="1" si="429"/>
        <v>38391.68124480416</v>
      </c>
      <c r="BK456">
        <f t="shared" ca="1" si="430"/>
        <v>1</v>
      </c>
      <c r="BL456" s="25">
        <f t="shared" ca="1" si="431"/>
        <v>3199.3067704003465</v>
      </c>
      <c r="BM456" s="32">
        <f t="shared" ref="BM456:BM519" ca="1" si="450">(AQ456+AV456+BA456-BC456-BL456)*(1+NomRetn/100)^(1/12)</f>
        <v>209354.59891182094</v>
      </c>
      <c r="BN456" s="23">
        <f t="shared" ca="1" si="432"/>
        <v>0</v>
      </c>
      <c r="BO456" s="24">
        <f t="shared" ca="1" si="433"/>
        <v>0</v>
      </c>
      <c r="BP456" s="25">
        <f t="shared" ca="1" si="434"/>
        <v>0</v>
      </c>
      <c r="BQ456" s="34">
        <f t="shared" ca="1" si="435"/>
        <v>59291</v>
      </c>
      <c r="BR456" s="23">
        <f t="shared" ca="1" si="436"/>
        <v>209354.59891182094</v>
      </c>
      <c r="BS456" s="24">
        <f t="shared" ca="1" si="437"/>
        <v>0</v>
      </c>
      <c r="BT456" s="24">
        <f t="shared" ca="1" si="442"/>
        <v>0</v>
      </c>
      <c r="BU456" s="24">
        <f t="shared" ca="1" si="438"/>
        <v>0</v>
      </c>
      <c r="BV456" s="24">
        <f t="shared" ca="1" si="443"/>
        <v>0</v>
      </c>
      <c r="BW456" s="24">
        <f t="shared" ca="1" si="439"/>
        <v>-3199.3067704003465</v>
      </c>
      <c r="BX456" s="25">
        <f t="shared" ca="1" si="444"/>
        <v>-40369.722910161894</v>
      </c>
      <c r="BY456" s="23">
        <f t="shared" ref="BY456:BY519" ca="1" si="451">BR456*(1+inflation/100)^(-$AP456/12)</f>
        <v>48256.045212422425</v>
      </c>
      <c r="BZ456" s="24">
        <f t="shared" ref="BZ456:BZ519" ca="1" si="452">BS456*(1+inflation/100)^(-(AP456-1)/12)</f>
        <v>0</v>
      </c>
      <c r="CA456" s="24">
        <f t="shared" ca="1" si="445"/>
        <v>0</v>
      </c>
      <c r="CB456" s="24">
        <f t="shared" ref="CB456:CB519" ca="1" si="453">BU456*(1+inflation/100)^(-($AP456-1)/12)</f>
        <v>0</v>
      </c>
      <c r="CC456" s="24">
        <f t="shared" ca="1" si="446"/>
        <v>0</v>
      </c>
      <c r="CD456" s="24">
        <f t="shared" ref="CD456:CD519" ca="1" si="454">BW456*(1+inflation/100)^(-($AP456-1)/12)</f>
        <v>-739.85148739467081</v>
      </c>
      <c r="CE456" s="25">
        <f t="shared" ca="1" si="447"/>
        <v>-9510.1554920989511</v>
      </c>
      <c r="CF456" s="23">
        <f t="shared" ca="1" si="448"/>
        <v>1142044.2844092122</v>
      </c>
      <c r="CG456" s="25">
        <f t="array" aca="1" ref="CG456" ca="1">SUM(BF445:BF456/(1+inflation/100)^(AP445:AP456/12))</f>
        <v>267980.53702225385</v>
      </c>
      <c r="CH456" s="32">
        <f ca="1">IFERROR(IF(MOD(AP456-ap_months_since_start,12)=0,ap_drawdown/100*(AQ456+AV456+BA456-BC456),CH455),0)</f>
        <v>33717.575600258264</v>
      </c>
    </row>
    <row r="457" spans="40:86" x14ac:dyDescent="0.25">
      <c r="AN457" s="32">
        <f t="shared" ca="1" si="449"/>
        <v>92.333333333333329</v>
      </c>
      <c r="AO457" s="53">
        <f t="shared" ca="1" si="440"/>
        <v>59292</v>
      </c>
      <c r="AP457" s="22">
        <v>450</v>
      </c>
      <c r="AQ457" s="32">
        <f t="shared" ca="1" si="441"/>
        <v>209354.59891182094</v>
      </c>
      <c r="AR457" s="23">
        <f t="array" aca="1" ref="AR457" ca="1">SUM(IF(lsc_start_date=AO457,lsc_amount,0))</f>
        <v>0</v>
      </c>
      <c r="AS457" s="24">
        <f t="shared" ref="AS457:AS520" ca="1" si="455">AR457*$D$34/100</f>
        <v>0</v>
      </c>
      <c r="AT457" s="24">
        <f t="shared" ref="AT457:AT520" ca="1" si="456">AR457*$D$33/100</f>
        <v>0</v>
      </c>
      <c r="AU457" s="24">
        <f t="shared" ref="AU457:AU520" ca="1" si="457">AR457*$D$35/100</f>
        <v>0</v>
      </c>
      <c r="AV457" s="25">
        <f t="shared" ref="AV457:AV520" ca="1" si="458">AR457-AS457-AT457-AU457</f>
        <v>0</v>
      </c>
      <c r="AW457" s="23">
        <f t="array" aca="1" ref="AW457" ca="1">SUM(IF(rcs_start_date&lt;=AO457,1,0)*IF(rcs_end_date&gt;=AO457,1,0)*rcs_amount*(1+rcs_escalation/100)^(INT((AP457-rcs_months_since_start)/12))*IF(MOD((AP457-rcs_months_since_start),rcs_frequency)=0,1,0)*IF(rcs_frequency=13,0,1))+SUM(IF(rcs_start_date=AO457,rcs_amount,0)*IF(rcs_frequency=13,1,0))</f>
        <v>0</v>
      </c>
      <c r="AX457" s="24">
        <f t="shared" ref="AX457:AX520" ca="1" si="459">AW457*$D$34/100</f>
        <v>0</v>
      </c>
      <c r="AY457" s="24">
        <f t="shared" ref="AY457:AY520" ca="1" si="460">AW457*$D$33/100</f>
        <v>0</v>
      </c>
      <c r="AZ457" s="24">
        <f t="shared" ref="AZ457:AZ520" ca="1" si="461">AW457*$D$35/100</f>
        <v>0</v>
      </c>
      <c r="BA457" s="25">
        <f t="shared" ref="BA457:BA520" ca="1" si="462">AW457-AX457-AY457-AZ457</f>
        <v>0</v>
      </c>
      <c r="BB457" s="23">
        <f t="array" aca="1" ref="BB457" ca="1">SUM(IF(w_start_date&lt;=AO457,1,0)*IF(w_end_date&gt;=AO457,1,0)*w_amount*(1+w_escalation/100)^(INT((AP457-w_months_since_start)/12))*IF(MOD(AP457-w_months_since_start,w_frequency)=0,1,0)*IF(w_frequency=13,0,1))+SUM(IF(w_start_date=AO457,w_amount,0)*IF(w_frequency=13,1,0))</f>
        <v>0</v>
      </c>
      <c r="BC457" s="25">
        <f t="shared" ref="BC457:BC520" ca="1" si="463">IF(BB457&gt;AQ457+AV457+BA457,AQ457+AV457+BA457,BB457)</f>
        <v>0</v>
      </c>
      <c r="BD457" s="24" t="b">
        <f t="shared" ref="BD457:BD520" ca="1" si="464">AND($DV$11&lt;=AO457,$DV$11&lt;&gt;0)</f>
        <v>1</v>
      </c>
      <c r="BE457" s="24" t="b">
        <f t="shared" ref="BE457:BE520" ca="1" si="465">$DW$11&lt;&gt;""</f>
        <v>1</v>
      </c>
      <c r="BF457" s="23">
        <f t="array" aca="1" ref="BF457" ca="1">SUM(IF(BD457,1,0)*IF(ap_start_date&lt;=AO457,1,0)*IF(ap_end_date&gt;=AO457,1,0)*ap_amount*(1+ap_escalation/100)^(INT((AP457-ap_months_since_start)/12))*IF(MOD(AP457-ap_months_since_start,ap_frequency)=0,1,0))</f>
        <v>97036.442466142194</v>
      </c>
      <c r="BG457" s="24">
        <f t="shared" ref="BG457:BG520" ca="1" si="466">IF(MOD(YEAR(AO457)*12+MONTH(AO457)-YEAR(Earliest_annuity_payment)*12-MONTH(Earliest_annuity_payment),12)=0,SUM(BF457:BF468),BG456)</f>
        <v>1164437.3095937064</v>
      </c>
      <c r="BH457" s="24">
        <f t="shared" ref="BH457:BH520" ca="1" si="467">IF(AO457&gt;=Earliest_annuity_payment,IF(MOD(YEAR(AO457)*12+MONTH(AO457)-YEAR(Earliest_annuity_payment)*12-MONTH(Earliest_annuity_payment),12)=0,(AQ457+AV457+BA457-BC457)*Annuity_min,BH456),0)</f>
        <v>5484.5258921148807</v>
      </c>
      <c r="BI457">
        <f t="shared" ref="BI457:BI520" ca="1" si="468">IF(AND(BH457&gt;BG457,BD457),1,0)</f>
        <v>0</v>
      </c>
      <c r="BJ457" s="24">
        <f t="shared" ref="BJ457:BJ520" ca="1" si="469">IF(AO457&gt;=Earliest_annuity_payment,IF(MOD(YEAR(AO457)*12+MONTH(AO457)-YEAR(Earliest_annuity_payment)*12-MONTH(Earliest_annuity_payment),12)=0,(AQ457+AV457+BA457-BC457)*Annuity_cap,BJ456),0)</f>
        <v>38391.68124480416</v>
      </c>
      <c r="BK457">
        <f t="shared" ref="BK457:BK520" ca="1" si="470">IF(BJ457&lt;BG457,1,0)</f>
        <v>1</v>
      </c>
      <c r="BL457" s="25">
        <f t="shared" ref="BL457:BL520" ca="1" si="471">IF(BJ457&lt;BG457,BF457/BG457*BJ457,IF(AND(BH457&gt;BG457,BG457&lt;&gt;0),BF457/BG457*BH457,BF457))</f>
        <v>3199.3067704003465</v>
      </c>
      <c r="BM457" s="32">
        <f t="shared" ca="1" si="450"/>
        <v>207641.11998521644</v>
      </c>
      <c r="BN457" s="23">
        <f t="shared" ref="BN457:BN520" ca="1" si="472">BM457*$E$34/1200</f>
        <v>0</v>
      </c>
      <c r="BO457" s="24">
        <f t="shared" ref="BO457:BO520" ca="1" si="473">BM457*$E$33/1200</f>
        <v>0</v>
      </c>
      <c r="BP457" s="25">
        <f t="shared" ref="BP457:BP520" ca="1" si="474">BM457*$E$35/1200</f>
        <v>0</v>
      </c>
      <c r="BQ457" s="34">
        <f t="shared" ref="BQ457:BQ520" ca="1" si="475">EOMONTH(AO457,0)</f>
        <v>59322</v>
      </c>
      <c r="BR457" s="23">
        <f t="shared" ref="BR457:BR520" ca="1" si="476">BM457-BN457-BO457-BP457</f>
        <v>207641.11998521644</v>
      </c>
      <c r="BS457" s="24">
        <f t="shared" ref="BS457:BS520" ca="1" si="477">AV457+BA457</f>
        <v>0</v>
      </c>
      <c r="BT457" s="24">
        <f t="shared" ca="1" si="442"/>
        <v>0</v>
      </c>
      <c r="BU457" s="24">
        <f t="shared" ref="BU457:BU520" ca="1" si="478">-BC457</f>
        <v>0</v>
      </c>
      <c r="BV457" s="24">
        <f t="shared" ca="1" si="443"/>
        <v>0</v>
      </c>
      <c r="BW457" s="24">
        <f t="shared" ref="BW457:BW520" ca="1" si="479">-BL457</f>
        <v>-3199.3067704003465</v>
      </c>
      <c r="BX457" s="25">
        <f t="shared" ca="1" si="444"/>
        <v>-40040.04929926894</v>
      </c>
      <c r="BY457" s="23">
        <f t="shared" ca="1" si="451"/>
        <v>47704.916390978069</v>
      </c>
      <c r="BZ457" s="24">
        <f t="shared" ca="1" si="452"/>
        <v>0</v>
      </c>
      <c r="CA457" s="24">
        <f t="shared" ca="1" si="445"/>
        <v>0</v>
      </c>
      <c r="CB457" s="24">
        <f t="shared" ca="1" si="453"/>
        <v>0</v>
      </c>
      <c r="CC457" s="24">
        <f t="shared" ca="1" si="446"/>
        <v>0</v>
      </c>
      <c r="CD457" s="24">
        <f t="shared" ca="1" si="454"/>
        <v>-737.4373095375604</v>
      </c>
      <c r="CE457" s="25">
        <f t="shared" ca="1" si="447"/>
        <v>-9401.6289526103174</v>
      </c>
      <c r="CF457" s="23">
        <f t="shared" ca="1" si="448"/>
        <v>1145776.4552732946</v>
      </c>
      <c r="CG457" s="25">
        <f t="array" aca="1" ref="CG457" ca="1">SUM(BF446:BF457/(1+inflation/100)^(AP446:AP457/12))</f>
        <v>267980.53702225379</v>
      </c>
      <c r="CH457" s="32">
        <f ca="1">IFERROR(IF(MOD(AP457-ap_months_since_start,12)=0,ap_drawdown/100*(AQ457+AV457+BA457-BC457),CH456),0)</f>
        <v>33717.575600258264</v>
      </c>
    </row>
    <row r="458" spans="40:86" x14ac:dyDescent="0.25">
      <c r="AN458" s="32">
        <f t="shared" ca="1" si="449"/>
        <v>92.416666666666671</v>
      </c>
      <c r="AO458" s="53">
        <f t="shared" ref="AO458:AO521" ca="1" si="480">DATE(YEAR(AO457),MONTH(AO457)+1,1)</f>
        <v>59323</v>
      </c>
      <c r="AP458" s="22">
        <v>451</v>
      </c>
      <c r="AQ458" s="32">
        <f t="shared" ref="AQ458:AQ521" ca="1" si="481">IF(BR457&lt;0,0,BR457)</f>
        <v>207641.11998521644</v>
      </c>
      <c r="AR458" s="23">
        <f t="array" aca="1" ref="AR458" ca="1">SUM(IF(lsc_start_date=AO458,lsc_amount,0))</f>
        <v>0</v>
      </c>
      <c r="AS458" s="24">
        <f t="shared" ca="1" si="455"/>
        <v>0</v>
      </c>
      <c r="AT458" s="24">
        <f t="shared" ca="1" si="456"/>
        <v>0</v>
      </c>
      <c r="AU458" s="24">
        <f t="shared" ca="1" si="457"/>
        <v>0</v>
      </c>
      <c r="AV458" s="25">
        <f t="shared" ca="1" si="458"/>
        <v>0</v>
      </c>
      <c r="AW458" s="23">
        <f t="array" aca="1" ref="AW458" ca="1">SUM(IF(rcs_start_date&lt;=AO458,1,0)*IF(rcs_end_date&gt;=AO458,1,0)*rcs_amount*(1+rcs_escalation/100)^(INT((AP458-rcs_months_since_start)/12))*IF(MOD((AP458-rcs_months_since_start),rcs_frequency)=0,1,0)*IF(rcs_frequency=13,0,1))+SUM(IF(rcs_start_date=AO458,rcs_amount,0)*IF(rcs_frequency=13,1,0))</f>
        <v>0</v>
      </c>
      <c r="AX458" s="24">
        <f t="shared" ca="1" si="459"/>
        <v>0</v>
      </c>
      <c r="AY458" s="24">
        <f t="shared" ca="1" si="460"/>
        <v>0</v>
      </c>
      <c r="AZ458" s="24">
        <f t="shared" ca="1" si="461"/>
        <v>0</v>
      </c>
      <c r="BA458" s="25">
        <f t="shared" ca="1" si="462"/>
        <v>0</v>
      </c>
      <c r="BB458" s="23">
        <f t="array" aca="1" ref="BB458" ca="1">SUM(IF(w_start_date&lt;=AO458,1,0)*IF(w_end_date&gt;=AO458,1,0)*w_amount*(1+w_escalation/100)^(INT((AP458-w_months_since_start)/12))*IF(MOD(AP458-w_months_since_start,w_frequency)=0,1,0)*IF(w_frequency=13,0,1))+SUM(IF(w_start_date=AO458,w_amount,0)*IF(w_frequency=13,1,0))</f>
        <v>0</v>
      </c>
      <c r="BC458" s="25">
        <f t="shared" ca="1" si="463"/>
        <v>0</v>
      </c>
      <c r="BD458" s="24" t="b">
        <f t="shared" ca="1" si="464"/>
        <v>1</v>
      </c>
      <c r="BE458" s="24" t="b">
        <f t="shared" ca="1" si="465"/>
        <v>1</v>
      </c>
      <c r="BF458" s="23">
        <f t="array" aca="1" ref="BF458" ca="1">SUM(IF(BD458,1,0)*IF(ap_start_date&lt;=AO458,1,0)*IF(ap_end_date&gt;=AO458,1,0)*ap_amount*(1+ap_escalation/100)^(INT((AP458-ap_months_since_start)/12))*IF(MOD(AP458-ap_months_since_start,ap_frequency)=0,1,0))</f>
        <v>97036.442466142194</v>
      </c>
      <c r="BG458" s="24">
        <f t="shared" ca="1" si="466"/>
        <v>1164437.3095937064</v>
      </c>
      <c r="BH458" s="24">
        <f t="shared" ca="1" si="467"/>
        <v>5484.5258921148807</v>
      </c>
      <c r="BI458">
        <f t="shared" ca="1" si="468"/>
        <v>0</v>
      </c>
      <c r="BJ458" s="24">
        <f t="shared" ca="1" si="469"/>
        <v>38391.68124480416</v>
      </c>
      <c r="BK458">
        <f t="shared" ca="1" si="470"/>
        <v>1</v>
      </c>
      <c r="BL458" s="25">
        <f t="shared" ca="1" si="471"/>
        <v>3199.3067704003465</v>
      </c>
      <c r="BM458" s="32">
        <f t="shared" ca="1" si="450"/>
        <v>205915.29146199251</v>
      </c>
      <c r="BN458" s="23">
        <f t="shared" ca="1" si="472"/>
        <v>0</v>
      </c>
      <c r="BO458" s="24">
        <f t="shared" ca="1" si="473"/>
        <v>0</v>
      </c>
      <c r="BP458" s="25">
        <f t="shared" ca="1" si="474"/>
        <v>0</v>
      </c>
      <c r="BQ458" s="34">
        <f t="shared" ca="1" si="475"/>
        <v>59352</v>
      </c>
      <c r="BR458" s="23">
        <f t="shared" ca="1" si="476"/>
        <v>205915.29146199251</v>
      </c>
      <c r="BS458" s="24">
        <f t="shared" ca="1" si="477"/>
        <v>0</v>
      </c>
      <c r="BT458" s="24">
        <f t="shared" ca="1" si="442"/>
        <v>0</v>
      </c>
      <c r="BU458" s="24">
        <f t="shared" ca="1" si="478"/>
        <v>0</v>
      </c>
      <c r="BV458" s="24">
        <f t="shared" ca="1" si="443"/>
        <v>0</v>
      </c>
      <c r="BW458" s="24">
        <f t="shared" ca="1" si="479"/>
        <v>-3199.3067704003465</v>
      </c>
      <c r="BX458" s="25">
        <f t="shared" ca="1" si="444"/>
        <v>-39710.375688375985</v>
      </c>
      <c r="BY458" s="23">
        <f t="shared" ca="1" si="451"/>
        <v>47154.042467048646</v>
      </c>
      <c r="BZ458" s="24">
        <f t="shared" ca="1" si="452"/>
        <v>0</v>
      </c>
      <c r="CA458" s="24">
        <f t="shared" ca="1" si="445"/>
        <v>0</v>
      </c>
      <c r="CB458" s="24">
        <f t="shared" ca="1" si="453"/>
        <v>0</v>
      </c>
      <c r="CC458" s="24">
        <f t="shared" ca="1" si="446"/>
        <v>0</v>
      </c>
      <c r="CD458" s="24">
        <f t="shared" ca="1" si="454"/>
        <v>-735.03100928132619</v>
      </c>
      <c r="CE458" s="25">
        <f t="shared" ca="1" si="447"/>
        <v>-9293.4565414474455</v>
      </c>
      <c r="CF458" s="23">
        <f t="shared" ca="1" si="448"/>
        <v>1149508.626137377</v>
      </c>
      <c r="CG458" s="25">
        <f t="array" aca="1" ref="CG458" ca="1">SUM(BF447:BF458/(1+inflation/100)^(AP447:AP458/12))</f>
        <v>267980.53702225373</v>
      </c>
      <c r="CH458" s="32">
        <f ca="1">IFERROR(IF(MOD(AP458-ap_months_since_start,12)=0,ap_drawdown/100*(AQ458+AV458+BA458-BC458),CH457),0)</f>
        <v>33717.575600258264</v>
      </c>
    </row>
    <row r="459" spans="40:86" x14ac:dyDescent="0.25">
      <c r="AN459" s="32">
        <f t="shared" ca="1" si="449"/>
        <v>92.5</v>
      </c>
      <c r="AO459" s="53">
        <f t="shared" ca="1" si="480"/>
        <v>59353</v>
      </c>
      <c r="AP459" s="22">
        <v>452</v>
      </c>
      <c r="AQ459" s="32">
        <f t="shared" ca="1" si="481"/>
        <v>205915.29146199251</v>
      </c>
      <c r="AR459" s="23">
        <f t="array" aca="1" ref="AR459" ca="1">SUM(IF(lsc_start_date=AO459,lsc_amount,0))</f>
        <v>0</v>
      </c>
      <c r="AS459" s="24">
        <f t="shared" ca="1" si="455"/>
        <v>0</v>
      </c>
      <c r="AT459" s="24">
        <f t="shared" ca="1" si="456"/>
        <v>0</v>
      </c>
      <c r="AU459" s="24">
        <f t="shared" ca="1" si="457"/>
        <v>0</v>
      </c>
      <c r="AV459" s="25">
        <f t="shared" ca="1" si="458"/>
        <v>0</v>
      </c>
      <c r="AW459" s="23">
        <f t="array" aca="1" ref="AW459" ca="1">SUM(IF(rcs_start_date&lt;=AO459,1,0)*IF(rcs_end_date&gt;=AO459,1,0)*rcs_amount*(1+rcs_escalation/100)^(INT((AP459-rcs_months_since_start)/12))*IF(MOD((AP459-rcs_months_since_start),rcs_frequency)=0,1,0)*IF(rcs_frequency=13,0,1))+SUM(IF(rcs_start_date=AO459,rcs_amount,0)*IF(rcs_frequency=13,1,0))</f>
        <v>0</v>
      </c>
      <c r="AX459" s="24">
        <f t="shared" ca="1" si="459"/>
        <v>0</v>
      </c>
      <c r="AY459" s="24">
        <f t="shared" ca="1" si="460"/>
        <v>0</v>
      </c>
      <c r="AZ459" s="24">
        <f t="shared" ca="1" si="461"/>
        <v>0</v>
      </c>
      <c r="BA459" s="25">
        <f t="shared" ca="1" si="462"/>
        <v>0</v>
      </c>
      <c r="BB459" s="23">
        <f t="array" aca="1" ref="BB459" ca="1">SUM(IF(w_start_date&lt;=AO459,1,0)*IF(w_end_date&gt;=AO459,1,0)*w_amount*(1+w_escalation/100)^(INT((AP459-w_months_since_start)/12))*IF(MOD(AP459-w_months_since_start,w_frequency)=0,1,0)*IF(w_frequency=13,0,1))+SUM(IF(w_start_date=AO459,w_amount,0)*IF(w_frequency=13,1,0))</f>
        <v>0</v>
      </c>
      <c r="BC459" s="25">
        <f t="shared" ca="1" si="463"/>
        <v>0</v>
      </c>
      <c r="BD459" s="24" t="b">
        <f t="shared" ca="1" si="464"/>
        <v>1</v>
      </c>
      <c r="BE459" s="24" t="b">
        <f t="shared" ca="1" si="465"/>
        <v>1</v>
      </c>
      <c r="BF459" s="23">
        <f t="array" aca="1" ref="BF459" ca="1">SUM(IF(BD459,1,0)*IF(ap_start_date&lt;=AO459,1,0)*IF(ap_end_date&gt;=AO459,1,0)*ap_amount*(1+ap_escalation/100)^(INT((AP459-ap_months_since_start)/12))*IF(MOD(AP459-ap_months_since_start,ap_frequency)=0,1,0))</f>
        <v>97036.442466142194</v>
      </c>
      <c r="BG459" s="24">
        <f t="shared" ca="1" si="466"/>
        <v>1164437.3095937064</v>
      </c>
      <c r="BH459" s="24">
        <f t="shared" ca="1" si="467"/>
        <v>5484.5258921148807</v>
      </c>
      <c r="BI459">
        <f t="shared" ca="1" si="468"/>
        <v>0</v>
      </c>
      <c r="BJ459" s="24">
        <f t="shared" ca="1" si="469"/>
        <v>38391.68124480416</v>
      </c>
      <c r="BK459">
        <f t="shared" ca="1" si="470"/>
        <v>1</v>
      </c>
      <c r="BL459" s="25">
        <f t="shared" ca="1" si="471"/>
        <v>3199.3067704003465</v>
      </c>
      <c r="BM459" s="32">
        <f t="shared" ca="1" si="450"/>
        <v>204177.0243346135</v>
      </c>
      <c r="BN459" s="23">
        <f t="shared" ca="1" si="472"/>
        <v>0</v>
      </c>
      <c r="BO459" s="24">
        <f t="shared" ca="1" si="473"/>
        <v>0</v>
      </c>
      <c r="BP459" s="25">
        <f t="shared" ca="1" si="474"/>
        <v>0</v>
      </c>
      <c r="BQ459" s="34">
        <f t="shared" ca="1" si="475"/>
        <v>59383</v>
      </c>
      <c r="BR459" s="23">
        <f t="shared" ca="1" si="476"/>
        <v>204177.0243346135</v>
      </c>
      <c r="BS459" s="24">
        <f t="shared" ca="1" si="477"/>
        <v>0</v>
      </c>
      <c r="BT459" s="24">
        <f t="shared" ca="1" si="442"/>
        <v>0</v>
      </c>
      <c r="BU459" s="24">
        <f t="shared" ca="1" si="478"/>
        <v>0</v>
      </c>
      <c r="BV459" s="24">
        <f t="shared" ca="1" si="443"/>
        <v>0</v>
      </c>
      <c r="BW459" s="24">
        <f t="shared" ca="1" si="479"/>
        <v>-3199.3067704003465</v>
      </c>
      <c r="BX459" s="25">
        <f t="shared" ca="1" si="444"/>
        <v>-39380.702077483031</v>
      </c>
      <c r="BY459" s="23">
        <f t="shared" ca="1" si="451"/>
        <v>46603.41655734196</v>
      </c>
      <c r="BZ459" s="24">
        <f t="shared" ca="1" si="452"/>
        <v>0</v>
      </c>
      <c r="CA459" s="24">
        <f t="shared" ca="1" si="445"/>
        <v>0</v>
      </c>
      <c r="CB459" s="24">
        <f t="shared" ca="1" si="453"/>
        <v>0</v>
      </c>
      <c r="CC459" s="24">
        <f t="shared" ca="1" si="446"/>
        <v>0</v>
      </c>
      <c r="CD459" s="24">
        <f t="shared" ca="1" si="454"/>
        <v>-732.63256092090523</v>
      </c>
      <c r="CE459" s="25">
        <f t="shared" ca="1" si="447"/>
        <v>-9185.6371030692844</v>
      </c>
      <c r="CF459" s="23">
        <f t="shared" ca="1" si="448"/>
        <v>1153240.7970014592</v>
      </c>
      <c r="CG459" s="25">
        <f t="array" aca="1" ref="CG459" ca="1">SUM(BF448:BF459/(1+inflation/100)^(AP448:AP459/12))</f>
        <v>267980.53702225373</v>
      </c>
      <c r="CH459" s="32">
        <f ca="1">IFERROR(IF(MOD(AP459-ap_months_since_start,12)=0,ap_drawdown/100*(AQ459+AV459+BA459-BC459),CH458),0)</f>
        <v>33717.575600258264</v>
      </c>
    </row>
    <row r="460" spans="40:86" x14ac:dyDescent="0.25">
      <c r="AN460" s="32">
        <f t="shared" ca="1" si="449"/>
        <v>92.583333333333329</v>
      </c>
      <c r="AO460" s="53">
        <f t="shared" ca="1" si="480"/>
        <v>59384</v>
      </c>
      <c r="AP460" s="22">
        <v>453</v>
      </c>
      <c r="AQ460" s="32">
        <f t="shared" ca="1" si="481"/>
        <v>204177.0243346135</v>
      </c>
      <c r="AR460" s="23">
        <f t="array" aca="1" ref="AR460" ca="1">SUM(IF(lsc_start_date=AO460,lsc_amount,0))</f>
        <v>0</v>
      </c>
      <c r="AS460" s="24">
        <f t="shared" ca="1" si="455"/>
        <v>0</v>
      </c>
      <c r="AT460" s="24">
        <f t="shared" ca="1" si="456"/>
        <v>0</v>
      </c>
      <c r="AU460" s="24">
        <f t="shared" ca="1" si="457"/>
        <v>0</v>
      </c>
      <c r="AV460" s="25">
        <f t="shared" ca="1" si="458"/>
        <v>0</v>
      </c>
      <c r="AW460" s="23">
        <f t="array" aca="1" ref="AW460" ca="1">SUM(IF(rcs_start_date&lt;=AO460,1,0)*IF(rcs_end_date&gt;=AO460,1,0)*rcs_amount*(1+rcs_escalation/100)^(INT((AP460-rcs_months_since_start)/12))*IF(MOD((AP460-rcs_months_since_start),rcs_frequency)=0,1,0)*IF(rcs_frequency=13,0,1))+SUM(IF(rcs_start_date=AO460,rcs_amount,0)*IF(rcs_frequency=13,1,0))</f>
        <v>0</v>
      </c>
      <c r="AX460" s="24">
        <f t="shared" ca="1" si="459"/>
        <v>0</v>
      </c>
      <c r="AY460" s="24">
        <f t="shared" ca="1" si="460"/>
        <v>0</v>
      </c>
      <c r="AZ460" s="24">
        <f t="shared" ca="1" si="461"/>
        <v>0</v>
      </c>
      <c r="BA460" s="25">
        <f t="shared" ca="1" si="462"/>
        <v>0</v>
      </c>
      <c r="BB460" s="23">
        <f t="array" aca="1" ref="BB460" ca="1">SUM(IF(w_start_date&lt;=AO460,1,0)*IF(w_end_date&gt;=AO460,1,0)*w_amount*(1+w_escalation/100)^(INT((AP460-w_months_since_start)/12))*IF(MOD(AP460-w_months_since_start,w_frequency)=0,1,0)*IF(w_frequency=13,0,1))+SUM(IF(w_start_date=AO460,w_amount,0)*IF(w_frequency=13,1,0))</f>
        <v>0</v>
      </c>
      <c r="BC460" s="25">
        <f t="shared" ca="1" si="463"/>
        <v>0</v>
      </c>
      <c r="BD460" s="24" t="b">
        <f t="shared" ca="1" si="464"/>
        <v>1</v>
      </c>
      <c r="BE460" s="24" t="b">
        <f t="shared" ca="1" si="465"/>
        <v>1</v>
      </c>
      <c r="BF460" s="23">
        <f t="array" aca="1" ref="BF460" ca="1">SUM(IF(BD460,1,0)*IF(ap_start_date&lt;=AO460,1,0)*IF(ap_end_date&gt;=AO460,1,0)*ap_amount*(1+ap_escalation/100)^(INT((AP460-ap_months_since_start)/12))*IF(MOD(AP460-ap_months_since_start,ap_frequency)=0,1,0))</f>
        <v>97036.442466142194</v>
      </c>
      <c r="BG460" s="24">
        <f t="shared" ca="1" si="466"/>
        <v>1164437.3095937064</v>
      </c>
      <c r="BH460" s="24">
        <f t="shared" ca="1" si="467"/>
        <v>5484.5258921148807</v>
      </c>
      <c r="BI460">
        <f t="shared" ca="1" si="468"/>
        <v>0</v>
      </c>
      <c r="BJ460" s="24">
        <f t="shared" ca="1" si="469"/>
        <v>38391.68124480416</v>
      </c>
      <c r="BK460">
        <f t="shared" ca="1" si="470"/>
        <v>1</v>
      </c>
      <c r="BL460" s="25">
        <f t="shared" ca="1" si="471"/>
        <v>3199.3067704003465</v>
      </c>
      <c r="BM460" s="32">
        <f t="shared" ca="1" si="450"/>
        <v>202426.22895403765</v>
      </c>
      <c r="BN460" s="23">
        <f t="shared" ca="1" si="472"/>
        <v>0</v>
      </c>
      <c r="BO460" s="24">
        <f t="shared" ca="1" si="473"/>
        <v>0</v>
      </c>
      <c r="BP460" s="25">
        <f t="shared" ca="1" si="474"/>
        <v>0</v>
      </c>
      <c r="BQ460" s="34">
        <f t="shared" ca="1" si="475"/>
        <v>59414</v>
      </c>
      <c r="BR460" s="23">
        <f t="shared" ca="1" si="476"/>
        <v>202426.22895403765</v>
      </c>
      <c r="BS460" s="24">
        <f t="shared" ca="1" si="477"/>
        <v>0</v>
      </c>
      <c r="BT460" s="24">
        <f t="shared" ca="1" si="442"/>
        <v>0</v>
      </c>
      <c r="BU460" s="24">
        <f t="shared" ca="1" si="478"/>
        <v>0</v>
      </c>
      <c r="BV460" s="24">
        <f t="shared" ca="1" si="443"/>
        <v>0</v>
      </c>
      <c r="BW460" s="24">
        <f t="shared" ca="1" si="479"/>
        <v>-3199.3067704003465</v>
      </c>
      <c r="BX460" s="25">
        <f t="shared" ca="1" si="444"/>
        <v>-39051.028466590076</v>
      </c>
      <c r="BY460" s="23">
        <f t="shared" ca="1" si="451"/>
        <v>46053.031777299802</v>
      </c>
      <c r="BZ460" s="24">
        <f t="shared" ca="1" si="452"/>
        <v>0</v>
      </c>
      <c r="CA460" s="24">
        <f t="shared" ca="1" si="445"/>
        <v>0</v>
      </c>
      <c r="CB460" s="24">
        <f t="shared" ca="1" si="453"/>
        <v>0</v>
      </c>
      <c r="CC460" s="24">
        <f t="shared" ca="1" si="446"/>
        <v>0</v>
      </c>
      <c r="CD460" s="24">
        <f t="shared" ca="1" si="454"/>
        <v>-730.24193883511066</v>
      </c>
      <c r="CE460" s="25">
        <f t="shared" ca="1" si="447"/>
        <v>-9078.1694857053863</v>
      </c>
      <c r="CF460" s="23">
        <f t="shared" ca="1" si="448"/>
        <v>1156972.9678655416</v>
      </c>
      <c r="CG460" s="25">
        <f t="array" aca="1" ref="CG460" ca="1">SUM(BF449:BF460/(1+inflation/100)^(AP449:AP460/12))</f>
        <v>267980.53702225379</v>
      </c>
      <c r="CH460" s="32">
        <f ca="1">IFERROR(IF(MOD(AP460-ap_months_since_start,12)=0,ap_drawdown/100*(AQ460+AV460+BA460-BC460),CH459),0)</f>
        <v>33717.575600258264</v>
      </c>
    </row>
    <row r="461" spans="40:86" x14ac:dyDescent="0.25">
      <c r="AN461" s="32">
        <f t="shared" ca="1" si="449"/>
        <v>92.666666666666671</v>
      </c>
      <c r="AO461" s="53">
        <f t="shared" ca="1" si="480"/>
        <v>59415</v>
      </c>
      <c r="AP461" s="22">
        <v>454</v>
      </c>
      <c r="AQ461" s="32">
        <f t="shared" ca="1" si="481"/>
        <v>202426.22895403765</v>
      </c>
      <c r="AR461" s="23">
        <f t="array" aca="1" ref="AR461" ca="1">SUM(IF(lsc_start_date=AO461,lsc_amount,0))</f>
        <v>0</v>
      </c>
      <c r="AS461" s="24">
        <f t="shared" ca="1" si="455"/>
        <v>0</v>
      </c>
      <c r="AT461" s="24">
        <f t="shared" ca="1" si="456"/>
        <v>0</v>
      </c>
      <c r="AU461" s="24">
        <f t="shared" ca="1" si="457"/>
        <v>0</v>
      </c>
      <c r="AV461" s="25">
        <f t="shared" ca="1" si="458"/>
        <v>0</v>
      </c>
      <c r="AW461" s="23">
        <f t="array" aca="1" ref="AW461" ca="1">SUM(IF(rcs_start_date&lt;=AO461,1,0)*IF(rcs_end_date&gt;=AO461,1,0)*rcs_amount*(1+rcs_escalation/100)^(INT((AP461-rcs_months_since_start)/12))*IF(MOD((AP461-rcs_months_since_start),rcs_frequency)=0,1,0)*IF(rcs_frequency=13,0,1))+SUM(IF(rcs_start_date=AO461,rcs_amount,0)*IF(rcs_frequency=13,1,0))</f>
        <v>0</v>
      </c>
      <c r="AX461" s="24">
        <f t="shared" ca="1" si="459"/>
        <v>0</v>
      </c>
      <c r="AY461" s="24">
        <f t="shared" ca="1" si="460"/>
        <v>0</v>
      </c>
      <c r="AZ461" s="24">
        <f t="shared" ca="1" si="461"/>
        <v>0</v>
      </c>
      <c r="BA461" s="25">
        <f t="shared" ca="1" si="462"/>
        <v>0</v>
      </c>
      <c r="BB461" s="23">
        <f t="array" aca="1" ref="BB461" ca="1">SUM(IF(w_start_date&lt;=AO461,1,0)*IF(w_end_date&gt;=AO461,1,0)*w_amount*(1+w_escalation/100)^(INT((AP461-w_months_since_start)/12))*IF(MOD(AP461-w_months_since_start,w_frequency)=0,1,0)*IF(w_frequency=13,0,1))+SUM(IF(w_start_date=AO461,w_amount,0)*IF(w_frequency=13,1,0))</f>
        <v>0</v>
      </c>
      <c r="BC461" s="25">
        <f t="shared" ca="1" si="463"/>
        <v>0</v>
      </c>
      <c r="BD461" s="24" t="b">
        <f t="shared" ca="1" si="464"/>
        <v>1</v>
      </c>
      <c r="BE461" s="24" t="b">
        <f t="shared" ca="1" si="465"/>
        <v>1</v>
      </c>
      <c r="BF461" s="23">
        <f t="array" aca="1" ref="BF461" ca="1">SUM(IF(BD461,1,0)*IF(ap_start_date&lt;=AO461,1,0)*IF(ap_end_date&gt;=AO461,1,0)*ap_amount*(1+ap_escalation/100)^(INT((AP461-ap_months_since_start)/12))*IF(MOD(AP461-ap_months_since_start,ap_frequency)=0,1,0))</f>
        <v>97036.442466142194</v>
      </c>
      <c r="BG461" s="24">
        <f t="shared" ca="1" si="466"/>
        <v>1164437.3095937064</v>
      </c>
      <c r="BH461" s="24">
        <f t="shared" ca="1" si="467"/>
        <v>5484.5258921148807</v>
      </c>
      <c r="BI461">
        <f t="shared" ca="1" si="468"/>
        <v>0</v>
      </c>
      <c r="BJ461" s="24">
        <f t="shared" ca="1" si="469"/>
        <v>38391.68124480416</v>
      </c>
      <c r="BK461">
        <f t="shared" ca="1" si="470"/>
        <v>1</v>
      </c>
      <c r="BL461" s="25">
        <f t="shared" ca="1" si="471"/>
        <v>3199.3067704003465</v>
      </c>
      <c r="BM461" s="32">
        <f t="shared" ca="1" si="450"/>
        <v>200662.81502509359</v>
      </c>
      <c r="BN461" s="23">
        <f t="shared" ca="1" si="472"/>
        <v>0</v>
      </c>
      <c r="BO461" s="24">
        <f t="shared" ca="1" si="473"/>
        <v>0</v>
      </c>
      <c r="BP461" s="25">
        <f t="shared" ca="1" si="474"/>
        <v>0</v>
      </c>
      <c r="BQ461" s="34">
        <f t="shared" ca="1" si="475"/>
        <v>59444</v>
      </c>
      <c r="BR461" s="23">
        <f t="shared" ca="1" si="476"/>
        <v>200662.81502509359</v>
      </c>
      <c r="BS461" s="24">
        <f t="shared" ca="1" si="477"/>
        <v>0</v>
      </c>
      <c r="BT461" s="24">
        <f t="shared" ca="1" si="442"/>
        <v>0</v>
      </c>
      <c r="BU461" s="24">
        <f t="shared" ca="1" si="478"/>
        <v>0</v>
      </c>
      <c r="BV461" s="24">
        <f t="shared" ca="1" si="443"/>
        <v>0</v>
      </c>
      <c r="BW461" s="24">
        <f t="shared" ca="1" si="479"/>
        <v>-3199.3067704003465</v>
      </c>
      <c r="BX461" s="25">
        <f t="shared" ca="1" si="444"/>
        <v>-38721.354855697115</v>
      </c>
      <c r="BY461" s="23">
        <f t="shared" ca="1" si="451"/>
        <v>45502.881241009076</v>
      </c>
      <c r="BZ461" s="24">
        <f t="shared" ca="1" si="452"/>
        <v>0</v>
      </c>
      <c r="CA461" s="24">
        <f t="shared" ca="1" si="445"/>
        <v>0</v>
      </c>
      <c r="CB461" s="24">
        <f t="shared" ca="1" si="453"/>
        <v>0</v>
      </c>
      <c r="CC461" s="24">
        <f t="shared" ca="1" si="446"/>
        <v>0</v>
      </c>
      <c r="CD461" s="24">
        <f t="shared" ca="1" si="454"/>
        <v>-727.85911748635931</v>
      </c>
      <c r="CE461" s="25">
        <f t="shared" ca="1" si="447"/>
        <v>-8971.0525413435953</v>
      </c>
      <c r="CF461" s="23">
        <f t="shared" ca="1" si="448"/>
        <v>1160705.138729624</v>
      </c>
      <c r="CG461" s="25">
        <f t="array" aca="1" ref="CG461" ca="1">SUM(BF450:BF461/(1+inflation/100)^(AP450:AP461/12))</f>
        <v>267980.53702225379</v>
      </c>
      <c r="CH461" s="32">
        <f ca="1">IFERROR(IF(MOD(AP461-ap_months_since_start,12)=0,ap_drawdown/100*(AQ461+AV461+BA461-BC461),CH460),0)</f>
        <v>33717.575600258264</v>
      </c>
    </row>
    <row r="462" spans="40:86" x14ac:dyDescent="0.25">
      <c r="AN462" s="32">
        <f t="shared" ca="1" si="449"/>
        <v>92.75</v>
      </c>
      <c r="AO462" s="53">
        <f t="shared" ca="1" si="480"/>
        <v>59445</v>
      </c>
      <c r="AP462" s="22">
        <v>455</v>
      </c>
      <c r="AQ462" s="32">
        <f t="shared" ca="1" si="481"/>
        <v>200662.81502509359</v>
      </c>
      <c r="AR462" s="23">
        <f t="array" aca="1" ref="AR462" ca="1">SUM(IF(lsc_start_date=AO462,lsc_amount,0))</f>
        <v>0</v>
      </c>
      <c r="AS462" s="24">
        <f t="shared" ca="1" si="455"/>
        <v>0</v>
      </c>
      <c r="AT462" s="24">
        <f t="shared" ca="1" si="456"/>
        <v>0</v>
      </c>
      <c r="AU462" s="24">
        <f t="shared" ca="1" si="457"/>
        <v>0</v>
      </c>
      <c r="AV462" s="25">
        <f t="shared" ca="1" si="458"/>
        <v>0</v>
      </c>
      <c r="AW462" s="23">
        <f t="array" aca="1" ref="AW462" ca="1">SUM(IF(rcs_start_date&lt;=AO462,1,0)*IF(rcs_end_date&gt;=AO462,1,0)*rcs_amount*(1+rcs_escalation/100)^(INT((AP462-rcs_months_since_start)/12))*IF(MOD((AP462-rcs_months_since_start),rcs_frequency)=0,1,0)*IF(rcs_frequency=13,0,1))+SUM(IF(rcs_start_date=AO462,rcs_amount,0)*IF(rcs_frequency=13,1,0))</f>
        <v>0</v>
      </c>
      <c r="AX462" s="24">
        <f t="shared" ca="1" si="459"/>
        <v>0</v>
      </c>
      <c r="AY462" s="24">
        <f t="shared" ca="1" si="460"/>
        <v>0</v>
      </c>
      <c r="AZ462" s="24">
        <f t="shared" ca="1" si="461"/>
        <v>0</v>
      </c>
      <c r="BA462" s="25">
        <f t="shared" ca="1" si="462"/>
        <v>0</v>
      </c>
      <c r="BB462" s="23">
        <f t="array" aca="1" ref="BB462" ca="1">SUM(IF(w_start_date&lt;=AO462,1,0)*IF(w_end_date&gt;=AO462,1,0)*w_amount*(1+w_escalation/100)^(INT((AP462-w_months_since_start)/12))*IF(MOD(AP462-w_months_since_start,w_frequency)=0,1,0)*IF(w_frequency=13,0,1))+SUM(IF(w_start_date=AO462,w_amount,0)*IF(w_frequency=13,1,0))</f>
        <v>0</v>
      </c>
      <c r="BC462" s="25">
        <f t="shared" ca="1" si="463"/>
        <v>0</v>
      </c>
      <c r="BD462" s="24" t="b">
        <f t="shared" ca="1" si="464"/>
        <v>1</v>
      </c>
      <c r="BE462" s="24" t="b">
        <f t="shared" ca="1" si="465"/>
        <v>1</v>
      </c>
      <c r="BF462" s="23">
        <f t="array" aca="1" ref="BF462" ca="1">SUM(IF(BD462,1,0)*IF(ap_start_date&lt;=AO462,1,0)*IF(ap_end_date&gt;=AO462,1,0)*ap_amount*(1+ap_escalation/100)^(INT((AP462-ap_months_since_start)/12))*IF(MOD(AP462-ap_months_since_start,ap_frequency)=0,1,0))</f>
        <v>97036.442466142194</v>
      </c>
      <c r="BG462" s="24">
        <f t="shared" ca="1" si="466"/>
        <v>1164437.3095937064</v>
      </c>
      <c r="BH462" s="24">
        <f t="shared" ca="1" si="467"/>
        <v>5484.5258921148807</v>
      </c>
      <c r="BI462">
        <f t="shared" ca="1" si="468"/>
        <v>0</v>
      </c>
      <c r="BJ462" s="24">
        <f t="shared" ca="1" si="469"/>
        <v>38391.68124480416</v>
      </c>
      <c r="BK462">
        <f t="shared" ca="1" si="470"/>
        <v>1</v>
      </c>
      <c r="BL462" s="25">
        <f t="shared" ca="1" si="471"/>
        <v>3199.3067704003465</v>
      </c>
      <c r="BM462" s="32">
        <f t="shared" ca="1" si="450"/>
        <v>198886.69160182343</v>
      </c>
      <c r="BN462" s="23">
        <f t="shared" ca="1" si="472"/>
        <v>0</v>
      </c>
      <c r="BO462" s="24">
        <f t="shared" ca="1" si="473"/>
        <v>0</v>
      </c>
      <c r="BP462" s="25">
        <f t="shared" ca="1" si="474"/>
        <v>0</v>
      </c>
      <c r="BQ462" s="34">
        <f t="shared" ca="1" si="475"/>
        <v>59475</v>
      </c>
      <c r="BR462" s="23">
        <f t="shared" ca="1" si="476"/>
        <v>198886.69160182343</v>
      </c>
      <c r="BS462" s="24">
        <f t="shared" ca="1" si="477"/>
        <v>0</v>
      </c>
      <c r="BT462" s="24">
        <f t="shared" ca="1" si="442"/>
        <v>0</v>
      </c>
      <c r="BU462" s="24">
        <f t="shared" ca="1" si="478"/>
        <v>0</v>
      </c>
      <c r="BV462" s="24">
        <f t="shared" ca="1" si="443"/>
        <v>0</v>
      </c>
      <c r="BW462" s="24">
        <f t="shared" ca="1" si="479"/>
        <v>-3199.3067704003465</v>
      </c>
      <c r="BX462" s="25">
        <f t="shared" ca="1" si="444"/>
        <v>-38391.681244804167</v>
      </c>
      <c r="BY462" s="23">
        <f t="shared" ca="1" si="451"/>
        <v>44952.958061112789</v>
      </c>
      <c r="BZ462" s="24">
        <f t="shared" ca="1" si="452"/>
        <v>0</v>
      </c>
      <c r="CA462" s="24">
        <f t="shared" ca="1" si="445"/>
        <v>0</v>
      </c>
      <c r="CB462" s="24">
        <f t="shared" ca="1" si="453"/>
        <v>0</v>
      </c>
      <c r="CC462" s="24">
        <f t="shared" ca="1" si="446"/>
        <v>0</v>
      </c>
      <c r="CD462" s="24">
        <f t="shared" ca="1" si="454"/>
        <v>-725.48407142039878</v>
      </c>
      <c r="CE462" s="25">
        <f t="shared" ca="1" si="447"/>
        <v>-8864.285125717779</v>
      </c>
      <c r="CF462" s="23">
        <f t="shared" ca="1" si="448"/>
        <v>1164437.3095937064</v>
      </c>
      <c r="CG462" s="25">
        <f t="array" aca="1" ref="CG462" ca="1">SUM(BF451:BF462/(1+inflation/100)^(AP451:AP462/12))</f>
        <v>267980.53702225379</v>
      </c>
      <c r="CH462" s="32">
        <f ca="1">IFERROR(IF(MOD(AP462-ap_months_since_start,12)=0,ap_drawdown/100*(AQ462+AV462+BA462-BC462),CH461),0)</f>
        <v>33717.575600258264</v>
      </c>
    </row>
    <row r="463" spans="40:86" x14ac:dyDescent="0.25">
      <c r="AN463" s="32">
        <f t="shared" ca="1" si="449"/>
        <v>92.833333333333329</v>
      </c>
      <c r="AO463" s="53">
        <f t="shared" ca="1" si="480"/>
        <v>59476</v>
      </c>
      <c r="AP463" s="22">
        <v>456</v>
      </c>
      <c r="AQ463" s="32">
        <f t="shared" ca="1" si="481"/>
        <v>198886.69160182343</v>
      </c>
      <c r="AR463" s="23">
        <f t="array" aca="1" ref="AR463" ca="1">SUM(IF(lsc_start_date=AO463,lsc_amount,0))</f>
        <v>0</v>
      </c>
      <c r="AS463" s="24">
        <f t="shared" ca="1" si="455"/>
        <v>0</v>
      </c>
      <c r="AT463" s="24">
        <f t="shared" ca="1" si="456"/>
        <v>0</v>
      </c>
      <c r="AU463" s="24">
        <f t="shared" ca="1" si="457"/>
        <v>0</v>
      </c>
      <c r="AV463" s="25">
        <f t="shared" ca="1" si="458"/>
        <v>0</v>
      </c>
      <c r="AW463" s="23">
        <f t="array" aca="1" ref="AW463" ca="1">SUM(IF(rcs_start_date&lt;=AO463,1,0)*IF(rcs_end_date&gt;=AO463,1,0)*rcs_amount*(1+rcs_escalation/100)^(INT((AP463-rcs_months_since_start)/12))*IF(MOD((AP463-rcs_months_since_start),rcs_frequency)=0,1,0)*IF(rcs_frequency=13,0,1))+SUM(IF(rcs_start_date=AO463,rcs_amount,0)*IF(rcs_frequency=13,1,0))</f>
        <v>0</v>
      </c>
      <c r="AX463" s="24">
        <f t="shared" ca="1" si="459"/>
        <v>0</v>
      </c>
      <c r="AY463" s="24">
        <f t="shared" ca="1" si="460"/>
        <v>0</v>
      </c>
      <c r="AZ463" s="24">
        <f t="shared" ca="1" si="461"/>
        <v>0</v>
      </c>
      <c r="BA463" s="25">
        <f t="shared" ca="1" si="462"/>
        <v>0</v>
      </c>
      <c r="BB463" s="23">
        <f t="array" aca="1" ref="BB463" ca="1">SUM(IF(w_start_date&lt;=AO463,1,0)*IF(w_end_date&gt;=AO463,1,0)*w_amount*(1+w_escalation/100)^(INT((AP463-w_months_since_start)/12))*IF(MOD(AP463-w_months_since_start,w_frequency)=0,1,0)*IF(w_frequency=13,0,1))+SUM(IF(w_start_date=AO463,w_amount,0)*IF(w_frequency=13,1,0))</f>
        <v>0</v>
      </c>
      <c r="BC463" s="25">
        <f t="shared" ca="1" si="463"/>
        <v>0</v>
      </c>
      <c r="BD463" s="24" t="b">
        <f t="shared" ca="1" si="464"/>
        <v>1</v>
      </c>
      <c r="BE463" s="24" t="b">
        <f t="shared" ca="1" si="465"/>
        <v>1</v>
      </c>
      <c r="BF463" s="23">
        <f t="array" aca="1" ref="BF463" ca="1">SUM(IF(BD463,1,0)*IF(ap_start_date&lt;=AO463,1,0)*IF(ap_end_date&gt;=AO463,1,0)*ap_amount*(1+ap_escalation/100)^(INT((AP463-ap_months_since_start)/12))*IF(MOD(AP463-ap_months_since_start,ap_frequency)=0,1,0))</f>
        <v>100917.90016478789</v>
      </c>
      <c r="BG463" s="24">
        <f t="shared" ca="1" si="466"/>
        <v>1211014.8019774547</v>
      </c>
      <c r="BH463" s="24">
        <f t="shared" ca="1" si="467"/>
        <v>4972.167290045586</v>
      </c>
      <c r="BI463">
        <f t="shared" ca="1" si="468"/>
        <v>0</v>
      </c>
      <c r="BJ463" s="24">
        <f t="shared" ca="1" si="469"/>
        <v>34805.171030319099</v>
      </c>
      <c r="BK463">
        <f t="shared" ca="1" si="470"/>
        <v>1</v>
      </c>
      <c r="BL463" s="25">
        <f t="shared" ca="1" si="471"/>
        <v>2900.430919193258</v>
      </c>
      <c r="BM463" s="32">
        <f t="shared" ca="1" si="450"/>
        <v>197398.79702889055</v>
      </c>
      <c r="BN463" s="23">
        <f t="shared" ca="1" si="472"/>
        <v>0</v>
      </c>
      <c r="BO463" s="24">
        <f t="shared" ca="1" si="473"/>
        <v>0</v>
      </c>
      <c r="BP463" s="25">
        <f t="shared" ca="1" si="474"/>
        <v>0</v>
      </c>
      <c r="BQ463" s="34">
        <f t="shared" ca="1" si="475"/>
        <v>59505</v>
      </c>
      <c r="BR463" s="23">
        <f t="shared" ca="1" si="476"/>
        <v>197398.79702889055</v>
      </c>
      <c r="BS463" s="24">
        <f t="shared" ca="1" si="477"/>
        <v>0</v>
      </c>
      <c r="BT463" s="24">
        <f t="shared" ca="1" si="442"/>
        <v>0</v>
      </c>
      <c r="BU463" s="24">
        <f t="shared" ca="1" si="478"/>
        <v>0</v>
      </c>
      <c r="BV463" s="24">
        <f t="shared" ca="1" si="443"/>
        <v>0</v>
      </c>
      <c r="BW463" s="24">
        <f t="shared" ca="1" si="479"/>
        <v>-2900.430919193258</v>
      </c>
      <c r="BX463" s="25">
        <f t="shared" ca="1" si="444"/>
        <v>-38092.805393597075</v>
      </c>
      <c r="BY463" s="23">
        <f t="shared" ca="1" si="451"/>
        <v>44471.073009783555</v>
      </c>
      <c r="BZ463" s="24">
        <f t="shared" ca="1" si="452"/>
        <v>0</v>
      </c>
      <c r="CA463" s="24">
        <f t="shared" ca="1" si="445"/>
        <v>0</v>
      </c>
      <c r="CB463" s="24">
        <f t="shared" ca="1" si="453"/>
        <v>0</v>
      </c>
      <c r="CC463" s="24">
        <f t="shared" ca="1" si="446"/>
        <v>0</v>
      </c>
      <c r="CD463" s="24">
        <f t="shared" ca="1" si="454"/>
        <v>-655.5639717245615</v>
      </c>
      <c r="CE463" s="25">
        <f t="shared" ca="1" si="447"/>
        <v>-8767.8076511656636</v>
      </c>
      <c r="CF463" s="23">
        <f t="shared" ca="1" si="448"/>
        <v>1168318.7672923522</v>
      </c>
      <c r="CG463" s="25">
        <f t="array" aca="1" ref="CG463" ca="1">SUM(BF452:BF463/(1+inflation/100)^(AP452:AP463/12))</f>
        <v>267980.53702225379</v>
      </c>
      <c r="CH463" s="32">
        <f ca="1">IFERROR(IF(MOD(AP463-ap_months_since_start,12)=0,ap_drawdown/100*(AQ463+AV463+BA463-BC463),CH462),0)</f>
        <v>30567.71538635152</v>
      </c>
    </row>
    <row r="464" spans="40:86" x14ac:dyDescent="0.25">
      <c r="AN464" s="32">
        <f t="shared" ca="1" si="449"/>
        <v>92.916666666666671</v>
      </c>
      <c r="AO464" s="53">
        <f t="shared" ca="1" si="480"/>
        <v>59506</v>
      </c>
      <c r="AP464" s="22">
        <v>457</v>
      </c>
      <c r="AQ464" s="32">
        <f t="shared" ca="1" si="481"/>
        <v>197398.79702889055</v>
      </c>
      <c r="AR464" s="23">
        <f t="array" aca="1" ref="AR464" ca="1">SUM(IF(lsc_start_date=AO464,lsc_amount,0))</f>
        <v>0</v>
      </c>
      <c r="AS464" s="24">
        <f t="shared" ca="1" si="455"/>
        <v>0</v>
      </c>
      <c r="AT464" s="24">
        <f t="shared" ca="1" si="456"/>
        <v>0</v>
      </c>
      <c r="AU464" s="24">
        <f t="shared" ca="1" si="457"/>
        <v>0</v>
      </c>
      <c r="AV464" s="25">
        <f t="shared" ca="1" si="458"/>
        <v>0</v>
      </c>
      <c r="AW464" s="23">
        <f t="array" aca="1" ref="AW464" ca="1">SUM(IF(rcs_start_date&lt;=AO464,1,0)*IF(rcs_end_date&gt;=AO464,1,0)*rcs_amount*(1+rcs_escalation/100)^(INT((AP464-rcs_months_since_start)/12))*IF(MOD((AP464-rcs_months_since_start),rcs_frequency)=0,1,0)*IF(rcs_frequency=13,0,1))+SUM(IF(rcs_start_date=AO464,rcs_amount,0)*IF(rcs_frequency=13,1,0))</f>
        <v>0</v>
      </c>
      <c r="AX464" s="24">
        <f t="shared" ca="1" si="459"/>
        <v>0</v>
      </c>
      <c r="AY464" s="24">
        <f t="shared" ca="1" si="460"/>
        <v>0</v>
      </c>
      <c r="AZ464" s="24">
        <f t="shared" ca="1" si="461"/>
        <v>0</v>
      </c>
      <c r="BA464" s="25">
        <f t="shared" ca="1" si="462"/>
        <v>0</v>
      </c>
      <c r="BB464" s="23">
        <f t="array" aca="1" ref="BB464" ca="1">SUM(IF(w_start_date&lt;=AO464,1,0)*IF(w_end_date&gt;=AO464,1,0)*w_amount*(1+w_escalation/100)^(INT((AP464-w_months_since_start)/12))*IF(MOD(AP464-w_months_since_start,w_frequency)=0,1,0)*IF(w_frequency=13,0,1))+SUM(IF(w_start_date=AO464,w_amount,0)*IF(w_frequency=13,1,0))</f>
        <v>0</v>
      </c>
      <c r="BC464" s="25">
        <f t="shared" ca="1" si="463"/>
        <v>0</v>
      </c>
      <c r="BD464" s="24" t="b">
        <f t="shared" ca="1" si="464"/>
        <v>1</v>
      </c>
      <c r="BE464" s="24" t="b">
        <f t="shared" ca="1" si="465"/>
        <v>1</v>
      </c>
      <c r="BF464" s="23">
        <f t="array" aca="1" ref="BF464" ca="1">SUM(IF(BD464,1,0)*IF(ap_start_date&lt;=AO464,1,0)*IF(ap_end_date&gt;=AO464,1,0)*ap_amount*(1+ap_escalation/100)^(INT((AP464-ap_months_since_start)/12))*IF(MOD(AP464-ap_months_since_start,ap_frequency)=0,1,0))</f>
        <v>100917.90016478789</v>
      </c>
      <c r="BG464" s="24">
        <f t="shared" ca="1" si="466"/>
        <v>1211014.8019774547</v>
      </c>
      <c r="BH464" s="24">
        <f t="shared" ca="1" si="467"/>
        <v>4972.167290045586</v>
      </c>
      <c r="BI464">
        <f t="shared" ca="1" si="468"/>
        <v>0</v>
      </c>
      <c r="BJ464" s="24">
        <f t="shared" ca="1" si="469"/>
        <v>34805.171030319099</v>
      </c>
      <c r="BK464">
        <f t="shared" ca="1" si="470"/>
        <v>1</v>
      </c>
      <c r="BL464" s="25">
        <f t="shared" ca="1" si="471"/>
        <v>2900.430919193258</v>
      </c>
      <c r="BM464" s="32">
        <f t="shared" ca="1" si="450"/>
        <v>195900.1787187102</v>
      </c>
      <c r="BN464" s="23">
        <f t="shared" ca="1" si="472"/>
        <v>0</v>
      </c>
      <c r="BO464" s="24">
        <f t="shared" ca="1" si="473"/>
        <v>0</v>
      </c>
      <c r="BP464" s="25">
        <f t="shared" ca="1" si="474"/>
        <v>0</v>
      </c>
      <c r="BQ464" s="34">
        <f t="shared" ca="1" si="475"/>
        <v>59536</v>
      </c>
      <c r="BR464" s="23">
        <f t="shared" ca="1" si="476"/>
        <v>195900.1787187102</v>
      </c>
      <c r="BS464" s="24">
        <f t="shared" ca="1" si="477"/>
        <v>0</v>
      </c>
      <c r="BT464" s="24">
        <f t="shared" ca="1" si="442"/>
        <v>0</v>
      </c>
      <c r="BU464" s="24">
        <f t="shared" ca="1" si="478"/>
        <v>0</v>
      </c>
      <c r="BV464" s="24">
        <f t="shared" ca="1" si="443"/>
        <v>0</v>
      </c>
      <c r="BW464" s="24">
        <f t="shared" ca="1" si="479"/>
        <v>-2900.430919193258</v>
      </c>
      <c r="BX464" s="25">
        <f t="shared" ca="1" si="444"/>
        <v>-37793.929542389982</v>
      </c>
      <c r="BY464" s="23">
        <f t="shared" ca="1" si="451"/>
        <v>43989.446138488071</v>
      </c>
      <c r="BZ464" s="24">
        <f t="shared" ca="1" si="452"/>
        <v>0</v>
      </c>
      <c r="CA464" s="24">
        <f t="shared" ca="1" si="445"/>
        <v>0</v>
      </c>
      <c r="CB464" s="24">
        <f t="shared" ca="1" si="453"/>
        <v>0</v>
      </c>
      <c r="CC464" s="24">
        <f t="shared" ca="1" si="446"/>
        <v>0</v>
      </c>
      <c r="CD464" s="24">
        <f t="shared" ca="1" si="454"/>
        <v>-653.4248288676207</v>
      </c>
      <c r="CE464" s="25">
        <f t="shared" ca="1" si="447"/>
        <v>-8671.6449881490298</v>
      </c>
      <c r="CF464" s="23">
        <f t="shared" ca="1" si="448"/>
        <v>1172200.2249909979</v>
      </c>
      <c r="CG464" s="25">
        <f t="array" aca="1" ref="CG464" ca="1">SUM(BF453:BF464/(1+inflation/100)^(AP453:AP464/12))</f>
        <v>267980.53702225379</v>
      </c>
      <c r="CH464" s="32">
        <f ca="1">IFERROR(IF(MOD(AP464-ap_months_since_start,12)=0,ap_drawdown/100*(AQ464+AV464+BA464-BC464),CH463),0)</f>
        <v>30567.71538635152</v>
      </c>
    </row>
    <row r="465" spans="40:86" x14ac:dyDescent="0.25">
      <c r="AN465" s="32">
        <f t="shared" ca="1" si="449"/>
        <v>93</v>
      </c>
      <c r="AO465" s="53">
        <f t="shared" ca="1" si="480"/>
        <v>59537</v>
      </c>
      <c r="AP465" s="22">
        <v>458</v>
      </c>
      <c r="AQ465" s="32">
        <f t="shared" ca="1" si="481"/>
        <v>195900.1787187102</v>
      </c>
      <c r="AR465" s="23">
        <f t="array" aca="1" ref="AR465" ca="1">SUM(IF(lsc_start_date=AO465,lsc_amount,0))</f>
        <v>0</v>
      </c>
      <c r="AS465" s="24">
        <f t="shared" ca="1" si="455"/>
        <v>0</v>
      </c>
      <c r="AT465" s="24">
        <f t="shared" ca="1" si="456"/>
        <v>0</v>
      </c>
      <c r="AU465" s="24">
        <f t="shared" ca="1" si="457"/>
        <v>0</v>
      </c>
      <c r="AV465" s="25">
        <f t="shared" ca="1" si="458"/>
        <v>0</v>
      </c>
      <c r="AW465" s="23">
        <f t="array" aca="1" ref="AW465" ca="1">SUM(IF(rcs_start_date&lt;=AO465,1,0)*IF(rcs_end_date&gt;=AO465,1,0)*rcs_amount*(1+rcs_escalation/100)^(INT((AP465-rcs_months_since_start)/12))*IF(MOD((AP465-rcs_months_since_start),rcs_frequency)=0,1,0)*IF(rcs_frequency=13,0,1))+SUM(IF(rcs_start_date=AO465,rcs_amount,0)*IF(rcs_frequency=13,1,0))</f>
        <v>0</v>
      </c>
      <c r="AX465" s="24">
        <f t="shared" ca="1" si="459"/>
        <v>0</v>
      </c>
      <c r="AY465" s="24">
        <f t="shared" ca="1" si="460"/>
        <v>0</v>
      </c>
      <c r="AZ465" s="24">
        <f t="shared" ca="1" si="461"/>
        <v>0</v>
      </c>
      <c r="BA465" s="25">
        <f t="shared" ca="1" si="462"/>
        <v>0</v>
      </c>
      <c r="BB465" s="23">
        <f t="array" aca="1" ref="BB465" ca="1">SUM(IF(w_start_date&lt;=AO465,1,0)*IF(w_end_date&gt;=AO465,1,0)*w_amount*(1+w_escalation/100)^(INT((AP465-w_months_since_start)/12))*IF(MOD(AP465-w_months_since_start,w_frequency)=0,1,0)*IF(w_frequency=13,0,1))+SUM(IF(w_start_date=AO465,w_amount,0)*IF(w_frequency=13,1,0))</f>
        <v>0</v>
      </c>
      <c r="BC465" s="25">
        <f t="shared" ca="1" si="463"/>
        <v>0</v>
      </c>
      <c r="BD465" s="24" t="b">
        <f t="shared" ca="1" si="464"/>
        <v>1</v>
      </c>
      <c r="BE465" s="24" t="b">
        <f t="shared" ca="1" si="465"/>
        <v>1</v>
      </c>
      <c r="BF465" s="23">
        <f t="array" aca="1" ref="BF465" ca="1">SUM(IF(BD465,1,0)*IF(ap_start_date&lt;=AO465,1,0)*IF(ap_end_date&gt;=AO465,1,0)*ap_amount*(1+ap_escalation/100)^(INT((AP465-ap_months_since_start)/12))*IF(MOD(AP465-ap_months_since_start,ap_frequency)=0,1,0))</f>
        <v>100917.90016478789</v>
      </c>
      <c r="BG465" s="24">
        <f t="shared" ca="1" si="466"/>
        <v>1211014.8019774547</v>
      </c>
      <c r="BH465" s="24">
        <f t="shared" ca="1" si="467"/>
        <v>4972.167290045586</v>
      </c>
      <c r="BI465">
        <f t="shared" ca="1" si="468"/>
        <v>0</v>
      </c>
      <c r="BJ465" s="24">
        <f t="shared" ca="1" si="469"/>
        <v>34805.171030319099</v>
      </c>
      <c r="BK465">
        <f t="shared" ca="1" si="470"/>
        <v>1</v>
      </c>
      <c r="BL465" s="25">
        <f t="shared" ca="1" si="471"/>
        <v>2900.430919193258</v>
      </c>
      <c r="BM465" s="32">
        <f t="shared" ca="1" si="450"/>
        <v>194390.75938184091</v>
      </c>
      <c r="BN465" s="23">
        <f t="shared" ca="1" si="472"/>
        <v>0</v>
      </c>
      <c r="BO465" s="24">
        <f t="shared" ca="1" si="473"/>
        <v>0</v>
      </c>
      <c r="BP465" s="25">
        <f t="shared" ca="1" si="474"/>
        <v>0</v>
      </c>
      <c r="BQ465" s="34">
        <f t="shared" ca="1" si="475"/>
        <v>59567</v>
      </c>
      <c r="BR465" s="23">
        <f t="shared" ca="1" si="476"/>
        <v>194390.75938184091</v>
      </c>
      <c r="BS465" s="24">
        <f t="shared" ca="1" si="477"/>
        <v>0</v>
      </c>
      <c r="BT465" s="24">
        <f t="shared" ca="1" si="442"/>
        <v>0</v>
      </c>
      <c r="BU465" s="24">
        <f t="shared" ca="1" si="478"/>
        <v>0</v>
      </c>
      <c r="BV465" s="24">
        <f t="shared" ca="1" si="443"/>
        <v>0</v>
      </c>
      <c r="BW465" s="24">
        <f t="shared" ca="1" si="479"/>
        <v>-2900.430919193258</v>
      </c>
      <c r="BX465" s="25">
        <f t="shared" ca="1" si="444"/>
        <v>-37495.053691182897</v>
      </c>
      <c r="BY465" s="23">
        <f t="shared" ca="1" si="451"/>
        <v>43508.071451971889</v>
      </c>
      <c r="BZ465" s="24">
        <f t="shared" ca="1" si="452"/>
        <v>0</v>
      </c>
      <c r="CA465" s="24">
        <f t="shared" ca="1" si="445"/>
        <v>0</v>
      </c>
      <c r="CB465" s="24">
        <f t="shared" ca="1" si="453"/>
        <v>0</v>
      </c>
      <c r="CC465" s="24">
        <f t="shared" ca="1" si="446"/>
        <v>0</v>
      </c>
      <c r="CD465" s="24">
        <f t="shared" ca="1" si="454"/>
        <v>-651.29266615656979</v>
      </c>
      <c r="CE465" s="25">
        <f t="shared" ca="1" si="447"/>
        <v>-8575.7961094197708</v>
      </c>
      <c r="CF465" s="23">
        <f t="shared" ca="1" si="448"/>
        <v>1176081.6826896437</v>
      </c>
      <c r="CG465" s="25">
        <f t="array" aca="1" ref="CG465" ca="1">SUM(BF454:BF465/(1+inflation/100)^(AP454:AP465/12))</f>
        <v>267980.53702225379</v>
      </c>
      <c r="CH465" s="32">
        <f ca="1">IFERROR(IF(MOD(AP465-ap_months_since_start,12)=0,ap_drawdown/100*(AQ465+AV465+BA465-BC465),CH464),0)</f>
        <v>30567.71538635152</v>
      </c>
    </row>
    <row r="466" spans="40:86" x14ac:dyDescent="0.25">
      <c r="AN466" s="32">
        <f t="shared" ca="1" si="449"/>
        <v>93.083333333333329</v>
      </c>
      <c r="AO466" s="53">
        <f t="shared" ca="1" si="480"/>
        <v>59568</v>
      </c>
      <c r="AP466" s="22">
        <v>459</v>
      </c>
      <c r="AQ466" s="32">
        <f t="shared" ca="1" si="481"/>
        <v>194390.75938184091</v>
      </c>
      <c r="AR466" s="23">
        <f t="array" aca="1" ref="AR466" ca="1">SUM(IF(lsc_start_date=AO466,lsc_amount,0))</f>
        <v>0</v>
      </c>
      <c r="AS466" s="24">
        <f t="shared" ca="1" si="455"/>
        <v>0</v>
      </c>
      <c r="AT466" s="24">
        <f t="shared" ca="1" si="456"/>
        <v>0</v>
      </c>
      <c r="AU466" s="24">
        <f t="shared" ca="1" si="457"/>
        <v>0</v>
      </c>
      <c r="AV466" s="25">
        <f t="shared" ca="1" si="458"/>
        <v>0</v>
      </c>
      <c r="AW466" s="23">
        <f t="array" aca="1" ref="AW466" ca="1">SUM(IF(rcs_start_date&lt;=AO466,1,0)*IF(rcs_end_date&gt;=AO466,1,0)*rcs_amount*(1+rcs_escalation/100)^(INT((AP466-rcs_months_since_start)/12))*IF(MOD((AP466-rcs_months_since_start),rcs_frequency)=0,1,0)*IF(rcs_frequency=13,0,1))+SUM(IF(rcs_start_date=AO466,rcs_amount,0)*IF(rcs_frequency=13,1,0))</f>
        <v>0</v>
      </c>
      <c r="AX466" s="24">
        <f t="shared" ca="1" si="459"/>
        <v>0</v>
      </c>
      <c r="AY466" s="24">
        <f t="shared" ca="1" si="460"/>
        <v>0</v>
      </c>
      <c r="AZ466" s="24">
        <f t="shared" ca="1" si="461"/>
        <v>0</v>
      </c>
      <c r="BA466" s="25">
        <f t="shared" ca="1" si="462"/>
        <v>0</v>
      </c>
      <c r="BB466" s="23">
        <f t="array" aca="1" ref="BB466" ca="1">SUM(IF(w_start_date&lt;=AO466,1,0)*IF(w_end_date&gt;=AO466,1,0)*w_amount*(1+w_escalation/100)^(INT((AP466-w_months_since_start)/12))*IF(MOD(AP466-w_months_since_start,w_frequency)=0,1,0)*IF(w_frequency=13,0,1))+SUM(IF(w_start_date=AO466,w_amount,0)*IF(w_frequency=13,1,0))</f>
        <v>0</v>
      </c>
      <c r="BC466" s="25">
        <f t="shared" ca="1" si="463"/>
        <v>0</v>
      </c>
      <c r="BD466" s="24" t="b">
        <f t="shared" ca="1" si="464"/>
        <v>1</v>
      </c>
      <c r="BE466" s="24" t="b">
        <f t="shared" ca="1" si="465"/>
        <v>1</v>
      </c>
      <c r="BF466" s="23">
        <f t="array" aca="1" ref="BF466" ca="1">SUM(IF(BD466,1,0)*IF(ap_start_date&lt;=AO466,1,0)*IF(ap_end_date&gt;=AO466,1,0)*ap_amount*(1+ap_escalation/100)^(INT((AP466-ap_months_since_start)/12))*IF(MOD(AP466-ap_months_since_start,ap_frequency)=0,1,0))</f>
        <v>100917.90016478789</v>
      </c>
      <c r="BG466" s="24">
        <f t="shared" ca="1" si="466"/>
        <v>1211014.8019774547</v>
      </c>
      <c r="BH466" s="24">
        <f t="shared" ca="1" si="467"/>
        <v>4972.167290045586</v>
      </c>
      <c r="BI466">
        <f t="shared" ca="1" si="468"/>
        <v>0</v>
      </c>
      <c r="BJ466" s="24">
        <f t="shared" ca="1" si="469"/>
        <v>34805.171030319099</v>
      </c>
      <c r="BK466">
        <f t="shared" ca="1" si="470"/>
        <v>1</v>
      </c>
      <c r="BL466" s="25">
        <f t="shared" ca="1" si="471"/>
        <v>2900.430919193258</v>
      </c>
      <c r="BM466" s="32">
        <f t="shared" ca="1" si="450"/>
        <v>192870.46117179116</v>
      </c>
      <c r="BN466" s="23">
        <f t="shared" ca="1" si="472"/>
        <v>0</v>
      </c>
      <c r="BO466" s="24">
        <f t="shared" ca="1" si="473"/>
        <v>0</v>
      </c>
      <c r="BP466" s="25">
        <f t="shared" ca="1" si="474"/>
        <v>0</v>
      </c>
      <c r="BQ466" s="34">
        <f t="shared" ca="1" si="475"/>
        <v>59595</v>
      </c>
      <c r="BR466" s="23">
        <f t="shared" ca="1" si="476"/>
        <v>192870.46117179116</v>
      </c>
      <c r="BS466" s="24">
        <f t="shared" ca="1" si="477"/>
        <v>0</v>
      </c>
      <c r="BT466" s="24">
        <f t="shared" ca="1" si="442"/>
        <v>0</v>
      </c>
      <c r="BU466" s="24">
        <f t="shared" ca="1" si="478"/>
        <v>0</v>
      </c>
      <c r="BV466" s="24">
        <f t="shared" ca="1" si="443"/>
        <v>0</v>
      </c>
      <c r="BW466" s="24">
        <f t="shared" ca="1" si="479"/>
        <v>-2900.430919193258</v>
      </c>
      <c r="BX466" s="25">
        <f t="shared" ca="1" si="444"/>
        <v>-37196.177839975804</v>
      </c>
      <c r="BY466" s="23">
        <f t="shared" ca="1" si="451"/>
        <v>43026.9429543406</v>
      </c>
      <c r="BZ466" s="24">
        <f t="shared" ca="1" si="452"/>
        <v>0</v>
      </c>
      <c r="CA466" s="24">
        <f t="shared" ca="1" si="445"/>
        <v>0</v>
      </c>
      <c r="CB466" s="24">
        <f t="shared" ca="1" si="453"/>
        <v>0</v>
      </c>
      <c r="CC466" s="24">
        <f t="shared" ca="1" si="446"/>
        <v>0</v>
      </c>
      <c r="CD466" s="24">
        <f t="shared" ca="1" si="454"/>
        <v>-649.16746081479153</v>
      </c>
      <c r="CE466" s="25">
        <f t="shared" ca="1" si="447"/>
        <v>-8480.2599910817498</v>
      </c>
      <c r="CF466" s="23">
        <f t="shared" ca="1" si="448"/>
        <v>1179963.1403882892</v>
      </c>
      <c r="CG466" s="25">
        <f t="array" aca="1" ref="CG466" ca="1">SUM(BF455:BF466/(1+inflation/100)^(AP455:AP466/12))</f>
        <v>267980.53702225379</v>
      </c>
      <c r="CH466" s="32">
        <f ca="1">IFERROR(IF(MOD(AP466-ap_months_since_start,12)=0,ap_drawdown/100*(AQ466+AV466+BA466-BC466),CH465),0)</f>
        <v>30567.71538635152</v>
      </c>
    </row>
    <row r="467" spans="40:86" x14ac:dyDescent="0.25">
      <c r="AN467" s="32">
        <f t="shared" ca="1" si="449"/>
        <v>93.166666666666671</v>
      </c>
      <c r="AO467" s="53">
        <f t="shared" ca="1" si="480"/>
        <v>59596</v>
      </c>
      <c r="AP467" s="22">
        <v>460</v>
      </c>
      <c r="AQ467" s="32">
        <f t="shared" ca="1" si="481"/>
        <v>192870.46117179116</v>
      </c>
      <c r="AR467" s="23">
        <f t="array" aca="1" ref="AR467" ca="1">SUM(IF(lsc_start_date=AO467,lsc_amount,0))</f>
        <v>0</v>
      </c>
      <c r="AS467" s="24">
        <f t="shared" ca="1" si="455"/>
        <v>0</v>
      </c>
      <c r="AT467" s="24">
        <f t="shared" ca="1" si="456"/>
        <v>0</v>
      </c>
      <c r="AU467" s="24">
        <f t="shared" ca="1" si="457"/>
        <v>0</v>
      </c>
      <c r="AV467" s="25">
        <f t="shared" ca="1" si="458"/>
        <v>0</v>
      </c>
      <c r="AW467" s="23">
        <f t="array" aca="1" ref="AW467" ca="1">SUM(IF(rcs_start_date&lt;=AO467,1,0)*IF(rcs_end_date&gt;=AO467,1,0)*rcs_amount*(1+rcs_escalation/100)^(INT((AP467-rcs_months_since_start)/12))*IF(MOD((AP467-rcs_months_since_start),rcs_frequency)=0,1,0)*IF(rcs_frequency=13,0,1))+SUM(IF(rcs_start_date=AO467,rcs_amount,0)*IF(rcs_frequency=13,1,0))</f>
        <v>0</v>
      </c>
      <c r="AX467" s="24">
        <f t="shared" ca="1" si="459"/>
        <v>0</v>
      </c>
      <c r="AY467" s="24">
        <f t="shared" ca="1" si="460"/>
        <v>0</v>
      </c>
      <c r="AZ467" s="24">
        <f t="shared" ca="1" si="461"/>
        <v>0</v>
      </c>
      <c r="BA467" s="25">
        <f t="shared" ca="1" si="462"/>
        <v>0</v>
      </c>
      <c r="BB467" s="23">
        <f t="array" aca="1" ref="BB467" ca="1">SUM(IF(w_start_date&lt;=AO467,1,0)*IF(w_end_date&gt;=AO467,1,0)*w_amount*(1+w_escalation/100)^(INT((AP467-w_months_since_start)/12))*IF(MOD(AP467-w_months_since_start,w_frequency)=0,1,0)*IF(w_frequency=13,0,1))+SUM(IF(w_start_date=AO467,w_amount,0)*IF(w_frequency=13,1,0))</f>
        <v>0</v>
      </c>
      <c r="BC467" s="25">
        <f t="shared" ca="1" si="463"/>
        <v>0</v>
      </c>
      <c r="BD467" s="24" t="b">
        <f t="shared" ca="1" si="464"/>
        <v>1</v>
      </c>
      <c r="BE467" s="24" t="b">
        <f t="shared" ca="1" si="465"/>
        <v>1</v>
      </c>
      <c r="BF467" s="23">
        <f t="array" aca="1" ref="BF467" ca="1">SUM(IF(BD467,1,0)*IF(ap_start_date&lt;=AO467,1,0)*IF(ap_end_date&gt;=AO467,1,0)*ap_amount*(1+ap_escalation/100)^(INT((AP467-ap_months_since_start)/12))*IF(MOD(AP467-ap_months_since_start,ap_frequency)=0,1,0))</f>
        <v>100917.90016478789</v>
      </c>
      <c r="BG467" s="24">
        <f t="shared" ca="1" si="466"/>
        <v>1211014.8019774547</v>
      </c>
      <c r="BH467" s="24">
        <f t="shared" ca="1" si="467"/>
        <v>4972.167290045586</v>
      </c>
      <c r="BI467">
        <f t="shared" ca="1" si="468"/>
        <v>0</v>
      </c>
      <c r="BJ467" s="24">
        <f t="shared" ca="1" si="469"/>
        <v>34805.171030319099</v>
      </c>
      <c r="BK467">
        <f t="shared" ca="1" si="470"/>
        <v>1</v>
      </c>
      <c r="BL467" s="25">
        <f t="shared" ca="1" si="471"/>
        <v>2900.430919193258</v>
      </c>
      <c r="BM467" s="32">
        <f t="shared" ca="1" si="450"/>
        <v>191339.20568100465</v>
      </c>
      <c r="BN467" s="23">
        <f t="shared" ca="1" si="472"/>
        <v>0</v>
      </c>
      <c r="BO467" s="24">
        <f t="shared" ca="1" si="473"/>
        <v>0</v>
      </c>
      <c r="BP467" s="25">
        <f t="shared" ca="1" si="474"/>
        <v>0</v>
      </c>
      <c r="BQ467" s="34">
        <f t="shared" ca="1" si="475"/>
        <v>59626</v>
      </c>
      <c r="BR467" s="23">
        <f t="shared" ca="1" si="476"/>
        <v>191339.20568100465</v>
      </c>
      <c r="BS467" s="24">
        <f t="shared" ca="1" si="477"/>
        <v>0</v>
      </c>
      <c r="BT467" s="24">
        <f t="shared" ca="1" si="442"/>
        <v>0</v>
      </c>
      <c r="BU467" s="24">
        <f t="shared" ca="1" si="478"/>
        <v>0</v>
      </c>
      <c r="BV467" s="24">
        <f t="shared" ca="1" si="443"/>
        <v>0</v>
      </c>
      <c r="BW467" s="24">
        <f t="shared" ca="1" si="479"/>
        <v>-2900.430919193258</v>
      </c>
      <c r="BX467" s="25">
        <f t="shared" ca="1" si="444"/>
        <v>-36897.301988768719</v>
      </c>
      <c r="BY467" s="23">
        <f t="shared" ca="1" si="451"/>
        <v>42546.054648982747</v>
      </c>
      <c r="BZ467" s="24">
        <f t="shared" ca="1" si="452"/>
        <v>0</v>
      </c>
      <c r="CA467" s="24">
        <f t="shared" ca="1" si="445"/>
        <v>0</v>
      </c>
      <c r="CB467" s="24">
        <f t="shared" ca="1" si="453"/>
        <v>0</v>
      </c>
      <c r="CC467" s="24">
        <f t="shared" ca="1" si="446"/>
        <v>0</v>
      </c>
      <c r="CD467" s="24">
        <f t="shared" ca="1" si="454"/>
        <v>-647.04919013999074</v>
      </c>
      <c r="CE467" s="25">
        <f t="shared" ca="1" si="447"/>
        <v>-8385.0356125798644</v>
      </c>
      <c r="CF467" s="23">
        <f t="shared" ca="1" si="448"/>
        <v>1183844.5980869348</v>
      </c>
      <c r="CG467" s="25">
        <f t="array" aca="1" ref="CG467" ca="1">SUM(BF456:BF467/(1+inflation/100)^(AP456:AP467/12))</f>
        <v>267980.53702225385</v>
      </c>
      <c r="CH467" s="32">
        <f ca="1">IFERROR(IF(MOD(AP467-ap_months_since_start,12)=0,ap_drawdown/100*(AQ467+AV467+BA467-BC467),CH466),0)</f>
        <v>30567.71538635152</v>
      </c>
    </row>
    <row r="468" spans="40:86" x14ac:dyDescent="0.25">
      <c r="AN468" s="32">
        <f t="shared" ca="1" si="449"/>
        <v>93.25</v>
      </c>
      <c r="AO468" s="53">
        <f t="shared" ca="1" si="480"/>
        <v>59627</v>
      </c>
      <c r="AP468" s="22">
        <v>461</v>
      </c>
      <c r="AQ468" s="32">
        <f t="shared" ca="1" si="481"/>
        <v>191339.20568100465</v>
      </c>
      <c r="AR468" s="23">
        <f t="array" aca="1" ref="AR468" ca="1">SUM(IF(lsc_start_date=AO468,lsc_amount,0))</f>
        <v>0</v>
      </c>
      <c r="AS468" s="24">
        <f t="shared" ca="1" si="455"/>
        <v>0</v>
      </c>
      <c r="AT468" s="24">
        <f t="shared" ca="1" si="456"/>
        <v>0</v>
      </c>
      <c r="AU468" s="24">
        <f t="shared" ca="1" si="457"/>
        <v>0</v>
      </c>
      <c r="AV468" s="25">
        <f t="shared" ca="1" si="458"/>
        <v>0</v>
      </c>
      <c r="AW468" s="23">
        <f t="array" aca="1" ref="AW468" ca="1">SUM(IF(rcs_start_date&lt;=AO468,1,0)*IF(rcs_end_date&gt;=AO468,1,0)*rcs_amount*(1+rcs_escalation/100)^(INT((AP468-rcs_months_since_start)/12))*IF(MOD((AP468-rcs_months_since_start),rcs_frequency)=0,1,0)*IF(rcs_frequency=13,0,1))+SUM(IF(rcs_start_date=AO468,rcs_amount,0)*IF(rcs_frequency=13,1,0))</f>
        <v>0</v>
      </c>
      <c r="AX468" s="24">
        <f t="shared" ca="1" si="459"/>
        <v>0</v>
      </c>
      <c r="AY468" s="24">
        <f t="shared" ca="1" si="460"/>
        <v>0</v>
      </c>
      <c r="AZ468" s="24">
        <f t="shared" ca="1" si="461"/>
        <v>0</v>
      </c>
      <c r="BA468" s="25">
        <f t="shared" ca="1" si="462"/>
        <v>0</v>
      </c>
      <c r="BB468" s="23">
        <f t="array" aca="1" ref="BB468" ca="1">SUM(IF(w_start_date&lt;=AO468,1,0)*IF(w_end_date&gt;=AO468,1,0)*w_amount*(1+w_escalation/100)^(INT((AP468-w_months_since_start)/12))*IF(MOD(AP468-w_months_since_start,w_frequency)=0,1,0)*IF(w_frequency=13,0,1))+SUM(IF(w_start_date=AO468,w_amount,0)*IF(w_frequency=13,1,0))</f>
        <v>0</v>
      </c>
      <c r="BC468" s="25">
        <f t="shared" ca="1" si="463"/>
        <v>0</v>
      </c>
      <c r="BD468" s="24" t="b">
        <f t="shared" ca="1" si="464"/>
        <v>1</v>
      </c>
      <c r="BE468" s="24" t="b">
        <f t="shared" ca="1" si="465"/>
        <v>1</v>
      </c>
      <c r="BF468" s="23">
        <f t="array" aca="1" ref="BF468" ca="1">SUM(IF(BD468,1,0)*IF(ap_start_date&lt;=AO468,1,0)*IF(ap_end_date&gt;=AO468,1,0)*ap_amount*(1+ap_escalation/100)^(INT((AP468-ap_months_since_start)/12))*IF(MOD(AP468-ap_months_since_start,ap_frequency)=0,1,0))</f>
        <v>100917.90016478789</v>
      </c>
      <c r="BG468" s="24">
        <f t="shared" ca="1" si="466"/>
        <v>1211014.8019774547</v>
      </c>
      <c r="BH468" s="24">
        <f t="shared" ca="1" si="467"/>
        <v>4972.167290045586</v>
      </c>
      <c r="BI468">
        <f t="shared" ca="1" si="468"/>
        <v>0</v>
      </c>
      <c r="BJ468" s="24">
        <f t="shared" ca="1" si="469"/>
        <v>34805.171030319099</v>
      </c>
      <c r="BK468">
        <f t="shared" ca="1" si="470"/>
        <v>1</v>
      </c>
      <c r="BL468" s="25">
        <f t="shared" ca="1" si="471"/>
        <v>2900.430919193258</v>
      </c>
      <c r="BM468" s="32">
        <f t="shared" ca="1" si="450"/>
        <v>189796.91393681642</v>
      </c>
      <c r="BN468" s="23">
        <f t="shared" ca="1" si="472"/>
        <v>0</v>
      </c>
      <c r="BO468" s="24">
        <f t="shared" ca="1" si="473"/>
        <v>0</v>
      </c>
      <c r="BP468" s="25">
        <f t="shared" ca="1" si="474"/>
        <v>0</v>
      </c>
      <c r="BQ468" s="34">
        <f t="shared" ca="1" si="475"/>
        <v>59656</v>
      </c>
      <c r="BR468" s="23">
        <f t="shared" ca="1" si="476"/>
        <v>189796.91393681642</v>
      </c>
      <c r="BS468" s="24">
        <f t="shared" ca="1" si="477"/>
        <v>0</v>
      </c>
      <c r="BT468" s="24">
        <f t="shared" ref="BT468:BT531" ca="1" si="482">SUM(BS457:BS468)</f>
        <v>0</v>
      </c>
      <c r="BU468" s="24">
        <f t="shared" ca="1" si="478"/>
        <v>0</v>
      </c>
      <c r="BV468" s="24">
        <f t="shared" ref="BV468:BV531" ca="1" si="483">SUM(BU457:BU468)</f>
        <v>0</v>
      </c>
      <c r="BW468" s="24">
        <f t="shared" ca="1" si="479"/>
        <v>-2900.430919193258</v>
      </c>
      <c r="BX468" s="25">
        <f t="shared" ref="BX468:BX531" ca="1" si="484">SUM(BW457:BW468)</f>
        <v>-36598.426137561626</v>
      </c>
      <c r="BY468" s="23">
        <f t="shared" ca="1" si="451"/>
        <v>42065.400538492577</v>
      </c>
      <c r="BZ468" s="24">
        <f t="shared" ca="1" si="452"/>
        <v>0</v>
      </c>
      <c r="CA468" s="24">
        <f t="shared" ref="CA468:CA531" ca="1" si="485">SUM(BZ457:BZ468)</f>
        <v>0</v>
      </c>
      <c r="CB468" s="24">
        <f t="shared" ca="1" si="453"/>
        <v>0</v>
      </c>
      <c r="CC468" s="24">
        <f t="shared" ref="CC468:CC531" ca="1" si="486">SUM(CB457:CB468)</f>
        <v>0</v>
      </c>
      <c r="CD468" s="24">
        <f t="shared" ca="1" si="454"/>
        <v>-644.93783150395109</v>
      </c>
      <c r="CE468" s="25">
        <f t="shared" ref="CE468:CE531" ca="1" si="487">SUM(CD457:CD468)</f>
        <v>-8290.1219566891468</v>
      </c>
      <c r="CF468" s="23">
        <f t="shared" ref="CF468:CF531" ca="1" si="488">SUM(BF457:BF468)</f>
        <v>1187726.0557855805</v>
      </c>
      <c r="CG468" s="25">
        <f t="array" aca="1" ref="CG468" ca="1">SUM(BF457:BF468/(1+inflation/100)^(AP457:AP468/12))</f>
        <v>267980.53702225379</v>
      </c>
      <c r="CH468" s="32">
        <f ca="1">IFERROR(IF(MOD(AP468-ap_months_since_start,12)=0,ap_drawdown/100*(AQ468+AV468+BA468-BC468),CH467),0)</f>
        <v>30567.71538635152</v>
      </c>
    </row>
    <row r="469" spans="40:86" x14ac:dyDescent="0.25">
      <c r="AN469" s="32">
        <f t="shared" ca="1" si="449"/>
        <v>93.333333333333329</v>
      </c>
      <c r="AO469" s="53">
        <f t="shared" ca="1" si="480"/>
        <v>59657</v>
      </c>
      <c r="AP469" s="22">
        <v>462</v>
      </c>
      <c r="AQ469" s="32">
        <f t="shared" ca="1" si="481"/>
        <v>189796.91393681642</v>
      </c>
      <c r="AR469" s="23">
        <f t="array" aca="1" ref="AR469" ca="1">SUM(IF(lsc_start_date=AO469,lsc_amount,0))</f>
        <v>0</v>
      </c>
      <c r="AS469" s="24">
        <f t="shared" ca="1" si="455"/>
        <v>0</v>
      </c>
      <c r="AT469" s="24">
        <f t="shared" ca="1" si="456"/>
        <v>0</v>
      </c>
      <c r="AU469" s="24">
        <f t="shared" ca="1" si="457"/>
        <v>0</v>
      </c>
      <c r="AV469" s="25">
        <f t="shared" ca="1" si="458"/>
        <v>0</v>
      </c>
      <c r="AW469" s="23">
        <f t="array" aca="1" ref="AW469" ca="1">SUM(IF(rcs_start_date&lt;=AO469,1,0)*IF(rcs_end_date&gt;=AO469,1,0)*rcs_amount*(1+rcs_escalation/100)^(INT((AP469-rcs_months_since_start)/12))*IF(MOD((AP469-rcs_months_since_start),rcs_frequency)=0,1,0)*IF(rcs_frequency=13,0,1))+SUM(IF(rcs_start_date=AO469,rcs_amount,0)*IF(rcs_frequency=13,1,0))</f>
        <v>0</v>
      </c>
      <c r="AX469" s="24">
        <f t="shared" ca="1" si="459"/>
        <v>0</v>
      </c>
      <c r="AY469" s="24">
        <f t="shared" ca="1" si="460"/>
        <v>0</v>
      </c>
      <c r="AZ469" s="24">
        <f t="shared" ca="1" si="461"/>
        <v>0</v>
      </c>
      <c r="BA469" s="25">
        <f t="shared" ca="1" si="462"/>
        <v>0</v>
      </c>
      <c r="BB469" s="23">
        <f t="array" aca="1" ref="BB469" ca="1">SUM(IF(w_start_date&lt;=AO469,1,0)*IF(w_end_date&gt;=AO469,1,0)*w_amount*(1+w_escalation/100)^(INT((AP469-w_months_since_start)/12))*IF(MOD(AP469-w_months_since_start,w_frequency)=0,1,0)*IF(w_frequency=13,0,1))+SUM(IF(w_start_date=AO469,w_amount,0)*IF(w_frequency=13,1,0))</f>
        <v>0</v>
      </c>
      <c r="BC469" s="25">
        <f t="shared" ca="1" si="463"/>
        <v>0</v>
      </c>
      <c r="BD469" s="24" t="b">
        <f t="shared" ca="1" si="464"/>
        <v>1</v>
      </c>
      <c r="BE469" s="24" t="b">
        <f t="shared" ca="1" si="465"/>
        <v>1</v>
      </c>
      <c r="BF469" s="23">
        <f t="array" aca="1" ref="BF469" ca="1">SUM(IF(BD469,1,0)*IF(ap_start_date&lt;=AO469,1,0)*IF(ap_end_date&gt;=AO469,1,0)*ap_amount*(1+ap_escalation/100)^(INT((AP469-ap_months_since_start)/12))*IF(MOD(AP469-ap_months_since_start,ap_frequency)=0,1,0))</f>
        <v>100917.90016478789</v>
      </c>
      <c r="BG469" s="24">
        <f t="shared" ca="1" si="466"/>
        <v>1211014.8019774547</v>
      </c>
      <c r="BH469" s="24">
        <f t="shared" ca="1" si="467"/>
        <v>4972.167290045586</v>
      </c>
      <c r="BI469">
        <f t="shared" ca="1" si="468"/>
        <v>0</v>
      </c>
      <c r="BJ469" s="24">
        <f t="shared" ca="1" si="469"/>
        <v>34805.171030319099</v>
      </c>
      <c r="BK469">
        <f t="shared" ca="1" si="470"/>
        <v>1</v>
      </c>
      <c r="BL469" s="25">
        <f t="shared" ca="1" si="471"/>
        <v>2900.430919193258</v>
      </c>
      <c r="BM469" s="32">
        <f t="shared" ca="1" si="450"/>
        <v>188243.50639738003</v>
      </c>
      <c r="BN469" s="23">
        <f t="shared" ca="1" si="472"/>
        <v>0</v>
      </c>
      <c r="BO469" s="24">
        <f t="shared" ca="1" si="473"/>
        <v>0</v>
      </c>
      <c r="BP469" s="25">
        <f t="shared" ca="1" si="474"/>
        <v>0</v>
      </c>
      <c r="BQ469" s="34">
        <f t="shared" ca="1" si="475"/>
        <v>59687</v>
      </c>
      <c r="BR469" s="23">
        <f t="shared" ca="1" si="476"/>
        <v>188243.50639738003</v>
      </c>
      <c r="BS469" s="24">
        <f t="shared" ca="1" si="477"/>
        <v>0</v>
      </c>
      <c r="BT469" s="24">
        <f t="shared" ca="1" si="482"/>
        <v>0</v>
      </c>
      <c r="BU469" s="24">
        <f t="shared" ca="1" si="478"/>
        <v>0</v>
      </c>
      <c r="BV469" s="24">
        <f t="shared" ca="1" si="483"/>
        <v>0</v>
      </c>
      <c r="BW469" s="24">
        <f t="shared" ca="1" si="479"/>
        <v>-2900.430919193258</v>
      </c>
      <c r="BX469" s="25">
        <f t="shared" ca="1" si="484"/>
        <v>-36299.550286354541</v>
      </c>
      <c r="BY469" s="23">
        <f t="shared" ca="1" si="451"/>
        <v>41584.974624592862</v>
      </c>
      <c r="BZ469" s="24">
        <f t="shared" ca="1" si="452"/>
        <v>0</v>
      </c>
      <c r="CA469" s="24">
        <f t="shared" ca="1" si="485"/>
        <v>0</v>
      </c>
      <c r="CB469" s="24">
        <f t="shared" ca="1" si="453"/>
        <v>0</v>
      </c>
      <c r="CC469" s="24">
        <f t="shared" ca="1" si="486"/>
        <v>0</v>
      </c>
      <c r="CD469" s="24">
        <f t="shared" ca="1" si="454"/>
        <v>-642.83336235229365</v>
      </c>
      <c r="CE469" s="25">
        <f t="shared" ca="1" si="487"/>
        <v>-8195.5180095038795</v>
      </c>
      <c r="CF469" s="23">
        <f t="shared" ca="1" si="488"/>
        <v>1191607.5134842263</v>
      </c>
      <c r="CG469" s="25">
        <f t="array" aca="1" ref="CG469" ca="1">SUM(BF458:BF469/(1+inflation/100)^(AP458:AP469/12))</f>
        <v>267980.53702225379</v>
      </c>
      <c r="CH469" s="32">
        <f ca="1">IFERROR(IF(MOD(AP469-ap_months_since_start,12)=0,ap_drawdown/100*(AQ469+AV469+BA469-BC469),CH468),0)</f>
        <v>30567.71538635152</v>
      </c>
    </row>
    <row r="470" spans="40:86" x14ac:dyDescent="0.25">
      <c r="AN470" s="32">
        <f t="shared" ca="1" si="449"/>
        <v>93.416666666666671</v>
      </c>
      <c r="AO470" s="53">
        <f t="shared" ca="1" si="480"/>
        <v>59688</v>
      </c>
      <c r="AP470" s="22">
        <v>463</v>
      </c>
      <c r="AQ470" s="32">
        <f t="shared" ca="1" si="481"/>
        <v>188243.50639738003</v>
      </c>
      <c r="AR470" s="23">
        <f t="array" aca="1" ref="AR470" ca="1">SUM(IF(lsc_start_date=AO470,lsc_amount,0))</f>
        <v>0</v>
      </c>
      <c r="AS470" s="24">
        <f t="shared" ca="1" si="455"/>
        <v>0</v>
      </c>
      <c r="AT470" s="24">
        <f t="shared" ca="1" si="456"/>
        <v>0</v>
      </c>
      <c r="AU470" s="24">
        <f t="shared" ca="1" si="457"/>
        <v>0</v>
      </c>
      <c r="AV470" s="25">
        <f t="shared" ca="1" si="458"/>
        <v>0</v>
      </c>
      <c r="AW470" s="23">
        <f t="array" aca="1" ref="AW470" ca="1">SUM(IF(rcs_start_date&lt;=AO470,1,0)*IF(rcs_end_date&gt;=AO470,1,0)*rcs_amount*(1+rcs_escalation/100)^(INT((AP470-rcs_months_since_start)/12))*IF(MOD((AP470-rcs_months_since_start),rcs_frequency)=0,1,0)*IF(rcs_frequency=13,0,1))+SUM(IF(rcs_start_date=AO470,rcs_amount,0)*IF(rcs_frequency=13,1,0))</f>
        <v>0</v>
      </c>
      <c r="AX470" s="24">
        <f t="shared" ca="1" si="459"/>
        <v>0</v>
      </c>
      <c r="AY470" s="24">
        <f t="shared" ca="1" si="460"/>
        <v>0</v>
      </c>
      <c r="AZ470" s="24">
        <f t="shared" ca="1" si="461"/>
        <v>0</v>
      </c>
      <c r="BA470" s="25">
        <f t="shared" ca="1" si="462"/>
        <v>0</v>
      </c>
      <c r="BB470" s="23">
        <f t="array" aca="1" ref="BB470" ca="1">SUM(IF(w_start_date&lt;=AO470,1,0)*IF(w_end_date&gt;=AO470,1,0)*w_amount*(1+w_escalation/100)^(INT((AP470-w_months_since_start)/12))*IF(MOD(AP470-w_months_since_start,w_frequency)=0,1,0)*IF(w_frequency=13,0,1))+SUM(IF(w_start_date=AO470,w_amount,0)*IF(w_frequency=13,1,0))</f>
        <v>0</v>
      </c>
      <c r="BC470" s="25">
        <f t="shared" ca="1" si="463"/>
        <v>0</v>
      </c>
      <c r="BD470" s="24" t="b">
        <f t="shared" ca="1" si="464"/>
        <v>1</v>
      </c>
      <c r="BE470" s="24" t="b">
        <f t="shared" ca="1" si="465"/>
        <v>1</v>
      </c>
      <c r="BF470" s="23">
        <f t="array" aca="1" ref="BF470" ca="1">SUM(IF(BD470,1,0)*IF(ap_start_date&lt;=AO470,1,0)*IF(ap_end_date&gt;=AO470,1,0)*ap_amount*(1+ap_escalation/100)^(INT((AP470-ap_months_since_start)/12))*IF(MOD(AP470-ap_months_since_start,ap_frequency)=0,1,0))</f>
        <v>100917.90016478789</v>
      </c>
      <c r="BG470" s="24">
        <f t="shared" ca="1" si="466"/>
        <v>1211014.8019774547</v>
      </c>
      <c r="BH470" s="24">
        <f t="shared" ca="1" si="467"/>
        <v>4972.167290045586</v>
      </c>
      <c r="BI470">
        <f t="shared" ca="1" si="468"/>
        <v>0</v>
      </c>
      <c r="BJ470" s="24">
        <f t="shared" ca="1" si="469"/>
        <v>34805.171030319099</v>
      </c>
      <c r="BK470">
        <f t="shared" ca="1" si="470"/>
        <v>1</v>
      </c>
      <c r="BL470" s="25">
        <f t="shared" ca="1" si="471"/>
        <v>2900.430919193258</v>
      </c>
      <c r="BM470" s="32">
        <f t="shared" ca="1" si="450"/>
        <v>186678.90294756519</v>
      </c>
      <c r="BN470" s="23">
        <f t="shared" ca="1" si="472"/>
        <v>0</v>
      </c>
      <c r="BO470" s="24">
        <f t="shared" ca="1" si="473"/>
        <v>0</v>
      </c>
      <c r="BP470" s="25">
        <f t="shared" ca="1" si="474"/>
        <v>0</v>
      </c>
      <c r="BQ470" s="34">
        <f t="shared" ca="1" si="475"/>
        <v>59717</v>
      </c>
      <c r="BR470" s="23">
        <f t="shared" ca="1" si="476"/>
        <v>186678.90294756519</v>
      </c>
      <c r="BS470" s="24">
        <f t="shared" ca="1" si="477"/>
        <v>0</v>
      </c>
      <c r="BT470" s="24">
        <f t="shared" ca="1" si="482"/>
        <v>0</v>
      </c>
      <c r="BU470" s="24">
        <f t="shared" ca="1" si="478"/>
        <v>0</v>
      </c>
      <c r="BV470" s="24">
        <f t="shared" ca="1" si="483"/>
        <v>0</v>
      </c>
      <c r="BW470" s="24">
        <f t="shared" ca="1" si="479"/>
        <v>-2900.430919193258</v>
      </c>
      <c r="BX470" s="25">
        <f t="shared" ca="1" si="484"/>
        <v>-36000.674435147448</v>
      </c>
      <c r="BY470" s="23">
        <f t="shared" ca="1" si="451"/>
        <v>41104.77090805753</v>
      </c>
      <c r="BZ470" s="24">
        <f t="shared" ca="1" si="452"/>
        <v>0</v>
      </c>
      <c r="CA470" s="24">
        <f t="shared" ca="1" si="485"/>
        <v>0</v>
      </c>
      <c r="CB470" s="24">
        <f t="shared" ca="1" si="453"/>
        <v>0</v>
      </c>
      <c r="CC470" s="24">
        <f t="shared" ca="1" si="486"/>
        <v>0</v>
      </c>
      <c r="CD470" s="24">
        <f t="shared" ca="1" si="454"/>
        <v>-640.73576020423559</v>
      </c>
      <c r="CE470" s="25">
        <f t="shared" ca="1" si="487"/>
        <v>-8101.2227604267891</v>
      </c>
      <c r="CF470" s="23">
        <f t="shared" ca="1" si="488"/>
        <v>1195488.9711828718</v>
      </c>
      <c r="CG470" s="25">
        <f t="array" aca="1" ref="CG470" ca="1">SUM(BF459:BF470/(1+inflation/100)^(AP459:AP470/12))</f>
        <v>267980.53702225379</v>
      </c>
      <c r="CH470" s="32">
        <f ca="1">IFERROR(IF(MOD(AP470-ap_months_since_start,12)=0,ap_drawdown/100*(AQ470+AV470+BA470-BC470),CH469),0)</f>
        <v>30567.71538635152</v>
      </c>
    </row>
    <row r="471" spans="40:86" x14ac:dyDescent="0.25">
      <c r="AN471" s="32">
        <f t="shared" ca="1" si="449"/>
        <v>93.5</v>
      </c>
      <c r="AO471" s="53">
        <f t="shared" ca="1" si="480"/>
        <v>59718</v>
      </c>
      <c r="AP471" s="22">
        <v>464</v>
      </c>
      <c r="AQ471" s="32">
        <f t="shared" ca="1" si="481"/>
        <v>186678.90294756519</v>
      </c>
      <c r="AR471" s="23">
        <f t="array" aca="1" ref="AR471" ca="1">SUM(IF(lsc_start_date=AO471,lsc_amount,0))</f>
        <v>0</v>
      </c>
      <c r="AS471" s="24">
        <f t="shared" ca="1" si="455"/>
        <v>0</v>
      </c>
      <c r="AT471" s="24">
        <f t="shared" ca="1" si="456"/>
        <v>0</v>
      </c>
      <c r="AU471" s="24">
        <f t="shared" ca="1" si="457"/>
        <v>0</v>
      </c>
      <c r="AV471" s="25">
        <f t="shared" ca="1" si="458"/>
        <v>0</v>
      </c>
      <c r="AW471" s="23">
        <f t="array" aca="1" ref="AW471" ca="1">SUM(IF(rcs_start_date&lt;=AO471,1,0)*IF(rcs_end_date&gt;=AO471,1,0)*rcs_amount*(1+rcs_escalation/100)^(INT((AP471-rcs_months_since_start)/12))*IF(MOD((AP471-rcs_months_since_start),rcs_frequency)=0,1,0)*IF(rcs_frequency=13,0,1))+SUM(IF(rcs_start_date=AO471,rcs_amount,0)*IF(rcs_frequency=13,1,0))</f>
        <v>0</v>
      </c>
      <c r="AX471" s="24">
        <f t="shared" ca="1" si="459"/>
        <v>0</v>
      </c>
      <c r="AY471" s="24">
        <f t="shared" ca="1" si="460"/>
        <v>0</v>
      </c>
      <c r="AZ471" s="24">
        <f t="shared" ca="1" si="461"/>
        <v>0</v>
      </c>
      <c r="BA471" s="25">
        <f t="shared" ca="1" si="462"/>
        <v>0</v>
      </c>
      <c r="BB471" s="23">
        <f t="array" aca="1" ref="BB471" ca="1">SUM(IF(w_start_date&lt;=AO471,1,0)*IF(w_end_date&gt;=AO471,1,0)*w_amount*(1+w_escalation/100)^(INT((AP471-w_months_since_start)/12))*IF(MOD(AP471-w_months_since_start,w_frequency)=0,1,0)*IF(w_frequency=13,0,1))+SUM(IF(w_start_date=AO471,w_amount,0)*IF(w_frequency=13,1,0))</f>
        <v>0</v>
      </c>
      <c r="BC471" s="25">
        <f t="shared" ca="1" si="463"/>
        <v>0</v>
      </c>
      <c r="BD471" s="24" t="b">
        <f t="shared" ca="1" si="464"/>
        <v>1</v>
      </c>
      <c r="BE471" s="24" t="b">
        <f t="shared" ca="1" si="465"/>
        <v>1</v>
      </c>
      <c r="BF471" s="23">
        <f t="array" aca="1" ref="BF471" ca="1">SUM(IF(BD471,1,0)*IF(ap_start_date&lt;=AO471,1,0)*IF(ap_end_date&gt;=AO471,1,0)*ap_amount*(1+ap_escalation/100)^(INT((AP471-ap_months_since_start)/12))*IF(MOD(AP471-ap_months_since_start,ap_frequency)=0,1,0))</f>
        <v>100917.90016478789</v>
      </c>
      <c r="BG471" s="24">
        <f t="shared" ca="1" si="466"/>
        <v>1211014.8019774547</v>
      </c>
      <c r="BH471" s="24">
        <f t="shared" ca="1" si="467"/>
        <v>4972.167290045586</v>
      </c>
      <c r="BI471">
        <f t="shared" ca="1" si="468"/>
        <v>0</v>
      </c>
      <c r="BJ471" s="24">
        <f t="shared" ca="1" si="469"/>
        <v>34805.171030319099</v>
      </c>
      <c r="BK471">
        <f t="shared" ca="1" si="470"/>
        <v>1</v>
      </c>
      <c r="BL471" s="25">
        <f t="shared" ca="1" si="471"/>
        <v>2900.430919193258</v>
      </c>
      <c r="BM471" s="32">
        <f t="shared" ca="1" si="450"/>
        <v>185103.02289482599</v>
      </c>
      <c r="BN471" s="23">
        <f t="shared" ca="1" si="472"/>
        <v>0</v>
      </c>
      <c r="BO471" s="24">
        <f t="shared" ca="1" si="473"/>
        <v>0</v>
      </c>
      <c r="BP471" s="25">
        <f t="shared" ca="1" si="474"/>
        <v>0</v>
      </c>
      <c r="BQ471" s="34">
        <f t="shared" ca="1" si="475"/>
        <v>59748</v>
      </c>
      <c r="BR471" s="23">
        <f t="shared" ca="1" si="476"/>
        <v>185103.02289482599</v>
      </c>
      <c r="BS471" s="24">
        <f t="shared" ca="1" si="477"/>
        <v>0</v>
      </c>
      <c r="BT471" s="24">
        <f t="shared" ca="1" si="482"/>
        <v>0</v>
      </c>
      <c r="BU471" s="24">
        <f t="shared" ca="1" si="478"/>
        <v>0</v>
      </c>
      <c r="BV471" s="24">
        <f t="shared" ca="1" si="483"/>
        <v>0</v>
      </c>
      <c r="BW471" s="24">
        <f t="shared" ca="1" si="479"/>
        <v>-2900.430919193258</v>
      </c>
      <c r="BX471" s="25">
        <f t="shared" ca="1" si="484"/>
        <v>-35701.798583940363</v>
      </c>
      <c r="BY471" s="23">
        <f t="shared" ca="1" si="451"/>
        <v>40624.783388634351</v>
      </c>
      <c r="BZ471" s="24">
        <f t="shared" ca="1" si="452"/>
        <v>0</v>
      </c>
      <c r="CA471" s="24">
        <f t="shared" ca="1" si="485"/>
        <v>0</v>
      </c>
      <c r="CB471" s="24">
        <f t="shared" ca="1" si="453"/>
        <v>0</v>
      </c>
      <c r="CC471" s="24">
        <f t="shared" ca="1" si="486"/>
        <v>0</v>
      </c>
      <c r="CD471" s="24">
        <f t="shared" ca="1" si="454"/>
        <v>-638.64500265235017</v>
      </c>
      <c r="CE471" s="25">
        <f t="shared" ca="1" si="487"/>
        <v>-8007.2352021582337</v>
      </c>
      <c r="CF471" s="23">
        <f t="shared" ca="1" si="488"/>
        <v>1199370.4288815176</v>
      </c>
      <c r="CG471" s="25">
        <f t="array" aca="1" ref="CG471" ca="1">SUM(BF460:BF471/(1+inflation/100)^(AP460:AP471/12))</f>
        <v>267980.53702225379</v>
      </c>
      <c r="CH471" s="32">
        <f ca="1">IFERROR(IF(MOD(AP471-ap_months_since_start,12)=0,ap_drawdown/100*(AQ471+AV471+BA471-BC471),CH470),0)</f>
        <v>30567.71538635152</v>
      </c>
    </row>
    <row r="472" spans="40:86" x14ac:dyDescent="0.25">
      <c r="AN472" s="32">
        <f t="shared" ca="1" si="449"/>
        <v>93.583333333333329</v>
      </c>
      <c r="AO472" s="53">
        <f t="shared" ca="1" si="480"/>
        <v>59749</v>
      </c>
      <c r="AP472" s="22">
        <v>465</v>
      </c>
      <c r="AQ472" s="32">
        <f t="shared" ca="1" si="481"/>
        <v>185103.02289482599</v>
      </c>
      <c r="AR472" s="23">
        <f t="array" aca="1" ref="AR472" ca="1">SUM(IF(lsc_start_date=AO472,lsc_amount,0))</f>
        <v>0</v>
      </c>
      <c r="AS472" s="24">
        <f t="shared" ca="1" si="455"/>
        <v>0</v>
      </c>
      <c r="AT472" s="24">
        <f t="shared" ca="1" si="456"/>
        <v>0</v>
      </c>
      <c r="AU472" s="24">
        <f t="shared" ca="1" si="457"/>
        <v>0</v>
      </c>
      <c r="AV472" s="25">
        <f t="shared" ca="1" si="458"/>
        <v>0</v>
      </c>
      <c r="AW472" s="23">
        <f t="array" aca="1" ref="AW472" ca="1">SUM(IF(rcs_start_date&lt;=AO472,1,0)*IF(rcs_end_date&gt;=AO472,1,0)*rcs_amount*(1+rcs_escalation/100)^(INT((AP472-rcs_months_since_start)/12))*IF(MOD((AP472-rcs_months_since_start),rcs_frequency)=0,1,0)*IF(rcs_frequency=13,0,1))+SUM(IF(rcs_start_date=AO472,rcs_amount,0)*IF(rcs_frequency=13,1,0))</f>
        <v>0</v>
      </c>
      <c r="AX472" s="24">
        <f t="shared" ca="1" si="459"/>
        <v>0</v>
      </c>
      <c r="AY472" s="24">
        <f t="shared" ca="1" si="460"/>
        <v>0</v>
      </c>
      <c r="AZ472" s="24">
        <f t="shared" ca="1" si="461"/>
        <v>0</v>
      </c>
      <c r="BA472" s="25">
        <f t="shared" ca="1" si="462"/>
        <v>0</v>
      </c>
      <c r="BB472" s="23">
        <f t="array" aca="1" ref="BB472" ca="1">SUM(IF(w_start_date&lt;=AO472,1,0)*IF(w_end_date&gt;=AO472,1,0)*w_amount*(1+w_escalation/100)^(INT((AP472-w_months_since_start)/12))*IF(MOD(AP472-w_months_since_start,w_frequency)=0,1,0)*IF(w_frequency=13,0,1))+SUM(IF(w_start_date=AO472,w_amount,0)*IF(w_frequency=13,1,0))</f>
        <v>0</v>
      </c>
      <c r="BC472" s="25">
        <f t="shared" ca="1" si="463"/>
        <v>0</v>
      </c>
      <c r="BD472" s="24" t="b">
        <f t="shared" ca="1" si="464"/>
        <v>1</v>
      </c>
      <c r="BE472" s="24" t="b">
        <f t="shared" ca="1" si="465"/>
        <v>1</v>
      </c>
      <c r="BF472" s="23">
        <f t="array" aca="1" ref="BF472" ca="1">SUM(IF(BD472,1,0)*IF(ap_start_date&lt;=AO472,1,0)*IF(ap_end_date&gt;=AO472,1,0)*ap_amount*(1+ap_escalation/100)^(INT((AP472-ap_months_since_start)/12))*IF(MOD(AP472-ap_months_since_start,ap_frequency)=0,1,0))</f>
        <v>100917.90016478789</v>
      </c>
      <c r="BG472" s="24">
        <f t="shared" ca="1" si="466"/>
        <v>1211014.8019774547</v>
      </c>
      <c r="BH472" s="24">
        <f t="shared" ca="1" si="467"/>
        <v>4972.167290045586</v>
      </c>
      <c r="BI472">
        <f t="shared" ca="1" si="468"/>
        <v>0</v>
      </c>
      <c r="BJ472" s="24">
        <f t="shared" ca="1" si="469"/>
        <v>34805.171030319099</v>
      </c>
      <c r="BK472">
        <f t="shared" ca="1" si="470"/>
        <v>1</v>
      </c>
      <c r="BL472" s="25">
        <f t="shared" ca="1" si="471"/>
        <v>2900.430919193258</v>
      </c>
      <c r="BM472" s="32">
        <f t="shared" ca="1" si="450"/>
        <v>183515.78496503926</v>
      </c>
      <c r="BN472" s="23">
        <f t="shared" ca="1" si="472"/>
        <v>0</v>
      </c>
      <c r="BO472" s="24">
        <f t="shared" ca="1" si="473"/>
        <v>0</v>
      </c>
      <c r="BP472" s="25">
        <f t="shared" ca="1" si="474"/>
        <v>0</v>
      </c>
      <c r="BQ472" s="34">
        <f t="shared" ca="1" si="475"/>
        <v>59779</v>
      </c>
      <c r="BR472" s="23">
        <f t="shared" ca="1" si="476"/>
        <v>183515.78496503926</v>
      </c>
      <c r="BS472" s="24">
        <f t="shared" ca="1" si="477"/>
        <v>0</v>
      </c>
      <c r="BT472" s="24">
        <f t="shared" ca="1" si="482"/>
        <v>0</v>
      </c>
      <c r="BU472" s="24">
        <f t="shared" ca="1" si="478"/>
        <v>0</v>
      </c>
      <c r="BV472" s="24">
        <f t="shared" ca="1" si="483"/>
        <v>0</v>
      </c>
      <c r="BW472" s="24">
        <f t="shared" ca="1" si="479"/>
        <v>-2900.430919193258</v>
      </c>
      <c r="BX472" s="25">
        <f t="shared" ca="1" si="484"/>
        <v>-35402.922732733277</v>
      </c>
      <c r="BY472" s="23">
        <f t="shared" ca="1" si="451"/>
        <v>40145.006064967471</v>
      </c>
      <c r="BZ472" s="24">
        <f t="shared" ca="1" si="452"/>
        <v>0</v>
      </c>
      <c r="CA472" s="24">
        <f t="shared" ca="1" si="485"/>
        <v>0</v>
      </c>
      <c r="CB472" s="24">
        <f t="shared" ca="1" si="453"/>
        <v>0</v>
      </c>
      <c r="CC472" s="24">
        <f t="shared" ca="1" si="486"/>
        <v>0</v>
      </c>
      <c r="CD472" s="24">
        <f t="shared" ca="1" si="454"/>
        <v>-636.56106736232721</v>
      </c>
      <c r="CE472" s="25">
        <f t="shared" ca="1" si="487"/>
        <v>-7913.5543306854497</v>
      </c>
      <c r="CF472" s="23">
        <f t="shared" ca="1" si="488"/>
        <v>1203251.8865801634</v>
      </c>
      <c r="CG472" s="25">
        <f t="array" aca="1" ref="CG472" ca="1">SUM(BF461:BF472/(1+inflation/100)^(AP461:AP472/12))</f>
        <v>267980.53702225379</v>
      </c>
      <c r="CH472" s="32">
        <f ca="1">IFERROR(IF(MOD(AP472-ap_months_since_start,12)=0,ap_drawdown/100*(AQ472+AV472+BA472-BC472),CH471),0)</f>
        <v>30567.71538635152</v>
      </c>
    </row>
    <row r="473" spans="40:86" x14ac:dyDescent="0.25">
      <c r="AN473" s="32">
        <f t="shared" ca="1" si="449"/>
        <v>93.666666666666671</v>
      </c>
      <c r="AO473" s="53">
        <f t="shared" ca="1" si="480"/>
        <v>59780</v>
      </c>
      <c r="AP473" s="22">
        <v>466</v>
      </c>
      <c r="AQ473" s="32">
        <f t="shared" ca="1" si="481"/>
        <v>183515.78496503926</v>
      </c>
      <c r="AR473" s="23">
        <f t="array" aca="1" ref="AR473" ca="1">SUM(IF(lsc_start_date=AO473,lsc_amount,0))</f>
        <v>0</v>
      </c>
      <c r="AS473" s="24">
        <f t="shared" ca="1" si="455"/>
        <v>0</v>
      </c>
      <c r="AT473" s="24">
        <f t="shared" ca="1" si="456"/>
        <v>0</v>
      </c>
      <c r="AU473" s="24">
        <f t="shared" ca="1" si="457"/>
        <v>0</v>
      </c>
      <c r="AV473" s="25">
        <f t="shared" ca="1" si="458"/>
        <v>0</v>
      </c>
      <c r="AW473" s="23">
        <f t="array" aca="1" ref="AW473" ca="1">SUM(IF(rcs_start_date&lt;=AO473,1,0)*IF(rcs_end_date&gt;=AO473,1,0)*rcs_amount*(1+rcs_escalation/100)^(INT((AP473-rcs_months_since_start)/12))*IF(MOD((AP473-rcs_months_since_start),rcs_frequency)=0,1,0)*IF(rcs_frequency=13,0,1))+SUM(IF(rcs_start_date=AO473,rcs_amount,0)*IF(rcs_frequency=13,1,0))</f>
        <v>0</v>
      </c>
      <c r="AX473" s="24">
        <f t="shared" ca="1" si="459"/>
        <v>0</v>
      </c>
      <c r="AY473" s="24">
        <f t="shared" ca="1" si="460"/>
        <v>0</v>
      </c>
      <c r="AZ473" s="24">
        <f t="shared" ca="1" si="461"/>
        <v>0</v>
      </c>
      <c r="BA473" s="25">
        <f t="shared" ca="1" si="462"/>
        <v>0</v>
      </c>
      <c r="BB473" s="23">
        <f t="array" aca="1" ref="BB473" ca="1">SUM(IF(w_start_date&lt;=AO473,1,0)*IF(w_end_date&gt;=AO473,1,0)*w_amount*(1+w_escalation/100)^(INT((AP473-w_months_since_start)/12))*IF(MOD(AP473-w_months_since_start,w_frequency)=0,1,0)*IF(w_frequency=13,0,1))+SUM(IF(w_start_date=AO473,w_amount,0)*IF(w_frequency=13,1,0))</f>
        <v>0</v>
      </c>
      <c r="BC473" s="25">
        <f t="shared" ca="1" si="463"/>
        <v>0</v>
      </c>
      <c r="BD473" s="24" t="b">
        <f t="shared" ca="1" si="464"/>
        <v>1</v>
      </c>
      <c r="BE473" s="24" t="b">
        <f t="shared" ca="1" si="465"/>
        <v>1</v>
      </c>
      <c r="BF473" s="23">
        <f t="array" aca="1" ref="BF473" ca="1">SUM(IF(BD473,1,0)*IF(ap_start_date&lt;=AO473,1,0)*IF(ap_end_date&gt;=AO473,1,0)*ap_amount*(1+ap_escalation/100)^(INT((AP473-ap_months_since_start)/12))*IF(MOD(AP473-ap_months_since_start,ap_frequency)=0,1,0))</f>
        <v>100917.90016478789</v>
      </c>
      <c r="BG473" s="24">
        <f t="shared" ca="1" si="466"/>
        <v>1211014.8019774547</v>
      </c>
      <c r="BH473" s="24">
        <f t="shared" ca="1" si="467"/>
        <v>4972.167290045586</v>
      </c>
      <c r="BI473">
        <f t="shared" ca="1" si="468"/>
        <v>0</v>
      </c>
      <c r="BJ473" s="24">
        <f t="shared" ca="1" si="469"/>
        <v>34805.171030319099</v>
      </c>
      <c r="BK473">
        <f t="shared" ca="1" si="470"/>
        <v>1</v>
      </c>
      <c r="BL473" s="25">
        <f t="shared" ca="1" si="471"/>
        <v>2900.430919193258</v>
      </c>
      <c r="BM473" s="32">
        <f t="shared" ca="1" si="450"/>
        <v>181917.10729831291</v>
      </c>
      <c r="BN473" s="23">
        <f t="shared" ca="1" si="472"/>
        <v>0</v>
      </c>
      <c r="BO473" s="24">
        <f t="shared" ca="1" si="473"/>
        <v>0</v>
      </c>
      <c r="BP473" s="25">
        <f t="shared" ca="1" si="474"/>
        <v>0</v>
      </c>
      <c r="BQ473" s="34">
        <f t="shared" ca="1" si="475"/>
        <v>59809</v>
      </c>
      <c r="BR473" s="23">
        <f t="shared" ca="1" si="476"/>
        <v>181917.10729831291</v>
      </c>
      <c r="BS473" s="24">
        <f t="shared" ca="1" si="477"/>
        <v>0</v>
      </c>
      <c r="BT473" s="24">
        <f t="shared" ca="1" si="482"/>
        <v>0</v>
      </c>
      <c r="BU473" s="24">
        <f t="shared" ca="1" si="478"/>
        <v>0</v>
      </c>
      <c r="BV473" s="24">
        <f t="shared" ca="1" si="483"/>
        <v>0</v>
      </c>
      <c r="BW473" s="24">
        <f t="shared" ca="1" si="479"/>
        <v>-2900.430919193258</v>
      </c>
      <c r="BX473" s="25">
        <f t="shared" ca="1" si="484"/>
        <v>-35104.046881526192</v>
      </c>
      <c r="BY473" s="23">
        <f t="shared" ca="1" si="451"/>
        <v>39665.432934520002</v>
      </c>
      <c r="BZ473" s="24">
        <f t="shared" ca="1" si="452"/>
        <v>0</v>
      </c>
      <c r="CA473" s="24">
        <f t="shared" ca="1" si="485"/>
        <v>0</v>
      </c>
      <c r="CB473" s="24">
        <f t="shared" ca="1" si="453"/>
        <v>0</v>
      </c>
      <c r="CC473" s="24">
        <f t="shared" ca="1" si="486"/>
        <v>0</v>
      </c>
      <c r="CD473" s="24">
        <f t="shared" ca="1" si="454"/>
        <v>-634.48393207273455</v>
      </c>
      <c r="CE473" s="25">
        <f t="shared" ca="1" si="487"/>
        <v>-7820.1791452718244</v>
      </c>
      <c r="CF473" s="23">
        <f t="shared" ca="1" si="488"/>
        <v>1207133.3442788089</v>
      </c>
      <c r="CG473" s="25">
        <f t="array" aca="1" ref="CG473" ca="1">SUM(BF462:BF473/(1+inflation/100)^(AP462:AP473/12))</f>
        <v>267980.53702225379</v>
      </c>
      <c r="CH473" s="32">
        <f ca="1">IFERROR(IF(MOD(AP473-ap_months_since_start,12)=0,ap_drawdown/100*(AQ473+AV473+BA473-BC473),CH472),0)</f>
        <v>30567.71538635152</v>
      </c>
    </row>
    <row r="474" spans="40:86" x14ac:dyDescent="0.25">
      <c r="AN474" s="32">
        <f t="shared" ca="1" si="449"/>
        <v>93.75</v>
      </c>
      <c r="AO474" s="53">
        <f t="shared" ca="1" si="480"/>
        <v>59810</v>
      </c>
      <c r="AP474" s="22">
        <v>467</v>
      </c>
      <c r="AQ474" s="32">
        <f t="shared" ca="1" si="481"/>
        <v>181917.10729831291</v>
      </c>
      <c r="AR474" s="23">
        <f t="array" aca="1" ref="AR474" ca="1">SUM(IF(lsc_start_date=AO474,lsc_amount,0))</f>
        <v>0</v>
      </c>
      <c r="AS474" s="24">
        <f t="shared" ca="1" si="455"/>
        <v>0</v>
      </c>
      <c r="AT474" s="24">
        <f t="shared" ca="1" si="456"/>
        <v>0</v>
      </c>
      <c r="AU474" s="24">
        <f t="shared" ca="1" si="457"/>
        <v>0</v>
      </c>
      <c r="AV474" s="25">
        <f t="shared" ca="1" si="458"/>
        <v>0</v>
      </c>
      <c r="AW474" s="23">
        <f t="array" aca="1" ref="AW474" ca="1">SUM(IF(rcs_start_date&lt;=AO474,1,0)*IF(rcs_end_date&gt;=AO474,1,0)*rcs_amount*(1+rcs_escalation/100)^(INT((AP474-rcs_months_since_start)/12))*IF(MOD((AP474-rcs_months_since_start),rcs_frequency)=0,1,0)*IF(rcs_frequency=13,0,1))+SUM(IF(rcs_start_date=AO474,rcs_amount,0)*IF(rcs_frequency=13,1,0))</f>
        <v>0</v>
      </c>
      <c r="AX474" s="24">
        <f t="shared" ca="1" si="459"/>
        <v>0</v>
      </c>
      <c r="AY474" s="24">
        <f t="shared" ca="1" si="460"/>
        <v>0</v>
      </c>
      <c r="AZ474" s="24">
        <f t="shared" ca="1" si="461"/>
        <v>0</v>
      </c>
      <c r="BA474" s="25">
        <f t="shared" ca="1" si="462"/>
        <v>0</v>
      </c>
      <c r="BB474" s="23">
        <f t="array" aca="1" ref="BB474" ca="1">SUM(IF(w_start_date&lt;=AO474,1,0)*IF(w_end_date&gt;=AO474,1,0)*w_amount*(1+w_escalation/100)^(INT((AP474-w_months_since_start)/12))*IF(MOD(AP474-w_months_since_start,w_frequency)=0,1,0)*IF(w_frequency=13,0,1))+SUM(IF(w_start_date=AO474,w_amount,0)*IF(w_frequency=13,1,0))</f>
        <v>0</v>
      </c>
      <c r="BC474" s="25">
        <f t="shared" ca="1" si="463"/>
        <v>0</v>
      </c>
      <c r="BD474" s="24" t="b">
        <f t="shared" ca="1" si="464"/>
        <v>1</v>
      </c>
      <c r="BE474" s="24" t="b">
        <f t="shared" ca="1" si="465"/>
        <v>1</v>
      </c>
      <c r="BF474" s="23">
        <f t="array" aca="1" ref="BF474" ca="1">SUM(IF(BD474,1,0)*IF(ap_start_date&lt;=AO474,1,0)*IF(ap_end_date&gt;=AO474,1,0)*ap_amount*(1+ap_escalation/100)^(INT((AP474-ap_months_since_start)/12))*IF(MOD(AP474-ap_months_since_start,ap_frequency)=0,1,0))</f>
        <v>100917.90016478789</v>
      </c>
      <c r="BG474" s="24">
        <f t="shared" ca="1" si="466"/>
        <v>1211014.8019774547</v>
      </c>
      <c r="BH474" s="24">
        <f t="shared" ca="1" si="467"/>
        <v>4972.167290045586</v>
      </c>
      <c r="BI474">
        <f t="shared" ca="1" si="468"/>
        <v>0</v>
      </c>
      <c r="BJ474" s="24">
        <f t="shared" ca="1" si="469"/>
        <v>34805.171030319099</v>
      </c>
      <c r="BK474">
        <f t="shared" ca="1" si="470"/>
        <v>1</v>
      </c>
      <c r="BL474" s="25">
        <f t="shared" ca="1" si="471"/>
        <v>2900.430919193258</v>
      </c>
      <c r="BM474" s="32">
        <f t="shared" ca="1" si="450"/>
        <v>180306.90744476419</v>
      </c>
      <c r="BN474" s="23">
        <f t="shared" ca="1" si="472"/>
        <v>0</v>
      </c>
      <c r="BO474" s="24">
        <f t="shared" ca="1" si="473"/>
        <v>0</v>
      </c>
      <c r="BP474" s="25">
        <f t="shared" ca="1" si="474"/>
        <v>0</v>
      </c>
      <c r="BQ474" s="34">
        <f t="shared" ca="1" si="475"/>
        <v>59840</v>
      </c>
      <c r="BR474" s="23">
        <f t="shared" ca="1" si="476"/>
        <v>180306.90744476419</v>
      </c>
      <c r="BS474" s="24">
        <f t="shared" ca="1" si="477"/>
        <v>0</v>
      </c>
      <c r="BT474" s="24">
        <f t="shared" ca="1" si="482"/>
        <v>0</v>
      </c>
      <c r="BU474" s="24">
        <f t="shared" ca="1" si="478"/>
        <v>0</v>
      </c>
      <c r="BV474" s="24">
        <f t="shared" ca="1" si="483"/>
        <v>0</v>
      </c>
      <c r="BW474" s="24">
        <f t="shared" ca="1" si="479"/>
        <v>-2900.430919193258</v>
      </c>
      <c r="BX474" s="25">
        <f t="shared" ca="1" si="484"/>
        <v>-34805.171030319099</v>
      </c>
      <c r="BY474" s="23">
        <f t="shared" ca="1" si="451"/>
        <v>39186.057993496383</v>
      </c>
      <c r="BZ474" s="24">
        <f t="shared" ca="1" si="452"/>
        <v>0</v>
      </c>
      <c r="CA474" s="24">
        <f t="shared" ca="1" si="485"/>
        <v>0</v>
      </c>
      <c r="CB474" s="24">
        <f t="shared" ca="1" si="453"/>
        <v>0</v>
      </c>
      <c r="CC474" s="24">
        <f t="shared" ca="1" si="486"/>
        <v>0</v>
      </c>
      <c r="CD474" s="24">
        <f t="shared" ca="1" si="454"/>
        <v>-632.41357459478093</v>
      </c>
      <c r="CE474" s="25">
        <f t="shared" ca="1" si="487"/>
        <v>-7727.1086484462066</v>
      </c>
      <c r="CF474" s="23">
        <f t="shared" ca="1" si="488"/>
        <v>1211014.8019774547</v>
      </c>
      <c r="CG474" s="25">
        <f t="array" aca="1" ref="CG474" ca="1">SUM(BF463:BF474/(1+inflation/100)^(AP463:AP474/12))</f>
        <v>267980.53702225379</v>
      </c>
      <c r="CH474" s="32">
        <f ca="1">IFERROR(IF(MOD(AP474-ap_months_since_start,12)=0,ap_drawdown/100*(AQ474+AV474+BA474-BC474),CH473),0)</f>
        <v>30567.71538635152</v>
      </c>
    </row>
    <row r="475" spans="40:86" x14ac:dyDescent="0.25">
      <c r="AN475" s="32">
        <f t="shared" ca="1" si="449"/>
        <v>93.833333333333329</v>
      </c>
      <c r="AO475" s="53">
        <f t="shared" ca="1" si="480"/>
        <v>59841</v>
      </c>
      <c r="AP475" s="22">
        <v>468</v>
      </c>
      <c r="AQ475" s="32">
        <f t="shared" ca="1" si="481"/>
        <v>180306.90744476419</v>
      </c>
      <c r="AR475" s="23">
        <f t="array" aca="1" ref="AR475" ca="1">SUM(IF(lsc_start_date=AO475,lsc_amount,0))</f>
        <v>0</v>
      </c>
      <c r="AS475" s="24">
        <f t="shared" ca="1" si="455"/>
        <v>0</v>
      </c>
      <c r="AT475" s="24">
        <f t="shared" ca="1" si="456"/>
        <v>0</v>
      </c>
      <c r="AU475" s="24">
        <f t="shared" ca="1" si="457"/>
        <v>0</v>
      </c>
      <c r="AV475" s="25">
        <f t="shared" ca="1" si="458"/>
        <v>0</v>
      </c>
      <c r="AW475" s="23">
        <f t="array" aca="1" ref="AW475" ca="1">SUM(IF(rcs_start_date&lt;=AO475,1,0)*IF(rcs_end_date&gt;=AO475,1,0)*rcs_amount*(1+rcs_escalation/100)^(INT((AP475-rcs_months_since_start)/12))*IF(MOD((AP475-rcs_months_since_start),rcs_frequency)=0,1,0)*IF(rcs_frequency=13,0,1))+SUM(IF(rcs_start_date=AO475,rcs_amount,0)*IF(rcs_frequency=13,1,0))</f>
        <v>0</v>
      </c>
      <c r="AX475" s="24">
        <f t="shared" ca="1" si="459"/>
        <v>0</v>
      </c>
      <c r="AY475" s="24">
        <f t="shared" ca="1" si="460"/>
        <v>0</v>
      </c>
      <c r="AZ475" s="24">
        <f t="shared" ca="1" si="461"/>
        <v>0</v>
      </c>
      <c r="BA475" s="25">
        <f t="shared" ca="1" si="462"/>
        <v>0</v>
      </c>
      <c r="BB475" s="23">
        <f t="array" aca="1" ref="BB475" ca="1">SUM(IF(w_start_date&lt;=AO475,1,0)*IF(w_end_date&gt;=AO475,1,0)*w_amount*(1+w_escalation/100)^(INT((AP475-w_months_since_start)/12))*IF(MOD(AP475-w_months_since_start,w_frequency)=0,1,0)*IF(w_frequency=13,0,1))+SUM(IF(w_start_date=AO475,w_amount,0)*IF(w_frequency=13,1,0))</f>
        <v>0</v>
      </c>
      <c r="BC475" s="25">
        <f t="shared" ca="1" si="463"/>
        <v>0</v>
      </c>
      <c r="BD475" s="24" t="b">
        <f t="shared" ca="1" si="464"/>
        <v>1</v>
      </c>
      <c r="BE475" s="24" t="b">
        <f t="shared" ca="1" si="465"/>
        <v>1</v>
      </c>
      <c r="BF475" s="23">
        <f t="array" aca="1" ref="BF475" ca="1">SUM(IF(BD475,1,0)*IF(ap_start_date&lt;=AO475,1,0)*IF(ap_end_date&gt;=AO475,1,0)*ap_amount*(1+ap_escalation/100)^(INT((AP475-ap_months_since_start)/12))*IF(MOD(AP475-ap_months_since_start,ap_frequency)=0,1,0))</f>
        <v>104954.61617137943</v>
      </c>
      <c r="BG475" s="24">
        <f t="shared" ca="1" si="466"/>
        <v>1259455.394056553</v>
      </c>
      <c r="BH475" s="24">
        <f t="shared" ca="1" si="467"/>
        <v>4507.6726861191046</v>
      </c>
      <c r="BI475">
        <f t="shared" ca="1" si="468"/>
        <v>0</v>
      </c>
      <c r="BJ475" s="24">
        <f t="shared" ca="1" si="469"/>
        <v>31553.708802833731</v>
      </c>
      <c r="BK475">
        <f t="shared" ca="1" si="470"/>
        <v>1</v>
      </c>
      <c r="BL475" s="25">
        <f t="shared" ca="1" si="471"/>
        <v>2629.4757335694781</v>
      </c>
      <c r="BM475" s="32">
        <f t="shared" ca="1" si="450"/>
        <v>178958.0104075181</v>
      </c>
      <c r="BN475" s="23">
        <f t="shared" ca="1" si="472"/>
        <v>0</v>
      </c>
      <c r="BO475" s="24">
        <f t="shared" ca="1" si="473"/>
        <v>0</v>
      </c>
      <c r="BP475" s="25">
        <f t="shared" ca="1" si="474"/>
        <v>0</v>
      </c>
      <c r="BQ475" s="34">
        <f t="shared" ca="1" si="475"/>
        <v>59870</v>
      </c>
      <c r="BR475" s="23">
        <f t="shared" ca="1" si="476"/>
        <v>178958.0104075181</v>
      </c>
      <c r="BS475" s="24">
        <f t="shared" ca="1" si="477"/>
        <v>0</v>
      </c>
      <c r="BT475" s="24">
        <f t="shared" ca="1" si="482"/>
        <v>0</v>
      </c>
      <c r="BU475" s="24">
        <f t="shared" ca="1" si="478"/>
        <v>0</v>
      </c>
      <c r="BV475" s="24">
        <f t="shared" ca="1" si="483"/>
        <v>0</v>
      </c>
      <c r="BW475" s="24">
        <f t="shared" ca="1" si="479"/>
        <v>-2629.4757335694781</v>
      </c>
      <c r="BX475" s="25">
        <f t="shared" ca="1" si="484"/>
        <v>-34534.215844695325</v>
      </c>
      <c r="BY475" s="23">
        <f t="shared" ca="1" si="451"/>
        <v>38765.992743465118</v>
      </c>
      <c r="BZ475" s="24">
        <f t="shared" ca="1" si="452"/>
        <v>0</v>
      </c>
      <c r="CA475" s="24">
        <f t="shared" ca="1" si="485"/>
        <v>0</v>
      </c>
      <c r="CB475" s="24">
        <f t="shared" ca="1" si="453"/>
        <v>0</v>
      </c>
      <c r="CC475" s="24">
        <f t="shared" ca="1" si="486"/>
        <v>0</v>
      </c>
      <c r="CD475" s="24">
        <f t="shared" ca="1" si="454"/>
        <v>-571.4633457384889</v>
      </c>
      <c r="CE475" s="25">
        <f t="shared" ca="1" si="487"/>
        <v>-7643.0080224601334</v>
      </c>
      <c r="CF475" s="23">
        <f t="shared" ca="1" si="488"/>
        <v>1215051.5179840461</v>
      </c>
      <c r="CG475" s="25">
        <f t="array" aca="1" ref="CG475" ca="1">SUM(BF464:BF475/(1+inflation/100)^(AP464:AP475/12))</f>
        <v>267980.53702225379</v>
      </c>
      <c r="CH475" s="32">
        <f ca="1">IFERROR(IF(MOD(AP475-ap_months_since_start,12)=0,ap_drawdown/100*(AQ475+AV475+BA475-BC475),CH474),0)</f>
        <v>27712.111778696039</v>
      </c>
    </row>
    <row r="476" spans="40:86" x14ac:dyDescent="0.25">
      <c r="AN476" s="32">
        <f t="shared" ca="1" si="449"/>
        <v>93.916666666666671</v>
      </c>
      <c r="AO476" s="53">
        <f t="shared" ca="1" si="480"/>
        <v>59871</v>
      </c>
      <c r="AP476" s="22">
        <v>469</v>
      </c>
      <c r="AQ476" s="32">
        <f t="shared" ca="1" si="481"/>
        <v>178958.0104075181</v>
      </c>
      <c r="AR476" s="23">
        <f t="array" aca="1" ref="AR476" ca="1">SUM(IF(lsc_start_date=AO476,lsc_amount,0))</f>
        <v>0</v>
      </c>
      <c r="AS476" s="24">
        <f t="shared" ca="1" si="455"/>
        <v>0</v>
      </c>
      <c r="AT476" s="24">
        <f t="shared" ca="1" si="456"/>
        <v>0</v>
      </c>
      <c r="AU476" s="24">
        <f t="shared" ca="1" si="457"/>
        <v>0</v>
      </c>
      <c r="AV476" s="25">
        <f t="shared" ca="1" si="458"/>
        <v>0</v>
      </c>
      <c r="AW476" s="23">
        <f t="array" aca="1" ref="AW476" ca="1">SUM(IF(rcs_start_date&lt;=AO476,1,0)*IF(rcs_end_date&gt;=AO476,1,0)*rcs_amount*(1+rcs_escalation/100)^(INT((AP476-rcs_months_since_start)/12))*IF(MOD((AP476-rcs_months_since_start),rcs_frequency)=0,1,0)*IF(rcs_frequency=13,0,1))+SUM(IF(rcs_start_date=AO476,rcs_amount,0)*IF(rcs_frequency=13,1,0))</f>
        <v>0</v>
      </c>
      <c r="AX476" s="24">
        <f t="shared" ca="1" si="459"/>
        <v>0</v>
      </c>
      <c r="AY476" s="24">
        <f t="shared" ca="1" si="460"/>
        <v>0</v>
      </c>
      <c r="AZ476" s="24">
        <f t="shared" ca="1" si="461"/>
        <v>0</v>
      </c>
      <c r="BA476" s="25">
        <f t="shared" ca="1" si="462"/>
        <v>0</v>
      </c>
      <c r="BB476" s="23">
        <f t="array" aca="1" ref="BB476" ca="1">SUM(IF(w_start_date&lt;=AO476,1,0)*IF(w_end_date&gt;=AO476,1,0)*w_amount*(1+w_escalation/100)^(INT((AP476-w_months_since_start)/12))*IF(MOD(AP476-w_months_since_start,w_frequency)=0,1,0)*IF(w_frequency=13,0,1))+SUM(IF(w_start_date=AO476,w_amount,0)*IF(w_frequency=13,1,0))</f>
        <v>0</v>
      </c>
      <c r="BC476" s="25">
        <f t="shared" ca="1" si="463"/>
        <v>0</v>
      </c>
      <c r="BD476" s="24" t="b">
        <f t="shared" ca="1" si="464"/>
        <v>1</v>
      </c>
      <c r="BE476" s="24" t="b">
        <f t="shared" ca="1" si="465"/>
        <v>1</v>
      </c>
      <c r="BF476" s="23">
        <f t="array" aca="1" ref="BF476" ca="1">SUM(IF(BD476,1,0)*IF(ap_start_date&lt;=AO476,1,0)*IF(ap_end_date&gt;=AO476,1,0)*ap_amount*(1+ap_escalation/100)^(INT((AP476-ap_months_since_start)/12))*IF(MOD(AP476-ap_months_since_start,ap_frequency)=0,1,0))</f>
        <v>104954.61617137943</v>
      </c>
      <c r="BG476" s="24">
        <f t="shared" ca="1" si="466"/>
        <v>1259455.394056553</v>
      </c>
      <c r="BH476" s="24">
        <f t="shared" ca="1" si="467"/>
        <v>4507.6726861191046</v>
      </c>
      <c r="BI476">
        <f t="shared" ca="1" si="468"/>
        <v>0</v>
      </c>
      <c r="BJ476" s="24">
        <f t="shared" ca="1" si="469"/>
        <v>31553.708802833731</v>
      </c>
      <c r="BK476">
        <f t="shared" ca="1" si="470"/>
        <v>1</v>
      </c>
      <c r="BL476" s="25">
        <f t="shared" ca="1" si="471"/>
        <v>2629.4757335694781</v>
      </c>
      <c r="BM476" s="32">
        <f t="shared" ca="1" si="450"/>
        <v>177599.39143320441</v>
      </c>
      <c r="BN476" s="23">
        <f t="shared" ca="1" si="472"/>
        <v>0</v>
      </c>
      <c r="BO476" s="24">
        <f t="shared" ca="1" si="473"/>
        <v>0</v>
      </c>
      <c r="BP476" s="25">
        <f t="shared" ca="1" si="474"/>
        <v>0</v>
      </c>
      <c r="BQ476" s="34">
        <f t="shared" ca="1" si="475"/>
        <v>59901</v>
      </c>
      <c r="BR476" s="23">
        <f t="shared" ca="1" si="476"/>
        <v>177599.39143320441</v>
      </c>
      <c r="BS476" s="24">
        <f t="shared" ca="1" si="477"/>
        <v>0</v>
      </c>
      <c r="BT476" s="24">
        <f t="shared" ca="1" si="482"/>
        <v>0</v>
      </c>
      <c r="BU476" s="24">
        <f t="shared" ca="1" si="478"/>
        <v>0</v>
      </c>
      <c r="BV476" s="24">
        <f t="shared" ca="1" si="483"/>
        <v>0</v>
      </c>
      <c r="BW476" s="24">
        <f t="shared" ca="1" si="479"/>
        <v>-2629.4757335694781</v>
      </c>
      <c r="BX476" s="25">
        <f t="shared" ca="1" si="484"/>
        <v>-34263.260659071544</v>
      </c>
      <c r="BY476" s="23">
        <f t="shared" ca="1" si="451"/>
        <v>38346.152552211111</v>
      </c>
      <c r="BZ476" s="24">
        <f t="shared" ca="1" si="452"/>
        <v>0</v>
      </c>
      <c r="CA476" s="24">
        <f t="shared" ca="1" si="485"/>
        <v>0</v>
      </c>
      <c r="CB476" s="24">
        <f t="shared" ca="1" si="453"/>
        <v>0</v>
      </c>
      <c r="CC476" s="24">
        <f t="shared" ca="1" si="486"/>
        <v>0</v>
      </c>
      <c r="CD476" s="24">
        <f t="shared" ca="1" si="454"/>
        <v>-569.59862804995578</v>
      </c>
      <c r="CE476" s="25">
        <f t="shared" ca="1" si="487"/>
        <v>-7559.1818216424681</v>
      </c>
      <c r="CF476" s="23">
        <f t="shared" ca="1" si="488"/>
        <v>1219088.2339906376</v>
      </c>
      <c r="CG476" s="25">
        <f t="array" aca="1" ref="CG476" ca="1">SUM(BF465:BF476/(1+inflation/100)^(AP465:AP476/12))</f>
        <v>267980.53702225379</v>
      </c>
      <c r="CH476" s="32">
        <f ca="1">IFERROR(IF(MOD(AP476-ap_months_since_start,12)=0,ap_drawdown/100*(AQ476+AV476+BA476-BC476),CH475),0)</f>
        <v>27712.111778696039</v>
      </c>
    </row>
    <row r="477" spans="40:86" x14ac:dyDescent="0.25">
      <c r="AN477" s="32">
        <f t="shared" ca="1" si="449"/>
        <v>94</v>
      </c>
      <c r="AO477" s="53">
        <f t="shared" ca="1" si="480"/>
        <v>59902</v>
      </c>
      <c r="AP477" s="22">
        <v>470</v>
      </c>
      <c r="AQ477" s="32">
        <f t="shared" ca="1" si="481"/>
        <v>177599.39143320441</v>
      </c>
      <c r="AR477" s="23">
        <f t="array" aca="1" ref="AR477" ca="1">SUM(IF(lsc_start_date=AO477,lsc_amount,0))</f>
        <v>0</v>
      </c>
      <c r="AS477" s="24">
        <f t="shared" ca="1" si="455"/>
        <v>0</v>
      </c>
      <c r="AT477" s="24">
        <f t="shared" ca="1" si="456"/>
        <v>0</v>
      </c>
      <c r="AU477" s="24">
        <f t="shared" ca="1" si="457"/>
        <v>0</v>
      </c>
      <c r="AV477" s="25">
        <f t="shared" ca="1" si="458"/>
        <v>0</v>
      </c>
      <c r="AW477" s="23">
        <f t="array" aca="1" ref="AW477" ca="1">SUM(IF(rcs_start_date&lt;=AO477,1,0)*IF(rcs_end_date&gt;=AO477,1,0)*rcs_amount*(1+rcs_escalation/100)^(INT((AP477-rcs_months_since_start)/12))*IF(MOD((AP477-rcs_months_since_start),rcs_frequency)=0,1,0)*IF(rcs_frequency=13,0,1))+SUM(IF(rcs_start_date=AO477,rcs_amount,0)*IF(rcs_frequency=13,1,0))</f>
        <v>0</v>
      </c>
      <c r="AX477" s="24">
        <f t="shared" ca="1" si="459"/>
        <v>0</v>
      </c>
      <c r="AY477" s="24">
        <f t="shared" ca="1" si="460"/>
        <v>0</v>
      </c>
      <c r="AZ477" s="24">
        <f t="shared" ca="1" si="461"/>
        <v>0</v>
      </c>
      <c r="BA477" s="25">
        <f t="shared" ca="1" si="462"/>
        <v>0</v>
      </c>
      <c r="BB477" s="23">
        <f t="array" aca="1" ref="BB477" ca="1">SUM(IF(w_start_date&lt;=AO477,1,0)*IF(w_end_date&gt;=AO477,1,0)*w_amount*(1+w_escalation/100)^(INT((AP477-w_months_since_start)/12))*IF(MOD(AP477-w_months_since_start,w_frequency)=0,1,0)*IF(w_frequency=13,0,1))+SUM(IF(w_start_date=AO477,w_amount,0)*IF(w_frequency=13,1,0))</f>
        <v>0</v>
      </c>
      <c r="BC477" s="25">
        <f t="shared" ca="1" si="463"/>
        <v>0</v>
      </c>
      <c r="BD477" s="24" t="b">
        <f t="shared" ca="1" si="464"/>
        <v>1</v>
      </c>
      <c r="BE477" s="24" t="b">
        <f t="shared" ca="1" si="465"/>
        <v>1</v>
      </c>
      <c r="BF477" s="23">
        <f t="array" aca="1" ref="BF477" ca="1">SUM(IF(BD477,1,0)*IF(ap_start_date&lt;=AO477,1,0)*IF(ap_end_date&gt;=AO477,1,0)*ap_amount*(1+ap_escalation/100)^(INT((AP477-ap_months_since_start)/12))*IF(MOD(AP477-ap_months_since_start,ap_frequency)=0,1,0))</f>
        <v>104954.61617137943</v>
      </c>
      <c r="BG477" s="24">
        <f t="shared" ca="1" si="466"/>
        <v>1259455.394056553</v>
      </c>
      <c r="BH477" s="24">
        <f t="shared" ca="1" si="467"/>
        <v>4507.6726861191046</v>
      </c>
      <c r="BI477">
        <f t="shared" ca="1" si="468"/>
        <v>0</v>
      </c>
      <c r="BJ477" s="24">
        <f t="shared" ca="1" si="469"/>
        <v>31553.708802833731</v>
      </c>
      <c r="BK477">
        <f t="shared" ca="1" si="470"/>
        <v>1</v>
      </c>
      <c r="BL477" s="25">
        <f t="shared" ca="1" si="471"/>
        <v>2629.4757335694781</v>
      </c>
      <c r="BM477" s="32">
        <f t="shared" ca="1" si="450"/>
        <v>176230.98045267939</v>
      </c>
      <c r="BN477" s="23">
        <f t="shared" ca="1" si="472"/>
        <v>0</v>
      </c>
      <c r="BO477" s="24">
        <f t="shared" ca="1" si="473"/>
        <v>0</v>
      </c>
      <c r="BP477" s="25">
        <f t="shared" ca="1" si="474"/>
        <v>0</v>
      </c>
      <c r="BQ477" s="34">
        <f t="shared" ca="1" si="475"/>
        <v>59932</v>
      </c>
      <c r="BR477" s="23">
        <f t="shared" ca="1" si="476"/>
        <v>176230.98045267939</v>
      </c>
      <c r="BS477" s="24">
        <f t="shared" ca="1" si="477"/>
        <v>0</v>
      </c>
      <c r="BT477" s="24">
        <f t="shared" ca="1" si="482"/>
        <v>0</v>
      </c>
      <c r="BU477" s="24">
        <f t="shared" ca="1" si="478"/>
        <v>0</v>
      </c>
      <c r="BV477" s="24">
        <f t="shared" ca="1" si="483"/>
        <v>0</v>
      </c>
      <c r="BW477" s="24">
        <f t="shared" ca="1" si="479"/>
        <v>-2629.4757335694781</v>
      </c>
      <c r="BX477" s="25">
        <f t="shared" ca="1" si="484"/>
        <v>-33992.305473447763</v>
      </c>
      <c r="BY477" s="23">
        <f t="shared" ca="1" si="451"/>
        <v>37926.532193595776</v>
      </c>
      <c r="BZ477" s="24">
        <f t="shared" ca="1" si="452"/>
        <v>0</v>
      </c>
      <c r="CA477" s="24">
        <f t="shared" ca="1" si="485"/>
        <v>0</v>
      </c>
      <c r="CB477" s="24">
        <f t="shared" ca="1" si="453"/>
        <v>0</v>
      </c>
      <c r="CC477" s="24">
        <f t="shared" ca="1" si="486"/>
        <v>0</v>
      </c>
      <c r="CD477" s="24">
        <f t="shared" ca="1" si="454"/>
        <v>-567.73999504224059</v>
      </c>
      <c r="CE477" s="25">
        <f t="shared" ca="1" si="487"/>
        <v>-7475.6291505281397</v>
      </c>
      <c r="CF477" s="23">
        <f t="shared" ca="1" si="488"/>
        <v>1223124.9499972293</v>
      </c>
      <c r="CG477" s="25">
        <f t="array" aca="1" ref="CG477" ca="1">SUM(BF466:BF477/(1+inflation/100)^(AP466:AP477/12))</f>
        <v>267980.53702225379</v>
      </c>
      <c r="CH477" s="32">
        <f ca="1">IFERROR(IF(MOD(AP477-ap_months_since_start,12)=0,ap_drawdown/100*(AQ477+AV477+BA477-BC477),CH476),0)</f>
        <v>27712.111778696039</v>
      </c>
    </row>
    <row r="478" spans="40:86" x14ac:dyDescent="0.25">
      <c r="AN478" s="32">
        <f t="shared" ca="1" si="449"/>
        <v>94.083333333333329</v>
      </c>
      <c r="AO478" s="53">
        <f t="shared" ca="1" si="480"/>
        <v>59933</v>
      </c>
      <c r="AP478" s="22">
        <v>471</v>
      </c>
      <c r="AQ478" s="32">
        <f t="shared" ca="1" si="481"/>
        <v>176230.98045267939</v>
      </c>
      <c r="AR478" s="23">
        <f t="array" aca="1" ref="AR478" ca="1">SUM(IF(lsc_start_date=AO478,lsc_amount,0))</f>
        <v>0</v>
      </c>
      <c r="AS478" s="24">
        <f t="shared" ca="1" si="455"/>
        <v>0</v>
      </c>
      <c r="AT478" s="24">
        <f t="shared" ca="1" si="456"/>
        <v>0</v>
      </c>
      <c r="AU478" s="24">
        <f t="shared" ca="1" si="457"/>
        <v>0</v>
      </c>
      <c r="AV478" s="25">
        <f t="shared" ca="1" si="458"/>
        <v>0</v>
      </c>
      <c r="AW478" s="23">
        <f t="array" aca="1" ref="AW478" ca="1">SUM(IF(rcs_start_date&lt;=AO478,1,0)*IF(rcs_end_date&gt;=AO478,1,0)*rcs_amount*(1+rcs_escalation/100)^(INT((AP478-rcs_months_since_start)/12))*IF(MOD((AP478-rcs_months_since_start),rcs_frequency)=0,1,0)*IF(rcs_frequency=13,0,1))+SUM(IF(rcs_start_date=AO478,rcs_amount,0)*IF(rcs_frequency=13,1,0))</f>
        <v>0</v>
      </c>
      <c r="AX478" s="24">
        <f t="shared" ca="1" si="459"/>
        <v>0</v>
      </c>
      <c r="AY478" s="24">
        <f t="shared" ca="1" si="460"/>
        <v>0</v>
      </c>
      <c r="AZ478" s="24">
        <f t="shared" ca="1" si="461"/>
        <v>0</v>
      </c>
      <c r="BA478" s="25">
        <f t="shared" ca="1" si="462"/>
        <v>0</v>
      </c>
      <c r="BB478" s="23">
        <f t="array" aca="1" ref="BB478" ca="1">SUM(IF(w_start_date&lt;=AO478,1,0)*IF(w_end_date&gt;=AO478,1,0)*w_amount*(1+w_escalation/100)^(INT((AP478-w_months_since_start)/12))*IF(MOD(AP478-w_months_since_start,w_frequency)=0,1,0)*IF(w_frequency=13,0,1))+SUM(IF(w_start_date=AO478,w_amount,0)*IF(w_frequency=13,1,0))</f>
        <v>0</v>
      </c>
      <c r="BC478" s="25">
        <f t="shared" ca="1" si="463"/>
        <v>0</v>
      </c>
      <c r="BD478" s="24" t="b">
        <f t="shared" ca="1" si="464"/>
        <v>1</v>
      </c>
      <c r="BE478" s="24" t="b">
        <f t="shared" ca="1" si="465"/>
        <v>1</v>
      </c>
      <c r="BF478" s="23">
        <f t="array" aca="1" ref="BF478" ca="1">SUM(IF(BD478,1,0)*IF(ap_start_date&lt;=AO478,1,0)*IF(ap_end_date&gt;=AO478,1,0)*ap_amount*(1+ap_escalation/100)^(INT((AP478-ap_months_since_start)/12))*IF(MOD(AP478-ap_months_since_start,ap_frequency)=0,1,0))</f>
        <v>104954.61617137943</v>
      </c>
      <c r="BG478" s="24">
        <f t="shared" ca="1" si="466"/>
        <v>1259455.394056553</v>
      </c>
      <c r="BH478" s="24">
        <f t="shared" ca="1" si="467"/>
        <v>4507.6726861191046</v>
      </c>
      <c r="BI478">
        <f t="shared" ca="1" si="468"/>
        <v>0</v>
      </c>
      <c r="BJ478" s="24">
        <f t="shared" ca="1" si="469"/>
        <v>31553.708802833731</v>
      </c>
      <c r="BK478">
        <f t="shared" ca="1" si="470"/>
        <v>1</v>
      </c>
      <c r="BL478" s="25">
        <f t="shared" ca="1" si="471"/>
        <v>2629.4757335694781</v>
      </c>
      <c r="BM478" s="32">
        <f t="shared" ca="1" si="450"/>
        <v>174852.70689178837</v>
      </c>
      <c r="BN478" s="23">
        <f t="shared" ca="1" si="472"/>
        <v>0</v>
      </c>
      <c r="BO478" s="24">
        <f t="shared" ca="1" si="473"/>
        <v>0</v>
      </c>
      <c r="BP478" s="25">
        <f t="shared" ca="1" si="474"/>
        <v>0</v>
      </c>
      <c r="BQ478" s="34">
        <f t="shared" ca="1" si="475"/>
        <v>59961</v>
      </c>
      <c r="BR478" s="23">
        <f t="shared" ca="1" si="476"/>
        <v>174852.70689178837</v>
      </c>
      <c r="BS478" s="24">
        <f t="shared" ca="1" si="477"/>
        <v>0</v>
      </c>
      <c r="BT478" s="24">
        <f t="shared" ca="1" si="482"/>
        <v>0</v>
      </c>
      <c r="BU478" s="24">
        <f t="shared" ca="1" si="478"/>
        <v>0</v>
      </c>
      <c r="BV478" s="24">
        <f t="shared" ca="1" si="483"/>
        <v>0</v>
      </c>
      <c r="BW478" s="24">
        <f t="shared" ca="1" si="479"/>
        <v>-2629.4757335694781</v>
      </c>
      <c r="BX478" s="25">
        <f t="shared" ca="1" si="484"/>
        <v>-33721.350287823981</v>
      </c>
      <c r="BY478" s="23">
        <f t="shared" ca="1" si="451"/>
        <v>37507.126440922671</v>
      </c>
      <c r="BZ478" s="24">
        <f t="shared" ca="1" si="452"/>
        <v>0</v>
      </c>
      <c r="CA478" s="24">
        <f t="shared" ca="1" si="485"/>
        <v>0</v>
      </c>
      <c r="CB478" s="24">
        <f t="shared" ca="1" si="453"/>
        <v>0</v>
      </c>
      <c r="CC478" s="24">
        <f t="shared" ca="1" si="486"/>
        <v>0</v>
      </c>
      <c r="CD478" s="24">
        <f t="shared" ca="1" si="454"/>
        <v>-565.88742686068076</v>
      </c>
      <c r="CE478" s="25">
        <f t="shared" ca="1" si="487"/>
        <v>-7392.3491165740288</v>
      </c>
      <c r="CF478" s="23">
        <f t="shared" ca="1" si="488"/>
        <v>1227161.6660038207</v>
      </c>
      <c r="CG478" s="25">
        <f t="array" aca="1" ref="CG478" ca="1">SUM(BF467:BF478/(1+inflation/100)^(AP467:AP478/12))</f>
        <v>267980.53702225379</v>
      </c>
      <c r="CH478" s="32">
        <f ca="1">IFERROR(IF(MOD(AP478-ap_months_since_start,12)=0,ap_drawdown/100*(AQ478+AV478+BA478-BC478),CH477),0)</f>
        <v>27712.111778696039</v>
      </c>
    </row>
    <row r="479" spans="40:86" x14ac:dyDescent="0.25">
      <c r="AN479" s="32">
        <f t="shared" ca="1" si="449"/>
        <v>94.166666666666671</v>
      </c>
      <c r="AO479" s="53">
        <f t="shared" ca="1" si="480"/>
        <v>59962</v>
      </c>
      <c r="AP479" s="22">
        <v>472</v>
      </c>
      <c r="AQ479" s="32">
        <f t="shared" ca="1" si="481"/>
        <v>174852.70689178837</v>
      </c>
      <c r="AR479" s="23">
        <f t="array" aca="1" ref="AR479" ca="1">SUM(IF(lsc_start_date=AO479,lsc_amount,0))</f>
        <v>0</v>
      </c>
      <c r="AS479" s="24">
        <f t="shared" ca="1" si="455"/>
        <v>0</v>
      </c>
      <c r="AT479" s="24">
        <f t="shared" ca="1" si="456"/>
        <v>0</v>
      </c>
      <c r="AU479" s="24">
        <f t="shared" ca="1" si="457"/>
        <v>0</v>
      </c>
      <c r="AV479" s="25">
        <f t="shared" ca="1" si="458"/>
        <v>0</v>
      </c>
      <c r="AW479" s="23">
        <f t="array" aca="1" ref="AW479" ca="1">SUM(IF(rcs_start_date&lt;=AO479,1,0)*IF(rcs_end_date&gt;=AO479,1,0)*rcs_amount*(1+rcs_escalation/100)^(INT((AP479-rcs_months_since_start)/12))*IF(MOD((AP479-rcs_months_since_start),rcs_frequency)=0,1,0)*IF(rcs_frequency=13,0,1))+SUM(IF(rcs_start_date=AO479,rcs_amount,0)*IF(rcs_frequency=13,1,0))</f>
        <v>0</v>
      </c>
      <c r="AX479" s="24">
        <f t="shared" ca="1" si="459"/>
        <v>0</v>
      </c>
      <c r="AY479" s="24">
        <f t="shared" ca="1" si="460"/>
        <v>0</v>
      </c>
      <c r="AZ479" s="24">
        <f t="shared" ca="1" si="461"/>
        <v>0</v>
      </c>
      <c r="BA479" s="25">
        <f t="shared" ca="1" si="462"/>
        <v>0</v>
      </c>
      <c r="BB479" s="23">
        <f t="array" aca="1" ref="BB479" ca="1">SUM(IF(w_start_date&lt;=AO479,1,0)*IF(w_end_date&gt;=AO479,1,0)*w_amount*(1+w_escalation/100)^(INT((AP479-w_months_since_start)/12))*IF(MOD(AP479-w_months_since_start,w_frequency)=0,1,0)*IF(w_frequency=13,0,1))+SUM(IF(w_start_date=AO479,w_amount,0)*IF(w_frequency=13,1,0))</f>
        <v>0</v>
      </c>
      <c r="BC479" s="25">
        <f t="shared" ca="1" si="463"/>
        <v>0</v>
      </c>
      <c r="BD479" s="24" t="b">
        <f t="shared" ca="1" si="464"/>
        <v>1</v>
      </c>
      <c r="BE479" s="24" t="b">
        <f t="shared" ca="1" si="465"/>
        <v>1</v>
      </c>
      <c r="BF479" s="23">
        <f t="array" aca="1" ref="BF479" ca="1">SUM(IF(BD479,1,0)*IF(ap_start_date&lt;=AO479,1,0)*IF(ap_end_date&gt;=AO479,1,0)*ap_amount*(1+ap_escalation/100)^(INT((AP479-ap_months_since_start)/12))*IF(MOD(AP479-ap_months_since_start,ap_frequency)=0,1,0))</f>
        <v>104954.61617137943</v>
      </c>
      <c r="BG479" s="24">
        <f t="shared" ca="1" si="466"/>
        <v>1259455.394056553</v>
      </c>
      <c r="BH479" s="24">
        <f t="shared" ca="1" si="467"/>
        <v>4507.6726861191046</v>
      </c>
      <c r="BI479">
        <f t="shared" ca="1" si="468"/>
        <v>0</v>
      </c>
      <c r="BJ479" s="24">
        <f t="shared" ca="1" si="469"/>
        <v>31553.708802833731</v>
      </c>
      <c r="BK479">
        <f t="shared" ca="1" si="470"/>
        <v>1</v>
      </c>
      <c r="BL479" s="25">
        <f t="shared" ca="1" si="471"/>
        <v>2629.4757335694781</v>
      </c>
      <c r="BM479" s="32">
        <f t="shared" ca="1" si="450"/>
        <v>173464.49966772593</v>
      </c>
      <c r="BN479" s="23">
        <f t="shared" ca="1" si="472"/>
        <v>0</v>
      </c>
      <c r="BO479" s="24">
        <f t="shared" ca="1" si="473"/>
        <v>0</v>
      </c>
      <c r="BP479" s="25">
        <f t="shared" ca="1" si="474"/>
        <v>0</v>
      </c>
      <c r="BQ479" s="34">
        <f t="shared" ca="1" si="475"/>
        <v>59992</v>
      </c>
      <c r="BR479" s="23">
        <f t="shared" ca="1" si="476"/>
        <v>173464.49966772593</v>
      </c>
      <c r="BS479" s="24">
        <f t="shared" ca="1" si="477"/>
        <v>0</v>
      </c>
      <c r="BT479" s="24">
        <f t="shared" ca="1" si="482"/>
        <v>0</v>
      </c>
      <c r="BU479" s="24">
        <f t="shared" ca="1" si="478"/>
        <v>0</v>
      </c>
      <c r="BV479" s="24">
        <f t="shared" ca="1" si="483"/>
        <v>0</v>
      </c>
      <c r="BW479" s="24">
        <f t="shared" ca="1" si="479"/>
        <v>-2629.4757335694781</v>
      </c>
      <c r="BX479" s="25">
        <f t="shared" ca="1" si="484"/>
        <v>-33450.3951022002</v>
      </c>
      <c r="BY479" s="23">
        <f t="shared" ca="1" si="451"/>
        <v>37087.930066870293</v>
      </c>
      <c r="BZ479" s="24">
        <f t="shared" ca="1" si="452"/>
        <v>0</v>
      </c>
      <c r="CA479" s="24">
        <f t="shared" ca="1" si="485"/>
        <v>0</v>
      </c>
      <c r="CB479" s="24">
        <f t="shared" ca="1" si="453"/>
        <v>0</v>
      </c>
      <c r="CC479" s="24">
        <f t="shared" ca="1" si="486"/>
        <v>0</v>
      </c>
      <c r="CD479" s="24">
        <f t="shared" ca="1" si="454"/>
        <v>-564.04090371540019</v>
      </c>
      <c r="CE479" s="25">
        <f t="shared" ca="1" si="487"/>
        <v>-7309.3408301494392</v>
      </c>
      <c r="CF479" s="23">
        <f t="shared" ca="1" si="488"/>
        <v>1231198.3820104124</v>
      </c>
      <c r="CG479" s="25">
        <f t="array" aca="1" ref="CG479" ca="1">SUM(BF468:BF479/(1+inflation/100)^(AP468:AP479/12))</f>
        <v>267980.53702225379</v>
      </c>
      <c r="CH479" s="32">
        <f ca="1">IFERROR(IF(MOD(AP479-ap_months_since_start,12)=0,ap_drawdown/100*(AQ479+AV479+BA479-BC479),CH478),0)</f>
        <v>27712.111778696039</v>
      </c>
    </row>
    <row r="480" spans="40:86" x14ac:dyDescent="0.25">
      <c r="AN480" s="32">
        <f t="shared" ca="1" si="449"/>
        <v>94.25</v>
      </c>
      <c r="AO480" s="53">
        <f t="shared" ca="1" si="480"/>
        <v>59993</v>
      </c>
      <c r="AP480" s="22">
        <v>473</v>
      </c>
      <c r="AQ480" s="32">
        <f t="shared" ca="1" si="481"/>
        <v>173464.49966772593</v>
      </c>
      <c r="AR480" s="23">
        <f t="array" aca="1" ref="AR480" ca="1">SUM(IF(lsc_start_date=AO480,lsc_amount,0))</f>
        <v>0</v>
      </c>
      <c r="AS480" s="24">
        <f t="shared" ca="1" si="455"/>
        <v>0</v>
      </c>
      <c r="AT480" s="24">
        <f t="shared" ca="1" si="456"/>
        <v>0</v>
      </c>
      <c r="AU480" s="24">
        <f t="shared" ca="1" si="457"/>
        <v>0</v>
      </c>
      <c r="AV480" s="25">
        <f t="shared" ca="1" si="458"/>
        <v>0</v>
      </c>
      <c r="AW480" s="23">
        <f t="array" aca="1" ref="AW480" ca="1">SUM(IF(rcs_start_date&lt;=AO480,1,0)*IF(rcs_end_date&gt;=AO480,1,0)*rcs_amount*(1+rcs_escalation/100)^(INT((AP480-rcs_months_since_start)/12))*IF(MOD((AP480-rcs_months_since_start),rcs_frequency)=0,1,0)*IF(rcs_frequency=13,0,1))+SUM(IF(rcs_start_date=AO480,rcs_amount,0)*IF(rcs_frequency=13,1,0))</f>
        <v>0</v>
      </c>
      <c r="AX480" s="24">
        <f t="shared" ca="1" si="459"/>
        <v>0</v>
      </c>
      <c r="AY480" s="24">
        <f t="shared" ca="1" si="460"/>
        <v>0</v>
      </c>
      <c r="AZ480" s="24">
        <f t="shared" ca="1" si="461"/>
        <v>0</v>
      </c>
      <c r="BA480" s="25">
        <f t="shared" ca="1" si="462"/>
        <v>0</v>
      </c>
      <c r="BB480" s="23">
        <f t="array" aca="1" ref="BB480" ca="1">SUM(IF(w_start_date&lt;=AO480,1,0)*IF(w_end_date&gt;=AO480,1,0)*w_amount*(1+w_escalation/100)^(INT((AP480-w_months_since_start)/12))*IF(MOD(AP480-w_months_since_start,w_frequency)=0,1,0)*IF(w_frequency=13,0,1))+SUM(IF(w_start_date=AO480,w_amount,0)*IF(w_frequency=13,1,0))</f>
        <v>0</v>
      </c>
      <c r="BC480" s="25">
        <f t="shared" ca="1" si="463"/>
        <v>0</v>
      </c>
      <c r="BD480" s="24" t="b">
        <f t="shared" ca="1" si="464"/>
        <v>1</v>
      </c>
      <c r="BE480" s="24" t="b">
        <f t="shared" ca="1" si="465"/>
        <v>1</v>
      </c>
      <c r="BF480" s="23">
        <f t="array" aca="1" ref="BF480" ca="1">SUM(IF(BD480,1,0)*IF(ap_start_date&lt;=AO480,1,0)*IF(ap_end_date&gt;=AO480,1,0)*ap_amount*(1+ap_escalation/100)^(INT((AP480-ap_months_since_start)/12))*IF(MOD(AP480-ap_months_since_start,ap_frequency)=0,1,0))</f>
        <v>104954.61617137943</v>
      </c>
      <c r="BG480" s="24">
        <f t="shared" ca="1" si="466"/>
        <v>1259455.394056553</v>
      </c>
      <c r="BH480" s="24">
        <f t="shared" ca="1" si="467"/>
        <v>4507.6726861191046</v>
      </c>
      <c r="BI480">
        <f t="shared" ca="1" si="468"/>
        <v>0</v>
      </c>
      <c r="BJ480" s="24">
        <f t="shared" ca="1" si="469"/>
        <v>31553.708802833731</v>
      </c>
      <c r="BK480">
        <f t="shared" ca="1" si="470"/>
        <v>1</v>
      </c>
      <c r="BL480" s="25">
        <f t="shared" ca="1" si="471"/>
        <v>2629.4757335694781</v>
      </c>
      <c r="BM480" s="32">
        <f t="shared" ca="1" si="450"/>
        <v>172066.28718536987</v>
      </c>
      <c r="BN480" s="23">
        <f t="shared" ca="1" si="472"/>
        <v>0</v>
      </c>
      <c r="BO480" s="24">
        <f t="shared" ca="1" si="473"/>
        <v>0</v>
      </c>
      <c r="BP480" s="25">
        <f t="shared" ca="1" si="474"/>
        <v>0</v>
      </c>
      <c r="BQ480" s="34">
        <f t="shared" ca="1" si="475"/>
        <v>60022</v>
      </c>
      <c r="BR480" s="23">
        <f t="shared" ca="1" si="476"/>
        <v>172066.28718536987</v>
      </c>
      <c r="BS480" s="24">
        <f t="shared" ca="1" si="477"/>
        <v>0</v>
      </c>
      <c r="BT480" s="24">
        <f t="shared" ca="1" si="482"/>
        <v>0</v>
      </c>
      <c r="BU480" s="24">
        <f t="shared" ca="1" si="478"/>
        <v>0</v>
      </c>
      <c r="BV480" s="24">
        <f t="shared" ca="1" si="483"/>
        <v>0</v>
      </c>
      <c r="BW480" s="24">
        <f t="shared" ca="1" si="479"/>
        <v>-2629.4757335694781</v>
      </c>
      <c r="BX480" s="25">
        <f t="shared" ca="1" si="484"/>
        <v>-33179.439916576419</v>
      </c>
      <c r="BY480" s="23">
        <f t="shared" ca="1" si="451"/>
        <v>36668.937843424756</v>
      </c>
      <c r="BZ480" s="24">
        <f t="shared" ca="1" si="452"/>
        <v>0</v>
      </c>
      <c r="CA480" s="24">
        <f t="shared" ca="1" si="485"/>
        <v>0</v>
      </c>
      <c r="CB480" s="24">
        <f t="shared" ca="1" si="453"/>
        <v>0</v>
      </c>
      <c r="CC480" s="24">
        <f t="shared" ca="1" si="486"/>
        <v>0</v>
      </c>
      <c r="CD480" s="24">
        <f t="shared" ca="1" si="454"/>
        <v>-562.20040588109885</v>
      </c>
      <c r="CE480" s="25">
        <f t="shared" ca="1" si="487"/>
        <v>-7226.6034045265869</v>
      </c>
      <c r="CF480" s="23">
        <f t="shared" ca="1" si="488"/>
        <v>1235235.0980170039</v>
      </c>
      <c r="CG480" s="25">
        <f t="array" aca="1" ref="CG480" ca="1">SUM(BF469:BF480/(1+inflation/100)^(AP469:AP480/12))</f>
        <v>267980.53702225379</v>
      </c>
      <c r="CH480" s="32">
        <f ca="1">IFERROR(IF(MOD(AP480-ap_months_since_start,12)=0,ap_drawdown/100*(AQ480+AV480+BA480-BC480),CH479),0)</f>
        <v>27712.111778696039</v>
      </c>
    </row>
    <row r="481" spans="40:86" x14ac:dyDescent="0.25">
      <c r="AN481" s="32">
        <f t="shared" ca="1" si="449"/>
        <v>94.333333333333329</v>
      </c>
      <c r="AO481" s="53">
        <f t="shared" ca="1" si="480"/>
        <v>60023</v>
      </c>
      <c r="AP481" s="22">
        <v>474</v>
      </c>
      <c r="AQ481" s="32">
        <f t="shared" ca="1" si="481"/>
        <v>172066.28718536987</v>
      </c>
      <c r="AR481" s="23">
        <f t="array" aca="1" ref="AR481" ca="1">SUM(IF(lsc_start_date=AO481,lsc_amount,0))</f>
        <v>0</v>
      </c>
      <c r="AS481" s="24">
        <f t="shared" ca="1" si="455"/>
        <v>0</v>
      </c>
      <c r="AT481" s="24">
        <f t="shared" ca="1" si="456"/>
        <v>0</v>
      </c>
      <c r="AU481" s="24">
        <f t="shared" ca="1" si="457"/>
        <v>0</v>
      </c>
      <c r="AV481" s="25">
        <f t="shared" ca="1" si="458"/>
        <v>0</v>
      </c>
      <c r="AW481" s="23">
        <f t="array" aca="1" ref="AW481" ca="1">SUM(IF(rcs_start_date&lt;=AO481,1,0)*IF(rcs_end_date&gt;=AO481,1,0)*rcs_amount*(1+rcs_escalation/100)^(INT((AP481-rcs_months_since_start)/12))*IF(MOD((AP481-rcs_months_since_start),rcs_frequency)=0,1,0)*IF(rcs_frequency=13,0,1))+SUM(IF(rcs_start_date=AO481,rcs_amount,0)*IF(rcs_frequency=13,1,0))</f>
        <v>0</v>
      </c>
      <c r="AX481" s="24">
        <f t="shared" ca="1" si="459"/>
        <v>0</v>
      </c>
      <c r="AY481" s="24">
        <f t="shared" ca="1" si="460"/>
        <v>0</v>
      </c>
      <c r="AZ481" s="24">
        <f t="shared" ca="1" si="461"/>
        <v>0</v>
      </c>
      <c r="BA481" s="25">
        <f t="shared" ca="1" si="462"/>
        <v>0</v>
      </c>
      <c r="BB481" s="23">
        <f t="array" aca="1" ref="BB481" ca="1">SUM(IF(w_start_date&lt;=AO481,1,0)*IF(w_end_date&gt;=AO481,1,0)*w_amount*(1+w_escalation/100)^(INT((AP481-w_months_since_start)/12))*IF(MOD(AP481-w_months_since_start,w_frequency)=0,1,0)*IF(w_frequency=13,0,1))+SUM(IF(w_start_date=AO481,w_amount,0)*IF(w_frequency=13,1,0))</f>
        <v>0</v>
      </c>
      <c r="BC481" s="25">
        <f t="shared" ca="1" si="463"/>
        <v>0</v>
      </c>
      <c r="BD481" s="24" t="b">
        <f t="shared" ca="1" si="464"/>
        <v>1</v>
      </c>
      <c r="BE481" s="24" t="b">
        <f t="shared" ca="1" si="465"/>
        <v>1</v>
      </c>
      <c r="BF481" s="23">
        <f t="array" aca="1" ref="BF481" ca="1">SUM(IF(BD481,1,0)*IF(ap_start_date&lt;=AO481,1,0)*IF(ap_end_date&gt;=AO481,1,0)*ap_amount*(1+ap_escalation/100)^(INT((AP481-ap_months_since_start)/12))*IF(MOD(AP481-ap_months_since_start,ap_frequency)=0,1,0))</f>
        <v>104954.61617137943</v>
      </c>
      <c r="BG481" s="24">
        <f t="shared" ca="1" si="466"/>
        <v>1259455.394056553</v>
      </c>
      <c r="BH481" s="24">
        <f t="shared" ca="1" si="467"/>
        <v>4507.6726861191046</v>
      </c>
      <c r="BI481">
        <f t="shared" ca="1" si="468"/>
        <v>0</v>
      </c>
      <c r="BJ481" s="24">
        <f t="shared" ca="1" si="469"/>
        <v>31553.708802833731</v>
      </c>
      <c r="BK481">
        <f t="shared" ca="1" si="470"/>
        <v>1</v>
      </c>
      <c r="BL481" s="25">
        <f t="shared" ca="1" si="471"/>
        <v>2629.4757335694781</v>
      </c>
      <c r="BM481" s="32">
        <f t="shared" ca="1" si="450"/>
        <v>170657.99733358884</v>
      </c>
      <c r="BN481" s="23">
        <f t="shared" ca="1" si="472"/>
        <v>0</v>
      </c>
      <c r="BO481" s="24">
        <f t="shared" ca="1" si="473"/>
        <v>0</v>
      </c>
      <c r="BP481" s="25">
        <f t="shared" ca="1" si="474"/>
        <v>0</v>
      </c>
      <c r="BQ481" s="34">
        <f t="shared" ca="1" si="475"/>
        <v>60053</v>
      </c>
      <c r="BR481" s="23">
        <f t="shared" ca="1" si="476"/>
        <v>170657.99733358884</v>
      </c>
      <c r="BS481" s="24">
        <f t="shared" ca="1" si="477"/>
        <v>0</v>
      </c>
      <c r="BT481" s="24">
        <f t="shared" ca="1" si="482"/>
        <v>0</v>
      </c>
      <c r="BU481" s="24">
        <f t="shared" ca="1" si="478"/>
        <v>0</v>
      </c>
      <c r="BV481" s="24">
        <f t="shared" ca="1" si="483"/>
        <v>0</v>
      </c>
      <c r="BW481" s="24">
        <f t="shared" ca="1" si="479"/>
        <v>-2629.4757335694781</v>
      </c>
      <c r="BX481" s="25">
        <f t="shared" ca="1" si="484"/>
        <v>-32908.484730952638</v>
      </c>
      <c r="BY481" s="23">
        <f t="shared" ca="1" si="451"/>
        <v>36250.144541812449</v>
      </c>
      <c r="BZ481" s="24">
        <f t="shared" ca="1" si="452"/>
        <v>0</v>
      </c>
      <c r="CA481" s="24">
        <f t="shared" ca="1" si="485"/>
        <v>0</v>
      </c>
      <c r="CB481" s="24">
        <f t="shared" ca="1" si="453"/>
        <v>0</v>
      </c>
      <c r="CC481" s="24">
        <f t="shared" ca="1" si="486"/>
        <v>0</v>
      </c>
      <c r="CD481" s="24">
        <f t="shared" ca="1" si="454"/>
        <v>-560.3659136968414</v>
      </c>
      <c r="CE481" s="25">
        <f t="shared" ca="1" si="487"/>
        <v>-7144.1359558711356</v>
      </c>
      <c r="CF481" s="23">
        <f t="shared" ca="1" si="488"/>
        <v>1239271.8140235955</v>
      </c>
      <c r="CG481" s="25">
        <f t="array" aca="1" ref="CG481" ca="1">SUM(BF470:BF481/(1+inflation/100)^(AP470:AP481/12))</f>
        <v>267980.53702225379</v>
      </c>
      <c r="CH481" s="32">
        <f ca="1">IFERROR(IF(MOD(AP481-ap_months_since_start,12)=0,ap_drawdown/100*(AQ481+AV481+BA481-BC481),CH480),0)</f>
        <v>27712.111778696039</v>
      </c>
    </row>
    <row r="482" spans="40:86" x14ac:dyDescent="0.25">
      <c r="AN482" s="32">
        <f t="shared" ca="1" si="449"/>
        <v>94.416666666666671</v>
      </c>
      <c r="AO482" s="53">
        <f t="shared" ca="1" si="480"/>
        <v>60054</v>
      </c>
      <c r="AP482" s="22">
        <v>475</v>
      </c>
      <c r="AQ482" s="32">
        <f t="shared" ca="1" si="481"/>
        <v>170657.99733358884</v>
      </c>
      <c r="AR482" s="23">
        <f t="array" aca="1" ref="AR482" ca="1">SUM(IF(lsc_start_date=AO482,lsc_amount,0))</f>
        <v>0</v>
      </c>
      <c r="AS482" s="24">
        <f t="shared" ca="1" si="455"/>
        <v>0</v>
      </c>
      <c r="AT482" s="24">
        <f t="shared" ca="1" si="456"/>
        <v>0</v>
      </c>
      <c r="AU482" s="24">
        <f t="shared" ca="1" si="457"/>
        <v>0</v>
      </c>
      <c r="AV482" s="25">
        <f t="shared" ca="1" si="458"/>
        <v>0</v>
      </c>
      <c r="AW482" s="23">
        <f t="array" aca="1" ref="AW482" ca="1">SUM(IF(rcs_start_date&lt;=AO482,1,0)*IF(rcs_end_date&gt;=AO482,1,0)*rcs_amount*(1+rcs_escalation/100)^(INT((AP482-rcs_months_since_start)/12))*IF(MOD((AP482-rcs_months_since_start),rcs_frequency)=0,1,0)*IF(rcs_frequency=13,0,1))+SUM(IF(rcs_start_date=AO482,rcs_amount,0)*IF(rcs_frequency=13,1,0))</f>
        <v>0</v>
      </c>
      <c r="AX482" s="24">
        <f t="shared" ca="1" si="459"/>
        <v>0</v>
      </c>
      <c r="AY482" s="24">
        <f t="shared" ca="1" si="460"/>
        <v>0</v>
      </c>
      <c r="AZ482" s="24">
        <f t="shared" ca="1" si="461"/>
        <v>0</v>
      </c>
      <c r="BA482" s="25">
        <f t="shared" ca="1" si="462"/>
        <v>0</v>
      </c>
      <c r="BB482" s="23">
        <f t="array" aca="1" ref="BB482" ca="1">SUM(IF(w_start_date&lt;=AO482,1,0)*IF(w_end_date&gt;=AO482,1,0)*w_amount*(1+w_escalation/100)^(INT((AP482-w_months_since_start)/12))*IF(MOD(AP482-w_months_since_start,w_frequency)=0,1,0)*IF(w_frequency=13,0,1))+SUM(IF(w_start_date=AO482,w_amount,0)*IF(w_frequency=13,1,0))</f>
        <v>0</v>
      </c>
      <c r="BC482" s="25">
        <f t="shared" ca="1" si="463"/>
        <v>0</v>
      </c>
      <c r="BD482" s="24" t="b">
        <f t="shared" ca="1" si="464"/>
        <v>1</v>
      </c>
      <c r="BE482" s="24" t="b">
        <f t="shared" ca="1" si="465"/>
        <v>1</v>
      </c>
      <c r="BF482" s="23">
        <f t="array" aca="1" ref="BF482" ca="1">SUM(IF(BD482,1,0)*IF(ap_start_date&lt;=AO482,1,0)*IF(ap_end_date&gt;=AO482,1,0)*ap_amount*(1+ap_escalation/100)^(INT((AP482-ap_months_since_start)/12))*IF(MOD(AP482-ap_months_since_start,ap_frequency)=0,1,0))</f>
        <v>104954.61617137943</v>
      </c>
      <c r="BG482" s="24">
        <f t="shared" ca="1" si="466"/>
        <v>1259455.394056553</v>
      </c>
      <c r="BH482" s="24">
        <f t="shared" ca="1" si="467"/>
        <v>4507.6726861191046</v>
      </c>
      <c r="BI482">
        <f t="shared" ca="1" si="468"/>
        <v>0</v>
      </c>
      <c r="BJ482" s="24">
        <f t="shared" ca="1" si="469"/>
        <v>31553.708802833731</v>
      </c>
      <c r="BK482">
        <f t="shared" ca="1" si="470"/>
        <v>1</v>
      </c>
      <c r="BL482" s="25">
        <f t="shared" ca="1" si="471"/>
        <v>2629.4757335694781</v>
      </c>
      <c r="BM482" s="32">
        <f t="shared" ca="1" si="450"/>
        <v>169239.55748152317</v>
      </c>
      <c r="BN482" s="23">
        <f t="shared" ca="1" si="472"/>
        <v>0</v>
      </c>
      <c r="BO482" s="24">
        <f t="shared" ca="1" si="473"/>
        <v>0</v>
      </c>
      <c r="BP482" s="25">
        <f t="shared" ca="1" si="474"/>
        <v>0</v>
      </c>
      <c r="BQ482" s="34">
        <f t="shared" ca="1" si="475"/>
        <v>60083</v>
      </c>
      <c r="BR482" s="23">
        <f t="shared" ca="1" si="476"/>
        <v>169239.55748152317</v>
      </c>
      <c r="BS482" s="24">
        <f t="shared" ca="1" si="477"/>
        <v>0</v>
      </c>
      <c r="BT482" s="24">
        <f t="shared" ca="1" si="482"/>
        <v>0</v>
      </c>
      <c r="BU482" s="24">
        <f t="shared" ca="1" si="478"/>
        <v>0</v>
      </c>
      <c r="BV482" s="24">
        <f t="shared" ca="1" si="483"/>
        <v>0</v>
      </c>
      <c r="BW482" s="24">
        <f t="shared" ca="1" si="479"/>
        <v>-2629.4757335694781</v>
      </c>
      <c r="BX482" s="25">
        <f t="shared" ca="1" si="484"/>
        <v>-32637.529545328853</v>
      </c>
      <c r="BY482" s="23">
        <f t="shared" ca="1" si="451"/>
        <v>35831.544932432698</v>
      </c>
      <c r="BZ482" s="24">
        <f t="shared" ca="1" si="452"/>
        <v>0</v>
      </c>
      <c r="CA482" s="24">
        <f t="shared" ca="1" si="485"/>
        <v>0</v>
      </c>
      <c r="CB482" s="24">
        <f t="shared" ca="1" si="453"/>
        <v>0</v>
      </c>
      <c r="CC482" s="24">
        <f t="shared" ca="1" si="486"/>
        <v>0</v>
      </c>
      <c r="CD482" s="24">
        <f t="shared" ca="1" si="454"/>
        <v>-558.53740756584682</v>
      </c>
      <c r="CE482" s="25">
        <f t="shared" ca="1" si="487"/>
        <v>-7061.9376032327464</v>
      </c>
      <c r="CF482" s="23">
        <f t="shared" ca="1" si="488"/>
        <v>1243308.530030187</v>
      </c>
      <c r="CG482" s="25">
        <f t="array" aca="1" ref="CG482" ca="1">SUM(BF471:BF482/(1+inflation/100)^(AP471:AP482/12))</f>
        <v>267980.53702225379</v>
      </c>
      <c r="CH482" s="32">
        <f ca="1">IFERROR(IF(MOD(AP482-ap_months_since_start,12)=0,ap_drawdown/100*(AQ482+AV482+BA482-BC482),CH481),0)</f>
        <v>27712.111778696039</v>
      </c>
    </row>
    <row r="483" spans="40:86" x14ac:dyDescent="0.25">
      <c r="AN483" s="32">
        <f t="shared" ca="1" si="449"/>
        <v>94.5</v>
      </c>
      <c r="AO483" s="53">
        <f t="shared" ca="1" si="480"/>
        <v>60084</v>
      </c>
      <c r="AP483" s="22">
        <v>476</v>
      </c>
      <c r="AQ483" s="32">
        <f t="shared" ca="1" si="481"/>
        <v>169239.55748152317</v>
      </c>
      <c r="AR483" s="23">
        <f t="array" aca="1" ref="AR483" ca="1">SUM(IF(lsc_start_date=AO483,lsc_amount,0))</f>
        <v>0</v>
      </c>
      <c r="AS483" s="24">
        <f t="shared" ca="1" si="455"/>
        <v>0</v>
      </c>
      <c r="AT483" s="24">
        <f t="shared" ca="1" si="456"/>
        <v>0</v>
      </c>
      <c r="AU483" s="24">
        <f t="shared" ca="1" si="457"/>
        <v>0</v>
      </c>
      <c r="AV483" s="25">
        <f t="shared" ca="1" si="458"/>
        <v>0</v>
      </c>
      <c r="AW483" s="23">
        <f t="array" aca="1" ref="AW483" ca="1">SUM(IF(rcs_start_date&lt;=AO483,1,0)*IF(rcs_end_date&gt;=AO483,1,0)*rcs_amount*(1+rcs_escalation/100)^(INT((AP483-rcs_months_since_start)/12))*IF(MOD((AP483-rcs_months_since_start),rcs_frequency)=0,1,0)*IF(rcs_frequency=13,0,1))+SUM(IF(rcs_start_date=AO483,rcs_amount,0)*IF(rcs_frequency=13,1,0))</f>
        <v>0</v>
      </c>
      <c r="AX483" s="24">
        <f t="shared" ca="1" si="459"/>
        <v>0</v>
      </c>
      <c r="AY483" s="24">
        <f t="shared" ca="1" si="460"/>
        <v>0</v>
      </c>
      <c r="AZ483" s="24">
        <f t="shared" ca="1" si="461"/>
        <v>0</v>
      </c>
      <c r="BA483" s="25">
        <f t="shared" ca="1" si="462"/>
        <v>0</v>
      </c>
      <c r="BB483" s="23">
        <f t="array" aca="1" ref="BB483" ca="1">SUM(IF(w_start_date&lt;=AO483,1,0)*IF(w_end_date&gt;=AO483,1,0)*w_amount*(1+w_escalation/100)^(INT((AP483-w_months_since_start)/12))*IF(MOD(AP483-w_months_since_start,w_frequency)=0,1,0)*IF(w_frequency=13,0,1))+SUM(IF(w_start_date=AO483,w_amount,0)*IF(w_frequency=13,1,0))</f>
        <v>0</v>
      </c>
      <c r="BC483" s="25">
        <f t="shared" ca="1" si="463"/>
        <v>0</v>
      </c>
      <c r="BD483" s="24" t="b">
        <f t="shared" ca="1" si="464"/>
        <v>1</v>
      </c>
      <c r="BE483" s="24" t="b">
        <f t="shared" ca="1" si="465"/>
        <v>1</v>
      </c>
      <c r="BF483" s="23">
        <f t="array" aca="1" ref="BF483" ca="1">SUM(IF(BD483,1,0)*IF(ap_start_date&lt;=AO483,1,0)*IF(ap_end_date&gt;=AO483,1,0)*ap_amount*(1+ap_escalation/100)^(INT((AP483-ap_months_since_start)/12))*IF(MOD(AP483-ap_months_since_start,ap_frequency)=0,1,0))</f>
        <v>104954.61617137943</v>
      </c>
      <c r="BG483" s="24">
        <f t="shared" ca="1" si="466"/>
        <v>1259455.394056553</v>
      </c>
      <c r="BH483" s="24">
        <f t="shared" ca="1" si="467"/>
        <v>4507.6726861191046</v>
      </c>
      <c r="BI483">
        <f t="shared" ca="1" si="468"/>
        <v>0</v>
      </c>
      <c r="BJ483" s="24">
        <f t="shared" ca="1" si="469"/>
        <v>31553.708802833731</v>
      </c>
      <c r="BK483">
        <f t="shared" ca="1" si="470"/>
        <v>1</v>
      </c>
      <c r="BL483" s="25">
        <f t="shared" ca="1" si="471"/>
        <v>2629.4757335694781</v>
      </c>
      <c r="BM483" s="32">
        <f t="shared" ca="1" si="450"/>
        <v>167810.89447483915</v>
      </c>
      <c r="BN483" s="23">
        <f t="shared" ca="1" si="472"/>
        <v>0</v>
      </c>
      <c r="BO483" s="24">
        <f t="shared" ca="1" si="473"/>
        <v>0</v>
      </c>
      <c r="BP483" s="25">
        <f t="shared" ca="1" si="474"/>
        <v>0</v>
      </c>
      <c r="BQ483" s="34">
        <f t="shared" ca="1" si="475"/>
        <v>60114</v>
      </c>
      <c r="BR483" s="23">
        <f t="shared" ca="1" si="476"/>
        <v>167810.89447483915</v>
      </c>
      <c r="BS483" s="24">
        <f t="shared" ca="1" si="477"/>
        <v>0</v>
      </c>
      <c r="BT483" s="24">
        <f t="shared" ca="1" si="482"/>
        <v>0</v>
      </c>
      <c r="BU483" s="24">
        <f t="shared" ca="1" si="478"/>
        <v>0</v>
      </c>
      <c r="BV483" s="24">
        <f t="shared" ca="1" si="483"/>
        <v>0</v>
      </c>
      <c r="BW483" s="24">
        <f t="shared" ca="1" si="479"/>
        <v>-2629.4757335694781</v>
      </c>
      <c r="BX483" s="25">
        <f t="shared" ca="1" si="484"/>
        <v>-32366.574359705071</v>
      </c>
      <c r="BY483" s="23">
        <f t="shared" ca="1" si="451"/>
        <v>35413.133784790298</v>
      </c>
      <c r="BZ483" s="24">
        <f t="shared" ca="1" si="452"/>
        <v>0</v>
      </c>
      <c r="CA483" s="24">
        <f t="shared" ca="1" si="485"/>
        <v>0</v>
      </c>
      <c r="CB483" s="24">
        <f t="shared" ca="1" si="453"/>
        <v>0</v>
      </c>
      <c r="CC483" s="24">
        <f t="shared" ca="1" si="486"/>
        <v>0</v>
      </c>
      <c r="CD483" s="24">
        <f t="shared" ca="1" si="454"/>
        <v>-556.71486795527994</v>
      </c>
      <c r="CE483" s="25">
        <f t="shared" ca="1" si="487"/>
        <v>-6980.0074685356758</v>
      </c>
      <c r="CF483" s="23">
        <f t="shared" ca="1" si="488"/>
        <v>1247345.2460367787</v>
      </c>
      <c r="CG483" s="25">
        <f t="array" aca="1" ref="CG483" ca="1">SUM(BF472:BF483/(1+inflation/100)^(AP472:AP483/12))</f>
        <v>267980.53702225385</v>
      </c>
      <c r="CH483" s="32">
        <f ca="1">IFERROR(IF(MOD(AP483-ap_months_since_start,12)=0,ap_drawdown/100*(AQ483+AV483+BA483-BC483),CH482),0)</f>
        <v>27712.111778696039</v>
      </c>
    </row>
    <row r="484" spans="40:86" x14ac:dyDescent="0.25">
      <c r="AN484" s="32">
        <f t="shared" ca="1" si="449"/>
        <v>94.583333333333329</v>
      </c>
      <c r="AO484" s="53">
        <f t="shared" ca="1" si="480"/>
        <v>60115</v>
      </c>
      <c r="AP484" s="22">
        <v>477</v>
      </c>
      <c r="AQ484" s="32">
        <f t="shared" ca="1" si="481"/>
        <v>167810.89447483915</v>
      </c>
      <c r="AR484" s="23">
        <f t="array" aca="1" ref="AR484" ca="1">SUM(IF(lsc_start_date=AO484,lsc_amount,0))</f>
        <v>0</v>
      </c>
      <c r="AS484" s="24">
        <f t="shared" ca="1" si="455"/>
        <v>0</v>
      </c>
      <c r="AT484" s="24">
        <f t="shared" ca="1" si="456"/>
        <v>0</v>
      </c>
      <c r="AU484" s="24">
        <f t="shared" ca="1" si="457"/>
        <v>0</v>
      </c>
      <c r="AV484" s="25">
        <f t="shared" ca="1" si="458"/>
        <v>0</v>
      </c>
      <c r="AW484" s="23">
        <f t="array" aca="1" ref="AW484" ca="1">SUM(IF(rcs_start_date&lt;=AO484,1,0)*IF(rcs_end_date&gt;=AO484,1,0)*rcs_amount*(1+rcs_escalation/100)^(INT((AP484-rcs_months_since_start)/12))*IF(MOD((AP484-rcs_months_since_start),rcs_frequency)=0,1,0)*IF(rcs_frequency=13,0,1))+SUM(IF(rcs_start_date=AO484,rcs_amount,0)*IF(rcs_frequency=13,1,0))</f>
        <v>0</v>
      </c>
      <c r="AX484" s="24">
        <f t="shared" ca="1" si="459"/>
        <v>0</v>
      </c>
      <c r="AY484" s="24">
        <f t="shared" ca="1" si="460"/>
        <v>0</v>
      </c>
      <c r="AZ484" s="24">
        <f t="shared" ca="1" si="461"/>
        <v>0</v>
      </c>
      <c r="BA484" s="25">
        <f t="shared" ca="1" si="462"/>
        <v>0</v>
      </c>
      <c r="BB484" s="23">
        <f t="array" aca="1" ref="BB484" ca="1">SUM(IF(w_start_date&lt;=AO484,1,0)*IF(w_end_date&gt;=AO484,1,0)*w_amount*(1+w_escalation/100)^(INT((AP484-w_months_since_start)/12))*IF(MOD(AP484-w_months_since_start,w_frequency)=0,1,0)*IF(w_frequency=13,0,1))+SUM(IF(w_start_date=AO484,w_amount,0)*IF(w_frequency=13,1,0))</f>
        <v>0</v>
      </c>
      <c r="BC484" s="25">
        <f t="shared" ca="1" si="463"/>
        <v>0</v>
      </c>
      <c r="BD484" s="24" t="b">
        <f t="shared" ca="1" si="464"/>
        <v>1</v>
      </c>
      <c r="BE484" s="24" t="b">
        <f t="shared" ca="1" si="465"/>
        <v>1</v>
      </c>
      <c r="BF484" s="23">
        <f t="array" aca="1" ref="BF484" ca="1">SUM(IF(BD484,1,0)*IF(ap_start_date&lt;=AO484,1,0)*IF(ap_end_date&gt;=AO484,1,0)*ap_amount*(1+ap_escalation/100)^(INT((AP484-ap_months_since_start)/12))*IF(MOD(AP484-ap_months_since_start,ap_frequency)=0,1,0))</f>
        <v>104954.61617137943</v>
      </c>
      <c r="BG484" s="24">
        <f t="shared" ca="1" si="466"/>
        <v>1259455.394056553</v>
      </c>
      <c r="BH484" s="24">
        <f t="shared" ca="1" si="467"/>
        <v>4507.6726861191046</v>
      </c>
      <c r="BI484">
        <f t="shared" ca="1" si="468"/>
        <v>0</v>
      </c>
      <c r="BJ484" s="24">
        <f t="shared" ca="1" si="469"/>
        <v>31553.708802833731</v>
      </c>
      <c r="BK484">
        <f t="shared" ca="1" si="470"/>
        <v>1</v>
      </c>
      <c r="BL484" s="25">
        <f t="shared" ca="1" si="471"/>
        <v>2629.4757335694781</v>
      </c>
      <c r="BM484" s="32">
        <f t="shared" ca="1" si="450"/>
        <v>166371.93463195616</v>
      </c>
      <c r="BN484" s="23">
        <f t="shared" ca="1" si="472"/>
        <v>0</v>
      </c>
      <c r="BO484" s="24">
        <f t="shared" ca="1" si="473"/>
        <v>0</v>
      </c>
      <c r="BP484" s="25">
        <f t="shared" ca="1" si="474"/>
        <v>0</v>
      </c>
      <c r="BQ484" s="34">
        <f t="shared" ca="1" si="475"/>
        <v>60145</v>
      </c>
      <c r="BR484" s="23">
        <f t="shared" ca="1" si="476"/>
        <v>166371.93463195616</v>
      </c>
      <c r="BS484" s="24">
        <f t="shared" ca="1" si="477"/>
        <v>0</v>
      </c>
      <c r="BT484" s="24">
        <f t="shared" ca="1" si="482"/>
        <v>0</v>
      </c>
      <c r="BU484" s="24">
        <f t="shared" ca="1" si="478"/>
        <v>0</v>
      </c>
      <c r="BV484" s="24">
        <f t="shared" ca="1" si="483"/>
        <v>0</v>
      </c>
      <c r="BW484" s="24">
        <f t="shared" ca="1" si="479"/>
        <v>-2629.4757335694781</v>
      </c>
      <c r="BX484" s="25">
        <f t="shared" ca="1" si="484"/>
        <v>-32095.619174081294</v>
      </c>
      <c r="BY484" s="23">
        <f t="shared" ca="1" si="451"/>
        <v>34994.90586742798</v>
      </c>
      <c r="BZ484" s="24">
        <f t="shared" ca="1" si="452"/>
        <v>0</v>
      </c>
      <c r="CA484" s="24">
        <f t="shared" ca="1" si="485"/>
        <v>0</v>
      </c>
      <c r="CB484" s="24">
        <f t="shared" ca="1" si="453"/>
        <v>0</v>
      </c>
      <c r="CC484" s="24">
        <f t="shared" ca="1" si="486"/>
        <v>0</v>
      </c>
      <c r="CD484" s="24">
        <f t="shared" ca="1" si="454"/>
        <v>-554.89827539604255</v>
      </c>
      <c r="CE484" s="25">
        <f t="shared" ca="1" si="487"/>
        <v>-6898.3446765693916</v>
      </c>
      <c r="CF484" s="23">
        <f t="shared" ca="1" si="488"/>
        <v>1251381.9620433701</v>
      </c>
      <c r="CG484" s="25">
        <f t="array" aca="1" ref="CG484" ca="1">SUM(BF473:BF484/(1+inflation/100)^(AP473:AP484/12))</f>
        <v>267980.53702225385</v>
      </c>
      <c r="CH484" s="32">
        <f ca="1">IFERROR(IF(MOD(AP484-ap_months_since_start,12)=0,ap_drawdown/100*(AQ484+AV484+BA484-BC484),CH483),0)</f>
        <v>27712.111778696039</v>
      </c>
    </row>
    <row r="485" spans="40:86" x14ac:dyDescent="0.25">
      <c r="AN485" s="32">
        <f t="shared" ca="1" si="449"/>
        <v>94.666666666666671</v>
      </c>
      <c r="AO485" s="53">
        <f t="shared" ca="1" si="480"/>
        <v>60146</v>
      </c>
      <c r="AP485" s="22">
        <v>478</v>
      </c>
      <c r="AQ485" s="32">
        <f t="shared" ca="1" si="481"/>
        <v>166371.93463195616</v>
      </c>
      <c r="AR485" s="23">
        <f t="array" aca="1" ref="AR485" ca="1">SUM(IF(lsc_start_date=AO485,lsc_amount,0))</f>
        <v>0</v>
      </c>
      <c r="AS485" s="24">
        <f t="shared" ca="1" si="455"/>
        <v>0</v>
      </c>
      <c r="AT485" s="24">
        <f t="shared" ca="1" si="456"/>
        <v>0</v>
      </c>
      <c r="AU485" s="24">
        <f t="shared" ca="1" si="457"/>
        <v>0</v>
      </c>
      <c r="AV485" s="25">
        <f t="shared" ca="1" si="458"/>
        <v>0</v>
      </c>
      <c r="AW485" s="23">
        <f t="array" aca="1" ref="AW485" ca="1">SUM(IF(rcs_start_date&lt;=AO485,1,0)*IF(rcs_end_date&gt;=AO485,1,0)*rcs_amount*(1+rcs_escalation/100)^(INT((AP485-rcs_months_since_start)/12))*IF(MOD((AP485-rcs_months_since_start),rcs_frequency)=0,1,0)*IF(rcs_frequency=13,0,1))+SUM(IF(rcs_start_date=AO485,rcs_amount,0)*IF(rcs_frequency=13,1,0))</f>
        <v>0</v>
      </c>
      <c r="AX485" s="24">
        <f t="shared" ca="1" si="459"/>
        <v>0</v>
      </c>
      <c r="AY485" s="24">
        <f t="shared" ca="1" si="460"/>
        <v>0</v>
      </c>
      <c r="AZ485" s="24">
        <f t="shared" ca="1" si="461"/>
        <v>0</v>
      </c>
      <c r="BA485" s="25">
        <f t="shared" ca="1" si="462"/>
        <v>0</v>
      </c>
      <c r="BB485" s="23">
        <f t="array" aca="1" ref="BB485" ca="1">SUM(IF(w_start_date&lt;=AO485,1,0)*IF(w_end_date&gt;=AO485,1,0)*w_amount*(1+w_escalation/100)^(INT((AP485-w_months_since_start)/12))*IF(MOD(AP485-w_months_since_start,w_frequency)=0,1,0)*IF(w_frequency=13,0,1))+SUM(IF(w_start_date=AO485,w_amount,0)*IF(w_frequency=13,1,0))</f>
        <v>0</v>
      </c>
      <c r="BC485" s="25">
        <f t="shared" ca="1" si="463"/>
        <v>0</v>
      </c>
      <c r="BD485" s="24" t="b">
        <f t="shared" ca="1" si="464"/>
        <v>1</v>
      </c>
      <c r="BE485" s="24" t="b">
        <f t="shared" ca="1" si="465"/>
        <v>1</v>
      </c>
      <c r="BF485" s="23">
        <f t="array" aca="1" ref="BF485" ca="1">SUM(IF(BD485,1,0)*IF(ap_start_date&lt;=AO485,1,0)*IF(ap_end_date&gt;=AO485,1,0)*ap_amount*(1+ap_escalation/100)^(INT((AP485-ap_months_since_start)/12))*IF(MOD(AP485-ap_months_since_start,ap_frequency)=0,1,0))</f>
        <v>104954.61617137943</v>
      </c>
      <c r="BG485" s="24">
        <f t="shared" ca="1" si="466"/>
        <v>1259455.394056553</v>
      </c>
      <c r="BH485" s="24">
        <f t="shared" ca="1" si="467"/>
        <v>4507.6726861191046</v>
      </c>
      <c r="BI485">
        <f t="shared" ca="1" si="468"/>
        <v>0</v>
      </c>
      <c r="BJ485" s="24">
        <f t="shared" ca="1" si="469"/>
        <v>31553.708802833731</v>
      </c>
      <c r="BK485">
        <f t="shared" ca="1" si="470"/>
        <v>1</v>
      </c>
      <c r="BL485" s="25">
        <f t="shared" ca="1" si="471"/>
        <v>2629.4757335694781</v>
      </c>
      <c r="BM485" s="32">
        <f t="shared" ca="1" si="450"/>
        <v>164922.60374024659</v>
      </c>
      <c r="BN485" s="23">
        <f t="shared" ca="1" si="472"/>
        <v>0</v>
      </c>
      <c r="BO485" s="24">
        <f t="shared" ca="1" si="473"/>
        <v>0</v>
      </c>
      <c r="BP485" s="25">
        <f t="shared" ca="1" si="474"/>
        <v>0</v>
      </c>
      <c r="BQ485" s="34">
        <f t="shared" ca="1" si="475"/>
        <v>60175</v>
      </c>
      <c r="BR485" s="23">
        <f t="shared" ca="1" si="476"/>
        <v>164922.60374024659</v>
      </c>
      <c r="BS485" s="24">
        <f t="shared" ca="1" si="477"/>
        <v>0</v>
      </c>
      <c r="BT485" s="24">
        <f t="shared" ca="1" si="482"/>
        <v>0</v>
      </c>
      <c r="BU485" s="24">
        <f t="shared" ca="1" si="478"/>
        <v>0</v>
      </c>
      <c r="BV485" s="24">
        <f t="shared" ca="1" si="483"/>
        <v>0</v>
      </c>
      <c r="BW485" s="24">
        <f t="shared" ca="1" si="479"/>
        <v>-2629.4757335694781</v>
      </c>
      <c r="BX485" s="25">
        <f t="shared" ca="1" si="484"/>
        <v>-31824.663988457512</v>
      </c>
      <c r="BY485" s="23">
        <f t="shared" ca="1" si="451"/>
        <v>34576.855947858981</v>
      </c>
      <c r="BZ485" s="24">
        <f t="shared" ca="1" si="452"/>
        <v>0</v>
      </c>
      <c r="CA485" s="24">
        <f t="shared" ca="1" si="485"/>
        <v>0</v>
      </c>
      <c r="CB485" s="24">
        <f t="shared" ca="1" si="453"/>
        <v>0</v>
      </c>
      <c r="CC485" s="24">
        <f t="shared" ca="1" si="486"/>
        <v>0</v>
      </c>
      <c r="CD485" s="24">
        <f t="shared" ca="1" si="454"/>
        <v>-553.08761048256429</v>
      </c>
      <c r="CE485" s="25">
        <f t="shared" ca="1" si="487"/>
        <v>-6816.9483549792221</v>
      </c>
      <c r="CF485" s="23">
        <f t="shared" ca="1" si="488"/>
        <v>1255418.6780499616</v>
      </c>
      <c r="CG485" s="25">
        <f t="array" aca="1" ref="CG485" ca="1">SUM(BF474:BF485/(1+inflation/100)^(AP474:AP485/12))</f>
        <v>267980.53702225385</v>
      </c>
      <c r="CH485" s="32">
        <f ca="1">IFERROR(IF(MOD(AP485-ap_months_since_start,12)=0,ap_drawdown/100*(AQ485+AV485+BA485-BC485),CH484),0)</f>
        <v>27712.111778696039</v>
      </c>
    </row>
    <row r="486" spans="40:86" x14ac:dyDescent="0.25">
      <c r="AN486" s="32">
        <f t="shared" ca="1" si="449"/>
        <v>94.75</v>
      </c>
      <c r="AO486" s="53">
        <f t="shared" ca="1" si="480"/>
        <v>60176</v>
      </c>
      <c r="AP486" s="22">
        <v>479</v>
      </c>
      <c r="AQ486" s="32">
        <f t="shared" ca="1" si="481"/>
        <v>164922.60374024659</v>
      </c>
      <c r="AR486" s="23">
        <f t="array" aca="1" ref="AR486" ca="1">SUM(IF(lsc_start_date=AO486,lsc_amount,0))</f>
        <v>0</v>
      </c>
      <c r="AS486" s="24">
        <f t="shared" ca="1" si="455"/>
        <v>0</v>
      </c>
      <c r="AT486" s="24">
        <f t="shared" ca="1" si="456"/>
        <v>0</v>
      </c>
      <c r="AU486" s="24">
        <f t="shared" ca="1" si="457"/>
        <v>0</v>
      </c>
      <c r="AV486" s="25">
        <f t="shared" ca="1" si="458"/>
        <v>0</v>
      </c>
      <c r="AW486" s="23">
        <f t="array" aca="1" ref="AW486" ca="1">SUM(IF(rcs_start_date&lt;=AO486,1,0)*IF(rcs_end_date&gt;=AO486,1,0)*rcs_amount*(1+rcs_escalation/100)^(INT((AP486-rcs_months_since_start)/12))*IF(MOD((AP486-rcs_months_since_start),rcs_frequency)=0,1,0)*IF(rcs_frequency=13,0,1))+SUM(IF(rcs_start_date=AO486,rcs_amount,0)*IF(rcs_frequency=13,1,0))</f>
        <v>0</v>
      </c>
      <c r="AX486" s="24">
        <f t="shared" ca="1" si="459"/>
        <v>0</v>
      </c>
      <c r="AY486" s="24">
        <f t="shared" ca="1" si="460"/>
        <v>0</v>
      </c>
      <c r="AZ486" s="24">
        <f t="shared" ca="1" si="461"/>
        <v>0</v>
      </c>
      <c r="BA486" s="25">
        <f t="shared" ca="1" si="462"/>
        <v>0</v>
      </c>
      <c r="BB486" s="23">
        <f t="array" aca="1" ref="BB486" ca="1">SUM(IF(w_start_date&lt;=AO486,1,0)*IF(w_end_date&gt;=AO486,1,0)*w_amount*(1+w_escalation/100)^(INT((AP486-w_months_since_start)/12))*IF(MOD(AP486-w_months_since_start,w_frequency)=0,1,0)*IF(w_frequency=13,0,1))+SUM(IF(w_start_date=AO486,w_amount,0)*IF(w_frequency=13,1,0))</f>
        <v>0</v>
      </c>
      <c r="BC486" s="25">
        <f t="shared" ca="1" si="463"/>
        <v>0</v>
      </c>
      <c r="BD486" s="24" t="b">
        <f t="shared" ca="1" si="464"/>
        <v>1</v>
      </c>
      <c r="BE486" s="24" t="b">
        <f t="shared" ca="1" si="465"/>
        <v>1</v>
      </c>
      <c r="BF486" s="23">
        <f t="array" aca="1" ref="BF486" ca="1">SUM(IF(BD486,1,0)*IF(ap_start_date&lt;=AO486,1,0)*IF(ap_end_date&gt;=AO486,1,0)*ap_amount*(1+ap_escalation/100)^(INT((AP486-ap_months_since_start)/12))*IF(MOD(AP486-ap_months_since_start,ap_frequency)=0,1,0))</f>
        <v>104954.61617137943</v>
      </c>
      <c r="BG486" s="24">
        <f t="shared" ca="1" si="466"/>
        <v>1259455.394056553</v>
      </c>
      <c r="BH486" s="24">
        <f t="shared" ca="1" si="467"/>
        <v>4507.6726861191046</v>
      </c>
      <c r="BI486">
        <f t="shared" ca="1" si="468"/>
        <v>0</v>
      </c>
      <c r="BJ486" s="24">
        <f t="shared" ca="1" si="469"/>
        <v>31553.708802833731</v>
      </c>
      <c r="BK486">
        <f t="shared" ca="1" si="470"/>
        <v>1</v>
      </c>
      <c r="BL486" s="25">
        <f t="shared" ca="1" si="471"/>
        <v>2629.4757335694781</v>
      </c>
      <c r="BM486" s="32">
        <f t="shared" ca="1" si="450"/>
        <v>163462.82705220839</v>
      </c>
      <c r="BN486" s="23">
        <f t="shared" ca="1" si="472"/>
        <v>0</v>
      </c>
      <c r="BO486" s="24">
        <f t="shared" ca="1" si="473"/>
        <v>0</v>
      </c>
      <c r="BP486" s="25">
        <f t="shared" ca="1" si="474"/>
        <v>0</v>
      </c>
      <c r="BQ486" s="34">
        <f t="shared" ca="1" si="475"/>
        <v>60206</v>
      </c>
      <c r="BR486" s="23">
        <f t="shared" ca="1" si="476"/>
        <v>163462.82705220839</v>
      </c>
      <c r="BS486" s="24">
        <f t="shared" ca="1" si="477"/>
        <v>0</v>
      </c>
      <c r="BT486" s="24">
        <f t="shared" ca="1" si="482"/>
        <v>0</v>
      </c>
      <c r="BU486" s="24">
        <f t="shared" ca="1" si="478"/>
        <v>0</v>
      </c>
      <c r="BV486" s="24">
        <f t="shared" ca="1" si="483"/>
        <v>0</v>
      </c>
      <c r="BW486" s="24">
        <f t="shared" ca="1" si="479"/>
        <v>-2629.4757335694781</v>
      </c>
      <c r="BX486" s="25">
        <f t="shared" ca="1" si="484"/>
        <v>-31553.708802833735</v>
      </c>
      <c r="BY486" s="23">
        <f t="shared" ca="1" si="451"/>
        <v>34158.9787924993</v>
      </c>
      <c r="BZ486" s="24">
        <f t="shared" ca="1" si="452"/>
        <v>0</v>
      </c>
      <c r="CA486" s="24">
        <f t="shared" ca="1" si="485"/>
        <v>0</v>
      </c>
      <c r="CB486" s="24">
        <f t="shared" ca="1" si="453"/>
        <v>0</v>
      </c>
      <c r="CC486" s="24">
        <f t="shared" ca="1" si="486"/>
        <v>0</v>
      </c>
      <c r="CD486" s="24">
        <f t="shared" ca="1" si="454"/>
        <v>-551.28285387259746</v>
      </c>
      <c r="CE486" s="25">
        <f t="shared" ca="1" si="487"/>
        <v>-6735.8176342570387</v>
      </c>
      <c r="CF486" s="23">
        <f t="shared" ca="1" si="488"/>
        <v>1259455.394056553</v>
      </c>
      <c r="CG486" s="25">
        <f t="array" aca="1" ref="CG486" ca="1">SUM(BF475:BF486/(1+inflation/100)^(AP475:AP486/12))</f>
        <v>267980.53702225385</v>
      </c>
      <c r="CH486" s="32">
        <f ca="1">IFERROR(IF(MOD(AP486-ap_months_since_start,12)=0,ap_drawdown/100*(AQ486+AV486+BA486-BC486),CH485),0)</f>
        <v>27712.111778696039</v>
      </c>
    </row>
    <row r="487" spans="40:86" x14ac:dyDescent="0.25">
      <c r="AN487" s="32">
        <f t="shared" ca="1" si="449"/>
        <v>94.833333333333329</v>
      </c>
      <c r="AO487" s="53">
        <f t="shared" ca="1" si="480"/>
        <v>60207</v>
      </c>
      <c r="AP487" s="22">
        <v>480</v>
      </c>
      <c r="AQ487" s="32">
        <f t="shared" ca="1" si="481"/>
        <v>163462.82705220839</v>
      </c>
      <c r="AR487" s="23">
        <f t="array" aca="1" ref="AR487" ca="1">SUM(IF(lsc_start_date=AO487,lsc_amount,0))</f>
        <v>0</v>
      </c>
      <c r="AS487" s="24">
        <f t="shared" ca="1" si="455"/>
        <v>0</v>
      </c>
      <c r="AT487" s="24">
        <f t="shared" ca="1" si="456"/>
        <v>0</v>
      </c>
      <c r="AU487" s="24">
        <f t="shared" ca="1" si="457"/>
        <v>0</v>
      </c>
      <c r="AV487" s="25">
        <f t="shared" ca="1" si="458"/>
        <v>0</v>
      </c>
      <c r="AW487" s="23">
        <f t="array" aca="1" ref="AW487" ca="1">SUM(IF(rcs_start_date&lt;=AO487,1,0)*IF(rcs_end_date&gt;=AO487,1,0)*rcs_amount*(1+rcs_escalation/100)^(INT((AP487-rcs_months_since_start)/12))*IF(MOD((AP487-rcs_months_since_start),rcs_frequency)=0,1,0)*IF(rcs_frequency=13,0,1))+SUM(IF(rcs_start_date=AO487,rcs_amount,0)*IF(rcs_frequency=13,1,0))</f>
        <v>0</v>
      </c>
      <c r="AX487" s="24">
        <f t="shared" ca="1" si="459"/>
        <v>0</v>
      </c>
      <c r="AY487" s="24">
        <f t="shared" ca="1" si="460"/>
        <v>0</v>
      </c>
      <c r="AZ487" s="24">
        <f t="shared" ca="1" si="461"/>
        <v>0</v>
      </c>
      <c r="BA487" s="25">
        <f t="shared" ca="1" si="462"/>
        <v>0</v>
      </c>
      <c r="BB487" s="23">
        <f t="array" aca="1" ref="BB487" ca="1">SUM(IF(w_start_date&lt;=AO487,1,0)*IF(w_end_date&gt;=AO487,1,0)*w_amount*(1+w_escalation/100)^(INT((AP487-w_months_since_start)/12))*IF(MOD(AP487-w_months_since_start,w_frequency)=0,1,0)*IF(w_frequency=13,0,1))+SUM(IF(w_start_date=AO487,w_amount,0)*IF(w_frequency=13,1,0))</f>
        <v>0</v>
      </c>
      <c r="BC487" s="25">
        <f t="shared" ca="1" si="463"/>
        <v>0</v>
      </c>
      <c r="BD487" s="24" t="b">
        <f t="shared" ca="1" si="464"/>
        <v>1</v>
      </c>
      <c r="BE487" s="24" t="b">
        <f t="shared" ca="1" si="465"/>
        <v>1</v>
      </c>
      <c r="BF487" s="23">
        <f t="array" aca="1" ref="BF487" ca="1">SUM(IF(BD487,1,0)*IF(ap_start_date&lt;=AO487,1,0)*IF(ap_end_date&gt;=AO487,1,0)*ap_amount*(1+ap_escalation/100)^(INT((AP487-ap_months_since_start)/12))*IF(MOD(AP487-ap_months_since_start,ap_frequency)=0,1,0))</f>
        <v>109152.80081823461</v>
      </c>
      <c r="BG487" s="24">
        <f t="shared" ca="1" si="466"/>
        <v>1309833.6098188153</v>
      </c>
      <c r="BH487" s="24">
        <f t="shared" ca="1" si="467"/>
        <v>4086.5706763052099</v>
      </c>
      <c r="BI487">
        <f t="shared" ca="1" si="468"/>
        <v>0</v>
      </c>
      <c r="BJ487" s="24">
        <f t="shared" ca="1" si="469"/>
        <v>28605.994734136468</v>
      </c>
      <c r="BK487">
        <f t="shared" ca="1" si="470"/>
        <v>1</v>
      </c>
      <c r="BL487" s="25">
        <f t="shared" ca="1" si="471"/>
        <v>2383.8328945113726</v>
      </c>
      <c r="BM487" s="32">
        <f t="shared" ca="1" si="450"/>
        <v>162239.94254802965</v>
      </c>
      <c r="BN487" s="23">
        <f t="shared" ca="1" si="472"/>
        <v>0</v>
      </c>
      <c r="BO487" s="24">
        <f t="shared" ca="1" si="473"/>
        <v>0</v>
      </c>
      <c r="BP487" s="25">
        <f t="shared" ca="1" si="474"/>
        <v>0</v>
      </c>
      <c r="BQ487" s="34">
        <f t="shared" ca="1" si="475"/>
        <v>60236</v>
      </c>
      <c r="BR487" s="23">
        <f t="shared" ca="1" si="476"/>
        <v>162239.94254802965</v>
      </c>
      <c r="BS487" s="24">
        <f t="shared" ca="1" si="477"/>
        <v>0</v>
      </c>
      <c r="BT487" s="24">
        <f t="shared" ca="1" si="482"/>
        <v>0</v>
      </c>
      <c r="BU487" s="24">
        <f t="shared" ca="1" si="478"/>
        <v>0</v>
      </c>
      <c r="BV487" s="24">
        <f t="shared" ca="1" si="483"/>
        <v>0</v>
      </c>
      <c r="BW487" s="24">
        <f t="shared" ca="1" si="479"/>
        <v>-2383.8328945113726</v>
      </c>
      <c r="BX487" s="25">
        <f t="shared" ca="1" si="484"/>
        <v>-31308.065963775629</v>
      </c>
      <c r="BY487" s="23">
        <f t="shared" ca="1" si="451"/>
        <v>33792.802639499532</v>
      </c>
      <c r="BZ487" s="24">
        <f t="shared" ca="1" si="452"/>
        <v>0</v>
      </c>
      <c r="CA487" s="24">
        <f t="shared" ca="1" si="485"/>
        <v>0</v>
      </c>
      <c r="CB487" s="24">
        <f t="shared" ca="1" si="453"/>
        <v>0</v>
      </c>
      <c r="CC487" s="24">
        <f t="shared" ca="1" si="486"/>
        <v>0</v>
      </c>
      <c r="CD487" s="24">
        <f t="shared" ca="1" si="454"/>
        <v>-498.1517740572815</v>
      </c>
      <c r="CE487" s="25">
        <f t="shared" ca="1" si="487"/>
        <v>-6662.5060625758306</v>
      </c>
      <c r="CF487" s="23">
        <f t="shared" ca="1" si="488"/>
        <v>1263653.5787034084</v>
      </c>
      <c r="CG487" s="25">
        <f t="array" aca="1" ref="CG487" ca="1">SUM(BF476:BF487/(1+inflation/100)^(AP476:AP487/12))</f>
        <v>267980.53702225379</v>
      </c>
      <c r="CH487" s="32">
        <f ca="1">IFERROR(IF(MOD(AP487-ap_months_since_start,12)=0,ap_drawdown/100*(AQ487+AV487+BA487-BC487),CH486),0)</f>
        <v>25123.27563668165</v>
      </c>
    </row>
    <row r="488" spans="40:86" x14ac:dyDescent="0.25">
      <c r="AN488" s="32">
        <f t="shared" ca="1" si="449"/>
        <v>94.916666666666671</v>
      </c>
      <c r="AO488" s="53">
        <f t="shared" ca="1" si="480"/>
        <v>60237</v>
      </c>
      <c r="AP488" s="22">
        <v>481</v>
      </c>
      <c r="AQ488" s="32">
        <f t="shared" ca="1" si="481"/>
        <v>162239.94254802965</v>
      </c>
      <c r="AR488" s="23">
        <f t="array" aca="1" ref="AR488" ca="1">SUM(IF(lsc_start_date=AO488,lsc_amount,0))</f>
        <v>0</v>
      </c>
      <c r="AS488" s="24">
        <f t="shared" ca="1" si="455"/>
        <v>0</v>
      </c>
      <c r="AT488" s="24">
        <f t="shared" ca="1" si="456"/>
        <v>0</v>
      </c>
      <c r="AU488" s="24">
        <f t="shared" ca="1" si="457"/>
        <v>0</v>
      </c>
      <c r="AV488" s="25">
        <f t="shared" ca="1" si="458"/>
        <v>0</v>
      </c>
      <c r="AW488" s="23">
        <f t="array" aca="1" ref="AW488" ca="1">SUM(IF(rcs_start_date&lt;=AO488,1,0)*IF(rcs_end_date&gt;=AO488,1,0)*rcs_amount*(1+rcs_escalation/100)^(INT((AP488-rcs_months_since_start)/12))*IF(MOD((AP488-rcs_months_since_start),rcs_frequency)=0,1,0)*IF(rcs_frequency=13,0,1))+SUM(IF(rcs_start_date=AO488,rcs_amount,0)*IF(rcs_frequency=13,1,0))</f>
        <v>0</v>
      </c>
      <c r="AX488" s="24">
        <f t="shared" ca="1" si="459"/>
        <v>0</v>
      </c>
      <c r="AY488" s="24">
        <f t="shared" ca="1" si="460"/>
        <v>0</v>
      </c>
      <c r="AZ488" s="24">
        <f t="shared" ca="1" si="461"/>
        <v>0</v>
      </c>
      <c r="BA488" s="25">
        <f t="shared" ca="1" si="462"/>
        <v>0</v>
      </c>
      <c r="BB488" s="23">
        <f t="array" aca="1" ref="BB488" ca="1">SUM(IF(w_start_date&lt;=AO488,1,0)*IF(w_end_date&gt;=AO488,1,0)*w_amount*(1+w_escalation/100)^(INT((AP488-w_months_since_start)/12))*IF(MOD(AP488-w_months_since_start,w_frequency)=0,1,0)*IF(w_frequency=13,0,1))+SUM(IF(w_start_date=AO488,w_amount,0)*IF(w_frequency=13,1,0))</f>
        <v>0</v>
      </c>
      <c r="BC488" s="25">
        <f t="shared" ca="1" si="463"/>
        <v>0</v>
      </c>
      <c r="BD488" s="24" t="b">
        <f t="shared" ca="1" si="464"/>
        <v>1</v>
      </c>
      <c r="BE488" s="24" t="b">
        <f t="shared" ca="1" si="465"/>
        <v>1</v>
      </c>
      <c r="BF488" s="23">
        <f t="array" aca="1" ref="BF488" ca="1">SUM(IF(BD488,1,0)*IF(ap_start_date&lt;=AO488,1,0)*IF(ap_end_date&gt;=AO488,1,0)*ap_amount*(1+ap_escalation/100)^(INT((AP488-ap_months_since_start)/12))*IF(MOD(AP488-ap_months_since_start,ap_frequency)=0,1,0))</f>
        <v>109152.80081823461</v>
      </c>
      <c r="BG488" s="24">
        <f t="shared" ca="1" si="466"/>
        <v>1309833.6098188153</v>
      </c>
      <c r="BH488" s="24">
        <f t="shared" ca="1" si="467"/>
        <v>4086.5706763052099</v>
      </c>
      <c r="BI488">
        <f t="shared" ca="1" si="468"/>
        <v>0</v>
      </c>
      <c r="BJ488" s="24">
        <f t="shared" ca="1" si="469"/>
        <v>28605.994734136468</v>
      </c>
      <c r="BK488">
        <f t="shared" ca="1" si="470"/>
        <v>1</v>
      </c>
      <c r="BL488" s="25">
        <f t="shared" ca="1" si="471"/>
        <v>2383.8328945113726</v>
      </c>
      <c r="BM488" s="32">
        <f t="shared" ca="1" si="450"/>
        <v>161008.24431985099</v>
      </c>
      <c r="BN488" s="23">
        <f t="shared" ca="1" si="472"/>
        <v>0</v>
      </c>
      <c r="BO488" s="24">
        <f t="shared" ca="1" si="473"/>
        <v>0</v>
      </c>
      <c r="BP488" s="25">
        <f t="shared" ca="1" si="474"/>
        <v>0</v>
      </c>
      <c r="BQ488" s="34">
        <f t="shared" ca="1" si="475"/>
        <v>60267</v>
      </c>
      <c r="BR488" s="23">
        <f t="shared" ca="1" si="476"/>
        <v>161008.24431985099</v>
      </c>
      <c r="BS488" s="24">
        <f t="shared" ca="1" si="477"/>
        <v>0</v>
      </c>
      <c r="BT488" s="24">
        <f t="shared" ca="1" si="482"/>
        <v>0</v>
      </c>
      <c r="BU488" s="24">
        <f t="shared" ca="1" si="478"/>
        <v>0</v>
      </c>
      <c r="BV488" s="24">
        <f t="shared" ca="1" si="483"/>
        <v>0</v>
      </c>
      <c r="BW488" s="24">
        <f t="shared" ca="1" si="479"/>
        <v>-2383.8328945113726</v>
      </c>
      <c r="BX488" s="25">
        <f t="shared" ca="1" si="484"/>
        <v>-31062.423124717523</v>
      </c>
      <c r="BY488" s="23">
        <f t="shared" ca="1" si="451"/>
        <v>33426.822673061863</v>
      </c>
      <c r="BZ488" s="24">
        <f t="shared" ca="1" si="452"/>
        <v>0</v>
      </c>
      <c r="CA488" s="24">
        <f t="shared" ca="1" si="485"/>
        <v>0</v>
      </c>
      <c r="CB488" s="24">
        <f t="shared" ca="1" si="453"/>
        <v>0</v>
      </c>
      <c r="CC488" s="24">
        <f t="shared" ca="1" si="486"/>
        <v>0</v>
      </c>
      <c r="CD488" s="24">
        <f t="shared" ca="1" si="454"/>
        <v>-496.52627623386724</v>
      </c>
      <c r="CE488" s="25">
        <f t="shared" ca="1" si="487"/>
        <v>-6589.4337107597412</v>
      </c>
      <c r="CF488" s="23">
        <f t="shared" ca="1" si="488"/>
        <v>1267851.7633502637</v>
      </c>
      <c r="CG488" s="25">
        <f t="array" aca="1" ref="CG488" ca="1">SUM(BF477:BF488/(1+inflation/100)^(AP477:AP488/12))</f>
        <v>267980.53702225379</v>
      </c>
      <c r="CH488" s="32">
        <f ca="1">IFERROR(IF(MOD(AP488-ap_months_since_start,12)=0,ap_drawdown/100*(AQ488+AV488+BA488-BC488),CH487),0)</f>
        <v>25123.27563668165</v>
      </c>
    </row>
    <row r="489" spans="40:86" x14ac:dyDescent="0.25">
      <c r="AN489" s="32">
        <f t="shared" ca="1" si="449"/>
        <v>95</v>
      </c>
      <c r="AO489" s="53">
        <f t="shared" ca="1" si="480"/>
        <v>60268</v>
      </c>
      <c r="AP489" s="22">
        <v>482</v>
      </c>
      <c r="AQ489" s="32">
        <f t="shared" ca="1" si="481"/>
        <v>161008.24431985099</v>
      </c>
      <c r="AR489" s="23">
        <f t="array" aca="1" ref="AR489" ca="1">SUM(IF(lsc_start_date=AO489,lsc_amount,0))</f>
        <v>0</v>
      </c>
      <c r="AS489" s="24">
        <f t="shared" ca="1" si="455"/>
        <v>0</v>
      </c>
      <c r="AT489" s="24">
        <f t="shared" ca="1" si="456"/>
        <v>0</v>
      </c>
      <c r="AU489" s="24">
        <f t="shared" ca="1" si="457"/>
        <v>0</v>
      </c>
      <c r="AV489" s="25">
        <f t="shared" ca="1" si="458"/>
        <v>0</v>
      </c>
      <c r="AW489" s="23">
        <f t="array" aca="1" ref="AW489" ca="1">SUM(IF(rcs_start_date&lt;=AO489,1,0)*IF(rcs_end_date&gt;=AO489,1,0)*rcs_amount*(1+rcs_escalation/100)^(INT((AP489-rcs_months_since_start)/12))*IF(MOD((AP489-rcs_months_since_start),rcs_frequency)=0,1,0)*IF(rcs_frequency=13,0,1))+SUM(IF(rcs_start_date=AO489,rcs_amount,0)*IF(rcs_frequency=13,1,0))</f>
        <v>0</v>
      </c>
      <c r="AX489" s="24">
        <f t="shared" ca="1" si="459"/>
        <v>0</v>
      </c>
      <c r="AY489" s="24">
        <f t="shared" ca="1" si="460"/>
        <v>0</v>
      </c>
      <c r="AZ489" s="24">
        <f t="shared" ca="1" si="461"/>
        <v>0</v>
      </c>
      <c r="BA489" s="25">
        <f t="shared" ca="1" si="462"/>
        <v>0</v>
      </c>
      <c r="BB489" s="23">
        <f t="array" aca="1" ref="BB489" ca="1">SUM(IF(w_start_date&lt;=AO489,1,0)*IF(w_end_date&gt;=AO489,1,0)*w_amount*(1+w_escalation/100)^(INT((AP489-w_months_since_start)/12))*IF(MOD(AP489-w_months_since_start,w_frequency)=0,1,0)*IF(w_frequency=13,0,1))+SUM(IF(w_start_date=AO489,w_amount,0)*IF(w_frequency=13,1,0))</f>
        <v>0</v>
      </c>
      <c r="BC489" s="25">
        <f t="shared" ca="1" si="463"/>
        <v>0</v>
      </c>
      <c r="BD489" s="24" t="b">
        <f t="shared" ca="1" si="464"/>
        <v>1</v>
      </c>
      <c r="BE489" s="24" t="b">
        <f t="shared" ca="1" si="465"/>
        <v>1</v>
      </c>
      <c r="BF489" s="23">
        <f t="array" aca="1" ref="BF489" ca="1">SUM(IF(BD489,1,0)*IF(ap_start_date&lt;=AO489,1,0)*IF(ap_end_date&gt;=AO489,1,0)*ap_amount*(1+ap_escalation/100)^(INT((AP489-ap_months_since_start)/12))*IF(MOD(AP489-ap_months_since_start,ap_frequency)=0,1,0))</f>
        <v>109152.80081823461</v>
      </c>
      <c r="BG489" s="24">
        <f t="shared" ca="1" si="466"/>
        <v>1309833.6098188153</v>
      </c>
      <c r="BH489" s="24">
        <f t="shared" ca="1" si="467"/>
        <v>4086.5706763052099</v>
      </c>
      <c r="BI489">
        <f t="shared" ca="1" si="468"/>
        <v>0</v>
      </c>
      <c r="BJ489" s="24">
        <f t="shared" ca="1" si="469"/>
        <v>28605.994734136468</v>
      </c>
      <c r="BK489">
        <f t="shared" ca="1" si="470"/>
        <v>1</v>
      </c>
      <c r="BL489" s="25">
        <f t="shared" ca="1" si="471"/>
        <v>2383.8328945113726</v>
      </c>
      <c r="BM489" s="32">
        <f t="shared" ca="1" si="450"/>
        <v>159767.66884431391</v>
      </c>
      <c r="BN489" s="23">
        <f t="shared" ca="1" si="472"/>
        <v>0</v>
      </c>
      <c r="BO489" s="24">
        <f t="shared" ca="1" si="473"/>
        <v>0</v>
      </c>
      <c r="BP489" s="25">
        <f t="shared" ca="1" si="474"/>
        <v>0</v>
      </c>
      <c r="BQ489" s="34">
        <f t="shared" ca="1" si="475"/>
        <v>60298</v>
      </c>
      <c r="BR489" s="23">
        <f t="shared" ca="1" si="476"/>
        <v>159767.66884431391</v>
      </c>
      <c r="BS489" s="24">
        <f t="shared" ca="1" si="477"/>
        <v>0</v>
      </c>
      <c r="BT489" s="24">
        <f t="shared" ca="1" si="482"/>
        <v>0</v>
      </c>
      <c r="BU489" s="24">
        <f t="shared" ca="1" si="478"/>
        <v>0</v>
      </c>
      <c r="BV489" s="24">
        <f t="shared" ca="1" si="483"/>
        <v>0</v>
      </c>
      <c r="BW489" s="24">
        <f t="shared" ca="1" si="479"/>
        <v>-2383.8328945113726</v>
      </c>
      <c r="BX489" s="25">
        <f t="shared" ca="1" si="484"/>
        <v>-30816.780285659417</v>
      </c>
      <c r="BY489" s="23">
        <f t="shared" ca="1" si="451"/>
        <v>33061.034337495643</v>
      </c>
      <c r="BZ489" s="24">
        <f t="shared" ca="1" si="452"/>
        <v>0</v>
      </c>
      <c r="CA489" s="24">
        <f t="shared" ca="1" si="485"/>
        <v>0</v>
      </c>
      <c r="CB489" s="24">
        <f t="shared" ca="1" si="453"/>
        <v>0</v>
      </c>
      <c r="CC489" s="24">
        <f t="shared" ca="1" si="486"/>
        <v>0</v>
      </c>
      <c r="CD489" s="24">
        <f t="shared" ca="1" si="454"/>
        <v>-494.90608250312476</v>
      </c>
      <c r="CE489" s="25">
        <f t="shared" ca="1" si="487"/>
        <v>-6516.5997982206254</v>
      </c>
      <c r="CF489" s="23">
        <f t="shared" ca="1" si="488"/>
        <v>1272049.947997119</v>
      </c>
      <c r="CG489" s="25">
        <f t="array" aca="1" ref="CG489" ca="1">SUM(BF478:BF489/(1+inflation/100)^(AP478:AP489/12))</f>
        <v>267980.53702225379</v>
      </c>
      <c r="CH489" s="32">
        <f ca="1">IFERROR(IF(MOD(AP489-ap_months_since_start,12)=0,ap_drawdown/100*(AQ489+AV489+BA489-BC489),CH488),0)</f>
        <v>25123.27563668165</v>
      </c>
    </row>
    <row r="490" spans="40:86" x14ac:dyDescent="0.25">
      <c r="AN490" s="32">
        <f t="shared" ca="1" si="449"/>
        <v>95.083333333333329</v>
      </c>
      <c r="AO490" s="53">
        <f t="shared" ca="1" si="480"/>
        <v>60299</v>
      </c>
      <c r="AP490" s="22">
        <v>483</v>
      </c>
      <c r="AQ490" s="32">
        <f t="shared" ca="1" si="481"/>
        <v>159767.66884431391</v>
      </c>
      <c r="AR490" s="23">
        <f t="array" aca="1" ref="AR490" ca="1">SUM(IF(lsc_start_date=AO490,lsc_amount,0))</f>
        <v>0</v>
      </c>
      <c r="AS490" s="24">
        <f t="shared" ca="1" si="455"/>
        <v>0</v>
      </c>
      <c r="AT490" s="24">
        <f t="shared" ca="1" si="456"/>
        <v>0</v>
      </c>
      <c r="AU490" s="24">
        <f t="shared" ca="1" si="457"/>
        <v>0</v>
      </c>
      <c r="AV490" s="25">
        <f t="shared" ca="1" si="458"/>
        <v>0</v>
      </c>
      <c r="AW490" s="23">
        <f t="array" aca="1" ref="AW490" ca="1">SUM(IF(rcs_start_date&lt;=AO490,1,0)*IF(rcs_end_date&gt;=AO490,1,0)*rcs_amount*(1+rcs_escalation/100)^(INT((AP490-rcs_months_since_start)/12))*IF(MOD((AP490-rcs_months_since_start),rcs_frequency)=0,1,0)*IF(rcs_frequency=13,0,1))+SUM(IF(rcs_start_date=AO490,rcs_amount,0)*IF(rcs_frequency=13,1,0))</f>
        <v>0</v>
      </c>
      <c r="AX490" s="24">
        <f t="shared" ca="1" si="459"/>
        <v>0</v>
      </c>
      <c r="AY490" s="24">
        <f t="shared" ca="1" si="460"/>
        <v>0</v>
      </c>
      <c r="AZ490" s="24">
        <f t="shared" ca="1" si="461"/>
        <v>0</v>
      </c>
      <c r="BA490" s="25">
        <f t="shared" ca="1" si="462"/>
        <v>0</v>
      </c>
      <c r="BB490" s="23">
        <f t="array" aca="1" ref="BB490" ca="1">SUM(IF(w_start_date&lt;=AO490,1,0)*IF(w_end_date&gt;=AO490,1,0)*w_amount*(1+w_escalation/100)^(INT((AP490-w_months_since_start)/12))*IF(MOD(AP490-w_months_since_start,w_frequency)=0,1,0)*IF(w_frequency=13,0,1))+SUM(IF(w_start_date=AO490,w_amount,0)*IF(w_frequency=13,1,0))</f>
        <v>0</v>
      </c>
      <c r="BC490" s="25">
        <f t="shared" ca="1" si="463"/>
        <v>0</v>
      </c>
      <c r="BD490" s="24" t="b">
        <f t="shared" ca="1" si="464"/>
        <v>1</v>
      </c>
      <c r="BE490" s="24" t="b">
        <f t="shared" ca="1" si="465"/>
        <v>1</v>
      </c>
      <c r="BF490" s="23">
        <f t="array" aca="1" ref="BF490" ca="1">SUM(IF(BD490,1,0)*IF(ap_start_date&lt;=AO490,1,0)*IF(ap_end_date&gt;=AO490,1,0)*ap_amount*(1+ap_escalation/100)^(INT((AP490-ap_months_since_start)/12))*IF(MOD(AP490-ap_months_since_start,ap_frequency)=0,1,0))</f>
        <v>109152.80081823461</v>
      </c>
      <c r="BG490" s="24">
        <f t="shared" ca="1" si="466"/>
        <v>1309833.6098188153</v>
      </c>
      <c r="BH490" s="24">
        <f t="shared" ca="1" si="467"/>
        <v>4086.5706763052099</v>
      </c>
      <c r="BI490">
        <f t="shared" ca="1" si="468"/>
        <v>0</v>
      </c>
      <c r="BJ490" s="24">
        <f t="shared" ca="1" si="469"/>
        <v>28605.994734136468</v>
      </c>
      <c r="BK490">
        <f t="shared" ca="1" si="470"/>
        <v>1</v>
      </c>
      <c r="BL490" s="25">
        <f t="shared" ca="1" si="471"/>
        <v>2383.8328945113726</v>
      </c>
      <c r="BM490" s="32">
        <f t="shared" ca="1" si="450"/>
        <v>158518.15214022659</v>
      </c>
      <c r="BN490" s="23">
        <f t="shared" ca="1" si="472"/>
        <v>0</v>
      </c>
      <c r="BO490" s="24">
        <f t="shared" ca="1" si="473"/>
        <v>0</v>
      </c>
      <c r="BP490" s="25">
        <f t="shared" ca="1" si="474"/>
        <v>0</v>
      </c>
      <c r="BQ490" s="34">
        <f t="shared" ca="1" si="475"/>
        <v>60326</v>
      </c>
      <c r="BR490" s="23">
        <f t="shared" ca="1" si="476"/>
        <v>158518.15214022659</v>
      </c>
      <c r="BS490" s="24">
        <f t="shared" ca="1" si="477"/>
        <v>0</v>
      </c>
      <c r="BT490" s="24">
        <f t="shared" ca="1" si="482"/>
        <v>0</v>
      </c>
      <c r="BU490" s="24">
        <f t="shared" ca="1" si="478"/>
        <v>0</v>
      </c>
      <c r="BV490" s="24">
        <f t="shared" ca="1" si="483"/>
        <v>0</v>
      </c>
      <c r="BW490" s="24">
        <f t="shared" ca="1" si="479"/>
        <v>-2383.8328945113726</v>
      </c>
      <c r="BX490" s="25">
        <f t="shared" ca="1" si="484"/>
        <v>-30571.137446601311</v>
      </c>
      <c r="BY490" s="23">
        <f t="shared" ca="1" si="451"/>
        <v>32695.433076623973</v>
      </c>
      <c r="BZ490" s="24">
        <f t="shared" ca="1" si="452"/>
        <v>0</v>
      </c>
      <c r="CA490" s="24">
        <f t="shared" ca="1" si="485"/>
        <v>0</v>
      </c>
      <c r="CB490" s="24">
        <f t="shared" ca="1" si="453"/>
        <v>0</v>
      </c>
      <c r="CC490" s="24">
        <f t="shared" ca="1" si="486"/>
        <v>0</v>
      </c>
      <c r="CD490" s="24">
        <f t="shared" ca="1" si="454"/>
        <v>-493.29117555749463</v>
      </c>
      <c r="CE490" s="25">
        <f t="shared" ca="1" si="487"/>
        <v>-6444.00354691744</v>
      </c>
      <c r="CF490" s="23">
        <f t="shared" ca="1" si="488"/>
        <v>1276248.1326439742</v>
      </c>
      <c r="CG490" s="25">
        <f t="array" aca="1" ref="CG490" ca="1">SUM(BF479:BF490/(1+inflation/100)^(AP479:AP490/12))</f>
        <v>267980.53702225379</v>
      </c>
      <c r="CH490" s="32">
        <f ca="1">IFERROR(IF(MOD(AP490-ap_months_since_start,12)=0,ap_drawdown/100*(AQ490+AV490+BA490-BC490),CH489),0)</f>
        <v>25123.27563668165</v>
      </c>
    </row>
    <row r="491" spans="40:86" x14ac:dyDescent="0.25">
      <c r="AN491" s="32">
        <f t="shared" ca="1" si="449"/>
        <v>95.166666666666671</v>
      </c>
      <c r="AO491" s="53">
        <f t="shared" ca="1" si="480"/>
        <v>60327</v>
      </c>
      <c r="AP491" s="22">
        <v>484</v>
      </c>
      <c r="AQ491" s="32">
        <f t="shared" ca="1" si="481"/>
        <v>158518.15214022659</v>
      </c>
      <c r="AR491" s="23">
        <f t="array" aca="1" ref="AR491" ca="1">SUM(IF(lsc_start_date=AO491,lsc_amount,0))</f>
        <v>0</v>
      </c>
      <c r="AS491" s="24">
        <f t="shared" ca="1" si="455"/>
        <v>0</v>
      </c>
      <c r="AT491" s="24">
        <f t="shared" ca="1" si="456"/>
        <v>0</v>
      </c>
      <c r="AU491" s="24">
        <f t="shared" ca="1" si="457"/>
        <v>0</v>
      </c>
      <c r="AV491" s="25">
        <f t="shared" ca="1" si="458"/>
        <v>0</v>
      </c>
      <c r="AW491" s="23">
        <f t="array" aca="1" ref="AW491" ca="1">SUM(IF(rcs_start_date&lt;=AO491,1,0)*IF(rcs_end_date&gt;=AO491,1,0)*rcs_amount*(1+rcs_escalation/100)^(INT((AP491-rcs_months_since_start)/12))*IF(MOD((AP491-rcs_months_since_start),rcs_frequency)=0,1,0)*IF(rcs_frequency=13,0,1))+SUM(IF(rcs_start_date=AO491,rcs_amount,0)*IF(rcs_frequency=13,1,0))</f>
        <v>0</v>
      </c>
      <c r="AX491" s="24">
        <f t="shared" ca="1" si="459"/>
        <v>0</v>
      </c>
      <c r="AY491" s="24">
        <f t="shared" ca="1" si="460"/>
        <v>0</v>
      </c>
      <c r="AZ491" s="24">
        <f t="shared" ca="1" si="461"/>
        <v>0</v>
      </c>
      <c r="BA491" s="25">
        <f t="shared" ca="1" si="462"/>
        <v>0</v>
      </c>
      <c r="BB491" s="23">
        <f t="array" aca="1" ref="BB491" ca="1">SUM(IF(w_start_date&lt;=AO491,1,0)*IF(w_end_date&gt;=AO491,1,0)*w_amount*(1+w_escalation/100)^(INT((AP491-w_months_since_start)/12))*IF(MOD(AP491-w_months_since_start,w_frequency)=0,1,0)*IF(w_frequency=13,0,1))+SUM(IF(w_start_date=AO491,w_amount,0)*IF(w_frequency=13,1,0))</f>
        <v>0</v>
      </c>
      <c r="BC491" s="25">
        <f t="shared" ca="1" si="463"/>
        <v>0</v>
      </c>
      <c r="BD491" s="24" t="b">
        <f t="shared" ca="1" si="464"/>
        <v>1</v>
      </c>
      <c r="BE491" s="24" t="b">
        <f t="shared" ca="1" si="465"/>
        <v>1</v>
      </c>
      <c r="BF491" s="23">
        <f t="array" aca="1" ref="BF491" ca="1">SUM(IF(BD491,1,0)*IF(ap_start_date&lt;=AO491,1,0)*IF(ap_end_date&gt;=AO491,1,0)*ap_amount*(1+ap_escalation/100)^(INT((AP491-ap_months_since_start)/12))*IF(MOD(AP491-ap_months_since_start,ap_frequency)=0,1,0))</f>
        <v>109152.80081823461</v>
      </c>
      <c r="BG491" s="24">
        <f t="shared" ca="1" si="466"/>
        <v>1309833.6098188153</v>
      </c>
      <c r="BH491" s="24">
        <f t="shared" ca="1" si="467"/>
        <v>4086.5706763052099</v>
      </c>
      <c r="BI491">
        <f t="shared" ca="1" si="468"/>
        <v>0</v>
      </c>
      <c r="BJ491" s="24">
        <f t="shared" ca="1" si="469"/>
        <v>28605.994734136468</v>
      </c>
      <c r="BK491">
        <f t="shared" ca="1" si="470"/>
        <v>1</v>
      </c>
      <c r="BL491" s="25">
        <f t="shared" ca="1" si="471"/>
        <v>2383.8328945113726</v>
      </c>
      <c r="BM491" s="32">
        <f t="shared" ca="1" si="450"/>
        <v>157259.62976526399</v>
      </c>
      <c r="BN491" s="23">
        <f t="shared" ca="1" si="472"/>
        <v>0</v>
      </c>
      <c r="BO491" s="24">
        <f t="shared" ca="1" si="473"/>
        <v>0</v>
      </c>
      <c r="BP491" s="25">
        <f t="shared" ca="1" si="474"/>
        <v>0</v>
      </c>
      <c r="BQ491" s="34">
        <f t="shared" ca="1" si="475"/>
        <v>60357</v>
      </c>
      <c r="BR491" s="23">
        <f t="shared" ca="1" si="476"/>
        <v>157259.62976526399</v>
      </c>
      <c r="BS491" s="24">
        <f t="shared" ca="1" si="477"/>
        <v>0</v>
      </c>
      <c r="BT491" s="24">
        <f t="shared" ca="1" si="482"/>
        <v>0</v>
      </c>
      <c r="BU491" s="24">
        <f t="shared" ca="1" si="478"/>
        <v>0</v>
      </c>
      <c r="BV491" s="24">
        <f t="shared" ca="1" si="483"/>
        <v>0</v>
      </c>
      <c r="BW491" s="24">
        <f t="shared" ca="1" si="479"/>
        <v>-2383.8328945113726</v>
      </c>
      <c r="BX491" s="25">
        <f t="shared" ca="1" si="484"/>
        <v>-30325.494607543205</v>
      </c>
      <c r="BY491" s="23">
        <f t="shared" ca="1" si="451"/>
        <v>32330.014333725052</v>
      </c>
      <c r="BZ491" s="24">
        <f t="shared" ca="1" si="452"/>
        <v>0</v>
      </c>
      <c r="CA491" s="24">
        <f t="shared" ca="1" si="485"/>
        <v>0</v>
      </c>
      <c r="CB491" s="24">
        <f t="shared" ca="1" si="453"/>
        <v>0</v>
      </c>
      <c r="CC491" s="24">
        <f t="shared" ca="1" si="486"/>
        <v>0</v>
      </c>
      <c r="CD491" s="24">
        <f t="shared" ca="1" si="454"/>
        <v>-491.68153814589368</v>
      </c>
      <c r="CE491" s="25">
        <f t="shared" ca="1" si="487"/>
        <v>-6371.6441813479332</v>
      </c>
      <c r="CF491" s="23">
        <f t="shared" ca="1" si="488"/>
        <v>1280446.3172908293</v>
      </c>
      <c r="CG491" s="25">
        <f t="array" aca="1" ref="CG491" ca="1">SUM(BF480:BF491/(1+inflation/100)^(AP480:AP491/12))</f>
        <v>267980.53702225385</v>
      </c>
      <c r="CH491" s="32">
        <f ca="1">IFERROR(IF(MOD(AP491-ap_months_since_start,12)=0,ap_drawdown/100*(AQ491+AV491+BA491-BC491),CH490),0)</f>
        <v>25123.27563668165</v>
      </c>
    </row>
    <row r="492" spans="40:86" x14ac:dyDescent="0.25">
      <c r="AN492" s="32">
        <f t="shared" ca="1" si="449"/>
        <v>95.25</v>
      </c>
      <c r="AO492" s="53">
        <f t="shared" ca="1" si="480"/>
        <v>60358</v>
      </c>
      <c r="AP492" s="22">
        <v>485</v>
      </c>
      <c r="AQ492" s="32">
        <f t="shared" ca="1" si="481"/>
        <v>157259.62976526399</v>
      </c>
      <c r="AR492" s="23">
        <f t="array" aca="1" ref="AR492" ca="1">SUM(IF(lsc_start_date=AO492,lsc_amount,0))</f>
        <v>0</v>
      </c>
      <c r="AS492" s="24">
        <f t="shared" ca="1" si="455"/>
        <v>0</v>
      </c>
      <c r="AT492" s="24">
        <f t="shared" ca="1" si="456"/>
        <v>0</v>
      </c>
      <c r="AU492" s="24">
        <f t="shared" ca="1" si="457"/>
        <v>0</v>
      </c>
      <c r="AV492" s="25">
        <f t="shared" ca="1" si="458"/>
        <v>0</v>
      </c>
      <c r="AW492" s="23">
        <f t="array" aca="1" ref="AW492" ca="1">SUM(IF(rcs_start_date&lt;=AO492,1,0)*IF(rcs_end_date&gt;=AO492,1,0)*rcs_amount*(1+rcs_escalation/100)^(INT((AP492-rcs_months_since_start)/12))*IF(MOD((AP492-rcs_months_since_start),rcs_frequency)=0,1,0)*IF(rcs_frequency=13,0,1))+SUM(IF(rcs_start_date=AO492,rcs_amount,0)*IF(rcs_frequency=13,1,0))</f>
        <v>0</v>
      </c>
      <c r="AX492" s="24">
        <f t="shared" ca="1" si="459"/>
        <v>0</v>
      </c>
      <c r="AY492" s="24">
        <f t="shared" ca="1" si="460"/>
        <v>0</v>
      </c>
      <c r="AZ492" s="24">
        <f t="shared" ca="1" si="461"/>
        <v>0</v>
      </c>
      <c r="BA492" s="25">
        <f t="shared" ca="1" si="462"/>
        <v>0</v>
      </c>
      <c r="BB492" s="23">
        <f t="array" aca="1" ref="BB492" ca="1">SUM(IF(w_start_date&lt;=AO492,1,0)*IF(w_end_date&gt;=AO492,1,0)*w_amount*(1+w_escalation/100)^(INT((AP492-w_months_since_start)/12))*IF(MOD(AP492-w_months_since_start,w_frequency)=0,1,0)*IF(w_frequency=13,0,1))+SUM(IF(w_start_date=AO492,w_amount,0)*IF(w_frequency=13,1,0))</f>
        <v>0</v>
      </c>
      <c r="BC492" s="25">
        <f t="shared" ca="1" si="463"/>
        <v>0</v>
      </c>
      <c r="BD492" s="24" t="b">
        <f t="shared" ca="1" si="464"/>
        <v>1</v>
      </c>
      <c r="BE492" s="24" t="b">
        <f t="shared" ca="1" si="465"/>
        <v>1</v>
      </c>
      <c r="BF492" s="23">
        <f t="array" aca="1" ref="BF492" ca="1">SUM(IF(BD492,1,0)*IF(ap_start_date&lt;=AO492,1,0)*IF(ap_end_date&gt;=AO492,1,0)*ap_amount*(1+ap_escalation/100)^(INT((AP492-ap_months_since_start)/12))*IF(MOD(AP492-ap_months_since_start,ap_frequency)=0,1,0))</f>
        <v>109152.80081823461</v>
      </c>
      <c r="BG492" s="24">
        <f t="shared" ca="1" si="466"/>
        <v>1309833.6098188153</v>
      </c>
      <c r="BH492" s="24">
        <f t="shared" ca="1" si="467"/>
        <v>4086.5706763052099</v>
      </c>
      <c r="BI492">
        <f t="shared" ca="1" si="468"/>
        <v>0</v>
      </c>
      <c r="BJ492" s="24">
        <f t="shared" ca="1" si="469"/>
        <v>28605.994734136468</v>
      </c>
      <c r="BK492">
        <f t="shared" ca="1" si="470"/>
        <v>1</v>
      </c>
      <c r="BL492" s="25">
        <f t="shared" ca="1" si="471"/>
        <v>2383.8328945113726</v>
      </c>
      <c r="BM492" s="32">
        <f t="shared" ca="1" si="450"/>
        <v>155992.03681264445</v>
      </c>
      <c r="BN492" s="23">
        <f t="shared" ca="1" si="472"/>
        <v>0</v>
      </c>
      <c r="BO492" s="24">
        <f t="shared" ca="1" si="473"/>
        <v>0</v>
      </c>
      <c r="BP492" s="25">
        <f t="shared" ca="1" si="474"/>
        <v>0</v>
      </c>
      <c r="BQ492" s="34">
        <f t="shared" ca="1" si="475"/>
        <v>60387</v>
      </c>
      <c r="BR492" s="23">
        <f t="shared" ca="1" si="476"/>
        <v>155992.03681264445</v>
      </c>
      <c r="BS492" s="24">
        <f t="shared" ca="1" si="477"/>
        <v>0</v>
      </c>
      <c r="BT492" s="24">
        <f t="shared" ca="1" si="482"/>
        <v>0</v>
      </c>
      <c r="BU492" s="24">
        <f t="shared" ca="1" si="478"/>
        <v>0</v>
      </c>
      <c r="BV492" s="24">
        <f t="shared" ca="1" si="483"/>
        <v>0</v>
      </c>
      <c r="BW492" s="24">
        <f t="shared" ca="1" si="479"/>
        <v>-2383.8328945113726</v>
      </c>
      <c r="BX492" s="25">
        <f t="shared" ca="1" si="484"/>
        <v>-30079.851768485099</v>
      </c>
      <c r="BY492" s="23">
        <f t="shared" ca="1" si="451"/>
        <v>31964.773551473532</v>
      </c>
      <c r="BZ492" s="24">
        <f t="shared" ca="1" si="452"/>
        <v>0</v>
      </c>
      <c r="CA492" s="24">
        <f t="shared" ca="1" si="485"/>
        <v>0</v>
      </c>
      <c r="CB492" s="24">
        <f t="shared" ca="1" si="453"/>
        <v>0</v>
      </c>
      <c r="CC492" s="24">
        <f t="shared" ca="1" si="486"/>
        <v>0</v>
      </c>
      <c r="CD492" s="24">
        <f t="shared" ca="1" si="454"/>
        <v>-490.07715307353016</v>
      </c>
      <c r="CE492" s="25">
        <f t="shared" ca="1" si="487"/>
        <v>-6299.5209285403635</v>
      </c>
      <c r="CF492" s="23">
        <f t="shared" ca="1" si="488"/>
        <v>1284644.5019376844</v>
      </c>
      <c r="CG492" s="25">
        <f t="array" aca="1" ref="CG492" ca="1">SUM(BF481:BF492/(1+inflation/100)^(AP481:AP492/12))</f>
        <v>267980.53702225385</v>
      </c>
      <c r="CH492" s="32">
        <f ca="1">IFERROR(IF(MOD(AP492-ap_months_since_start,12)=0,ap_drawdown/100*(AQ492+AV492+BA492-BC492),CH491),0)</f>
        <v>25123.27563668165</v>
      </c>
    </row>
    <row r="493" spans="40:86" x14ac:dyDescent="0.25">
      <c r="AN493" s="32">
        <f t="shared" ca="1" si="449"/>
        <v>95.333333333333329</v>
      </c>
      <c r="AO493" s="53">
        <f t="shared" ca="1" si="480"/>
        <v>60388</v>
      </c>
      <c r="AP493" s="22">
        <v>486</v>
      </c>
      <c r="AQ493" s="32">
        <f t="shared" ca="1" si="481"/>
        <v>155992.03681264445</v>
      </c>
      <c r="AR493" s="23">
        <f t="array" aca="1" ref="AR493" ca="1">SUM(IF(lsc_start_date=AO493,lsc_amount,0))</f>
        <v>0</v>
      </c>
      <c r="AS493" s="24">
        <f t="shared" ca="1" si="455"/>
        <v>0</v>
      </c>
      <c r="AT493" s="24">
        <f t="shared" ca="1" si="456"/>
        <v>0</v>
      </c>
      <c r="AU493" s="24">
        <f t="shared" ca="1" si="457"/>
        <v>0</v>
      </c>
      <c r="AV493" s="25">
        <f t="shared" ca="1" si="458"/>
        <v>0</v>
      </c>
      <c r="AW493" s="23">
        <f t="array" aca="1" ref="AW493" ca="1">SUM(IF(rcs_start_date&lt;=AO493,1,0)*IF(rcs_end_date&gt;=AO493,1,0)*rcs_amount*(1+rcs_escalation/100)^(INT((AP493-rcs_months_since_start)/12))*IF(MOD((AP493-rcs_months_since_start),rcs_frequency)=0,1,0)*IF(rcs_frequency=13,0,1))+SUM(IF(rcs_start_date=AO493,rcs_amount,0)*IF(rcs_frequency=13,1,0))</f>
        <v>0</v>
      </c>
      <c r="AX493" s="24">
        <f t="shared" ca="1" si="459"/>
        <v>0</v>
      </c>
      <c r="AY493" s="24">
        <f t="shared" ca="1" si="460"/>
        <v>0</v>
      </c>
      <c r="AZ493" s="24">
        <f t="shared" ca="1" si="461"/>
        <v>0</v>
      </c>
      <c r="BA493" s="25">
        <f t="shared" ca="1" si="462"/>
        <v>0</v>
      </c>
      <c r="BB493" s="23">
        <f t="array" aca="1" ref="BB493" ca="1">SUM(IF(w_start_date&lt;=AO493,1,0)*IF(w_end_date&gt;=AO493,1,0)*w_amount*(1+w_escalation/100)^(INT((AP493-w_months_since_start)/12))*IF(MOD(AP493-w_months_since_start,w_frequency)=0,1,0)*IF(w_frequency=13,0,1))+SUM(IF(w_start_date=AO493,w_amount,0)*IF(w_frequency=13,1,0))</f>
        <v>0</v>
      </c>
      <c r="BC493" s="25">
        <f t="shared" ca="1" si="463"/>
        <v>0</v>
      </c>
      <c r="BD493" s="24" t="b">
        <f t="shared" ca="1" si="464"/>
        <v>1</v>
      </c>
      <c r="BE493" s="24" t="b">
        <f t="shared" ca="1" si="465"/>
        <v>1</v>
      </c>
      <c r="BF493" s="23">
        <f t="array" aca="1" ref="BF493" ca="1">SUM(IF(BD493,1,0)*IF(ap_start_date&lt;=AO493,1,0)*IF(ap_end_date&gt;=AO493,1,0)*ap_amount*(1+ap_escalation/100)^(INT((AP493-ap_months_since_start)/12))*IF(MOD(AP493-ap_months_since_start,ap_frequency)=0,1,0))</f>
        <v>109152.80081823461</v>
      </c>
      <c r="BG493" s="24">
        <f t="shared" ca="1" si="466"/>
        <v>1309833.6098188153</v>
      </c>
      <c r="BH493" s="24">
        <f t="shared" ca="1" si="467"/>
        <v>4086.5706763052099</v>
      </c>
      <c r="BI493">
        <f t="shared" ca="1" si="468"/>
        <v>0</v>
      </c>
      <c r="BJ493" s="24">
        <f t="shared" ca="1" si="469"/>
        <v>28605.994734136468</v>
      </c>
      <c r="BK493">
        <f t="shared" ca="1" si="470"/>
        <v>1</v>
      </c>
      <c r="BL493" s="25">
        <f t="shared" ca="1" si="471"/>
        <v>2383.8328945113726</v>
      </c>
      <c r="BM493" s="32">
        <f t="shared" ca="1" si="450"/>
        <v>154715.30790778212</v>
      </c>
      <c r="BN493" s="23">
        <f t="shared" ca="1" si="472"/>
        <v>0</v>
      </c>
      <c r="BO493" s="24">
        <f t="shared" ca="1" si="473"/>
        <v>0</v>
      </c>
      <c r="BP493" s="25">
        <f t="shared" ca="1" si="474"/>
        <v>0</v>
      </c>
      <c r="BQ493" s="34">
        <f t="shared" ca="1" si="475"/>
        <v>60418</v>
      </c>
      <c r="BR493" s="23">
        <f t="shared" ca="1" si="476"/>
        <v>154715.30790778212</v>
      </c>
      <c r="BS493" s="24">
        <f t="shared" ca="1" si="477"/>
        <v>0</v>
      </c>
      <c r="BT493" s="24">
        <f t="shared" ca="1" si="482"/>
        <v>0</v>
      </c>
      <c r="BU493" s="24">
        <f t="shared" ca="1" si="478"/>
        <v>0</v>
      </c>
      <c r="BV493" s="24">
        <f t="shared" ca="1" si="483"/>
        <v>0</v>
      </c>
      <c r="BW493" s="24">
        <f t="shared" ca="1" si="479"/>
        <v>-2383.8328945113726</v>
      </c>
      <c r="BX493" s="25">
        <f t="shared" ca="1" si="484"/>
        <v>-29834.208929426994</v>
      </c>
      <c r="BY493" s="23">
        <f t="shared" ca="1" si="451"/>
        <v>31599.706171881786</v>
      </c>
      <c r="BZ493" s="24">
        <f t="shared" ca="1" si="452"/>
        <v>0</v>
      </c>
      <c r="CA493" s="24">
        <f t="shared" ca="1" si="485"/>
        <v>0</v>
      </c>
      <c r="CB493" s="24">
        <f t="shared" ca="1" si="453"/>
        <v>0</v>
      </c>
      <c r="CC493" s="24">
        <f t="shared" ca="1" si="486"/>
        <v>0</v>
      </c>
      <c r="CD493" s="24">
        <f t="shared" ca="1" si="454"/>
        <v>-488.47800320171973</v>
      </c>
      <c r="CE493" s="25">
        <f t="shared" ca="1" si="487"/>
        <v>-6227.6330180452433</v>
      </c>
      <c r="CF493" s="23">
        <f t="shared" ca="1" si="488"/>
        <v>1288842.6865845395</v>
      </c>
      <c r="CG493" s="25">
        <f t="array" aca="1" ref="CG493" ca="1">SUM(BF482:BF493/(1+inflation/100)^(AP482:AP493/12))</f>
        <v>267980.53702225379</v>
      </c>
      <c r="CH493" s="32">
        <f ca="1">IFERROR(IF(MOD(AP493-ap_months_since_start,12)=0,ap_drawdown/100*(AQ493+AV493+BA493-BC493),CH492),0)</f>
        <v>25123.27563668165</v>
      </c>
    </row>
    <row r="494" spans="40:86" x14ac:dyDescent="0.25">
      <c r="AN494" s="32">
        <f t="shared" ca="1" si="449"/>
        <v>95.416666666666671</v>
      </c>
      <c r="AO494" s="53">
        <f t="shared" ca="1" si="480"/>
        <v>60419</v>
      </c>
      <c r="AP494" s="22">
        <v>487</v>
      </c>
      <c r="AQ494" s="32">
        <f t="shared" ca="1" si="481"/>
        <v>154715.30790778212</v>
      </c>
      <c r="AR494" s="23">
        <f t="array" aca="1" ref="AR494" ca="1">SUM(IF(lsc_start_date=AO494,lsc_amount,0))</f>
        <v>0</v>
      </c>
      <c r="AS494" s="24">
        <f t="shared" ca="1" si="455"/>
        <v>0</v>
      </c>
      <c r="AT494" s="24">
        <f t="shared" ca="1" si="456"/>
        <v>0</v>
      </c>
      <c r="AU494" s="24">
        <f t="shared" ca="1" si="457"/>
        <v>0</v>
      </c>
      <c r="AV494" s="25">
        <f t="shared" ca="1" si="458"/>
        <v>0</v>
      </c>
      <c r="AW494" s="23">
        <f t="array" aca="1" ref="AW494" ca="1">SUM(IF(rcs_start_date&lt;=AO494,1,0)*IF(rcs_end_date&gt;=AO494,1,0)*rcs_amount*(1+rcs_escalation/100)^(INT((AP494-rcs_months_since_start)/12))*IF(MOD((AP494-rcs_months_since_start),rcs_frequency)=0,1,0)*IF(rcs_frequency=13,0,1))+SUM(IF(rcs_start_date=AO494,rcs_amount,0)*IF(rcs_frequency=13,1,0))</f>
        <v>0</v>
      </c>
      <c r="AX494" s="24">
        <f t="shared" ca="1" si="459"/>
        <v>0</v>
      </c>
      <c r="AY494" s="24">
        <f t="shared" ca="1" si="460"/>
        <v>0</v>
      </c>
      <c r="AZ494" s="24">
        <f t="shared" ca="1" si="461"/>
        <v>0</v>
      </c>
      <c r="BA494" s="25">
        <f t="shared" ca="1" si="462"/>
        <v>0</v>
      </c>
      <c r="BB494" s="23">
        <f t="array" aca="1" ref="BB494" ca="1">SUM(IF(w_start_date&lt;=AO494,1,0)*IF(w_end_date&gt;=AO494,1,0)*w_amount*(1+w_escalation/100)^(INT((AP494-w_months_since_start)/12))*IF(MOD(AP494-w_months_since_start,w_frequency)=0,1,0)*IF(w_frequency=13,0,1))+SUM(IF(w_start_date=AO494,w_amount,0)*IF(w_frequency=13,1,0))</f>
        <v>0</v>
      </c>
      <c r="BC494" s="25">
        <f t="shared" ca="1" si="463"/>
        <v>0</v>
      </c>
      <c r="BD494" s="24" t="b">
        <f t="shared" ca="1" si="464"/>
        <v>1</v>
      </c>
      <c r="BE494" s="24" t="b">
        <f t="shared" ca="1" si="465"/>
        <v>1</v>
      </c>
      <c r="BF494" s="23">
        <f t="array" aca="1" ref="BF494" ca="1">SUM(IF(BD494,1,0)*IF(ap_start_date&lt;=AO494,1,0)*IF(ap_end_date&gt;=AO494,1,0)*ap_amount*(1+ap_escalation/100)^(INT((AP494-ap_months_since_start)/12))*IF(MOD(AP494-ap_months_since_start,ap_frequency)=0,1,0))</f>
        <v>109152.80081823461</v>
      </c>
      <c r="BG494" s="24">
        <f t="shared" ca="1" si="466"/>
        <v>1309833.6098188153</v>
      </c>
      <c r="BH494" s="24">
        <f t="shared" ca="1" si="467"/>
        <v>4086.5706763052099</v>
      </c>
      <c r="BI494">
        <f t="shared" ca="1" si="468"/>
        <v>0</v>
      </c>
      <c r="BJ494" s="24">
        <f t="shared" ca="1" si="469"/>
        <v>28605.994734136468</v>
      </c>
      <c r="BK494">
        <f t="shared" ca="1" si="470"/>
        <v>1</v>
      </c>
      <c r="BL494" s="25">
        <f t="shared" ca="1" si="471"/>
        <v>2383.8328945113726</v>
      </c>
      <c r="BM494" s="32">
        <f t="shared" ca="1" si="450"/>
        <v>153429.37720491539</v>
      </c>
      <c r="BN494" s="23">
        <f t="shared" ca="1" si="472"/>
        <v>0</v>
      </c>
      <c r="BO494" s="24">
        <f t="shared" ca="1" si="473"/>
        <v>0</v>
      </c>
      <c r="BP494" s="25">
        <f t="shared" ca="1" si="474"/>
        <v>0</v>
      </c>
      <c r="BQ494" s="34">
        <f t="shared" ca="1" si="475"/>
        <v>60448</v>
      </c>
      <c r="BR494" s="23">
        <f t="shared" ca="1" si="476"/>
        <v>153429.37720491539</v>
      </c>
      <c r="BS494" s="24">
        <f t="shared" ca="1" si="477"/>
        <v>0</v>
      </c>
      <c r="BT494" s="24">
        <f t="shared" ca="1" si="482"/>
        <v>0</v>
      </c>
      <c r="BU494" s="24">
        <f t="shared" ca="1" si="478"/>
        <v>0</v>
      </c>
      <c r="BV494" s="24">
        <f t="shared" ca="1" si="483"/>
        <v>0</v>
      </c>
      <c r="BW494" s="24">
        <f t="shared" ca="1" si="479"/>
        <v>-2383.8328945113726</v>
      </c>
      <c r="BX494" s="25">
        <f t="shared" ca="1" si="484"/>
        <v>-29588.566090368888</v>
      </c>
      <c r="BY494" s="23">
        <f t="shared" ca="1" si="451"/>
        <v>31234.807636241265</v>
      </c>
      <c r="BZ494" s="24">
        <f t="shared" ca="1" si="452"/>
        <v>0</v>
      </c>
      <c r="CA494" s="24">
        <f t="shared" ca="1" si="485"/>
        <v>0</v>
      </c>
      <c r="CB494" s="24">
        <f t="shared" ca="1" si="453"/>
        <v>0</v>
      </c>
      <c r="CC494" s="24">
        <f t="shared" ca="1" si="486"/>
        <v>0</v>
      </c>
      <c r="CD494" s="24">
        <f t="shared" ca="1" si="454"/>
        <v>-486.8840714477023</v>
      </c>
      <c r="CE494" s="25">
        <f t="shared" ca="1" si="487"/>
        <v>-6155.9796819270978</v>
      </c>
      <c r="CF494" s="23">
        <f t="shared" ca="1" si="488"/>
        <v>1293040.8712313946</v>
      </c>
      <c r="CG494" s="25">
        <f t="array" aca="1" ref="CG494" ca="1">SUM(BF483:BF494/(1+inflation/100)^(AP483:AP494/12))</f>
        <v>267980.53702225385</v>
      </c>
      <c r="CH494" s="32">
        <f ca="1">IFERROR(IF(MOD(AP494-ap_months_since_start,12)=0,ap_drawdown/100*(AQ494+AV494+BA494-BC494),CH493),0)</f>
        <v>25123.27563668165</v>
      </c>
    </row>
    <row r="495" spans="40:86" x14ac:dyDescent="0.25">
      <c r="AN495" s="32">
        <f t="shared" ca="1" si="449"/>
        <v>95.5</v>
      </c>
      <c r="AO495" s="53">
        <f t="shared" ca="1" si="480"/>
        <v>60449</v>
      </c>
      <c r="AP495" s="22">
        <v>488</v>
      </c>
      <c r="AQ495" s="32">
        <f t="shared" ca="1" si="481"/>
        <v>153429.37720491539</v>
      </c>
      <c r="AR495" s="23">
        <f t="array" aca="1" ref="AR495" ca="1">SUM(IF(lsc_start_date=AO495,lsc_amount,0))</f>
        <v>0</v>
      </c>
      <c r="AS495" s="24">
        <f t="shared" ca="1" si="455"/>
        <v>0</v>
      </c>
      <c r="AT495" s="24">
        <f t="shared" ca="1" si="456"/>
        <v>0</v>
      </c>
      <c r="AU495" s="24">
        <f t="shared" ca="1" si="457"/>
        <v>0</v>
      </c>
      <c r="AV495" s="25">
        <f t="shared" ca="1" si="458"/>
        <v>0</v>
      </c>
      <c r="AW495" s="23">
        <f t="array" aca="1" ref="AW495" ca="1">SUM(IF(rcs_start_date&lt;=AO495,1,0)*IF(rcs_end_date&gt;=AO495,1,0)*rcs_amount*(1+rcs_escalation/100)^(INT((AP495-rcs_months_since_start)/12))*IF(MOD((AP495-rcs_months_since_start),rcs_frequency)=0,1,0)*IF(rcs_frequency=13,0,1))+SUM(IF(rcs_start_date=AO495,rcs_amount,0)*IF(rcs_frequency=13,1,0))</f>
        <v>0</v>
      </c>
      <c r="AX495" s="24">
        <f t="shared" ca="1" si="459"/>
        <v>0</v>
      </c>
      <c r="AY495" s="24">
        <f t="shared" ca="1" si="460"/>
        <v>0</v>
      </c>
      <c r="AZ495" s="24">
        <f t="shared" ca="1" si="461"/>
        <v>0</v>
      </c>
      <c r="BA495" s="25">
        <f t="shared" ca="1" si="462"/>
        <v>0</v>
      </c>
      <c r="BB495" s="23">
        <f t="array" aca="1" ref="BB495" ca="1">SUM(IF(w_start_date&lt;=AO495,1,0)*IF(w_end_date&gt;=AO495,1,0)*w_amount*(1+w_escalation/100)^(INT((AP495-w_months_since_start)/12))*IF(MOD(AP495-w_months_since_start,w_frequency)=0,1,0)*IF(w_frequency=13,0,1))+SUM(IF(w_start_date=AO495,w_amount,0)*IF(w_frequency=13,1,0))</f>
        <v>0</v>
      </c>
      <c r="BC495" s="25">
        <f t="shared" ca="1" si="463"/>
        <v>0</v>
      </c>
      <c r="BD495" s="24" t="b">
        <f t="shared" ca="1" si="464"/>
        <v>1</v>
      </c>
      <c r="BE495" s="24" t="b">
        <f t="shared" ca="1" si="465"/>
        <v>1</v>
      </c>
      <c r="BF495" s="23">
        <f t="array" aca="1" ref="BF495" ca="1">SUM(IF(BD495,1,0)*IF(ap_start_date&lt;=AO495,1,0)*IF(ap_end_date&gt;=AO495,1,0)*ap_amount*(1+ap_escalation/100)^(INT((AP495-ap_months_since_start)/12))*IF(MOD(AP495-ap_months_since_start,ap_frequency)=0,1,0))</f>
        <v>109152.80081823461</v>
      </c>
      <c r="BG495" s="24">
        <f t="shared" ca="1" si="466"/>
        <v>1309833.6098188153</v>
      </c>
      <c r="BH495" s="24">
        <f t="shared" ca="1" si="467"/>
        <v>4086.5706763052099</v>
      </c>
      <c r="BI495">
        <f t="shared" ca="1" si="468"/>
        <v>0</v>
      </c>
      <c r="BJ495" s="24">
        <f t="shared" ca="1" si="469"/>
        <v>28605.994734136468</v>
      </c>
      <c r="BK495">
        <f t="shared" ca="1" si="470"/>
        <v>1</v>
      </c>
      <c r="BL495" s="25">
        <f t="shared" ca="1" si="471"/>
        <v>2383.8328945113726</v>
      </c>
      <c r="BM495" s="32">
        <f t="shared" ca="1" si="450"/>
        <v>152134.17838371094</v>
      </c>
      <c r="BN495" s="23">
        <f t="shared" ca="1" si="472"/>
        <v>0</v>
      </c>
      <c r="BO495" s="24">
        <f t="shared" ca="1" si="473"/>
        <v>0</v>
      </c>
      <c r="BP495" s="25">
        <f t="shared" ca="1" si="474"/>
        <v>0</v>
      </c>
      <c r="BQ495" s="34">
        <f t="shared" ca="1" si="475"/>
        <v>60479</v>
      </c>
      <c r="BR495" s="23">
        <f t="shared" ca="1" si="476"/>
        <v>152134.17838371094</v>
      </c>
      <c r="BS495" s="24">
        <f t="shared" ca="1" si="477"/>
        <v>0</v>
      </c>
      <c r="BT495" s="24">
        <f t="shared" ca="1" si="482"/>
        <v>0</v>
      </c>
      <c r="BU495" s="24">
        <f t="shared" ca="1" si="478"/>
        <v>0</v>
      </c>
      <c r="BV495" s="24">
        <f t="shared" ca="1" si="483"/>
        <v>0</v>
      </c>
      <c r="BW495" s="24">
        <f t="shared" ca="1" si="479"/>
        <v>-2383.8328945113726</v>
      </c>
      <c r="BX495" s="25">
        <f t="shared" ca="1" si="484"/>
        <v>-29342.923251310782</v>
      </c>
      <c r="BY495" s="23">
        <f t="shared" ca="1" si="451"/>
        <v>30870.073385063606</v>
      </c>
      <c r="BZ495" s="24">
        <f t="shared" ca="1" si="452"/>
        <v>0</v>
      </c>
      <c r="CA495" s="24">
        <f t="shared" ca="1" si="485"/>
        <v>0</v>
      </c>
      <c r="CB495" s="24">
        <f t="shared" ca="1" si="453"/>
        <v>0</v>
      </c>
      <c r="CC495" s="24">
        <f t="shared" ca="1" si="486"/>
        <v>0</v>
      </c>
      <c r="CD495" s="24">
        <f t="shared" ca="1" si="454"/>
        <v>-485.29534078446039</v>
      </c>
      <c r="CE495" s="25">
        <f t="shared" ca="1" si="487"/>
        <v>-6084.5601547562783</v>
      </c>
      <c r="CF495" s="23">
        <f t="shared" ca="1" si="488"/>
        <v>1297239.0558782497</v>
      </c>
      <c r="CG495" s="25">
        <f t="array" aca="1" ref="CG495" ca="1">SUM(BF484:BF495/(1+inflation/100)^(AP484:AP495/12))</f>
        <v>267980.53702225385</v>
      </c>
      <c r="CH495" s="32">
        <f ca="1">IFERROR(IF(MOD(AP495-ap_months_since_start,12)=0,ap_drawdown/100*(AQ495+AV495+BA495-BC495),CH494),0)</f>
        <v>25123.27563668165</v>
      </c>
    </row>
    <row r="496" spans="40:86" x14ac:dyDescent="0.25">
      <c r="AN496" s="32">
        <f t="shared" ca="1" si="449"/>
        <v>95.583333333333329</v>
      </c>
      <c r="AO496" s="53">
        <f t="shared" ca="1" si="480"/>
        <v>60480</v>
      </c>
      <c r="AP496" s="22">
        <v>489</v>
      </c>
      <c r="AQ496" s="32">
        <f t="shared" ca="1" si="481"/>
        <v>152134.17838371094</v>
      </c>
      <c r="AR496" s="23">
        <f t="array" aca="1" ref="AR496" ca="1">SUM(IF(lsc_start_date=AO496,lsc_amount,0))</f>
        <v>0</v>
      </c>
      <c r="AS496" s="24">
        <f t="shared" ca="1" si="455"/>
        <v>0</v>
      </c>
      <c r="AT496" s="24">
        <f t="shared" ca="1" si="456"/>
        <v>0</v>
      </c>
      <c r="AU496" s="24">
        <f t="shared" ca="1" si="457"/>
        <v>0</v>
      </c>
      <c r="AV496" s="25">
        <f t="shared" ca="1" si="458"/>
        <v>0</v>
      </c>
      <c r="AW496" s="23">
        <f t="array" aca="1" ref="AW496" ca="1">SUM(IF(rcs_start_date&lt;=AO496,1,0)*IF(rcs_end_date&gt;=AO496,1,0)*rcs_amount*(1+rcs_escalation/100)^(INT((AP496-rcs_months_since_start)/12))*IF(MOD((AP496-rcs_months_since_start),rcs_frequency)=0,1,0)*IF(rcs_frequency=13,0,1))+SUM(IF(rcs_start_date=AO496,rcs_amount,0)*IF(rcs_frequency=13,1,0))</f>
        <v>0</v>
      </c>
      <c r="AX496" s="24">
        <f t="shared" ca="1" si="459"/>
        <v>0</v>
      </c>
      <c r="AY496" s="24">
        <f t="shared" ca="1" si="460"/>
        <v>0</v>
      </c>
      <c r="AZ496" s="24">
        <f t="shared" ca="1" si="461"/>
        <v>0</v>
      </c>
      <c r="BA496" s="25">
        <f t="shared" ca="1" si="462"/>
        <v>0</v>
      </c>
      <c r="BB496" s="23">
        <f t="array" aca="1" ref="BB496" ca="1">SUM(IF(w_start_date&lt;=AO496,1,0)*IF(w_end_date&gt;=AO496,1,0)*w_amount*(1+w_escalation/100)^(INT((AP496-w_months_since_start)/12))*IF(MOD(AP496-w_months_since_start,w_frequency)=0,1,0)*IF(w_frequency=13,0,1))+SUM(IF(w_start_date=AO496,w_amount,0)*IF(w_frequency=13,1,0))</f>
        <v>0</v>
      </c>
      <c r="BC496" s="25">
        <f t="shared" ca="1" si="463"/>
        <v>0</v>
      </c>
      <c r="BD496" s="24" t="b">
        <f t="shared" ca="1" si="464"/>
        <v>1</v>
      </c>
      <c r="BE496" s="24" t="b">
        <f t="shared" ca="1" si="465"/>
        <v>1</v>
      </c>
      <c r="BF496" s="23">
        <f t="array" aca="1" ref="BF496" ca="1">SUM(IF(BD496,1,0)*IF(ap_start_date&lt;=AO496,1,0)*IF(ap_end_date&gt;=AO496,1,0)*ap_amount*(1+ap_escalation/100)^(INT((AP496-ap_months_since_start)/12))*IF(MOD(AP496-ap_months_since_start,ap_frequency)=0,1,0))</f>
        <v>109152.80081823461</v>
      </c>
      <c r="BG496" s="24">
        <f t="shared" ca="1" si="466"/>
        <v>1309833.6098188153</v>
      </c>
      <c r="BH496" s="24">
        <f t="shared" ca="1" si="467"/>
        <v>4086.5706763052099</v>
      </c>
      <c r="BI496">
        <f t="shared" ca="1" si="468"/>
        <v>0</v>
      </c>
      <c r="BJ496" s="24">
        <f t="shared" ca="1" si="469"/>
        <v>28605.994734136468</v>
      </c>
      <c r="BK496">
        <f t="shared" ca="1" si="470"/>
        <v>1</v>
      </c>
      <c r="BL496" s="25">
        <f t="shared" ca="1" si="471"/>
        <v>2383.8328945113726</v>
      </c>
      <c r="BM496" s="32">
        <f t="shared" ca="1" si="450"/>
        <v>150829.64464584339</v>
      </c>
      <c r="BN496" s="23">
        <f t="shared" ca="1" si="472"/>
        <v>0</v>
      </c>
      <c r="BO496" s="24">
        <f t="shared" ca="1" si="473"/>
        <v>0</v>
      </c>
      <c r="BP496" s="25">
        <f t="shared" ca="1" si="474"/>
        <v>0</v>
      </c>
      <c r="BQ496" s="34">
        <f t="shared" ca="1" si="475"/>
        <v>60510</v>
      </c>
      <c r="BR496" s="23">
        <f t="shared" ca="1" si="476"/>
        <v>150829.64464584339</v>
      </c>
      <c r="BS496" s="24">
        <f t="shared" ca="1" si="477"/>
        <v>0</v>
      </c>
      <c r="BT496" s="24">
        <f t="shared" ca="1" si="482"/>
        <v>0</v>
      </c>
      <c r="BU496" s="24">
        <f t="shared" ca="1" si="478"/>
        <v>0</v>
      </c>
      <c r="BV496" s="24">
        <f t="shared" ca="1" si="483"/>
        <v>0</v>
      </c>
      <c r="BW496" s="24">
        <f t="shared" ca="1" si="479"/>
        <v>-2383.8328945113726</v>
      </c>
      <c r="BX496" s="25">
        <f t="shared" ca="1" si="484"/>
        <v>-29097.280412252676</v>
      </c>
      <c r="BY496" s="23">
        <f t="shared" ca="1" si="451"/>
        <v>30505.498858021841</v>
      </c>
      <c r="BZ496" s="24">
        <f t="shared" ca="1" si="452"/>
        <v>0</v>
      </c>
      <c r="CA496" s="24">
        <f t="shared" ca="1" si="485"/>
        <v>0</v>
      </c>
      <c r="CB496" s="24">
        <f t="shared" ca="1" si="453"/>
        <v>0</v>
      </c>
      <c r="CC496" s="24">
        <f t="shared" ca="1" si="486"/>
        <v>0</v>
      </c>
      <c r="CD496" s="24">
        <f t="shared" ca="1" si="454"/>
        <v>-483.71179424053651</v>
      </c>
      <c r="CE496" s="25">
        <f t="shared" ca="1" si="487"/>
        <v>-6013.3736736007722</v>
      </c>
      <c r="CF496" s="23">
        <f t="shared" ca="1" si="488"/>
        <v>1301437.240525105</v>
      </c>
      <c r="CG496" s="25">
        <f t="array" aca="1" ref="CG496" ca="1">SUM(BF485:BF496/(1+inflation/100)^(AP485:AP496/12))</f>
        <v>267980.53702225385</v>
      </c>
      <c r="CH496" s="32">
        <f ca="1">IFERROR(IF(MOD(AP496-ap_months_since_start,12)=0,ap_drawdown/100*(AQ496+AV496+BA496-BC496),CH495),0)</f>
        <v>25123.27563668165</v>
      </c>
    </row>
    <row r="497" spans="40:86" x14ac:dyDescent="0.25">
      <c r="AN497" s="32">
        <f t="shared" ca="1" si="449"/>
        <v>95.666666666666671</v>
      </c>
      <c r="AO497" s="53">
        <f t="shared" ca="1" si="480"/>
        <v>60511</v>
      </c>
      <c r="AP497" s="22">
        <v>490</v>
      </c>
      <c r="AQ497" s="32">
        <f t="shared" ca="1" si="481"/>
        <v>150829.64464584339</v>
      </c>
      <c r="AR497" s="23">
        <f t="array" aca="1" ref="AR497" ca="1">SUM(IF(lsc_start_date=AO497,lsc_amount,0))</f>
        <v>0</v>
      </c>
      <c r="AS497" s="24">
        <f t="shared" ca="1" si="455"/>
        <v>0</v>
      </c>
      <c r="AT497" s="24">
        <f t="shared" ca="1" si="456"/>
        <v>0</v>
      </c>
      <c r="AU497" s="24">
        <f t="shared" ca="1" si="457"/>
        <v>0</v>
      </c>
      <c r="AV497" s="25">
        <f t="shared" ca="1" si="458"/>
        <v>0</v>
      </c>
      <c r="AW497" s="23">
        <f t="array" aca="1" ref="AW497" ca="1">SUM(IF(rcs_start_date&lt;=AO497,1,0)*IF(rcs_end_date&gt;=AO497,1,0)*rcs_amount*(1+rcs_escalation/100)^(INT((AP497-rcs_months_since_start)/12))*IF(MOD((AP497-rcs_months_since_start),rcs_frequency)=0,1,0)*IF(rcs_frequency=13,0,1))+SUM(IF(rcs_start_date=AO497,rcs_amount,0)*IF(rcs_frequency=13,1,0))</f>
        <v>0</v>
      </c>
      <c r="AX497" s="24">
        <f t="shared" ca="1" si="459"/>
        <v>0</v>
      </c>
      <c r="AY497" s="24">
        <f t="shared" ca="1" si="460"/>
        <v>0</v>
      </c>
      <c r="AZ497" s="24">
        <f t="shared" ca="1" si="461"/>
        <v>0</v>
      </c>
      <c r="BA497" s="25">
        <f t="shared" ca="1" si="462"/>
        <v>0</v>
      </c>
      <c r="BB497" s="23">
        <f t="array" aca="1" ref="BB497" ca="1">SUM(IF(w_start_date&lt;=AO497,1,0)*IF(w_end_date&gt;=AO497,1,0)*w_amount*(1+w_escalation/100)^(INT((AP497-w_months_since_start)/12))*IF(MOD(AP497-w_months_since_start,w_frequency)=0,1,0)*IF(w_frequency=13,0,1))+SUM(IF(w_start_date=AO497,w_amount,0)*IF(w_frequency=13,1,0))</f>
        <v>0</v>
      </c>
      <c r="BC497" s="25">
        <f t="shared" ca="1" si="463"/>
        <v>0</v>
      </c>
      <c r="BD497" s="24" t="b">
        <f t="shared" ca="1" si="464"/>
        <v>1</v>
      </c>
      <c r="BE497" s="24" t="b">
        <f t="shared" ca="1" si="465"/>
        <v>1</v>
      </c>
      <c r="BF497" s="23">
        <f t="array" aca="1" ref="BF497" ca="1">SUM(IF(BD497,1,0)*IF(ap_start_date&lt;=AO497,1,0)*IF(ap_end_date&gt;=AO497,1,0)*ap_amount*(1+ap_escalation/100)^(INT((AP497-ap_months_since_start)/12))*IF(MOD(AP497-ap_months_since_start,ap_frequency)=0,1,0))</f>
        <v>109152.80081823461</v>
      </c>
      <c r="BG497" s="24">
        <f t="shared" ca="1" si="466"/>
        <v>1309833.6098188153</v>
      </c>
      <c r="BH497" s="24">
        <f t="shared" ca="1" si="467"/>
        <v>4086.5706763052099</v>
      </c>
      <c r="BI497">
        <f t="shared" ca="1" si="468"/>
        <v>0</v>
      </c>
      <c r="BJ497" s="24">
        <f t="shared" ca="1" si="469"/>
        <v>28605.994734136468</v>
      </c>
      <c r="BK497">
        <f t="shared" ca="1" si="470"/>
        <v>1</v>
      </c>
      <c r="BL497" s="25">
        <f t="shared" ca="1" si="471"/>
        <v>2383.8328945113726</v>
      </c>
      <c r="BM497" s="32">
        <f t="shared" ca="1" si="450"/>
        <v>149515.70871155022</v>
      </c>
      <c r="BN497" s="23">
        <f t="shared" ca="1" si="472"/>
        <v>0</v>
      </c>
      <c r="BO497" s="24">
        <f t="shared" ca="1" si="473"/>
        <v>0</v>
      </c>
      <c r="BP497" s="25">
        <f t="shared" ca="1" si="474"/>
        <v>0</v>
      </c>
      <c r="BQ497" s="34">
        <f t="shared" ca="1" si="475"/>
        <v>60540</v>
      </c>
      <c r="BR497" s="23">
        <f t="shared" ca="1" si="476"/>
        <v>149515.70871155022</v>
      </c>
      <c r="BS497" s="24">
        <f t="shared" ca="1" si="477"/>
        <v>0</v>
      </c>
      <c r="BT497" s="24">
        <f t="shared" ca="1" si="482"/>
        <v>0</v>
      </c>
      <c r="BU497" s="24">
        <f t="shared" ca="1" si="478"/>
        <v>0</v>
      </c>
      <c r="BV497" s="24">
        <f t="shared" ca="1" si="483"/>
        <v>0</v>
      </c>
      <c r="BW497" s="24">
        <f t="shared" ca="1" si="479"/>
        <v>-2383.8328945113726</v>
      </c>
      <c r="BX497" s="25">
        <f t="shared" ca="1" si="484"/>
        <v>-28851.63757319457</v>
      </c>
      <c r="BY497" s="23">
        <f t="shared" ca="1" si="451"/>
        <v>30141.07949389151</v>
      </c>
      <c r="BZ497" s="24">
        <f t="shared" ca="1" si="452"/>
        <v>0</v>
      </c>
      <c r="CA497" s="24">
        <f t="shared" ca="1" si="485"/>
        <v>0</v>
      </c>
      <c r="CB497" s="24">
        <f t="shared" ca="1" si="453"/>
        <v>0</v>
      </c>
      <c r="CC497" s="24">
        <f t="shared" ca="1" si="486"/>
        <v>0</v>
      </c>
      <c r="CD497" s="24">
        <f t="shared" ca="1" si="454"/>
        <v>-482.13341489985146</v>
      </c>
      <c r="CE497" s="25">
        <f t="shared" ca="1" si="487"/>
        <v>-5942.4194780180596</v>
      </c>
      <c r="CF497" s="23">
        <f t="shared" ca="1" si="488"/>
        <v>1305635.4251719601</v>
      </c>
      <c r="CG497" s="25">
        <f t="array" aca="1" ref="CG497" ca="1">SUM(BF486:BF497/(1+inflation/100)^(AP486:AP497/12))</f>
        <v>267980.53702225385</v>
      </c>
      <c r="CH497" s="32">
        <f ca="1">IFERROR(IF(MOD(AP497-ap_months_since_start,12)=0,ap_drawdown/100*(AQ497+AV497+BA497-BC497),CH496),0)</f>
        <v>25123.27563668165</v>
      </c>
    </row>
    <row r="498" spans="40:86" x14ac:dyDescent="0.25">
      <c r="AN498" s="32">
        <f t="shared" ca="1" si="449"/>
        <v>95.75</v>
      </c>
      <c r="AO498" s="53">
        <f t="shared" ca="1" si="480"/>
        <v>60541</v>
      </c>
      <c r="AP498" s="22">
        <v>491</v>
      </c>
      <c r="AQ498" s="32">
        <f t="shared" ca="1" si="481"/>
        <v>149515.70871155022</v>
      </c>
      <c r="AR498" s="23">
        <f t="array" aca="1" ref="AR498" ca="1">SUM(IF(lsc_start_date=AO498,lsc_amount,0))</f>
        <v>0</v>
      </c>
      <c r="AS498" s="24">
        <f t="shared" ca="1" si="455"/>
        <v>0</v>
      </c>
      <c r="AT498" s="24">
        <f t="shared" ca="1" si="456"/>
        <v>0</v>
      </c>
      <c r="AU498" s="24">
        <f t="shared" ca="1" si="457"/>
        <v>0</v>
      </c>
      <c r="AV498" s="25">
        <f t="shared" ca="1" si="458"/>
        <v>0</v>
      </c>
      <c r="AW498" s="23">
        <f t="array" aca="1" ref="AW498" ca="1">SUM(IF(rcs_start_date&lt;=AO498,1,0)*IF(rcs_end_date&gt;=AO498,1,0)*rcs_amount*(1+rcs_escalation/100)^(INT((AP498-rcs_months_since_start)/12))*IF(MOD((AP498-rcs_months_since_start),rcs_frequency)=0,1,0)*IF(rcs_frequency=13,0,1))+SUM(IF(rcs_start_date=AO498,rcs_amount,0)*IF(rcs_frequency=13,1,0))</f>
        <v>0</v>
      </c>
      <c r="AX498" s="24">
        <f t="shared" ca="1" si="459"/>
        <v>0</v>
      </c>
      <c r="AY498" s="24">
        <f t="shared" ca="1" si="460"/>
        <v>0</v>
      </c>
      <c r="AZ498" s="24">
        <f t="shared" ca="1" si="461"/>
        <v>0</v>
      </c>
      <c r="BA498" s="25">
        <f t="shared" ca="1" si="462"/>
        <v>0</v>
      </c>
      <c r="BB498" s="23">
        <f t="array" aca="1" ref="BB498" ca="1">SUM(IF(w_start_date&lt;=AO498,1,0)*IF(w_end_date&gt;=AO498,1,0)*w_amount*(1+w_escalation/100)^(INT((AP498-w_months_since_start)/12))*IF(MOD(AP498-w_months_since_start,w_frequency)=0,1,0)*IF(w_frequency=13,0,1))+SUM(IF(w_start_date=AO498,w_amount,0)*IF(w_frequency=13,1,0))</f>
        <v>0</v>
      </c>
      <c r="BC498" s="25">
        <f t="shared" ca="1" si="463"/>
        <v>0</v>
      </c>
      <c r="BD498" s="24" t="b">
        <f t="shared" ca="1" si="464"/>
        <v>1</v>
      </c>
      <c r="BE498" s="24" t="b">
        <f t="shared" ca="1" si="465"/>
        <v>1</v>
      </c>
      <c r="BF498" s="23">
        <f t="array" aca="1" ref="BF498" ca="1">SUM(IF(BD498,1,0)*IF(ap_start_date&lt;=AO498,1,0)*IF(ap_end_date&gt;=AO498,1,0)*ap_amount*(1+ap_escalation/100)^(INT((AP498-ap_months_since_start)/12))*IF(MOD(AP498-ap_months_since_start,ap_frequency)=0,1,0))</f>
        <v>109152.80081823461</v>
      </c>
      <c r="BG498" s="24">
        <f t="shared" ca="1" si="466"/>
        <v>1309833.6098188153</v>
      </c>
      <c r="BH498" s="24">
        <f t="shared" ca="1" si="467"/>
        <v>4086.5706763052099</v>
      </c>
      <c r="BI498">
        <f t="shared" ca="1" si="468"/>
        <v>0</v>
      </c>
      <c r="BJ498" s="24">
        <f t="shared" ca="1" si="469"/>
        <v>28605.994734136468</v>
      </c>
      <c r="BK498">
        <f t="shared" ca="1" si="470"/>
        <v>1</v>
      </c>
      <c r="BL498" s="25">
        <f t="shared" ca="1" si="471"/>
        <v>2383.8328945113726</v>
      </c>
      <c r="BM498" s="32">
        <f t="shared" ca="1" si="450"/>
        <v>148192.30281616191</v>
      </c>
      <c r="BN498" s="23">
        <f t="shared" ca="1" si="472"/>
        <v>0</v>
      </c>
      <c r="BO498" s="24">
        <f t="shared" ca="1" si="473"/>
        <v>0</v>
      </c>
      <c r="BP498" s="25">
        <f t="shared" ca="1" si="474"/>
        <v>0</v>
      </c>
      <c r="BQ498" s="34">
        <f t="shared" ca="1" si="475"/>
        <v>60571</v>
      </c>
      <c r="BR498" s="23">
        <f t="shared" ca="1" si="476"/>
        <v>148192.30281616191</v>
      </c>
      <c r="BS498" s="24">
        <f t="shared" ca="1" si="477"/>
        <v>0</v>
      </c>
      <c r="BT498" s="24">
        <f t="shared" ca="1" si="482"/>
        <v>0</v>
      </c>
      <c r="BU498" s="24">
        <f t="shared" ca="1" si="478"/>
        <v>0</v>
      </c>
      <c r="BV498" s="24">
        <f t="shared" ca="1" si="483"/>
        <v>0</v>
      </c>
      <c r="BW498" s="24">
        <f t="shared" ca="1" si="479"/>
        <v>-2383.8328945113726</v>
      </c>
      <c r="BX498" s="25">
        <f t="shared" ca="1" si="484"/>
        <v>-28605.994734136464</v>
      </c>
      <c r="BY498" s="23">
        <f t="shared" ca="1" si="451"/>
        <v>29776.810730491776</v>
      </c>
      <c r="BZ498" s="24">
        <f t="shared" ca="1" si="452"/>
        <v>0</v>
      </c>
      <c r="CA498" s="24">
        <f t="shared" ca="1" si="485"/>
        <v>0</v>
      </c>
      <c r="CB498" s="24">
        <f t="shared" ca="1" si="453"/>
        <v>0</v>
      </c>
      <c r="CC498" s="24">
        <f t="shared" ca="1" si="486"/>
        <v>0</v>
      </c>
      <c r="CD498" s="24">
        <f t="shared" ca="1" si="454"/>
        <v>-480.56018590152462</v>
      </c>
      <c r="CE498" s="25">
        <f t="shared" ca="1" si="487"/>
        <v>-5871.6968100469876</v>
      </c>
      <c r="CF498" s="23">
        <f t="shared" ca="1" si="488"/>
        <v>1309833.6098188153</v>
      </c>
      <c r="CG498" s="25">
        <f t="array" aca="1" ref="CG498" ca="1">SUM(BF487:BF498/(1+inflation/100)^(AP487:AP498/12))</f>
        <v>267980.53702225385</v>
      </c>
      <c r="CH498" s="32">
        <f ca="1">IFERROR(IF(MOD(AP498-ap_months_since_start,12)=0,ap_drawdown/100*(AQ498+AV498+BA498-BC498),CH497),0)</f>
        <v>25123.27563668165</v>
      </c>
    </row>
    <row r="499" spans="40:86" x14ac:dyDescent="0.25">
      <c r="AN499" s="32">
        <f t="shared" ca="1" si="449"/>
        <v>95.833333333333329</v>
      </c>
      <c r="AO499" s="53">
        <f t="shared" ca="1" si="480"/>
        <v>60572</v>
      </c>
      <c r="AP499" s="22">
        <v>492</v>
      </c>
      <c r="AQ499" s="32">
        <f t="shared" ca="1" si="481"/>
        <v>148192.30281616191</v>
      </c>
      <c r="AR499" s="23">
        <f t="array" aca="1" ref="AR499" ca="1">SUM(IF(lsc_start_date=AO499,lsc_amount,0))</f>
        <v>0</v>
      </c>
      <c r="AS499" s="24">
        <f t="shared" ca="1" si="455"/>
        <v>0</v>
      </c>
      <c r="AT499" s="24">
        <f t="shared" ca="1" si="456"/>
        <v>0</v>
      </c>
      <c r="AU499" s="24">
        <f t="shared" ca="1" si="457"/>
        <v>0</v>
      </c>
      <c r="AV499" s="25">
        <f t="shared" ca="1" si="458"/>
        <v>0</v>
      </c>
      <c r="AW499" s="23">
        <f t="array" aca="1" ref="AW499" ca="1">SUM(IF(rcs_start_date&lt;=AO499,1,0)*IF(rcs_end_date&gt;=AO499,1,0)*rcs_amount*(1+rcs_escalation/100)^(INT((AP499-rcs_months_since_start)/12))*IF(MOD((AP499-rcs_months_since_start),rcs_frequency)=0,1,0)*IF(rcs_frequency=13,0,1))+SUM(IF(rcs_start_date=AO499,rcs_amount,0)*IF(rcs_frequency=13,1,0))</f>
        <v>0</v>
      </c>
      <c r="AX499" s="24">
        <f t="shared" ca="1" si="459"/>
        <v>0</v>
      </c>
      <c r="AY499" s="24">
        <f t="shared" ca="1" si="460"/>
        <v>0</v>
      </c>
      <c r="AZ499" s="24">
        <f t="shared" ca="1" si="461"/>
        <v>0</v>
      </c>
      <c r="BA499" s="25">
        <f t="shared" ca="1" si="462"/>
        <v>0</v>
      </c>
      <c r="BB499" s="23">
        <f t="array" aca="1" ref="BB499" ca="1">SUM(IF(w_start_date&lt;=AO499,1,0)*IF(w_end_date&gt;=AO499,1,0)*w_amount*(1+w_escalation/100)^(INT((AP499-w_months_since_start)/12))*IF(MOD(AP499-w_months_since_start,w_frequency)=0,1,0)*IF(w_frequency=13,0,1))+SUM(IF(w_start_date=AO499,w_amount,0)*IF(w_frequency=13,1,0))</f>
        <v>0</v>
      </c>
      <c r="BC499" s="25">
        <f t="shared" ca="1" si="463"/>
        <v>0</v>
      </c>
      <c r="BD499" s="24" t="b">
        <f t="shared" ca="1" si="464"/>
        <v>1</v>
      </c>
      <c r="BE499" s="24" t="b">
        <f t="shared" ca="1" si="465"/>
        <v>1</v>
      </c>
      <c r="BF499" s="23">
        <f t="array" aca="1" ref="BF499" ca="1">SUM(IF(BD499,1,0)*IF(ap_start_date&lt;=AO499,1,0)*IF(ap_end_date&gt;=AO499,1,0)*ap_amount*(1+ap_escalation/100)^(INT((AP499-ap_months_since_start)/12))*IF(MOD(AP499-ap_months_since_start,ap_frequency)=0,1,0))</f>
        <v>113518.91285096398</v>
      </c>
      <c r="BG499" s="24">
        <f t="shared" ca="1" si="466"/>
        <v>1362226.9542115675</v>
      </c>
      <c r="BH499" s="24">
        <f t="shared" ca="1" si="467"/>
        <v>3704.807570404048</v>
      </c>
      <c r="BI499">
        <f t="shared" ca="1" si="468"/>
        <v>0</v>
      </c>
      <c r="BJ499" s="24">
        <f t="shared" ca="1" si="469"/>
        <v>25933.652992828334</v>
      </c>
      <c r="BK499">
        <f t="shared" ca="1" si="470"/>
        <v>1</v>
      </c>
      <c r="BL499" s="25">
        <f t="shared" ca="1" si="471"/>
        <v>2161.1377494023618</v>
      </c>
      <c r="BM499" s="32">
        <f t="shared" ca="1" si="450"/>
        <v>147083.65888762783</v>
      </c>
      <c r="BN499" s="23">
        <f t="shared" ca="1" si="472"/>
        <v>0</v>
      </c>
      <c r="BO499" s="24">
        <f t="shared" ca="1" si="473"/>
        <v>0</v>
      </c>
      <c r="BP499" s="25">
        <f t="shared" ca="1" si="474"/>
        <v>0</v>
      </c>
      <c r="BQ499" s="34">
        <f t="shared" ca="1" si="475"/>
        <v>60601</v>
      </c>
      <c r="BR499" s="23">
        <f t="shared" ca="1" si="476"/>
        <v>147083.65888762783</v>
      </c>
      <c r="BS499" s="24">
        <f t="shared" ca="1" si="477"/>
        <v>0</v>
      </c>
      <c r="BT499" s="24">
        <f t="shared" ca="1" si="482"/>
        <v>0</v>
      </c>
      <c r="BU499" s="24">
        <f t="shared" ca="1" si="478"/>
        <v>0</v>
      </c>
      <c r="BV499" s="24">
        <f t="shared" ca="1" si="483"/>
        <v>0</v>
      </c>
      <c r="BW499" s="24">
        <f t="shared" ca="1" si="479"/>
        <v>-2161.1377494023618</v>
      </c>
      <c r="BX499" s="25">
        <f t="shared" ca="1" si="484"/>
        <v>-28383.299589027454</v>
      </c>
      <c r="BY499" s="23">
        <f t="shared" ca="1" si="451"/>
        <v>29457.610380032591</v>
      </c>
      <c r="BZ499" s="24">
        <f t="shared" ca="1" si="452"/>
        <v>0</v>
      </c>
      <c r="CA499" s="24">
        <f t="shared" ca="1" si="485"/>
        <v>0</v>
      </c>
      <c r="CB499" s="24">
        <f t="shared" ca="1" si="453"/>
        <v>0</v>
      </c>
      <c r="CC499" s="24">
        <f t="shared" ca="1" si="486"/>
        <v>0</v>
      </c>
      <c r="CD499" s="24">
        <f t="shared" ca="1" si="454"/>
        <v>-434.24515648633849</v>
      </c>
      <c r="CE499" s="25">
        <f t="shared" ca="1" si="487"/>
        <v>-5807.7901924760445</v>
      </c>
      <c r="CF499" s="23">
        <f t="shared" ca="1" si="488"/>
        <v>1314199.7218515445</v>
      </c>
      <c r="CG499" s="25">
        <f t="array" aca="1" ref="CG499" ca="1">SUM(BF488:BF499/(1+inflation/100)^(AP488:AP499/12))</f>
        <v>267980.53702225379</v>
      </c>
      <c r="CH499" s="32">
        <f ca="1">IFERROR(IF(MOD(AP499-ap_months_since_start,12)=0,ap_drawdown/100*(AQ499+AV499+BA499-BC499),CH498),0)</f>
        <v>22776.28582610967</v>
      </c>
    </row>
    <row r="500" spans="40:86" x14ac:dyDescent="0.25">
      <c r="AN500" s="32">
        <f t="shared" ca="1" si="449"/>
        <v>95.916666666666671</v>
      </c>
      <c r="AO500" s="53">
        <f t="shared" ca="1" si="480"/>
        <v>60602</v>
      </c>
      <c r="AP500" s="22">
        <v>493</v>
      </c>
      <c r="AQ500" s="32">
        <f t="shared" ca="1" si="481"/>
        <v>147083.65888762783</v>
      </c>
      <c r="AR500" s="23">
        <f t="array" aca="1" ref="AR500" ca="1">SUM(IF(lsc_start_date=AO500,lsc_amount,0))</f>
        <v>0</v>
      </c>
      <c r="AS500" s="24">
        <f t="shared" ca="1" si="455"/>
        <v>0</v>
      </c>
      <c r="AT500" s="24">
        <f t="shared" ca="1" si="456"/>
        <v>0</v>
      </c>
      <c r="AU500" s="24">
        <f t="shared" ca="1" si="457"/>
        <v>0</v>
      </c>
      <c r="AV500" s="25">
        <f t="shared" ca="1" si="458"/>
        <v>0</v>
      </c>
      <c r="AW500" s="23">
        <f t="array" aca="1" ref="AW500" ca="1">SUM(IF(rcs_start_date&lt;=AO500,1,0)*IF(rcs_end_date&gt;=AO500,1,0)*rcs_amount*(1+rcs_escalation/100)^(INT((AP500-rcs_months_since_start)/12))*IF(MOD((AP500-rcs_months_since_start),rcs_frequency)=0,1,0)*IF(rcs_frequency=13,0,1))+SUM(IF(rcs_start_date=AO500,rcs_amount,0)*IF(rcs_frequency=13,1,0))</f>
        <v>0</v>
      </c>
      <c r="AX500" s="24">
        <f t="shared" ca="1" si="459"/>
        <v>0</v>
      </c>
      <c r="AY500" s="24">
        <f t="shared" ca="1" si="460"/>
        <v>0</v>
      </c>
      <c r="AZ500" s="24">
        <f t="shared" ca="1" si="461"/>
        <v>0</v>
      </c>
      <c r="BA500" s="25">
        <f t="shared" ca="1" si="462"/>
        <v>0</v>
      </c>
      <c r="BB500" s="23">
        <f t="array" aca="1" ref="BB500" ca="1">SUM(IF(w_start_date&lt;=AO500,1,0)*IF(w_end_date&gt;=AO500,1,0)*w_amount*(1+w_escalation/100)^(INT((AP500-w_months_since_start)/12))*IF(MOD(AP500-w_months_since_start,w_frequency)=0,1,0)*IF(w_frequency=13,0,1))+SUM(IF(w_start_date=AO500,w_amount,0)*IF(w_frequency=13,1,0))</f>
        <v>0</v>
      </c>
      <c r="BC500" s="25">
        <f t="shared" ca="1" si="463"/>
        <v>0</v>
      </c>
      <c r="BD500" s="24" t="b">
        <f t="shared" ca="1" si="464"/>
        <v>1</v>
      </c>
      <c r="BE500" s="24" t="b">
        <f t="shared" ca="1" si="465"/>
        <v>1</v>
      </c>
      <c r="BF500" s="23">
        <f t="array" aca="1" ref="BF500" ca="1">SUM(IF(BD500,1,0)*IF(ap_start_date&lt;=AO500,1,0)*IF(ap_end_date&gt;=AO500,1,0)*ap_amount*(1+ap_escalation/100)^(INT((AP500-ap_months_since_start)/12))*IF(MOD(AP500-ap_months_since_start,ap_frequency)=0,1,0))</f>
        <v>113518.91285096398</v>
      </c>
      <c r="BG500" s="24">
        <f t="shared" ca="1" si="466"/>
        <v>1362226.9542115675</v>
      </c>
      <c r="BH500" s="24">
        <f t="shared" ca="1" si="467"/>
        <v>3704.807570404048</v>
      </c>
      <c r="BI500">
        <f t="shared" ca="1" si="468"/>
        <v>0</v>
      </c>
      <c r="BJ500" s="24">
        <f t="shared" ca="1" si="469"/>
        <v>25933.652992828334</v>
      </c>
      <c r="BK500">
        <f t="shared" ca="1" si="470"/>
        <v>1</v>
      </c>
      <c r="BL500" s="25">
        <f t="shared" ca="1" si="471"/>
        <v>2161.1377494023618</v>
      </c>
      <c r="BM500" s="32">
        <f t="shared" ca="1" si="450"/>
        <v>145967.0246038583</v>
      </c>
      <c r="BN500" s="23">
        <f t="shared" ca="1" si="472"/>
        <v>0</v>
      </c>
      <c r="BO500" s="24">
        <f t="shared" ca="1" si="473"/>
        <v>0</v>
      </c>
      <c r="BP500" s="25">
        <f t="shared" ca="1" si="474"/>
        <v>0</v>
      </c>
      <c r="BQ500" s="34">
        <f t="shared" ca="1" si="475"/>
        <v>60632</v>
      </c>
      <c r="BR500" s="23">
        <f t="shared" ca="1" si="476"/>
        <v>145967.0246038583</v>
      </c>
      <c r="BS500" s="24">
        <f t="shared" ca="1" si="477"/>
        <v>0</v>
      </c>
      <c r="BT500" s="24">
        <f t="shared" ca="1" si="482"/>
        <v>0</v>
      </c>
      <c r="BU500" s="24">
        <f t="shared" ca="1" si="478"/>
        <v>0</v>
      </c>
      <c r="BV500" s="24">
        <f t="shared" ca="1" si="483"/>
        <v>0</v>
      </c>
      <c r="BW500" s="24">
        <f t="shared" ca="1" si="479"/>
        <v>-2161.1377494023618</v>
      </c>
      <c r="BX500" s="25">
        <f t="shared" ca="1" si="484"/>
        <v>-28160.604443918444</v>
      </c>
      <c r="BY500" s="23">
        <f t="shared" ca="1" si="451"/>
        <v>29138.581047863001</v>
      </c>
      <c r="BZ500" s="24">
        <f t="shared" ca="1" si="452"/>
        <v>0</v>
      </c>
      <c r="CA500" s="24">
        <f t="shared" ca="1" si="485"/>
        <v>0</v>
      </c>
      <c r="CB500" s="24">
        <f t="shared" ca="1" si="453"/>
        <v>0</v>
      </c>
      <c r="CC500" s="24">
        <f t="shared" ca="1" si="486"/>
        <v>0</v>
      </c>
      <c r="CD500" s="24">
        <f t="shared" ca="1" si="454"/>
        <v>-432.82818962311188</v>
      </c>
      <c r="CE500" s="25">
        <f t="shared" ca="1" si="487"/>
        <v>-5744.0921058652884</v>
      </c>
      <c r="CF500" s="23">
        <f t="shared" ca="1" si="488"/>
        <v>1318565.8338842737</v>
      </c>
      <c r="CG500" s="25">
        <f t="array" aca="1" ref="CG500" ca="1">SUM(BF489:BF500/(1+inflation/100)^(AP489:AP500/12))</f>
        <v>267980.53702225379</v>
      </c>
      <c r="CH500" s="32">
        <f ca="1">IFERROR(IF(MOD(AP500-ap_months_since_start,12)=0,ap_drawdown/100*(AQ500+AV500+BA500-BC500),CH499),0)</f>
        <v>22776.28582610967</v>
      </c>
    </row>
    <row r="501" spans="40:86" x14ac:dyDescent="0.25">
      <c r="AN501" s="32">
        <f t="shared" ca="1" si="449"/>
        <v>96</v>
      </c>
      <c r="AO501" s="53">
        <f t="shared" ca="1" si="480"/>
        <v>60633</v>
      </c>
      <c r="AP501" s="22">
        <v>494</v>
      </c>
      <c r="AQ501" s="32">
        <f t="shared" ca="1" si="481"/>
        <v>145967.0246038583</v>
      </c>
      <c r="AR501" s="23">
        <f t="array" aca="1" ref="AR501" ca="1">SUM(IF(lsc_start_date=AO501,lsc_amount,0))</f>
        <v>0</v>
      </c>
      <c r="AS501" s="24">
        <f t="shared" ca="1" si="455"/>
        <v>0</v>
      </c>
      <c r="AT501" s="24">
        <f t="shared" ca="1" si="456"/>
        <v>0</v>
      </c>
      <c r="AU501" s="24">
        <f t="shared" ca="1" si="457"/>
        <v>0</v>
      </c>
      <c r="AV501" s="25">
        <f t="shared" ca="1" si="458"/>
        <v>0</v>
      </c>
      <c r="AW501" s="23">
        <f t="array" aca="1" ref="AW501" ca="1">SUM(IF(rcs_start_date&lt;=AO501,1,0)*IF(rcs_end_date&gt;=AO501,1,0)*rcs_amount*(1+rcs_escalation/100)^(INT((AP501-rcs_months_since_start)/12))*IF(MOD((AP501-rcs_months_since_start),rcs_frequency)=0,1,0)*IF(rcs_frequency=13,0,1))+SUM(IF(rcs_start_date=AO501,rcs_amount,0)*IF(rcs_frequency=13,1,0))</f>
        <v>0</v>
      </c>
      <c r="AX501" s="24">
        <f t="shared" ca="1" si="459"/>
        <v>0</v>
      </c>
      <c r="AY501" s="24">
        <f t="shared" ca="1" si="460"/>
        <v>0</v>
      </c>
      <c r="AZ501" s="24">
        <f t="shared" ca="1" si="461"/>
        <v>0</v>
      </c>
      <c r="BA501" s="25">
        <f t="shared" ca="1" si="462"/>
        <v>0</v>
      </c>
      <c r="BB501" s="23">
        <f t="array" aca="1" ref="BB501" ca="1">SUM(IF(w_start_date&lt;=AO501,1,0)*IF(w_end_date&gt;=AO501,1,0)*w_amount*(1+w_escalation/100)^(INT((AP501-w_months_since_start)/12))*IF(MOD(AP501-w_months_since_start,w_frequency)=0,1,0)*IF(w_frequency=13,0,1))+SUM(IF(w_start_date=AO501,w_amount,0)*IF(w_frequency=13,1,0))</f>
        <v>0</v>
      </c>
      <c r="BC501" s="25">
        <f t="shared" ca="1" si="463"/>
        <v>0</v>
      </c>
      <c r="BD501" s="24" t="b">
        <f t="shared" ca="1" si="464"/>
        <v>1</v>
      </c>
      <c r="BE501" s="24" t="b">
        <f t="shared" ca="1" si="465"/>
        <v>1</v>
      </c>
      <c r="BF501" s="23">
        <f t="array" aca="1" ref="BF501" ca="1">SUM(IF(BD501,1,0)*IF(ap_start_date&lt;=AO501,1,0)*IF(ap_end_date&gt;=AO501,1,0)*ap_amount*(1+ap_escalation/100)^(INT((AP501-ap_months_since_start)/12))*IF(MOD(AP501-ap_months_since_start,ap_frequency)=0,1,0))</f>
        <v>113518.91285096398</v>
      </c>
      <c r="BG501" s="24">
        <f t="shared" ca="1" si="466"/>
        <v>1362226.9542115675</v>
      </c>
      <c r="BH501" s="24">
        <f t="shared" ca="1" si="467"/>
        <v>3704.807570404048</v>
      </c>
      <c r="BI501">
        <f t="shared" ca="1" si="468"/>
        <v>0</v>
      </c>
      <c r="BJ501" s="24">
        <f t="shared" ca="1" si="469"/>
        <v>25933.652992828334</v>
      </c>
      <c r="BK501">
        <f t="shared" ca="1" si="470"/>
        <v>1</v>
      </c>
      <c r="BL501" s="25">
        <f t="shared" ca="1" si="471"/>
        <v>2161.1377494023618</v>
      </c>
      <c r="BM501" s="32">
        <f t="shared" ca="1" si="450"/>
        <v>144842.34237577976</v>
      </c>
      <c r="BN501" s="23">
        <f t="shared" ca="1" si="472"/>
        <v>0</v>
      </c>
      <c r="BO501" s="24">
        <f t="shared" ca="1" si="473"/>
        <v>0</v>
      </c>
      <c r="BP501" s="25">
        <f t="shared" ca="1" si="474"/>
        <v>0</v>
      </c>
      <c r="BQ501" s="34">
        <f t="shared" ca="1" si="475"/>
        <v>60663</v>
      </c>
      <c r="BR501" s="23">
        <f t="shared" ca="1" si="476"/>
        <v>144842.34237577976</v>
      </c>
      <c r="BS501" s="24">
        <f t="shared" ca="1" si="477"/>
        <v>0</v>
      </c>
      <c r="BT501" s="24">
        <f t="shared" ca="1" si="482"/>
        <v>0</v>
      </c>
      <c r="BU501" s="24">
        <f t="shared" ca="1" si="478"/>
        <v>0</v>
      </c>
      <c r="BV501" s="24">
        <f t="shared" ca="1" si="483"/>
        <v>0</v>
      </c>
      <c r="BW501" s="24">
        <f t="shared" ca="1" si="479"/>
        <v>-2161.1377494023618</v>
      </c>
      <c r="BX501" s="25">
        <f t="shared" ca="1" si="484"/>
        <v>-27937.909298809434</v>
      </c>
      <c r="BY501" s="23">
        <f t="shared" ca="1" si="451"/>
        <v>28819.718762730263</v>
      </c>
      <c r="BZ501" s="24">
        <f t="shared" ca="1" si="452"/>
        <v>0</v>
      </c>
      <c r="CA501" s="24">
        <f t="shared" ca="1" si="485"/>
        <v>0</v>
      </c>
      <c r="CB501" s="24">
        <f t="shared" ca="1" si="453"/>
        <v>0</v>
      </c>
      <c r="CC501" s="24">
        <f t="shared" ca="1" si="486"/>
        <v>0</v>
      </c>
      <c r="CD501" s="24">
        <f t="shared" ca="1" si="454"/>
        <v>-431.41584640406808</v>
      </c>
      <c r="CE501" s="25">
        <f t="shared" ca="1" si="487"/>
        <v>-5680.6018697662321</v>
      </c>
      <c r="CF501" s="23">
        <f t="shared" ca="1" si="488"/>
        <v>1322931.9459170031</v>
      </c>
      <c r="CG501" s="25">
        <f t="array" aca="1" ref="CG501" ca="1">SUM(BF490:BF501/(1+inflation/100)^(AP490:AP501/12))</f>
        <v>267980.53702225379</v>
      </c>
      <c r="CH501" s="32">
        <f ca="1">IFERROR(IF(MOD(AP501-ap_months_since_start,12)=0,ap_drawdown/100*(AQ501+AV501+BA501-BC501),CH500),0)</f>
        <v>22776.28582610967</v>
      </c>
    </row>
    <row r="502" spans="40:86" x14ac:dyDescent="0.25">
      <c r="AN502" s="32">
        <f t="shared" ca="1" si="449"/>
        <v>96.083333333333329</v>
      </c>
      <c r="AO502" s="53">
        <f t="shared" ca="1" si="480"/>
        <v>60664</v>
      </c>
      <c r="AP502" s="22">
        <v>495</v>
      </c>
      <c r="AQ502" s="32">
        <f t="shared" ca="1" si="481"/>
        <v>144842.34237577976</v>
      </c>
      <c r="AR502" s="23">
        <f t="array" aca="1" ref="AR502" ca="1">SUM(IF(lsc_start_date=AO502,lsc_amount,0))</f>
        <v>0</v>
      </c>
      <c r="AS502" s="24">
        <f t="shared" ca="1" si="455"/>
        <v>0</v>
      </c>
      <c r="AT502" s="24">
        <f t="shared" ca="1" si="456"/>
        <v>0</v>
      </c>
      <c r="AU502" s="24">
        <f t="shared" ca="1" si="457"/>
        <v>0</v>
      </c>
      <c r="AV502" s="25">
        <f t="shared" ca="1" si="458"/>
        <v>0</v>
      </c>
      <c r="AW502" s="23">
        <f t="array" aca="1" ref="AW502" ca="1">SUM(IF(rcs_start_date&lt;=AO502,1,0)*IF(rcs_end_date&gt;=AO502,1,0)*rcs_amount*(1+rcs_escalation/100)^(INT((AP502-rcs_months_since_start)/12))*IF(MOD((AP502-rcs_months_since_start),rcs_frequency)=0,1,0)*IF(rcs_frequency=13,0,1))+SUM(IF(rcs_start_date=AO502,rcs_amount,0)*IF(rcs_frequency=13,1,0))</f>
        <v>0</v>
      </c>
      <c r="AX502" s="24">
        <f t="shared" ca="1" si="459"/>
        <v>0</v>
      </c>
      <c r="AY502" s="24">
        <f t="shared" ca="1" si="460"/>
        <v>0</v>
      </c>
      <c r="AZ502" s="24">
        <f t="shared" ca="1" si="461"/>
        <v>0</v>
      </c>
      <c r="BA502" s="25">
        <f t="shared" ca="1" si="462"/>
        <v>0</v>
      </c>
      <c r="BB502" s="23">
        <f t="array" aca="1" ref="BB502" ca="1">SUM(IF(w_start_date&lt;=AO502,1,0)*IF(w_end_date&gt;=AO502,1,0)*w_amount*(1+w_escalation/100)^(INT((AP502-w_months_since_start)/12))*IF(MOD(AP502-w_months_since_start,w_frequency)=0,1,0)*IF(w_frequency=13,0,1))+SUM(IF(w_start_date=AO502,w_amount,0)*IF(w_frequency=13,1,0))</f>
        <v>0</v>
      </c>
      <c r="BC502" s="25">
        <f t="shared" ca="1" si="463"/>
        <v>0</v>
      </c>
      <c r="BD502" s="24" t="b">
        <f t="shared" ca="1" si="464"/>
        <v>1</v>
      </c>
      <c r="BE502" s="24" t="b">
        <f t="shared" ca="1" si="465"/>
        <v>1</v>
      </c>
      <c r="BF502" s="23">
        <f t="array" aca="1" ref="BF502" ca="1">SUM(IF(BD502,1,0)*IF(ap_start_date&lt;=AO502,1,0)*IF(ap_end_date&gt;=AO502,1,0)*ap_amount*(1+ap_escalation/100)^(INT((AP502-ap_months_since_start)/12))*IF(MOD(AP502-ap_months_since_start,ap_frequency)=0,1,0))</f>
        <v>113518.91285096398</v>
      </c>
      <c r="BG502" s="24">
        <f t="shared" ca="1" si="466"/>
        <v>1362226.9542115675</v>
      </c>
      <c r="BH502" s="24">
        <f t="shared" ca="1" si="467"/>
        <v>3704.807570404048</v>
      </c>
      <c r="BI502">
        <f t="shared" ca="1" si="468"/>
        <v>0</v>
      </c>
      <c r="BJ502" s="24">
        <f t="shared" ca="1" si="469"/>
        <v>25933.652992828334</v>
      </c>
      <c r="BK502">
        <f t="shared" ca="1" si="470"/>
        <v>1</v>
      </c>
      <c r="BL502" s="25">
        <f t="shared" ca="1" si="471"/>
        <v>2161.1377494023618</v>
      </c>
      <c r="BM502" s="32">
        <f t="shared" ca="1" si="450"/>
        <v>143709.55419925554</v>
      </c>
      <c r="BN502" s="23">
        <f t="shared" ca="1" si="472"/>
        <v>0</v>
      </c>
      <c r="BO502" s="24">
        <f t="shared" ca="1" si="473"/>
        <v>0</v>
      </c>
      <c r="BP502" s="25">
        <f t="shared" ca="1" si="474"/>
        <v>0</v>
      </c>
      <c r="BQ502" s="34">
        <f t="shared" ca="1" si="475"/>
        <v>60691</v>
      </c>
      <c r="BR502" s="23">
        <f t="shared" ca="1" si="476"/>
        <v>143709.55419925554</v>
      </c>
      <c r="BS502" s="24">
        <f t="shared" ca="1" si="477"/>
        <v>0</v>
      </c>
      <c r="BT502" s="24">
        <f t="shared" ca="1" si="482"/>
        <v>0</v>
      </c>
      <c r="BU502" s="24">
        <f t="shared" ca="1" si="478"/>
        <v>0</v>
      </c>
      <c r="BV502" s="24">
        <f t="shared" ca="1" si="483"/>
        <v>0</v>
      </c>
      <c r="BW502" s="24">
        <f t="shared" ca="1" si="479"/>
        <v>-2161.1377494023618</v>
      </c>
      <c r="BX502" s="25">
        <f t="shared" ca="1" si="484"/>
        <v>-27715.214153700425</v>
      </c>
      <c r="BY502" s="23">
        <f t="shared" ca="1" si="451"/>
        <v>28501.019552957765</v>
      </c>
      <c r="BZ502" s="24">
        <f t="shared" ca="1" si="452"/>
        <v>0</v>
      </c>
      <c r="CA502" s="24">
        <f t="shared" ca="1" si="485"/>
        <v>0</v>
      </c>
      <c r="CB502" s="24">
        <f t="shared" ca="1" si="453"/>
        <v>0</v>
      </c>
      <c r="CC502" s="24">
        <f t="shared" ca="1" si="486"/>
        <v>0</v>
      </c>
      <c r="CD502" s="24">
        <f t="shared" ca="1" si="454"/>
        <v>-430.00811174199021</v>
      </c>
      <c r="CE502" s="25">
        <f t="shared" ca="1" si="487"/>
        <v>-5617.3188059507274</v>
      </c>
      <c r="CF502" s="23">
        <f t="shared" ca="1" si="488"/>
        <v>1327298.0579497325</v>
      </c>
      <c r="CG502" s="25">
        <f t="array" aca="1" ref="CG502" ca="1">SUM(BF491:BF502/(1+inflation/100)^(AP491:AP502/12))</f>
        <v>267980.53702225385</v>
      </c>
      <c r="CH502" s="32">
        <f ca="1">IFERROR(IF(MOD(AP502-ap_months_since_start,12)=0,ap_drawdown/100*(AQ502+AV502+BA502-BC502),CH501),0)</f>
        <v>22776.28582610967</v>
      </c>
    </row>
    <row r="503" spans="40:86" x14ac:dyDescent="0.25">
      <c r="AN503" s="32">
        <f t="shared" ca="1" si="449"/>
        <v>96.166666666666671</v>
      </c>
      <c r="AO503" s="53">
        <f t="shared" ca="1" si="480"/>
        <v>60692</v>
      </c>
      <c r="AP503" s="22">
        <v>496</v>
      </c>
      <c r="AQ503" s="32">
        <f t="shared" ca="1" si="481"/>
        <v>143709.55419925554</v>
      </c>
      <c r="AR503" s="23">
        <f t="array" aca="1" ref="AR503" ca="1">SUM(IF(lsc_start_date=AO503,lsc_amount,0))</f>
        <v>0</v>
      </c>
      <c r="AS503" s="24">
        <f t="shared" ca="1" si="455"/>
        <v>0</v>
      </c>
      <c r="AT503" s="24">
        <f t="shared" ca="1" si="456"/>
        <v>0</v>
      </c>
      <c r="AU503" s="24">
        <f t="shared" ca="1" si="457"/>
        <v>0</v>
      </c>
      <c r="AV503" s="25">
        <f t="shared" ca="1" si="458"/>
        <v>0</v>
      </c>
      <c r="AW503" s="23">
        <f t="array" aca="1" ref="AW503" ca="1">SUM(IF(rcs_start_date&lt;=AO503,1,0)*IF(rcs_end_date&gt;=AO503,1,0)*rcs_amount*(1+rcs_escalation/100)^(INT((AP503-rcs_months_since_start)/12))*IF(MOD((AP503-rcs_months_since_start),rcs_frequency)=0,1,0)*IF(rcs_frequency=13,0,1))+SUM(IF(rcs_start_date=AO503,rcs_amount,0)*IF(rcs_frequency=13,1,0))</f>
        <v>0</v>
      </c>
      <c r="AX503" s="24">
        <f t="shared" ca="1" si="459"/>
        <v>0</v>
      </c>
      <c r="AY503" s="24">
        <f t="shared" ca="1" si="460"/>
        <v>0</v>
      </c>
      <c r="AZ503" s="24">
        <f t="shared" ca="1" si="461"/>
        <v>0</v>
      </c>
      <c r="BA503" s="25">
        <f t="shared" ca="1" si="462"/>
        <v>0</v>
      </c>
      <c r="BB503" s="23">
        <f t="array" aca="1" ref="BB503" ca="1">SUM(IF(w_start_date&lt;=AO503,1,0)*IF(w_end_date&gt;=AO503,1,0)*w_amount*(1+w_escalation/100)^(INT((AP503-w_months_since_start)/12))*IF(MOD(AP503-w_months_since_start,w_frequency)=0,1,0)*IF(w_frequency=13,0,1))+SUM(IF(w_start_date=AO503,w_amount,0)*IF(w_frequency=13,1,0))</f>
        <v>0</v>
      </c>
      <c r="BC503" s="25">
        <f t="shared" ca="1" si="463"/>
        <v>0</v>
      </c>
      <c r="BD503" s="24" t="b">
        <f t="shared" ca="1" si="464"/>
        <v>1</v>
      </c>
      <c r="BE503" s="24" t="b">
        <f t="shared" ca="1" si="465"/>
        <v>1</v>
      </c>
      <c r="BF503" s="23">
        <f t="array" aca="1" ref="BF503" ca="1">SUM(IF(BD503,1,0)*IF(ap_start_date&lt;=AO503,1,0)*IF(ap_end_date&gt;=AO503,1,0)*ap_amount*(1+ap_escalation/100)^(INT((AP503-ap_months_since_start)/12))*IF(MOD(AP503-ap_months_since_start,ap_frequency)=0,1,0))</f>
        <v>113518.91285096398</v>
      </c>
      <c r="BG503" s="24">
        <f t="shared" ca="1" si="466"/>
        <v>1362226.9542115675</v>
      </c>
      <c r="BH503" s="24">
        <f t="shared" ca="1" si="467"/>
        <v>3704.807570404048</v>
      </c>
      <c r="BI503">
        <f t="shared" ca="1" si="468"/>
        <v>0</v>
      </c>
      <c r="BJ503" s="24">
        <f t="shared" ca="1" si="469"/>
        <v>25933.652992828334</v>
      </c>
      <c r="BK503">
        <f t="shared" ca="1" si="470"/>
        <v>1</v>
      </c>
      <c r="BL503" s="25">
        <f t="shared" ca="1" si="471"/>
        <v>2161.1377494023618</v>
      </c>
      <c r="BM503" s="32">
        <f t="shared" ca="1" si="450"/>
        <v>142568.60165209442</v>
      </c>
      <c r="BN503" s="23">
        <f t="shared" ca="1" si="472"/>
        <v>0</v>
      </c>
      <c r="BO503" s="24">
        <f t="shared" ca="1" si="473"/>
        <v>0</v>
      </c>
      <c r="BP503" s="25">
        <f t="shared" ca="1" si="474"/>
        <v>0</v>
      </c>
      <c r="BQ503" s="34">
        <f t="shared" ca="1" si="475"/>
        <v>60722</v>
      </c>
      <c r="BR503" s="23">
        <f t="shared" ca="1" si="476"/>
        <v>142568.60165209442</v>
      </c>
      <c r="BS503" s="24">
        <f t="shared" ca="1" si="477"/>
        <v>0</v>
      </c>
      <c r="BT503" s="24">
        <f t="shared" ca="1" si="482"/>
        <v>0</v>
      </c>
      <c r="BU503" s="24">
        <f t="shared" ca="1" si="478"/>
        <v>0</v>
      </c>
      <c r="BV503" s="24">
        <f t="shared" ca="1" si="483"/>
        <v>0</v>
      </c>
      <c r="BW503" s="24">
        <f t="shared" ca="1" si="479"/>
        <v>-2161.1377494023618</v>
      </c>
      <c r="BX503" s="25">
        <f t="shared" ca="1" si="484"/>
        <v>-27492.519008591415</v>
      </c>
      <c r="BY503" s="23">
        <f t="shared" ca="1" si="451"/>
        <v>28182.479446393903</v>
      </c>
      <c r="BZ503" s="24">
        <f t="shared" ca="1" si="452"/>
        <v>0</v>
      </c>
      <c r="CA503" s="24">
        <f t="shared" ca="1" si="485"/>
        <v>0</v>
      </c>
      <c r="CB503" s="24">
        <f t="shared" ca="1" si="453"/>
        <v>0</v>
      </c>
      <c r="CC503" s="24">
        <f t="shared" ca="1" si="486"/>
        <v>0</v>
      </c>
      <c r="CD503" s="24">
        <f t="shared" ca="1" si="454"/>
        <v>-428.60497059889235</v>
      </c>
      <c r="CE503" s="25">
        <f t="shared" ca="1" si="487"/>
        <v>-5554.2422384037263</v>
      </c>
      <c r="CF503" s="23">
        <f t="shared" ca="1" si="488"/>
        <v>1331664.169982462</v>
      </c>
      <c r="CG503" s="25">
        <f t="array" aca="1" ref="CG503" ca="1">SUM(BF492:BF503/(1+inflation/100)^(AP492:AP503/12))</f>
        <v>267980.53702225385</v>
      </c>
      <c r="CH503" s="32">
        <f ca="1">IFERROR(IF(MOD(AP503-ap_months_since_start,12)=0,ap_drawdown/100*(AQ503+AV503+BA503-BC503),CH502),0)</f>
        <v>22776.28582610967</v>
      </c>
    </row>
    <row r="504" spans="40:86" x14ac:dyDescent="0.25">
      <c r="AN504" s="32">
        <f t="shared" ca="1" si="449"/>
        <v>96.25</v>
      </c>
      <c r="AO504" s="53">
        <f t="shared" ca="1" si="480"/>
        <v>60723</v>
      </c>
      <c r="AP504" s="22">
        <v>497</v>
      </c>
      <c r="AQ504" s="32">
        <f t="shared" ca="1" si="481"/>
        <v>142568.60165209442</v>
      </c>
      <c r="AR504" s="23">
        <f t="array" aca="1" ref="AR504" ca="1">SUM(IF(lsc_start_date=AO504,lsc_amount,0))</f>
        <v>0</v>
      </c>
      <c r="AS504" s="24">
        <f t="shared" ca="1" si="455"/>
        <v>0</v>
      </c>
      <c r="AT504" s="24">
        <f t="shared" ca="1" si="456"/>
        <v>0</v>
      </c>
      <c r="AU504" s="24">
        <f t="shared" ca="1" si="457"/>
        <v>0</v>
      </c>
      <c r="AV504" s="25">
        <f t="shared" ca="1" si="458"/>
        <v>0</v>
      </c>
      <c r="AW504" s="23">
        <f t="array" aca="1" ref="AW504" ca="1">SUM(IF(rcs_start_date&lt;=AO504,1,0)*IF(rcs_end_date&gt;=AO504,1,0)*rcs_amount*(1+rcs_escalation/100)^(INT((AP504-rcs_months_since_start)/12))*IF(MOD((AP504-rcs_months_since_start),rcs_frequency)=0,1,0)*IF(rcs_frequency=13,0,1))+SUM(IF(rcs_start_date=AO504,rcs_amount,0)*IF(rcs_frequency=13,1,0))</f>
        <v>0</v>
      </c>
      <c r="AX504" s="24">
        <f t="shared" ca="1" si="459"/>
        <v>0</v>
      </c>
      <c r="AY504" s="24">
        <f t="shared" ca="1" si="460"/>
        <v>0</v>
      </c>
      <c r="AZ504" s="24">
        <f t="shared" ca="1" si="461"/>
        <v>0</v>
      </c>
      <c r="BA504" s="25">
        <f t="shared" ca="1" si="462"/>
        <v>0</v>
      </c>
      <c r="BB504" s="23">
        <f t="array" aca="1" ref="BB504" ca="1">SUM(IF(w_start_date&lt;=AO504,1,0)*IF(w_end_date&gt;=AO504,1,0)*w_amount*(1+w_escalation/100)^(INT((AP504-w_months_since_start)/12))*IF(MOD(AP504-w_months_since_start,w_frequency)=0,1,0)*IF(w_frequency=13,0,1))+SUM(IF(w_start_date=AO504,w_amount,0)*IF(w_frequency=13,1,0))</f>
        <v>0</v>
      </c>
      <c r="BC504" s="25">
        <f t="shared" ca="1" si="463"/>
        <v>0</v>
      </c>
      <c r="BD504" s="24" t="b">
        <f t="shared" ca="1" si="464"/>
        <v>1</v>
      </c>
      <c r="BE504" s="24" t="b">
        <f t="shared" ca="1" si="465"/>
        <v>1</v>
      </c>
      <c r="BF504" s="23">
        <f t="array" aca="1" ref="BF504" ca="1">SUM(IF(BD504,1,0)*IF(ap_start_date&lt;=AO504,1,0)*IF(ap_end_date&gt;=AO504,1,0)*ap_amount*(1+ap_escalation/100)^(INT((AP504-ap_months_since_start)/12))*IF(MOD(AP504-ap_months_since_start,ap_frequency)=0,1,0))</f>
        <v>113518.91285096398</v>
      </c>
      <c r="BG504" s="24">
        <f t="shared" ca="1" si="466"/>
        <v>1362226.9542115675</v>
      </c>
      <c r="BH504" s="24">
        <f t="shared" ca="1" si="467"/>
        <v>3704.807570404048</v>
      </c>
      <c r="BI504">
        <f t="shared" ca="1" si="468"/>
        <v>0</v>
      </c>
      <c r="BJ504" s="24">
        <f t="shared" ca="1" si="469"/>
        <v>25933.652992828334</v>
      </c>
      <c r="BK504">
        <f t="shared" ca="1" si="470"/>
        <v>1</v>
      </c>
      <c r="BL504" s="25">
        <f t="shared" ca="1" si="471"/>
        <v>2161.1377494023618</v>
      </c>
      <c r="BM504" s="32">
        <f t="shared" ca="1" si="450"/>
        <v>141419.42589103756</v>
      </c>
      <c r="BN504" s="23">
        <f t="shared" ca="1" si="472"/>
        <v>0</v>
      </c>
      <c r="BO504" s="24">
        <f t="shared" ca="1" si="473"/>
        <v>0</v>
      </c>
      <c r="BP504" s="25">
        <f t="shared" ca="1" si="474"/>
        <v>0</v>
      </c>
      <c r="BQ504" s="34">
        <f t="shared" ca="1" si="475"/>
        <v>60752</v>
      </c>
      <c r="BR504" s="23">
        <f t="shared" ca="1" si="476"/>
        <v>141419.42589103756</v>
      </c>
      <c r="BS504" s="24">
        <f t="shared" ca="1" si="477"/>
        <v>0</v>
      </c>
      <c r="BT504" s="24">
        <f t="shared" ca="1" si="482"/>
        <v>0</v>
      </c>
      <c r="BU504" s="24">
        <f t="shared" ca="1" si="478"/>
        <v>0</v>
      </c>
      <c r="BV504" s="24">
        <f t="shared" ca="1" si="483"/>
        <v>0</v>
      </c>
      <c r="BW504" s="24">
        <f t="shared" ca="1" si="479"/>
        <v>-2161.1377494023618</v>
      </c>
      <c r="BX504" s="25">
        <f t="shared" ca="1" si="484"/>
        <v>-27269.823863482405</v>
      </c>
      <c r="BY504" s="23">
        <f t="shared" ca="1" si="451"/>
        <v>27864.094470360938</v>
      </c>
      <c r="BZ504" s="24">
        <f t="shared" ca="1" si="452"/>
        <v>0</v>
      </c>
      <c r="CA504" s="24">
        <f t="shared" ca="1" si="485"/>
        <v>0</v>
      </c>
      <c r="CB504" s="24">
        <f t="shared" ca="1" si="453"/>
        <v>0</v>
      </c>
      <c r="CC504" s="24">
        <f t="shared" ca="1" si="486"/>
        <v>0</v>
      </c>
      <c r="CD504" s="24">
        <f t="shared" ca="1" si="454"/>
        <v>-427.20640798585885</v>
      </c>
      <c r="CE504" s="25">
        <f t="shared" ca="1" si="487"/>
        <v>-5491.3714933160554</v>
      </c>
      <c r="CF504" s="23">
        <f t="shared" ca="1" si="488"/>
        <v>1336030.2820151914</v>
      </c>
      <c r="CG504" s="25">
        <f t="array" aca="1" ref="CG504" ca="1">SUM(BF493:BF504/(1+inflation/100)^(AP493:AP504/12))</f>
        <v>267980.53702225385</v>
      </c>
      <c r="CH504" s="32">
        <f ca="1">IFERROR(IF(MOD(AP504-ap_months_since_start,12)=0,ap_drawdown/100*(AQ504+AV504+BA504-BC504),CH503),0)</f>
        <v>22776.28582610967</v>
      </c>
    </row>
    <row r="505" spans="40:86" x14ac:dyDescent="0.25">
      <c r="AN505" s="32">
        <f t="shared" ca="1" si="449"/>
        <v>96.333333333333329</v>
      </c>
      <c r="AO505" s="53">
        <f t="shared" ca="1" si="480"/>
        <v>60753</v>
      </c>
      <c r="AP505" s="22">
        <v>498</v>
      </c>
      <c r="AQ505" s="32">
        <f t="shared" ca="1" si="481"/>
        <v>141419.42589103756</v>
      </c>
      <c r="AR505" s="23">
        <f t="array" aca="1" ref="AR505" ca="1">SUM(IF(lsc_start_date=AO505,lsc_amount,0))</f>
        <v>0</v>
      </c>
      <c r="AS505" s="24">
        <f t="shared" ca="1" si="455"/>
        <v>0</v>
      </c>
      <c r="AT505" s="24">
        <f t="shared" ca="1" si="456"/>
        <v>0</v>
      </c>
      <c r="AU505" s="24">
        <f t="shared" ca="1" si="457"/>
        <v>0</v>
      </c>
      <c r="AV505" s="25">
        <f t="shared" ca="1" si="458"/>
        <v>0</v>
      </c>
      <c r="AW505" s="23">
        <f t="array" aca="1" ref="AW505" ca="1">SUM(IF(rcs_start_date&lt;=AO505,1,0)*IF(rcs_end_date&gt;=AO505,1,0)*rcs_amount*(1+rcs_escalation/100)^(INT((AP505-rcs_months_since_start)/12))*IF(MOD((AP505-rcs_months_since_start),rcs_frequency)=0,1,0)*IF(rcs_frequency=13,0,1))+SUM(IF(rcs_start_date=AO505,rcs_amount,0)*IF(rcs_frequency=13,1,0))</f>
        <v>0</v>
      </c>
      <c r="AX505" s="24">
        <f t="shared" ca="1" si="459"/>
        <v>0</v>
      </c>
      <c r="AY505" s="24">
        <f t="shared" ca="1" si="460"/>
        <v>0</v>
      </c>
      <c r="AZ505" s="24">
        <f t="shared" ca="1" si="461"/>
        <v>0</v>
      </c>
      <c r="BA505" s="25">
        <f t="shared" ca="1" si="462"/>
        <v>0</v>
      </c>
      <c r="BB505" s="23">
        <f t="array" aca="1" ref="BB505" ca="1">SUM(IF(w_start_date&lt;=AO505,1,0)*IF(w_end_date&gt;=AO505,1,0)*w_amount*(1+w_escalation/100)^(INT((AP505-w_months_since_start)/12))*IF(MOD(AP505-w_months_since_start,w_frequency)=0,1,0)*IF(w_frequency=13,0,1))+SUM(IF(w_start_date=AO505,w_amount,0)*IF(w_frequency=13,1,0))</f>
        <v>0</v>
      </c>
      <c r="BC505" s="25">
        <f t="shared" ca="1" si="463"/>
        <v>0</v>
      </c>
      <c r="BD505" s="24" t="b">
        <f t="shared" ca="1" si="464"/>
        <v>1</v>
      </c>
      <c r="BE505" s="24" t="b">
        <f t="shared" ca="1" si="465"/>
        <v>1</v>
      </c>
      <c r="BF505" s="23">
        <f t="array" aca="1" ref="BF505" ca="1">SUM(IF(BD505,1,0)*IF(ap_start_date&lt;=AO505,1,0)*IF(ap_end_date&gt;=AO505,1,0)*ap_amount*(1+ap_escalation/100)^(INT((AP505-ap_months_since_start)/12))*IF(MOD(AP505-ap_months_since_start,ap_frequency)=0,1,0))</f>
        <v>113518.91285096398</v>
      </c>
      <c r="BG505" s="24">
        <f t="shared" ca="1" si="466"/>
        <v>1362226.9542115675</v>
      </c>
      <c r="BH505" s="24">
        <f t="shared" ca="1" si="467"/>
        <v>3704.807570404048</v>
      </c>
      <c r="BI505">
        <f t="shared" ca="1" si="468"/>
        <v>0</v>
      </c>
      <c r="BJ505" s="24">
        <f t="shared" ca="1" si="469"/>
        <v>25933.652992828334</v>
      </c>
      <c r="BK505">
        <f t="shared" ca="1" si="470"/>
        <v>1</v>
      </c>
      <c r="BL505" s="25">
        <f t="shared" ca="1" si="471"/>
        <v>2161.1377494023618</v>
      </c>
      <c r="BM505" s="32">
        <f t="shared" ca="1" si="450"/>
        <v>140261.96764872369</v>
      </c>
      <c r="BN505" s="23">
        <f t="shared" ca="1" si="472"/>
        <v>0</v>
      </c>
      <c r="BO505" s="24">
        <f t="shared" ca="1" si="473"/>
        <v>0</v>
      </c>
      <c r="BP505" s="25">
        <f t="shared" ca="1" si="474"/>
        <v>0</v>
      </c>
      <c r="BQ505" s="34">
        <f t="shared" ca="1" si="475"/>
        <v>60783</v>
      </c>
      <c r="BR505" s="23">
        <f t="shared" ca="1" si="476"/>
        <v>140261.96764872369</v>
      </c>
      <c r="BS505" s="24">
        <f t="shared" ca="1" si="477"/>
        <v>0</v>
      </c>
      <c r="BT505" s="24">
        <f t="shared" ca="1" si="482"/>
        <v>0</v>
      </c>
      <c r="BU505" s="24">
        <f t="shared" ca="1" si="478"/>
        <v>0</v>
      </c>
      <c r="BV505" s="24">
        <f t="shared" ca="1" si="483"/>
        <v>0</v>
      </c>
      <c r="BW505" s="24">
        <f t="shared" ca="1" si="479"/>
        <v>-2161.1377494023618</v>
      </c>
      <c r="BX505" s="25">
        <f t="shared" ca="1" si="484"/>
        <v>-27047.128718373395</v>
      </c>
      <c r="BY505" s="23">
        <f t="shared" ca="1" si="451"/>
        <v>27545.860651603838</v>
      </c>
      <c r="BZ505" s="24">
        <f t="shared" ca="1" si="452"/>
        <v>0</v>
      </c>
      <c r="CA505" s="24">
        <f t="shared" ca="1" si="485"/>
        <v>0</v>
      </c>
      <c r="CB505" s="24">
        <f t="shared" ca="1" si="453"/>
        <v>0</v>
      </c>
      <c r="CC505" s="24">
        <f t="shared" ca="1" si="486"/>
        <v>0</v>
      </c>
      <c r="CD505" s="24">
        <f t="shared" ca="1" si="454"/>
        <v>-425.81240896288318</v>
      </c>
      <c r="CE505" s="25">
        <f t="shared" ca="1" si="487"/>
        <v>-5428.7058990772184</v>
      </c>
      <c r="CF505" s="23">
        <f t="shared" ca="1" si="488"/>
        <v>1340396.3940479208</v>
      </c>
      <c r="CG505" s="25">
        <f t="array" aca="1" ref="CG505" ca="1">SUM(BF494:BF505/(1+inflation/100)^(AP494:AP505/12))</f>
        <v>267980.53702225379</v>
      </c>
      <c r="CH505" s="32">
        <f ca="1">IFERROR(IF(MOD(AP505-ap_months_since_start,12)=0,ap_drawdown/100*(AQ505+AV505+BA505-BC505),CH504),0)</f>
        <v>22776.28582610967</v>
      </c>
    </row>
    <row r="506" spans="40:86" x14ac:dyDescent="0.25">
      <c r="AN506" s="32">
        <f t="shared" ca="1" si="449"/>
        <v>96.416666666666671</v>
      </c>
      <c r="AO506" s="53">
        <f t="shared" ca="1" si="480"/>
        <v>60784</v>
      </c>
      <c r="AP506" s="22">
        <v>499</v>
      </c>
      <c r="AQ506" s="32">
        <f t="shared" ca="1" si="481"/>
        <v>140261.96764872369</v>
      </c>
      <c r="AR506" s="23">
        <f t="array" aca="1" ref="AR506" ca="1">SUM(IF(lsc_start_date=AO506,lsc_amount,0))</f>
        <v>0</v>
      </c>
      <c r="AS506" s="24">
        <f t="shared" ca="1" si="455"/>
        <v>0</v>
      </c>
      <c r="AT506" s="24">
        <f t="shared" ca="1" si="456"/>
        <v>0</v>
      </c>
      <c r="AU506" s="24">
        <f t="shared" ca="1" si="457"/>
        <v>0</v>
      </c>
      <c r="AV506" s="25">
        <f t="shared" ca="1" si="458"/>
        <v>0</v>
      </c>
      <c r="AW506" s="23">
        <f t="array" aca="1" ref="AW506" ca="1">SUM(IF(rcs_start_date&lt;=AO506,1,0)*IF(rcs_end_date&gt;=AO506,1,0)*rcs_amount*(1+rcs_escalation/100)^(INT((AP506-rcs_months_since_start)/12))*IF(MOD((AP506-rcs_months_since_start),rcs_frequency)=0,1,0)*IF(rcs_frequency=13,0,1))+SUM(IF(rcs_start_date=AO506,rcs_amount,0)*IF(rcs_frequency=13,1,0))</f>
        <v>0</v>
      </c>
      <c r="AX506" s="24">
        <f t="shared" ca="1" si="459"/>
        <v>0</v>
      </c>
      <c r="AY506" s="24">
        <f t="shared" ca="1" si="460"/>
        <v>0</v>
      </c>
      <c r="AZ506" s="24">
        <f t="shared" ca="1" si="461"/>
        <v>0</v>
      </c>
      <c r="BA506" s="25">
        <f t="shared" ca="1" si="462"/>
        <v>0</v>
      </c>
      <c r="BB506" s="23">
        <f t="array" aca="1" ref="BB506" ca="1">SUM(IF(w_start_date&lt;=AO506,1,0)*IF(w_end_date&gt;=AO506,1,0)*w_amount*(1+w_escalation/100)^(INT((AP506-w_months_since_start)/12))*IF(MOD(AP506-w_months_since_start,w_frequency)=0,1,0)*IF(w_frequency=13,0,1))+SUM(IF(w_start_date=AO506,w_amount,0)*IF(w_frequency=13,1,0))</f>
        <v>0</v>
      </c>
      <c r="BC506" s="25">
        <f t="shared" ca="1" si="463"/>
        <v>0</v>
      </c>
      <c r="BD506" s="24" t="b">
        <f t="shared" ca="1" si="464"/>
        <v>1</v>
      </c>
      <c r="BE506" s="24" t="b">
        <f t="shared" ca="1" si="465"/>
        <v>1</v>
      </c>
      <c r="BF506" s="23">
        <f t="array" aca="1" ref="BF506" ca="1">SUM(IF(BD506,1,0)*IF(ap_start_date&lt;=AO506,1,0)*IF(ap_end_date&gt;=AO506,1,0)*ap_amount*(1+ap_escalation/100)^(INT((AP506-ap_months_since_start)/12))*IF(MOD(AP506-ap_months_since_start,ap_frequency)=0,1,0))</f>
        <v>113518.91285096398</v>
      </c>
      <c r="BG506" s="24">
        <f t="shared" ca="1" si="466"/>
        <v>1362226.9542115675</v>
      </c>
      <c r="BH506" s="24">
        <f t="shared" ca="1" si="467"/>
        <v>3704.807570404048</v>
      </c>
      <c r="BI506">
        <f t="shared" ca="1" si="468"/>
        <v>0</v>
      </c>
      <c r="BJ506" s="24">
        <f t="shared" ca="1" si="469"/>
        <v>25933.652992828334</v>
      </c>
      <c r="BK506">
        <f t="shared" ca="1" si="470"/>
        <v>1</v>
      </c>
      <c r="BL506" s="25">
        <f t="shared" ca="1" si="471"/>
        <v>2161.1377494023618</v>
      </c>
      <c r="BM506" s="32">
        <f t="shared" ca="1" si="450"/>
        <v>139096.16723063251</v>
      </c>
      <c r="BN506" s="23">
        <f t="shared" ca="1" si="472"/>
        <v>0</v>
      </c>
      <c r="BO506" s="24">
        <f t="shared" ca="1" si="473"/>
        <v>0</v>
      </c>
      <c r="BP506" s="25">
        <f t="shared" ca="1" si="474"/>
        <v>0</v>
      </c>
      <c r="BQ506" s="34">
        <f t="shared" ca="1" si="475"/>
        <v>60813</v>
      </c>
      <c r="BR506" s="23">
        <f t="shared" ca="1" si="476"/>
        <v>139096.16723063251</v>
      </c>
      <c r="BS506" s="24">
        <f t="shared" ca="1" si="477"/>
        <v>0</v>
      </c>
      <c r="BT506" s="24">
        <f t="shared" ca="1" si="482"/>
        <v>0</v>
      </c>
      <c r="BU506" s="24">
        <f t="shared" ca="1" si="478"/>
        <v>0</v>
      </c>
      <c r="BV506" s="24">
        <f t="shared" ca="1" si="483"/>
        <v>0</v>
      </c>
      <c r="BW506" s="24">
        <f t="shared" ca="1" si="479"/>
        <v>-2161.1377494023618</v>
      </c>
      <c r="BX506" s="25">
        <f t="shared" ca="1" si="484"/>
        <v>-26824.433573264385</v>
      </c>
      <c r="BY506" s="23">
        <f t="shared" ca="1" si="451"/>
        <v>27227.774016239095</v>
      </c>
      <c r="BZ506" s="24">
        <f t="shared" ca="1" si="452"/>
        <v>0</v>
      </c>
      <c r="CA506" s="24">
        <f t="shared" ca="1" si="485"/>
        <v>0</v>
      </c>
      <c r="CB506" s="24">
        <f t="shared" ca="1" si="453"/>
        <v>0</v>
      </c>
      <c r="CC506" s="24">
        <f t="shared" ca="1" si="486"/>
        <v>0</v>
      </c>
      <c r="CD506" s="24">
        <f t="shared" ca="1" si="454"/>
        <v>-424.42295863870902</v>
      </c>
      <c r="CE506" s="25">
        <f t="shared" ca="1" si="487"/>
        <v>-5366.2447862682247</v>
      </c>
      <c r="CF506" s="23">
        <f t="shared" ca="1" si="488"/>
        <v>1344762.50608065</v>
      </c>
      <c r="CG506" s="25">
        <f t="array" aca="1" ref="CG506" ca="1">SUM(BF495:BF506/(1+inflation/100)^(AP495:AP506/12))</f>
        <v>267980.53702225385</v>
      </c>
      <c r="CH506" s="32">
        <f ca="1">IFERROR(IF(MOD(AP506-ap_months_since_start,12)=0,ap_drawdown/100*(AQ506+AV506+BA506-BC506),CH505),0)</f>
        <v>22776.28582610967</v>
      </c>
    </row>
    <row r="507" spans="40:86" x14ac:dyDescent="0.25">
      <c r="AN507" s="32">
        <f t="shared" ca="1" si="449"/>
        <v>96.5</v>
      </c>
      <c r="AO507" s="53">
        <f t="shared" ca="1" si="480"/>
        <v>60814</v>
      </c>
      <c r="AP507" s="22">
        <v>500</v>
      </c>
      <c r="AQ507" s="32">
        <f t="shared" ca="1" si="481"/>
        <v>139096.16723063251</v>
      </c>
      <c r="AR507" s="23">
        <f t="array" aca="1" ref="AR507" ca="1">SUM(IF(lsc_start_date=AO507,lsc_amount,0))</f>
        <v>0</v>
      </c>
      <c r="AS507" s="24">
        <f t="shared" ca="1" si="455"/>
        <v>0</v>
      </c>
      <c r="AT507" s="24">
        <f t="shared" ca="1" si="456"/>
        <v>0</v>
      </c>
      <c r="AU507" s="24">
        <f t="shared" ca="1" si="457"/>
        <v>0</v>
      </c>
      <c r="AV507" s="25">
        <f t="shared" ca="1" si="458"/>
        <v>0</v>
      </c>
      <c r="AW507" s="23">
        <f t="array" aca="1" ref="AW507" ca="1">SUM(IF(rcs_start_date&lt;=AO507,1,0)*IF(rcs_end_date&gt;=AO507,1,0)*rcs_amount*(1+rcs_escalation/100)^(INT((AP507-rcs_months_since_start)/12))*IF(MOD((AP507-rcs_months_since_start),rcs_frequency)=0,1,0)*IF(rcs_frequency=13,0,1))+SUM(IF(rcs_start_date=AO507,rcs_amount,0)*IF(rcs_frequency=13,1,0))</f>
        <v>0</v>
      </c>
      <c r="AX507" s="24">
        <f t="shared" ca="1" si="459"/>
        <v>0</v>
      </c>
      <c r="AY507" s="24">
        <f t="shared" ca="1" si="460"/>
        <v>0</v>
      </c>
      <c r="AZ507" s="24">
        <f t="shared" ca="1" si="461"/>
        <v>0</v>
      </c>
      <c r="BA507" s="25">
        <f t="shared" ca="1" si="462"/>
        <v>0</v>
      </c>
      <c r="BB507" s="23">
        <f t="array" aca="1" ref="BB507" ca="1">SUM(IF(w_start_date&lt;=AO507,1,0)*IF(w_end_date&gt;=AO507,1,0)*w_amount*(1+w_escalation/100)^(INT((AP507-w_months_since_start)/12))*IF(MOD(AP507-w_months_since_start,w_frequency)=0,1,0)*IF(w_frequency=13,0,1))+SUM(IF(w_start_date=AO507,w_amount,0)*IF(w_frequency=13,1,0))</f>
        <v>0</v>
      </c>
      <c r="BC507" s="25">
        <f t="shared" ca="1" si="463"/>
        <v>0</v>
      </c>
      <c r="BD507" s="24" t="b">
        <f t="shared" ca="1" si="464"/>
        <v>1</v>
      </c>
      <c r="BE507" s="24" t="b">
        <f t="shared" ca="1" si="465"/>
        <v>1</v>
      </c>
      <c r="BF507" s="23">
        <f t="array" aca="1" ref="BF507" ca="1">SUM(IF(BD507,1,0)*IF(ap_start_date&lt;=AO507,1,0)*IF(ap_end_date&gt;=AO507,1,0)*ap_amount*(1+ap_escalation/100)^(INT((AP507-ap_months_since_start)/12))*IF(MOD(AP507-ap_months_since_start,ap_frequency)=0,1,0))</f>
        <v>113518.91285096398</v>
      </c>
      <c r="BG507" s="24">
        <f t="shared" ca="1" si="466"/>
        <v>1362226.9542115675</v>
      </c>
      <c r="BH507" s="24">
        <f t="shared" ca="1" si="467"/>
        <v>3704.807570404048</v>
      </c>
      <c r="BI507">
        <f t="shared" ca="1" si="468"/>
        <v>0</v>
      </c>
      <c r="BJ507" s="24">
        <f t="shared" ca="1" si="469"/>
        <v>25933.652992828334</v>
      </c>
      <c r="BK507">
        <f t="shared" ca="1" si="470"/>
        <v>1</v>
      </c>
      <c r="BL507" s="25">
        <f t="shared" ca="1" si="471"/>
        <v>2161.1377494023618</v>
      </c>
      <c r="BM507" s="32">
        <f t="shared" ca="1" si="450"/>
        <v>137921.96451200606</v>
      </c>
      <c r="BN507" s="23">
        <f t="shared" ca="1" si="472"/>
        <v>0</v>
      </c>
      <c r="BO507" s="24">
        <f t="shared" ca="1" si="473"/>
        <v>0</v>
      </c>
      <c r="BP507" s="25">
        <f t="shared" ca="1" si="474"/>
        <v>0</v>
      </c>
      <c r="BQ507" s="34">
        <f t="shared" ca="1" si="475"/>
        <v>60844</v>
      </c>
      <c r="BR507" s="23">
        <f t="shared" ca="1" si="476"/>
        <v>137921.96451200606</v>
      </c>
      <c r="BS507" s="24">
        <f t="shared" ca="1" si="477"/>
        <v>0</v>
      </c>
      <c r="BT507" s="24">
        <f t="shared" ca="1" si="482"/>
        <v>0</v>
      </c>
      <c r="BU507" s="24">
        <f t="shared" ca="1" si="478"/>
        <v>0</v>
      </c>
      <c r="BV507" s="24">
        <f t="shared" ca="1" si="483"/>
        <v>0</v>
      </c>
      <c r="BW507" s="24">
        <f t="shared" ca="1" si="479"/>
        <v>-2161.1377494023618</v>
      </c>
      <c r="BX507" s="25">
        <f t="shared" ca="1" si="484"/>
        <v>-26601.738428155375</v>
      </c>
      <c r="BY507" s="23">
        <f t="shared" ca="1" si="451"/>
        <v>26909.830589703473</v>
      </c>
      <c r="BZ507" s="24">
        <f t="shared" ca="1" si="452"/>
        <v>0</v>
      </c>
      <c r="CA507" s="24">
        <f t="shared" ca="1" si="485"/>
        <v>0</v>
      </c>
      <c r="CB507" s="24">
        <f t="shared" ca="1" si="453"/>
        <v>0</v>
      </c>
      <c r="CC507" s="24">
        <f t="shared" ca="1" si="486"/>
        <v>0</v>
      </c>
      <c r="CD507" s="24">
        <f t="shared" ca="1" si="454"/>
        <v>-423.0380421706713</v>
      </c>
      <c r="CE507" s="25">
        <f t="shared" ca="1" si="487"/>
        <v>-5303.9874876544363</v>
      </c>
      <c r="CF507" s="23">
        <f t="shared" ca="1" si="488"/>
        <v>1349128.6181133795</v>
      </c>
      <c r="CG507" s="25">
        <f t="array" aca="1" ref="CG507" ca="1">SUM(BF496:BF507/(1+inflation/100)^(AP496:AP507/12))</f>
        <v>267980.53702225385</v>
      </c>
      <c r="CH507" s="32">
        <f ca="1">IFERROR(IF(MOD(AP507-ap_months_since_start,12)=0,ap_drawdown/100*(AQ507+AV507+BA507-BC507),CH506),0)</f>
        <v>22776.28582610967</v>
      </c>
    </row>
    <row r="508" spans="40:86" x14ac:dyDescent="0.25">
      <c r="AN508" s="32">
        <f t="shared" ca="1" si="449"/>
        <v>96.583333333333329</v>
      </c>
      <c r="AO508" s="53">
        <f t="shared" ca="1" si="480"/>
        <v>60845</v>
      </c>
      <c r="AP508" s="22">
        <v>501</v>
      </c>
      <c r="AQ508" s="32">
        <f t="shared" ca="1" si="481"/>
        <v>137921.96451200606</v>
      </c>
      <c r="AR508" s="23">
        <f t="array" aca="1" ref="AR508" ca="1">SUM(IF(lsc_start_date=AO508,lsc_amount,0))</f>
        <v>0</v>
      </c>
      <c r="AS508" s="24">
        <f t="shared" ca="1" si="455"/>
        <v>0</v>
      </c>
      <c r="AT508" s="24">
        <f t="shared" ca="1" si="456"/>
        <v>0</v>
      </c>
      <c r="AU508" s="24">
        <f t="shared" ca="1" si="457"/>
        <v>0</v>
      </c>
      <c r="AV508" s="25">
        <f t="shared" ca="1" si="458"/>
        <v>0</v>
      </c>
      <c r="AW508" s="23">
        <f t="array" aca="1" ref="AW508" ca="1">SUM(IF(rcs_start_date&lt;=AO508,1,0)*IF(rcs_end_date&gt;=AO508,1,0)*rcs_amount*(1+rcs_escalation/100)^(INT((AP508-rcs_months_since_start)/12))*IF(MOD((AP508-rcs_months_since_start),rcs_frequency)=0,1,0)*IF(rcs_frequency=13,0,1))+SUM(IF(rcs_start_date=AO508,rcs_amount,0)*IF(rcs_frequency=13,1,0))</f>
        <v>0</v>
      </c>
      <c r="AX508" s="24">
        <f t="shared" ca="1" si="459"/>
        <v>0</v>
      </c>
      <c r="AY508" s="24">
        <f t="shared" ca="1" si="460"/>
        <v>0</v>
      </c>
      <c r="AZ508" s="24">
        <f t="shared" ca="1" si="461"/>
        <v>0</v>
      </c>
      <c r="BA508" s="25">
        <f t="shared" ca="1" si="462"/>
        <v>0</v>
      </c>
      <c r="BB508" s="23">
        <f t="array" aca="1" ref="BB508" ca="1">SUM(IF(w_start_date&lt;=AO508,1,0)*IF(w_end_date&gt;=AO508,1,0)*w_amount*(1+w_escalation/100)^(INT((AP508-w_months_since_start)/12))*IF(MOD(AP508-w_months_since_start,w_frequency)=0,1,0)*IF(w_frequency=13,0,1))+SUM(IF(w_start_date=AO508,w_amount,0)*IF(w_frequency=13,1,0))</f>
        <v>0</v>
      </c>
      <c r="BC508" s="25">
        <f t="shared" ca="1" si="463"/>
        <v>0</v>
      </c>
      <c r="BD508" s="24" t="b">
        <f t="shared" ca="1" si="464"/>
        <v>1</v>
      </c>
      <c r="BE508" s="24" t="b">
        <f t="shared" ca="1" si="465"/>
        <v>1</v>
      </c>
      <c r="BF508" s="23">
        <f t="array" aca="1" ref="BF508" ca="1">SUM(IF(BD508,1,0)*IF(ap_start_date&lt;=AO508,1,0)*IF(ap_end_date&gt;=AO508,1,0)*ap_amount*(1+ap_escalation/100)^(INT((AP508-ap_months_since_start)/12))*IF(MOD(AP508-ap_months_since_start,ap_frequency)=0,1,0))</f>
        <v>113518.91285096398</v>
      </c>
      <c r="BG508" s="24">
        <f t="shared" ca="1" si="466"/>
        <v>1362226.9542115675</v>
      </c>
      <c r="BH508" s="24">
        <f t="shared" ca="1" si="467"/>
        <v>3704.807570404048</v>
      </c>
      <c r="BI508">
        <f t="shared" ca="1" si="468"/>
        <v>0</v>
      </c>
      <c r="BJ508" s="24">
        <f t="shared" ca="1" si="469"/>
        <v>25933.652992828334</v>
      </c>
      <c r="BK508">
        <f t="shared" ca="1" si="470"/>
        <v>1</v>
      </c>
      <c r="BL508" s="25">
        <f t="shared" ca="1" si="471"/>
        <v>2161.1377494023618</v>
      </c>
      <c r="BM508" s="32">
        <f t="shared" ca="1" si="450"/>
        <v>136739.29893474781</v>
      </c>
      <c r="BN508" s="23">
        <f t="shared" ca="1" si="472"/>
        <v>0</v>
      </c>
      <c r="BO508" s="24">
        <f t="shared" ca="1" si="473"/>
        <v>0</v>
      </c>
      <c r="BP508" s="25">
        <f t="shared" ca="1" si="474"/>
        <v>0</v>
      </c>
      <c r="BQ508" s="34">
        <f t="shared" ca="1" si="475"/>
        <v>60875</v>
      </c>
      <c r="BR508" s="23">
        <f t="shared" ca="1" si="476"/>
        <v>136739.29893474781</v>
      </c>
      <c r="BS508" s="24">
        <f t="shared" ca="1" si="477"/>
        <v>0</v>
      </c>
      <c r="BT508" s="24">
        <f t="shared" ca="1" si="482"/>
        <v>0</v>
      </c>
      <c r="BU508" s="24">
        <f t="shared" ca="1" si="478"/>
        <v>0</v>
      </c>
      <c r="BV508" s="24">
        <f t="shared" ca="1" si="483"/>
        <v>0</v>
      </c>
      <c r="BW508" s="24">
        <f t="shared" ca="1" si="479"/>
        <v>-2161.1377494023618</v>
      </c>
      <c r="BX508" s="25">
        <f t="shared" ca="1" si="484"/>
        <v>-26379.043283046361</v>
      </c>
      <c r="BY508" s="23">
        <f t="shared" ca="1" si="451"/>
        <v>26592.026396702688</v>
      </c>
      <c r="BZ508" s="24">
        <f t="shared" ca="1" si="452"/>
        <v>0</v>
      </c>
      <c r="CA508" s="24">
        <f t="shared" ca="1" si="485"/>
        <v>0</v>
      </c>
      <c r="CB508" s="24">
        <f t="shared" ca="1" si="453"/>
        <v>0</v>
      </c>
      <c r="CC508" s="24">
        <f t="shared" ca="1" si="486"/>
        <v>0</v>
      </c>
      <c r="CD508" s="24">
        <f t="shared" ca="1" si="454"/>
        <v>-421.65764476453751</v>
      </c>
      <c r="CE508" s="25">
        <f t="shared" ca="1" si="487"/>
        <v>-5241.9333381784372</v>
      </c>
      <c r="CF508" s="23">
        <f t="shared" ca="1" si="488"/>
        <v>1353494.7301461089</v>
      </c>
      <c r="CG508" s="25">
        <f t="array" aca="1" ref="CG508" ca="1">SUM(BF497:BF508/(1+inflation/100)^(AP497:AP508/12))</f>
        <v>267980.53702225385</v>
      </c>
      <c r="CH508" s="32">
        <f ca="1">IFERROR(IF(MOD(AP508-ap_months_since_start,12)=0,ap_drawdown/100*(AQ508+AV508+BA508-BC508),CH507),0)</f>
        <v>22776.28582610967</v>
      </c>
    </row>
    <row r="509" spans="40:86" x14ac:dyDescent="0.25">
      <c r="AN509" s="32">
        <f t="shared" ca="1" si="449"/>
        <v>96.666666666666671</v>
      </c>
      <c r="AO509" s="53">
        <f t="shared" ca="1" si="480"/>
        <v>60876</v>
      </c>
      <c r="AP509" s="22">
        <v>502</v>
      </c>
      <c r="AQ509" s="32">
        <f t="shared" ca="1" si="481"/>
        <v>136739.29893474781</v>
      </c>
      <c r="AR509" s="23">
        <f t="array" aca="1" ref="AR509" ca="1">SUM(IF(lsc_start_date=AO509,lsc_amount,0))</f>
        <v>0</v>
      </c>
      <c r="AS509" s="24">
        <f t="shared" ca="1" si="455"/>
        <v>0</v>
      </c>
      <c r="AT509" s="24">
        <f t="shared" ca="1" si="456"/>
        <v>0</v>
      </c>
      <c r="AU509" s="24">
        <f t="shared" ca="1" si="457"/>
        <v>0</v>
      </c>
      <c r="AV509" s="25">
        <f t="shared" ca="1" si="458"/>
        <v>0</v>
      </c>
      <c r="AW509" s="23">
        <f t="array" aca="1" ref="AW509" ca="1">SUM(IF(rcs_start_date&lt;=AO509,1,0)*IF(rcs_end_date&gt;=AO509,1,0)*rcs_amount*(1+rcs_escalation/100)^(INT((AP509-rcs_months_since_start)/12))*IF(MOD((AP509-rcs_months_since_start),rcs_frequency)=0,1,0)*IF(rcs_frequency=13,0,1))+SUM(IF(rcs_start_date=AO509,rcs_amount,0)*IF(rcs_frequency=13,1,0))</f>
        <v>0</v>
      </c>
      <c r="AX509" s="24">
        <f t="shared" ca="1" si="459"/>
        <v>0</v>
      </c>
      <c r="AY509" s="24">
        <f t="shared" ca="1" si="460"/>
        <v>0</v>
      </c>
      <c r="AZ509" s="24">
        <f t="shared" ca="1" si="461"/>
        <v>0</v>
      </c>
      <c r="BA509" s="25">
        <f t="shared" ca="1" si="462"/>
        <v>0</v>
      </c>
      <c r="BB509" s="23">
        <f t="array" aca="1" ref="BB509" ca="1">SUM(IF(w_start_date&lt;=AO509,1,0)*IF(w_end_date&gt;=AO509,1,0)*w_amount*(1+w_escalation/100)^(INT((AP509-w_months_since_start)/12))*IF(MOD(AP509-w_months_since_start,w_frequency)=0,1,0)*IF(w_frequency=13,0,1))+SUM(IF(w_start_date=AO509,w_amount,0)*IF(w_frequency=13,1,0))</f>
        <v>0</v>
      </c>
      <c r="BC509" s="25">
        <f t="shared" ca="1" si="463"/>
        <v>0</v>
      </c>
      <c r="BD509" s="24" t="b">
        <f t="shared" ca="1" si="464"/>
        <v>1</v>
      </c>
      <c r="BE509" s="24" t="b">
        <f t="shared" ca="1" si="465"/>
        <v>1</v>
      </c>
      <c r="BF509" s="23">
        <f t="array" aca="1" ref="BF509" ca="1">SUM(IF(BD509,1,0)*IF(ap_start_date&lt;=AO509,1,0)*IF(ap_end_date&gt;=AO509,1,0)*ap_amount*(1+ap_escalation/100)^(INT((AP509-ap_months_since_start)/12))*IF(MOD(AP509-ap_months_since_start,ap_frequency)=0,1,0))</f>
        <v>113518.91285096398</v>
      </c>
      <c r="BG509" s="24">
        <f t="shared" ca="1" si="466"/>
        <v>1362226.9542115675</v>
      </c>
      <c r="BH509" s="24">
        <f t="shared" ca="1" si="467"/>
        <v>3704.807570404048</v>
      </c>
      <c r="BI509">
        <f t="shared" ca="1" si="468"/>
        <v>0</v>
      </c>
      <c r="BJ509" s="24">
        <f t="shared" ca="1" si="469"/>
        <v>25933.652992828334</v>
      </c>
      <c r="BK509">
        <f t="shared" ca="1" si="470"/>
        <v>1</v>
      </c>
      <c r="BL509" s="25">
        <f t="shared" ca="1" si="471"/>
        <v>2161.1377494023618</v>
      </c>
      <c r="BM509" s="32">
        <f t="shared" ca="1" si="450"/>
        <v>135548.10950429938</v>
      </c>
      <c r="BN509" s="23">
        <f t="shared" ca="1" si="472"/>
        <v>0</v>
      </c>
      <c r="BO509" s="24">
        <f t="shared" ca="1" si="473"/>
        <v>0</v>
      </c>
      <c r="BP509" s="25">
        <f t="shared" ca="1" si="474"/>
        <v>0</v>
      </c>
      <c r="BQ509" s="34">
        <f t="shared" ca="1" si="475"/>
        <v>60905</v>
      </c>
      <c r="BR509" s="23">
        <f t="shared" ca="1" si="476"/>
        <v>135548.10950429938</v>
      </c>
      <c r="BS509" s="24">
        <f t="shared" ca="1" si="477"/>
        <v>0</v>
      </c>
      <c r="BT509" s="24">
        <f t="shared" ca="1" si="482"/>
        <v>0</v>
      </c>
      <c r="BU509" s="24">
        <f t="shared" ca="1" si="478"/>
        <v>0</v>
      </c>
      <c r="BV509" s="24">
        <f t="shared" ca="1" si="483"/>
        <v>0</v>
      </c>
      <c r="BW509" s="24">
        <f t="shared" ca="1" si="479"/>
        <v>-2161.1377494023618</v>
      </c>
      <c r="BX509" s="25">
        <f t="shared" ca="1" si="484"/>
        <v>-26156.348137937352</v>
      </c>
      <c r="BY509" s="23">
        <f t="shared" ca="1" si="451"/>
        <v>26274.357461160103</v>
      </c>
      <c r="BZ509" s="24">
        <f t="shared" ca="1" si="452"/>
        <v>0</v>
      </c>
      <c r="CA509" s="24">
        <f t="shared" ca="1" si="485"/>
        <v>0</v>
      </c>
      <c r="CB509" s="24">
        <f t="shared" ca="1" si="453"/>
        <v>0</v>
      </c>
      <c r="CC509" s="24">
        <f t="shared" ca="1" si="486"/>
        <v>0</v>
      </c>
      <c r="CD509" s="24">
        <f t="shared" ca="1" si="454"/>
        <v>-420.28175167434893</v>
      </c>
      <c r="CE509" s="25">
        <f t="shared" ca="1" si="487"/>
        <v>-5180.0816749529349</v>
      </c>
      <c r="CF509" s="23">
        <f t="shared" ca="1" si="488"/>
        <v>1357860.8421788383</v>
      </c>
      <c r="CG509" s="25">
        <f t="array" aca="1" ref="CG509" ca="1">SUM(BF498:BF509/(1+inflation/100)^(AP498:AP509/12))</f>
        <v>267980.53702225379</v>
      </c>
      <c r="CH509" s="32">
        <f ca="1">IFERROR(IF(MOD(AP509-ap_months_since_start,12)=0,ap_drawdown/100*(AQ509+AV509+BA509-BC509),CH508),0)</f>
        <v>22776.28582610967</v>
      </c>
    </row>
    <row r="510" spans="40:86" x14ac:dyDescent="0.25">
      <c r="AN510" s="32">
        <f t="shared" ca="1" si="449"/>
        <v>96.75</v>
      </c>
      <c r="AO510" s="53">
        <f t="shared" ca="1" si="480"/>
        <v>60906</v>
      </c>
      <c r="AP510" s="22">
        <v>503</v>
      </c>
      <c r="AQ510" s="32">
        <f t="shared" ca="1" si="481"/>
        <v>135548.10950429938</v>
      </c>
      <c r="AR510" s="23">
        <f t="array" aca="1" ref="AR510" ca="1">SUM(IF(lsc_start_date=AO510,lsc_amount,0))</f>
        <v>0</v>
      </c>
      <c r="AS510" s="24">
        <f t="shared" ca="1" si="455"/>
        <v>0</v>
      </c>
      <c r="AT510" s="24">
        <f t="shared" ca="1" si="456"/>
        <v>0</v>
      </c>
      <c r="AU510" s="24">
        <f t="shared" ca="1" si="457"/>
        <v>0</v>
      </c>
      <c r="AV510" s="25">
        <f t="shared" ca="1" si="458"/>
        <v>0</v>
      </c>
      <c r="AW510" s="23">
        <f t="array" aca="1" ref="AW510" ca="1">SUM(IF(rcs_start_date&lt;=AO510,1,0)*IF(rcs_end_date&gt;=AO510,1,0)*rcs_amount*(1+rcs_escalation/100)^(INT((AP510-rcs_months_since_start)/12))*IF(MOD((AP510-rcs_months_since_start),rcs_frequency)=0,1,0)*IF(rcs_frequency=13,0,1))+SUM(IF(rcs_start_date=AO510,rcs_amount,0)*IF(rcs_frequency=13,1,0))</f>
        <v>0</v>
      </c>
      <c r="AX510" s="24">
        <f t="shared" ca="1" si="459"/>
        <v>0</v>
      </c>
      <c r="AY510" s="24">
        <f t="shared" ca="1" si="460"/>
        <v>0</v>
      </c>
      <c r="AZ510" s="24">
        <f t="shared" ca="1" si="461"/>
        <v>0</v>
      </c>
      <c r="BA510" s="25">
        <f t="shared" ca="1" si="462"/>
        <v>0</v>
      </c>
      <c r="BB510" s="23">
        <f t="array" aca="1" ref="BB510" ca="1">SUM(IF(w_start_date&lt;=AO510,1,0)*IF(w_end_date&gt;=AO510,1,0)*w_amount*(1+w_escalation/100)^(INT((AP510-w_months_since_start)/12))*IF(MOD(AP510-w_months_since_start,w_frequency)=0,1,0)*IF(w_frequency=13,0,1))+SUM(IF(w_start_date=AO510,w_amount,0)*IF(w_frequency=13,1,0))</f>
        <v>0</v>
      </c>
      <c r="BC510" s="25">
        <f t="shared" ca="1" si="463"/>
        <v>0</v>
      </c>
      <c r="BD510" s="24" t="b">
        <f t="shared" ca="1" si="464"/>
        <v>1</v>
      </c>
      <c r="BE510" s="24" t="b">
        <f t="shared" ca="1" si="465"/>
        <v>1</v>
      </c>
      <c r="BF510" s="23">
        <f t="array" aca="1" ref="BF510" ca="1">SUM(IF(BD510,1,0)*IF(ap_start_date&lt;=AO510,1,0)*IF(ap_end_date&gt;=AO510,1,0)*ap_amount*(1+ap_escalation/100)^(INT((AP510-ap_months_since_start)/12))*IF(MOD(AP510-ap_months_since_start,ap_frequency)=0,1,0))</f>
        <v>113518.91285096398</v>
      </c>
      <c r="BG510" s="24">
        <f t="shared" ca="1" si="466"/>
        <v>1362226.9542115675</v>
      </c>
      <c r="BH510" s="24">
        <f t="shared" ca="1" si="467"/>
        <v>3704.807570404048</v>
      </c>
      <c r="BI510">
        <f t="shared" ca="1" si="468"/>
        <v>0</v>
      </c>
      <c r="BJ510" s="24">
        <f t="shared" ca="1" si="469"/>
        <v>25933.652992828334</v>
      </c>
      <c r="BK510">
        <f t="shared" ca="1" si="470"/>
        <v>1</v>
      </c>
      <c r="BL510" s="25">
        <f t="shared" ca="1" si="471"/>
        <v>2161.1377494023618</v>
      </c>
      <c r="BM510" s="32">
        <f t="shared" ca="1" si="450"/>
        <v>134348.33478649496</v>
      </c>
      <c r="BN510" s="23">
        <f t="shared" ca="1" si="472"/>
        <v>0</v>
      </c>
      <c r="BO510" s="24">
        <f t="shared" ca="1" si="473"/>
        <v>0</v>
      </c>
      <c r="BP510" s="25">
        <f t="shared" ca="1" si="474"/>
        <v>0</v>
      </c>
      <c r="BQ510" s="34">
        <f t="shared" ca="1" si="475"/>
        <v>60936</v>
      </c>
      <c r="BR510" s="23">
        <f t="shared" ca="1" si="476"/>
        <v>134348.33478649496</v>
      </c>
      <c r="BS510" s="24">
        <f t="shared" ca="1" si="477"/>
        <v>0</v>
      </c>
      <c r="BT510" s="24">
        <f t="shared" ca="1" si="482"/>
        <v>0</v>
      </c>
      <c r="BU510" s="24">
        <f t="shared" ca="1" si="478"/>
        <v>0</v>
      </c>
      <c r="BV510" s="24">
        <f t="shared" ca="1" si="483"/>
        <v>0</v>
      </c>
      <c r="BW510" s="24">
        <f t="shared" ca="1" si="479"/>
        <v>-2161.1377494023618</v>
      </c>
      <c r="BX510" s="25">
        <f t="shared" ca="1" si="484"/>
        <v>-25933.652992828342</v>
      </c>
      <c r="BY510" s="23">
        <f t="shared" ca="1" si="451"/>
        <v>25956.819806165397</v>
      </c>
      <c r="BZ510" s="24">
        <f t="shared" ca="1" si="452"/>
        <v>0</v>
      </c>
      <c r="CA510" s="24">
        <f t="shared" ca="1" si="485"/>
        <v>0</v>
      </c>
      <c r="CB510" s="24">
        <f t="shared" ca="1" si="453"/>
        <v>0</v>
      </c>
      <c r="CC510" s="24">
        <f t="shared" ca="1" si="486"/>
        <v>0</v>
      </c>
      <c r="CD510" s="24">
        <f t="shared" ca="1" si="454"/>
        <v>-418.91034820226423</v>
      </c>
      <c r="CE510" s="25">
        <f t="shared" ca="1" si="487"/>
        <v>-5118.4318372536745</v>
      </c>
      <c r="CF510" s="23">
        <f t="shared" ca="1" si="488"/>
        <v>1362226.9542115675</v>
      </c>
      <c r="CG510" s="25">
        <f t="array" aca="1" ref="CG510" ca="1">SUM(BF499:BF510/(1+inflation/100)^(AP499:AP510/12))</f>
        <v>267980.53702225379</v>
      </c>
      <c r="CH510" s="32">
        <f ca="1">IFERROR(IF(MOD(AP510-ap_months_since_start,12)=0,ap_drawdown/100*(AQ510+AV510+BA510-BC510),CH509),0)</f>
        <v>22776.28582610967</v>
      </c>
    </row>
    <row r="511" spans="40:86" x14ac:dyDescent="0.25">
      <c r="AN511" s="32">
        <f t="shared" ca="1" si="449"/>
        <v>96.833333333333329</v>
      </c>
      <c r="AO511" s="53">
        <f t="shared" ca="1" si="480"/>
        <v>60937</v>
      </c>
      <c r="AP511" s="22">
        <v>504</v>
      </c>
      <c r="AQ511" s="32">
        <f t="shared" ca="1" si="481"/>
        <v>134348.33478649496</v>
      </c>
      <c r="AR511" s="23">
        <f t="array" aca="1" ref="AR511" ca="1">SUM(IF(lsc_start_date=AO511,lsc_amount,0))</f>
        <v>0</v>
      </c>
      <c r="AS511" s="24">
        <f t="shared" ca="1" si="455"/>
        <v>0</v>
      </c>
      <c r="AT511" s="24">
        <f t="shared" ca="1" si="456"/>
        <v>0</v>
      </c>
      <c r="AU511" s="24">
        <f t="shared" ca="1" si="457"/>
        <v>0</v>
      </c>
      <c r="AV511" s="25">
        <f t="shared" ca="1" si="458"/>
        <v>0</v>
      </c>
      <c r="AW511" s="23">
        <f t="array" aca="1" ref="AW511" ca="1">SUM(IF(rcs_start_date&lt;=AO511,1,0)*IF(rcs_end_date&gt;=AO511,1,0)*rcs_amount*(1+rcs_escalation/100)^(INT((AP511-rcs_months_since_start)/12))*IF(MOD((AP511-rcs_months_since_start),rcs_frequency)=0,1,0)*IF(rcs_frequency=13,0,1))+SUM(IF(rcs_start_date=AO511,rcs_amount,0)*IF(rcs_frequency=13,1,0))</f>
        <v>0</v>
      </c>
      <c r="AX511" s="24">
        <f t="shared" ca="1" si="459"/>
        <v>0</v>
      </c>
      <c r="AY511" s="24">
        <f t="shared" ca="1" si="460"/>
        <v>0</v>
      </c>
      <c r="AZ511" s="24">
        <f t="shared" ca="1" si="461"/>
        <v>0</v>
      </c>
      <c r="BA511" s="25">
        <f t="shared" ca="1" si="462"/>
        <v>0</v>
      </c>
      <c r="BB511" s="23">
        <f t="array" aca="1" ref="BB511" ca="1">SUM(IF(w_start_date&lt;=AO511,1,0)*IF(w_end_date&gt;=AO511,1,0)*w_amount*(1+w_escalation/100)^(INT((AP511-w_months_since_start)/12))*IF(MOD(AP511-w_months_since_start,w_frequency)=0,1,0)*IF(w_frequency=13,0,1))+SUM(IF(w_start_date=AO511,w_amount,0)*IF(w_frequency=13,1,0))</f>
        <v>0</v>
      </c>
      <c r="BC511" s="25">
        <f t="shared" ca="1" si="463"/>
        <v>0</v>
      </c>
      <c r="BD511" s="24" t="b">
        <f t="shared" ca="1" si="464"/>
        <v>1</v>
      </c>
      <c r="BE511" s="24" t="b">
        <f t="shared" ca="1" si="465"/>
        <v>1</v>
      </c>
      <c r="BF511" s="23">
        <f t="array" aca="1" ref="BF511" ca="1">SUM(IF(BD511,1,0)*IF(ap_start_date&lt;=AO511,1,0)*IF(ap_end_date&gt;=AO511,1,0)*ap_amount*(1+ap_escalation/100)^(INT((AP511-ap_months_since_start)/12))*IF(MOD(AP511-ap_months_since_start,ap_frequency)=0,1,0))</f>
        <v>118059.66936500254</v>
      </c>
      <c r="BG511" s="24">
        <f t="shared" ca="1" si="466"/>
        <v>1416716.0323800305</v>
      </c>
      <c r="BH511" s="24">
        <f t="shared" ca="1" si="467"/>
        <v>3358.708369662374</v>
      </c>
      <c r="BI511">
        <f t="shared" ca="1" si="468"/>
        <v>0</v>
      </c>
      <c r="BJ511" s="24">
        <f t="shared" ca="1" si="469"/>
        <v>23510.958587636618</v>
      </c>
      <c r="BK511">
        <f t="shared" ca="1" si="470"/>
        <v>1</v>
      </c>
      <c r="BL511" s="25">
        <f t="shared" ca="1" si="471"/>
        <v>1959.2465489697181</v>
      </c>
      <c r="BM511" s="32">
        <f t="shared" ca="1" si="450"/>
        <v>133343.25919998167</v>
      </c>
      <c r="BN511" s="23">
        <f t="shared" ca="1" si="472"/>
        <v>0</v>
      </c>
      <c r="BO511" s="24">
        <f t="shared" ca="1" si="473"/>
        <v>0</v>
      </c>
      <c r="BP511" s="25">
        <f t="shared" ca="1" si="474"/>
        <v>0</v>
      </c>
      <c r="BQ511" s="34">
        <f t="shared" ca="1" si="475"/>
        <v>60966</v>
      </c>
      <c r="BR511" s="23">
        <f t="shared" ca="1" si="476"/>
        <v>133343.25919998167</v>
      </c>
      <c r="BS511" s="24">
        <f t="shared" ca="1" si="477"/>
        <v>0</v>
      </c>
      <c r="BT511" s="24">
        <f t="shared" ca="1" si="482"/>
        <v>0</v>
      </c>
      <c r="BU511" s="24">
        <f t="shared" ca="1" si="478"/>
        <v>0</v>
      </c>
      <c r="BV511" s="24">
        <f t="shared" ca="1" si="483"/>
        <v>0</v>
      </c>
      <c r="BW511" s="24">
        <f t="shared" ca="1" si="479"/>
        <v>-1959.2465489697181</v>
      </c>
      <c r="BX511" s="25">
        <f t="shared" ca="1" si="484"/>
        <v>-25731.761792395697</v>
      </c>
      <c r="BY511" s="23">
        <f t="shared" ca="1" si="451"/>
        <v>25678.56885263231</v>
      </c>
      <c r="BZ511" s="24">
        <f t="shared" ca="1" si="452"/>
        <v>0</v>
      </c>
      <c r="CA511" s="24">
        <f t="shared" ca="1" si="485"/>
        <v>0</v>
      </c>
      <c r="CB511" s="24">
        <f t="shared" ca="1" si="453"/>
        <v>0</v>
      </c>
      <c r="CC511" s="24">
        <f t="shared" ca="1" si="486"/>
        <v>0</v>
      </c>
      <c r="CD511" s="24">
        <f t="shared" ca="1" si="454"/>
        <v>-378.53695550657869</v>
      </c>
      <c r="CE511" s="25">
        <f t="shared" ca="1" si="487"/>
        <v>-5062.723636273915</v>
      </c>
      <c r="CF511" s="23">
        <f t="shared" ca="1" si="488"/>
        <v>1366767.7107256062</v>
      </c>
      <c r="CG511" s="25">
        <f t="array" aca="1" ref="CG511" ca="1">SUM(BF500:BF511/(1+inflation/100)^(AP500:AP511/12))</f>
        <v>267980.53702225379</v>
      </c>
      <c r="CH511" s="32">
        <f ca="1">IFERROR(IF(MOD(AP511-ap_months_since_start,12)=0,ap_drawdown/100*(AQ511+AV511+BA511-BC511),CH510),0)</f>
        <v>20648.549318752888</v>
      </c>
    </row>
    <row r="512" spans="40:86" x14ac:dyDescent="0.25">
      <c r="AN512" s="32">
        <f t="shared" ca="1" si="449"/>
        <v>96.916666666666671</v>
      </c>
      <c r="AO512" s="53">
        <f t="shared" ca="1" si="480"/>
        <v>60967</v>
      </c>
      <c r="AP512" s="22">
        <v>505</v>
      </c>
      <c r="AQ512" s="32">
        <f t="shared" ca="1" si="481"/>
        <v>133343.25919998167</v>
      </c>
      <c r="AR512" s="23">
        <f t="array" aca="1" ref="AR512" ca="1">SUM(IF(lsc_start_date=AO512,lsc_amount,0))</f>
        <v>0</v>
      </c>
      <c r="AS512" s="24">
        <f t="shared" ca="1" si="455"/>
        <v>0</v>
      </c>
      <c r="AT512" s="24">
        <f t="shared" ca="1" si="456"/>
        <v>0</v>
      </c>
      <c r="AU512" s="24">
        <f t="shared" ca="1" si="457"/>
        <v>0</v>
      </c>
      <c r="AV512" s="25">
        <f t="shared" ca="1" si="458"/>
        <v>0</v>
      </c>
      <c r="AW512" s="23">
        <f t="array" aca="1" ref="AW512" ca="1">SUM(IF(rcs_start_date&lt;=AO512,1,0)*IF(rcs_end_date&gt;=AO512,1,0)*rcs_amount*(1+rcs_escalation/100)^(INT((AP512-rcs_months_since_start)/12))*IF(MOD((AP512-rcs_months_since_start),rcs_frequency)=0,1,0)*IF(rcs_frequency=13,0,1))+SUM(IF(rcs_start_date=AO512,rcs_amount,0)*IF(rcs_frequency=13,1,0))</f>
        <v>0</v>
      </c>
      <c r="AX512" s="24">
        <f t="shared" ca="1" si="459"/>
        <v>0</v>
      </c>
      <c r="AY512" s="24">
        <f t="shared" ca="1" si="460"/>
        <v>0</v>
      </c>
      <c r="AZ512" s="24">
        <f t="shared" ca="1" si="461"/>
        <v>0</v>
      </c>
      <c r="BA512" s="25">
        <f t="shared" ca="1" si="462"/>
        <v>0</v>
      </c>
      <c r="BB512" s="23">
        <f t="array" aca="1" ref="BB512" ca="1">SUM(IF(w_start_date&lt;=AO512,1,0)*IF(w_end_date&gt;=AO512,1,0)*w_amount*(1+w_escalation/100)^(INT((AP512-w_months_since_start)/12))*IF(MOD(AP512-w_months_since_start,w_frequency)=0,1,0)*IF(w_frequency=13,0,1))+SUM(IF(w_start_date=AO512,w_amount,0)*IF(w_frequency=13,1,0))</f>
        <v>0</v>
      </c>
      <c r="BC512" s="25">
        <f t="shared" ca="1" si="463"/>
        <v>0</v>
      </c>
      <c r="BD512" s="24" t="b">
        <f t="shared" ca="1" si="464"/>
        <v>1</v>
      </c>
      <c r="BE512" s="24" t="b">
        <f t="shared" ca="1" si="465"/>
        <v>1</v>
      </c>
      <c r="BF512" s="23">
        <f t="array" aca="1" ref="BF512" ca="1">SUM(IF(BD512,1,0)*IF(ap_start_date&lt;=AO512,1,0)*IF(ap_end_date&gt;=AO512,1,0)*ap_amount*(1+ap_escalation/100)^(INT((AP512-ap_months_since_start)/12))*IF(MOD(AP512-ap_months_since_start,ap_frequency)=0,1,0))</f>
        <v>118059.66936500254</v>
      </c>
      <c r="BG512" s="24">
        <f t="shared" ca="1" si="466"/>
        <v>1416716.0323800305</v>
      </c>
      <c r="BH512" s="24">
        <f t="shared" ca="1" si="467"/>
        <v>3358.708369662374</v>
      </c>
      <c r="BI512">
        <f t="shared" ca="1" si="468"/>
        <v>0</v>
      </c>
      <c r="BJ512" s="24">
        <f t="shared" ca="1" si="469"/>
        <v>23510.958587636618</v>
      </c>
      <c r="BK512">
        <f t="shared" ca="1" si="470"/>
        <v>1</v>
      </c>
      <c r="BL512" s="25">
        <f t="shared" ca="1" si="471"/>
        <v>1959.2465489697181</v>
      </c>
      <c r="BM512" s="32">
        <f t="shared" ca="1" si="450"/>
        <v>132330.93970875919</v>
      </c>
      <c r="BN512" s="23">
        <f t="shared" ca="1" si="472"/>
        <v>0</v>
      </c>
      <c r="BO512" s="24">
        <f t="shared" ca="1" si="473"/>
        <v>0</v>
      </c>
      <c r="BP512" s="25">
        <f t="shared" ca="1" si="474"/>
        <v>0</v>
      </c>
      <c r="BQ512" s="34">
        <f t="shared" ca="1" si="475"/>
        <v>60997</v>
      </c>
      <c r="BR512" s="23">
        <f t="shared" ca="1" si="476"/>
        <v>132330.93970875919</v>
      </c>
      <c r="BS512" s="24">
        <f t="shared" ca="1" si="477"/>
        <v>0</v>
      </c>
      <c r="BT512" s="24">
        <f t="shared" ca="1" si="482"/>
        <v>0</v>
      </c>
      <c r="BU512" s="24">
        <f t="shared" ca="1" si="478"/>
        <v>0</v>
      </c>
      <c r="BV512" s="24">
        <f t="shared" ca="1" si="483"/>
        <v>0</v>
      </c>
      <c r="BW512" s="24">
        <f t="shared" ca="1" si="479"/>
        <v>-1959.2465489697181</v>
      </c>
      <c r="BX512" s="25">
        <f t="shared" ca="1" si="484"/>
        <v>-25529.870591963052</v>
      </c>
      <c r="BY512" s="23">
        <f t="shared" ca="1" si="451"/>
        <v>25400.466977889642</v>
      </c>
      <c r="BZ512" s="24">
        <f t="shared" ca="1" si="452"/>
        <v>0</v>
      </c>
      <c r="CA512" s="24">
        <f t="shared" ca="1" si="485"/>
        <v>0</v>
      </c>
      <c r="CB512" s="24">
        <f t="shared" ca="1" si="453"/>
        <v>0</v>
      </c>
      <c r="CC512" s="24">
        <f t="shared" ca="1" si="486"/>
        <v>0</v>
      </c>
      <c r="CD512" s="24">
        <f t="shared" ca="1" si="454"/>
        <v>-377.30176769976583</v>
      </c>
      <c r="CE512" s="25">
        <f t="shared" ca="1" si="487"/>
        <v>-5007.1972143505691</v>
      </c>
      <c r="CF512" s="23">
        <f t="shared" ca="1" si="488"/>
        <v>1371308.4672396448</v>
      </c>
      <c r="CG512" s="25">
        <f t="array" aca="1" ref="CG512" ca="1">SUM(BF501:BF512/(1+inflation/100)^(AP501:AP512/12))</f>
        <v>267980.53702225379</v>
      </c>
      <c r="CH512" s="32">
        <f ca="1">IFERROR(IF(MOD(AP512-ap_months_since_start,12)=0,ap_drawdown/100*(AQ512+AV512+BA512-BC512),CH511),0)</f>
        <v>20648.549318752888</v>
      </c>
    </row>
    <row r="513" spans="40:86" x14ac:dyDescent="0.25">
      <c r="AN513" s="32">
        <f t="shared" ca="1" si="449"/>
        <v>97</v>
      </c>
      <c r="AO513" s="53">
        <f t="shared" ca="1" si="480"/>
        <v>60998</v>
      </c>
      <c r="AP513" s="22">
        <v>506</v>
      </c>
      <c r="AQ513" s="32">
        <f t="shared" ca="1" si="481"/>
        <v>132330.93970875919</v>
      </c>
      <c r="AR513" s="23">
        <f t="array" aca="1" ref="AR513" ca="1">SUM(IF(lsc_start_date=AO513,lsc_amount,0))</f>
        <v>0</v>
      </c>
      <c r="AS513" s="24">
        <f t="shared" ca="1" si="455"/>
        <v>0</v>
      </c>
      <c r="AT513" s="24">
        <f t="shared" ca="1" si="456"/>
        <v>0</v>
      </c>
      <c r="AU513" s="24">
        <f t="shared" ca="1" si="457"/>
        <v>0</v>
      </c>
      <c r="AV513" s="25">
        <f t="shared" ca="1" si="458"/>
        <v>0</v>
      </c>
      <c r="AW513" s="23">
        <f t="array" aca="1" ref="AW513" ca="1">SUM(IF(rcs_start_date&lt;=AO513,1,0)*IF(rcs_end_date&gt;=AO513,1,0)*rcs_amount*(1+rcs_escalation/100)^(INT((AP513-rcs_months_since_start)/12))*IF(MOD((AP513-rcs_months_since_start),rcs_frequency)=0,1,0)*IF(rcs_frequency=13,0,1))+SUM(IF(rcs_start_date=AO513,rcs_amount,0)*IF(rcs_frequency=13,1,0))</f>
        <v>0</v>
      </c>
      <c r="AX513" s="24">
        <f t="shared" ca="1" si="459"/>
        <v>0</v>
      </c>
      <c r="AY513" s="24">
        <f t="shared" ca="1" si="460"/>
        <v>0</v>
      </c>
      <c r="AZ513" s="24">
        <f t="shared" ca="1" si="461"/>
        <v>0</v>
      </c>
      <c r="BA513" s="25">
        <f t="shared" ca="1" si="462"/>
        <v>0</v>
      </c>
      <c r="BB513" s="23">
        <f t="array" aca="1" ref="BB513" ca="1">SUM(IF(w_start_date&lt;=AO513,1,0)*IF(w_end_date&gt;=AO513,1,0)*w_amount*(1+w_escalation/100)^(INT((AP513-w_months_since_start)/12))*IF(MOD(AP513-w_months_since_start,w_frequency)=0,1,0)*IF(w_frequency=13,0,1))+SUM(IF(w_start_date=AO513,w_amount,0)*IF(w_frequency=13,1,0))</f>
        <v>0</v>
      </c>
      <c r="BC513" s="25">
        <f t="shared" ca="1" si="463"/>
        <v>0</v>
      </c>
      <c r="BD513" s="24" t="b">
        <f t="shared" ca="1" si="464"/>
        <v>1</v>
      </c>
      <c r="BE513" s="24" t="b">
        <f t="shared" ca="1" si="465"/>
        <v>1</v>
      </c>
      <c r="BF513" s="23">
        <f t="array" aca="1" ref="BF513" ca="1">SUM(IF(BD513,1,0)*IF(ap_start_date&lt;=AO513,1,0)*IF(ap_end_date&gt;=AO513,1,0)*ap_amount*(1+ap_escalation/100)^(INT((AP513-ap_months_since_start)/12))*IF(MOD(AP513-ap_months_since_start,ap_frequency)=0,1,0))</f>
        <v>118059.66936500254</v>
      </c>
      <c r="BG513" s="24">
        <f t="shared" ca="1" si="466"/>
        <v>1416716.0323800305</v>
      </c>
      <c r="BH513" s="24">
        <f t="shared" ca="1" si="467"/>
        <v>3358.708369662374</v>
      </c>
      <c r="BI513">
        <f t="shared" ca="1" si="468"/>
        <v>0</v>
      </c>
      <c r="BJ513" s="24">
        <f t="shared" ca="1" si="469"/>
        <v>23510.958587636618</v>
      </c>
      <c r="BK513">
        <f t="shared" ca="1" si="470"/>
        <v>1</v>
      </c>
      <c r="BL513" s="25">
        <f t="shared" ca="1" si="471"/>
        <v>1959.2465489697181</v>
      </c>
      <c r="BM513" s="32">
        <f t="shared" ca="1" si="450"/>
        <v>131311.32410366426</v>
      </c>
      <c r="BN513" s="23">
        <f t="shared" ca="1" si="472"/>
        <v>0</v>
      </c>
      <c r="BO513" s="24">
        <f t="shared" ca="1" si="473"/>
        <v>0</v>
      </c>
      <c r="BP513" s="25">
        <f t="shared" ca="1" si="474"/>
        <v>0</v>
      </c>
      <c r="BQ513" s="34">
        <f t="shared" ca="1" si="475"/>
        <v>61028</v>
      </c>
      <c r="BR513" s="23">
        <f t="shared" ca="1" si="476"/>
        <v>131311.32410366426</v>
      </c>
      <c r="BS513" s="24">
        <f t="shared" ca="1" si="477"/>
        <v>0</v>
      </c>
      <c r="BT513" s="24">
        <f t="shared" ca="1" si="482"/>
        <v>0</v>
      </c>
      <c r="BU513" s="24">
        <f t="shared" ca="1" si="478"/>
        <v>0</v>
      </c>
      <c r="BV513" s="24">
        <f t="shared" ca="1" si="483"/>
        <v>0</v>
      </c>
      <c r="BW513" s="24">
        <f t="shared" ca="1" si="479"/>
        <v>-1959.2465489697181</v>
      </c>
      <c r="BX513" s="25">
        <f t="shared" ca="1" si="484"/>
        <v>-25327.979391530407</v>
      </c>
      <c r="BY513" s="23">
        <f t="shared" ca="1" si="451"/>
        <v>25122.510720146536</v>
      </c>
      <c r="BZ513" s="24">
        <f t="shared" ca="1" si="452"/>
        <v>0</v>
      </c>
      <c r="CA513" s="24">
        <f t="shared" ca="1" si="485"/>
        <v>0</v>
      </c>
      <c r="CB513" s="24">
        <f t="shared" ca="1" si="453"/>
        <v>0</v>
      </c>
      <c r="CC513" s="24">
        <f t="shared" ca="1" si="486"/>
        <v>0</v>
      </c>
      <c r="CD513" s="24">
        <f t="shared" ca="1" si="454"/>
        <v>-376.07061038164375</v>
      </c>
      <c r="CE513" s="25">
        <f t="shared" ca="1" si="487"/>
        <v>-4951.8519783281445</v>
      </c>
      <c r="CF513" s="23">
        <f t="shared" ca="1" si="488"/>
        <v>1375849.2237536835</v>
      </c>
      <c r="CG513" s="25">
        <f t="array" aca="1" ref="CG513" ca="1">SUM(BF502:BF513/(1+inflation/100)^(AP502:AP513/12))</f>
        <v>267980.53702225379</v>
      </c>
      <c r="CH513" s="32">
        <f ca="1">IFERROR(IF(MOD(AP513-ap_months_since_start,12)=0,ap_drawdown/100*(AQ513+AV513+BA513-BC513),CH512),0)</f>
        <v>20648.549318752888</v>
      </c>
    </row>
    <row r="514" spans="40:86" x14ac:dyDescent="0.25">
      <c r="AN514" s="32">
        <f t="shared" ca="1" si="449"/>
        <v>97.083333333333329</v>
      </c>
      <c r="AO514" s="53">
        <f t="shared" ca="1" si="480"/>
        <v>61029</v>
      </c>
      <c r="AP514" s="22">
        <v>507</v>
      </c>
      <c r="AQ514" s="32">
        <f t="shared" ca="1" si="481"/>
        <v>131311.32410366426</v>
      </c>
      <c r="AR514" s="23">
        <f t="array" aca="1" ref="AR514" ca="1">SUM(IF(lsc_start_date=AO514,lsc_amount,0))</f>
        <v>0</v>
      </c>
      <c r="AS514" s="24">
        <f t="shared" ca="1" si="455"/>
        <v>0</v>
      </c>
      <c r="AT514" s="24">
        <f t="shared" ca="1" si="456"/>
        <v>0</v>
      </c>
      <c r="AU514" s="24">
        <f t="shared" ca="1" si="457"/>
        <v>0</v>
      </c>
      <c r="AV514" s="25">
        <f t="shared" ca="1" si="458"/>
        <v>0</v>
      </c>
      <c r="AW514" s="23">
        <f t="array" aca="1" ref="AW514" ca="1">SUM(IF(rcs_start_date&lt;=AO514,1,0)*IF(rcs_end_date&gt;=AO514,1,0)*rcs_amount*(1+rcs_escalation/100)^(INT((AP514-rcs_months_since_start)/12))*IF(MOD((AP514-rcs_months_since_start),rcs_frequency)=0,1,0)*IF(rcs_frequency=13,0,1))+SUM(IF(rcs_start_date=AO514,rcs_amount,0)*IF(rcs_frequency=13,1,0))</f>
        <v>0</v>
      </c>
      <c r="AX514" s="24">
        <f t="shared" ca="1" si="459"/>
        <v>0</v>
      </c>
      <c r="AY514" s="24">
        <f t="shared" ca="1" si="460"/>
        <v>0</v>
      </c>
      <c r="AZ514" s="24">
        <f t="shared" ca="1" si="461"/>
        <v>0</v>
      </c>
      <c r="BA514" s="25">
        <f t="shared" ca="1" si="462"/>
        <v>0</v>
      </c>
      <c r="BB514" s="23">
        <f t="array" aca="1" ref="BB514" ca="1">SUM(IF(w_start_date&lt;=AO514,1,0)*IF(w_end_date&gt;=AO514,1,0)*w_amount*(1+w_escalation/100)^(INT((AP514-w_months_since_start)/12))*IF(MOD(AP514-w_months_since_start,w_frequency)=0,1,0)*IF(w_frequency=13,0,1))+SUM(IF(w_start_date=AO514,w_amount,0)*IF(w_frequency=13,1,0))</f>
        <v>0</v>
      </c>
      <c r="BC514" s="25">
        <f t="shared" ca="1" si="463"/>
        <v>0</v>
      </c>
      <c r="BD514" s="24" t="b">
        <f t="shared" ca="1" si="464"/>
        <v>1</v>
      </c>
      <c r="BE514" s="24" t="b">
        <f t="shared" ca="1" si="465"/>
        <v>1</v>
      </c>
      <c r="BF514" s="23">
        <f t="array" aca="1" ref="BF514" ca="1">SUM(IF(BD514,1,0)*IF(ap_start_date&lt;=AO514,1,0)*IF(ap_end_date&gt;=AO514,1,0)*ap_amount*(1+ap_escalation/100)^(INT((AP514-ap_months_since_start)/12))*IF(MOD(AP514-ap_months_since_start,ap_frequency)=0,1,0))</f>
        <v>118059.66936500254</v>
      </c>
      <c r="BG514" s="24">
        <f t="shared" ca="1" si="466"/>
        <v>1416716.0323800305</v>
      </c>
      <c r="BH514" s="24">
        <f t="shared" ca="1" si="467"/>
        <v>3358.708369662374</v>
      </c>
      <c r="BI514">
        <f t="shared" ca="1" si="468"/>
        <v>0</v>
      </c>
      <c r="BJ514" s="24">
        <f t="shared" ca="1" si="469"/>
        <v>23510.958587636618</v>
      </c>
      <c r="BK514">
        <f t="shared" ca="1" si="470"/>
        <v>1</v>
      </c>
      <c r="BL514" s="25">
        <f t="shared" ca="1" si="471"/>
        <v>1959.2465489697181</v>
      </c>
      <c r="BM514" s="32">
        <f t="shared" ca="1" si="450"/>
        <v>130284.35979924521</v>
      </c>
      <c r="BN514" s="23">
        <f t="shared" ca="1" si="472"/>
        <v>0</v>
      </c>
      <c r="BO514" s="24">
        <f t="shared" ca="1" si="473"/>
        <v>0</v>
      </c>
      <c r="BP514" s="25">
        <f t="shared" ca="1" si="474"/>
        <v>0</v>
      </c>
      <c r="BQ514" s="34">
        <f t="shared" ca="1" si="475"/>
        <v>61056</v>
      </c>
      <c r="BR514" s="23">
        <f t="shared" ca="1" si="476"/>
        <v>130284.35979924521</v>
      </c>
      <c r="BS514" s="24">
        <f t="shared" ca="1" si="477"/>
        <v>0</v>
      </c>
      <c r="BT514" s="24">
        <f t="shared" ca="1" si="482"/>
        <v>0</v>
      </c>
      <c r="BU514" s="24">
        <f t="shared" ca="1" si="478"/>
        <v>0</v>
      </c>
      <c r="BV514" s="24">
        <f t="shared" ca="1" si="483"/>
        <v>0</v>
      </c>
      <c r="BW514" s="24">
        <f t="shared" ca="1" si="479"/>
        <v>-1959.2465489697181</v>
      </c>
      <c r="BX514" s="25">
        <f t="shared" ca="1" si="484"/>
        <v>-25126.088191097762</v>
      </c>
      <c r="BY514" s="23">
        <f t="shared" ca="1" si="451"/>
        <v>24844.696617242589</v>
      </c>
      <c r="BZ514" s="24">
        <f t="shared" ca="1" si="452"/>
        <v>0</v>
      </c>
      <c r="CA514" s="24">
        <f t="shared" ca="1" si="485"/>
        <v>0</v>
      </c>
      <c r="CB514" s="24">
        <f t="shared" ca="1" si="453"/>
        <v>0</v>
      </c>
      <c r="CC514" s="24">
        <f t="shared" ca="1" si="486"/>
        <v>0</v>
      </c>
      <c r="CD514" s="24">
        <f t="shared" ca="1" si="454"/>
        <v>-374.8434704004963</v>
      </c>
      <c r="CE514" s="25">
        <f t="shared" ca="1" si="487"/>
        <v>-4896.6873369866507</v>
      </c>
      <c r="CF514" s="23">
        <f t="shared" ca="1" si="488"/>
        <v>1380389.9802677222</v>
      </c>
      <c r="CG514" s="25">
        <f t="array" aca="1" ref="CG514" ca="1">SUM(BF503:BF514/(1+inflation/100)^(AP503:AP514/12))</f>
        <v>267980.53702225379</v>
      </c>
      <c r="CH514" s="32">
        <f ca="1">IFERROR(IF(MOD(AP514-ap_months_since_start,12)=0,ap_drawdown/100*(AQ514+AV514+BA514-BC514),CH513),0)</f>
        <v>20648.549318752888</v>
      </c>
    </row>
    <row r="515" spans="40:86" x14ac:dyDescent="0.25">
      <c r="AN515" s="32">
        <f t="shared" ca="1" si="449"/>
        <v>97.166666666666671</v>
      </c>
      <c r="AO515" s="53">
        <f t="shared" ca="1" si="480"/>
        <v>61057</v>
      </c>
      <c r="AP515" s="22">
        <v>508</v>
      </c>
      <c r="AQ515" s="32">
        <f t="shared" ca="1" si="481"/>
        <v>130284.35979924521</v>
      </c>
      <c r="AR515" s="23">
        <f t="array" aca="1" ref="AR515" ca="1">SUM(IF(lsc_start_date=AO515,lsc_amount,0))</f>
        <v>0</v>
      </c>
      <c r="AS515" s="24">
        <f t="shared" ca="1" si="455"/>
        <v>0</v>
      </c>
      <c r="AT515" s="24">
        <f t="shared" ca="1" si="456"/>
        <v>0</v>
      </c>
      <c r="AU515" s="24">
        <f t="shared" ca="1" si="457"/>
        <v>0</v>
      </c>
      <c r="AV515" s="25">
        <f t="shared" ca="1" si="458"/>
        <v>0</v>
      </c>
      <c r="AW515" s="23">
        <f t="array" aca="1" ref="AW515" ca="1">SUM(IF(rcs_start_date&lt;=AO515,1,0)*IF(rcs_end_date&gt;=AO515,1,0)*rcs_amount*(1+rcs_escalation/100)^(INT((AP515-rcs_months_since_start)/12))*IF(MOD((AP515-rcs_months_since_start),rcs_frequency)=0,1,0)*IF(rcs_frequency=13,0,1))+SUM(IF(rcs_start_date=AO515,rcs_amount,0)*IF(rcs_frequency=13,1,0))</f>
        <v>0</v>
      </c>
      <c r="AX515" s="24">
        <f t="shared" ca="1" si="459"/>
        <v>0</v>
      </c>
      <c r="AY515" s="24">
        <f t="shared" ca="1" si="460"/>
        <v>0</v>
      </c>
      <c r="AZ515" s="24">
        <f t="shared" ca="1" si="461"/>
        <v>0</v>
      </c>
      <c r="BA515" s="25">
        <f t="shared" ca="1" si="462"/>
        <v>0</v>
      </c>
      <c r="BB515" s="23">
        <f t="array" aca="1" ref="BB515" ca="1">SUM(IF(w_start_date&lt;=AO515,1,0)*IF(w_end_date&gt;=AO515,1,0)*w_amount*(1+w_escalation/100)^(INT((AP515-w_months_since_start)/12))*IF(MOD(AP515-w_months_since_start,w_frequency)=0,1,0)*IF(w_frequency=13,0,1))+SUM(IF(w_start_date=AO515,w_amount,0)*IF(w_frequency=13,1,0))</f>
        <v>0</v>
      </c>
      <c r="BC515" s="25">
        <f t="shared" ca="1" si="463"/>
        <v>0</v>
      </c>
      <c r="BD515" s="24" t="b">
        <f t="shared" ca="1" si="464"/>
        <v>1</v>
      </c>
      <c r="BE515" s="24" t="b">
        <f t="shared" ca="1" si="465"/>
        <v>1</v>
      </c>
      <c r="BF515" s="23">
        <f t="array" aca="1" ref="BF515" ca="1">SUM(IF(BD515,1,0)*IF(ap_start_date&lt;=AO515,1,0)*IF(ap_end_date&gt;=AO515,1,0)*ap_amount*(1+ap_escalation/100)^(INT((AP515-ap_months_since_start)/12))*IF(MOD(AP515-ap_months_since_start,ap_frequency)=0,1,0))</f>
        <v>118059.66936500254</v>
      </c>
      <c r="BG515" s="24">
        <f t="shared" ca="1" si="466"/>
        <v>1416716.0323800305</v>
      </c>
      <c r="BH515" s="24">
        <f t="shared" ca="1" si="467"/>
        <v>3358.708369662374</v>
      </c>
      <c r="BI515">
        <f t="shared" ca="1" si="468"/>
        <v>0</v>
      </c>
      <c r="BJ515" s="24">
        <f t="shared" ca="1" si="469"/>
        <v>23510.958587636618</v>
      </c>
      <c r="BK515">
        <f t="shared" ca="1" si="470"/>
        <v>1</v>
      </c>
      <c r="BL515" s="25">
        <f t="shared" ca="1" si="471"/>
        <v>1959.2465489697181</v>
      </c>
      <c r="BM515" s="32">
        <f t="shared" ca="1" si="450"/>
        <v>129249.99383105009</v>
      </c>
      <c r="BN515" s="23">
        <f t="shared" ca="1" si="472"/>
        <v>0</v>
      </c>
      <c r="BO515" s="24">
        <f t="shared" ca="1" si="473"/>
        <v>0</v>
      </c>
      <c r="BP515" s="25">
        <f t="shared" ca="1" si="474"/>
        <v>0</v>
      </c>
      <c r="BQ515" s="34">
        <f t="shared" ca="1" si="475"/>
        <v>61087</v>
      </c>
      <c r="BR515" s="23">
        <f t="shared" ca="1" si="476"/>
        <v>129249.99383105009</v>
      </c>
      <c r="BS515" s="24">
        <f t="shared" ca="1" si="477"/>
        <v>0</v>
      </c>
      <c r="BT515" s="24">
        <f t="shared" ca="1" si="482"/>
        <v>0</v>
      </c>
      <c r="BU515" s="24">
        <f t="shared" ca="1" si="478"/>
        <v>0</v>
      </c>
      <c r="BV515" s="24">
        <f t="shared" ca="1" si="483"/>
        <v>0</v>
      </c>
      <c r="BW515" s="24">
        <f t="shared" ca="1" si="479"/>
        <v>-1959.2465489697181</v>
      </c>
      <c r="BX515" s="25">
        <f t="shared" ca="1" si="484"/>
        <v>-24924.196990665117</v>
      </c>
      <c r="BY515" s="23">
        <f t="shared" ca="1" si="451"/>
        <v>24567.021206603393</v>
      </c>
      <c r="BZ515" s="24">
        <f t="shared" ca="1" si="452"/>
        <v>0</v>
      </c>
      <c r="CA515" s="24">
        <f t="shared" ca="1" si="485"/>
        <v>0</v>
      </c>
      <c r="CB515" s="24">
        <f t="shared" ca="1" si="453"/>
        <v>0</v>
      </c>
      <c r="CC515" s="24">
        <f t="shared" ca="1" si="486"/>
        <v>0</v>
      </c>
      <c r="CD515" s="24">
        <f t="shared" ca="1" si="454"/>
        <v>-373.6203346475221</v>
      </c>
      <c r="CE515" s="25">
        <f t="shared" ca="1" si="487"/>
        <v>-4841.7027010352804</v>
      </c>
      <c r="CF515" s="23">
        <f t="shared" ca="1" si="488"/>
        <v>1384930.7367817606</v>
      </c>
      <c r="CG515" s="25">
        <f t="array" aca="1" ref="CG515" ca="1">SUM(BF504:BF515/(1+inflation/100)^(AP504:AP515/12))</f>
        <v>267980.53702225385</v>
      </c>
      <c r="CH515" s="32">
        <f ca="1">IFERROR(IF(MOD(AP515-ap_months_since_start,12)=0,ap_drawdown/100*(AQ515+AV515+BA515-BC515),CH514),0)</f>
        <v>20648.549318752888</v>
      </c>
    </row>
    <row r="516" spans="40:86" x14ac:dyDescent="0.25">
      <c r="AN516" s="32">
        <f t="shared" ca="1" si="449"/>
        <v>97.25</v>
      </c>
      <c r="AO516" s="53">
        <f t="shared" ca="1" si="480"/>
        <v>61088</v>
      </c>
      <c r="AP516" s="22">
        <v>509</v>
      </c>
      <c r="AQ516" s="32">
        <f t="shared" ca="1" si="481"/>
        <v>129249.99383105009</v>
      </c>
      <c r="AR516" s="23">
        <f t="array" aca="1" ref="AR516" ca="1">SUM(IF(lsc_start_date=AO516,lsc_amount,0))</f>
        <v>0</v>
      </c>
      <c r="AS516" s="24">
        <f t="shared" ca="1" si="455"/>
        <v>0</v>
      </c>
      <c r="AT516" s="24">
        <f t="shared" ca="1" si="456"/>
        <v>0</v>
      </c>
      <c r="AU516" s="24">
        <f t="shared" ca="1" si="457"/>
        <v>0</v>
      </c>
      <c r="AV516" s="25">
        <f t="shared" ca="1" si="458"/>
        <v>0</v>
      </c>
      <c r="AW516" s="23">
        <f t="array" aca="1" ref="AW516" ca="1">SUM(IF(rcs_start_date&lt;=AO516,1,0)*IF(rcs_end_date&gt;=AO516,1,0)*rcs_amount*(1+rcs_escalation/100)^(INT((AP516-rcs_months_since_start)/12))*IF(MOD((AP516-rcs_months_since_start),rcs_frequency)=0,1,0)*IF(rcs_frequency=13,0,1))+SUM(IF(rcs_start_date=AO516,rcs_amount,0)*IF(rcs_frequency=13,1,0))</f>
        <v>0</v>
      </c>
      <c r="AX516" s="24">
        <f t="shared" ca="1" si="459"/>
        <v>0</v>
      </c>
      <c r="AY516" s="24">
        <f t="shared" ca="1" si="460"/>
        <v>0</v>
      </c>
      <c r="AZ516" s="24">
        <f t="shared" ca="1" si="461"/>
        <v>0</v>
      </c>
      <c r="BA516" s="25">
        <f t="shared" ca="1" si="462"/>
        <v>0</v>
      </c>
      <c r="BB516" s="23">
        <f t="array" aca="1" ref="BB516" ca="1">SUM(IF(w_start_date&lt;=AO516,1,0)*IF(w_end_date&gt;=AO516,1,0)*w_amount*(1+w_escalation/100)^(INT((AP516-w_months_since_start)/12))*IF(MOD(AP516-w_months_since_start,w_frequency)=0,1,0)*IF(w_frequency=13,0,1))+SUM(IF(w_start_date=AO516,w_amount,0)*IF(w_frequency=13,1,0))</f>
        <v>0</v>
      </c>
      <c r="BC516" s="25">
        <f t="shared" ca="1" si="463"/>
        <v>0</v>
      </c>
      <c r="BD516" s="24" t="b">
        <f t="shared" ca="1" si="464"/>
        <v>1</v>
      </c>
      <c r="BE516" s="24" t="b">
        <f t="shared" ca="1" si="465"/>
        <v>1</v>
      </c>
      <c r="BF516" s="23">
        <f t="array" aca="1" ref="BF516" ca="1">SUM(IF(BD516,1,0)*IF(ap_start_date&lt;=AO516,1,0)*IF(ap_end_date&gt;=AO516,1,0)*ap_amount*(1+ap_escalation/100)^(INT((AP516-ap_months_since_start)/12))*IF(MOD(AP516-ap_months_since_start,ap_frequency)=0,1,0))</f>
        <v>118059.66936500254</v>
      </c>
      <c r="BG516" s="24">
        <f t="shared" ca="1" si="466"/>
        <v>1416716.0323800305</v>
      </c>
      <c r="BH516" s="24">
        <f t="shared" ca="1" si="467"/>
        <v>3358.708369662374</v>
      </c>
      <c r="BI516">
        <f t="shared" ca="1" si="468"/>
        <v>0</v>
      </c>
      <c r="BJ516" s="24">
        <f t="shared" ca="1" si="469"/>
        <v>23510.958587636618</v>
      </c>
      <c r="BK516">
        <f t="shared" ca="1" si="470"/>
        <v>1</v>
      </c>
      <c r="BL516" s="25">
        <f t="shared" ca="1" si="471"/>
        <v>1959.2465489697181</v>
      </c>
      <c r="BM516" s="32">
        <f t="shared" ca="1" si="450"/>
        <v>128208.17285289498</v>
      </c>
      <c r="BN516" s="23">
        <f t="shared" ca="1" si="472"/>
        <v>0</v>
      </c>
      <c r="BO516" s="24">
        <f t="shared" ca="1" si="473"/>
        <v>0</v>
      </c>
      <c r="BP516" s="25">
        <f t="shared" ca="1" si="474"/>
        <v>0</v>
      </c>
      <c r="BQ516" s="34">
        <f t="shared" ca="1" si="475"/>
        <v>61117</v>
      </c>
      <c r="BR516" s="23">
        <f t="shared" ca="1" si="476"/>
        <v>128208.17285289498</v>
      </c>
      <c r="BS516" s="24">
        <f t="shared" ca="1" si="477"/>
        <v>0</v>
      </c>
      <c r="BT516" s="24">
        <f t="shared" ca="1" si="482"/>
        <v>0</v>
      </c>
      <c r="BU516" s="24">
        <f t="shared" ca="1" si="478"/>
        <v>0</v>
      </c>
      <c r="BV516" s="24">
        <f t="shared" ca="1" si="483"/>
        <v>0</v>
      </c>
      <c r="BW516" s="24">
        <f t="shared" ca="1" si="479"/>
        <v>-1959.2465489697181</v>
      </c>
      <c r="BX516" s="25">
        <f t="shared" ca="1" si="484"/>
        <v>-24722.305790232476</v>
      </c>
      <c r="BY516" s="23">
        <f t="shared" ca="1" si="451"/>
        <v>24289.481025195884</v>
      </c>
      <c r="BZ516" s="24">
        <f t="shared" ca="1" si="452"/>
        <v>0</v>
      </c>
      <c r="CA516" s="24">
        <f t="shared" ca="1" si="485"/>
        <v>0</v>
      </c>
      <c r="CB516" s="24">
        <f t="shared" ca="1" si="453"/>
        <v>0</v>
      </c>
      <c r="CC516" s="24">
        <f t="shared" ca="1" si="486"/>
        <v>0</v>
      </c>
      <c r="CD516" s="24">
        <f t="shared" ca="1" si="454"/>
        <v>-372.40119005669527</v>
      </c>
      <c r="CE516" s="25">
        <f t="shared" ca="1" si="487"/>
        <v>-4786.8974831061159</v>
      </c>
      <c r="CF516" s="23">
        <f t="shared" ca="1" si="488"/>
        <v>1389471.493295799</v>
      </c>
      <c r="CG516" s="25">
        <f t="array" aca="1" ref="CG516" ca="1">SUM(BF505:BF516/(1+inflation/100)^(AP505:AP516/12))</f>
        <v>267980.53702225379</v>
      </c>
      <c r="CH516" s="32">
        <f ca="1">IFERROR(IF(MOD(AP516-ap_months_since_start,12)=0,ap_drawdown/100*(AQ516+AV516+BA516-BC516),CH515),0)</f>
        <v>20648.549318752888</v>
      </c>
    </row>
    <row r="517" spans="40:86" x14ac:dyDescent="0.25">
      <c r="AN517" s="32">
        <f t="shared" ca="1" si="449"/>
        <v>97.333333333333329</v>
      </c>
      <c r="AO517" s="53">
        <f t="shared" ca="1" si="480"/>
        <v>61118</v>
      </c>
      <c r="AP517" s="22">
        <v>510</v>
      </c>
      <c r="AQ517" s="32">
        <f t="shared" ca="1" si="481"/>
        <v>128208.17285289498</v>
      </c>
      <c r="AR517" s="23">
        <f t="array" aca="1" ref="AR517" ca="1">SUM(IF(lsc_start_date=AO517,lsc_amount,0))</f>
        <v>0</v>
      </c>
      <c r="AS517" s="24">
        <f t="shared" ca="1" si="455"/>
        <v>0</v>
      </c>
      <c r="AT517" s="24">
        <f t="shared" ca="1" si="456"/>
        <v>0</v>
      </c>
      <c r="AU517" s="24">
        <f t="shared" ca="1" si="457"/>
        <v>0</v>
      </c>
      <c r="AV517" s="25">
        <f t="shared" ca="1" si="458"/>
        <v>0</v>
      </c>
      <c r="AW517" s="23">
        <f t="array" aca="1" ref="AW517" ca="1">SUM(IF(rcs_start_date&lt;=AO517,1,0)*IF(rcs_end_date&gt;=AO517,1,0)*rcs_amount*(1+rcs_escalation/100)^(INT((AP517-rcs_months_since_start)/12))*IF(MOD((AP517-rcs_months_since_start),rcs_frequency)=0,1,0)*IF(rcs_frequency=13,0,1))+SUM(IF(rcs_start_date=AO517,rcs_amount,0)*IF(rcs_frequency=13,1,0))</f>
        <v>0</v>
      </c>
      <c r="AX517" s="24">
        <f t="shared" ca="1" si="459"/>
        <v>0</v>
      </c>
      <c r="AY517" s="24">
        <f t="shared" ca="1" si="460"/>
        <v>0</v>
      </c>
      <c r="AZ517" s="24">
        <f t="shared" ca="1" si="461"/>
        <v>0</v>
      </c>
      <c r="BA517" s="25">
        <f t="shared" ca="1" si="462"/>
        <v>0</v>
      </c>
      <c r="BB517" s="23">
        <f t="array" aca="1" ref="BB517" ca="1">SUM(IF(w_start_date&lt;=AO517,1,0)*IF(w_end_date&gt;=AO517,1,0)*w_amount*(1+w_escalation/100)^(INT((AP517-w_months_since_start)/12))*IF(MOD(AP517-w_months_since_start,w_frequency)=0,1,0)*IF(w_frequency=13,0,1))+SUM(IF(w_start_date=AO517,w_amount,0)*IF(w_frequency=13,1,0))</f>
        <v>0</v>
      </c>
      <c r="BC517" s="25">
        <f t="shared" ca="1" si="463"/>
        <v>0</v>
      </c>
      <c r="BD517" s="24" t="b">
        <f t="shared" ca="1" si="464"/>
        <v>1</v>
      </c>
      <c r="BE517" s="24" t="b">
        <f t="shared" ca="1" si="465"/>
        <v>1</v>
      </c>
      <c r="BF517" s="23">
        <f t="array" aca="1" ref="BF517" ca="1">SUM(IF(BD517,1,0)*IF(ap_start_date&lt;=AO517,1,0)*IF(ap_end_date&gt;=AO517,1,0)*ap_amount*(1+ap_escalation/100)^(INT((AP517-ap_months_since_start)/12))*IF(MOD(AP517-ap_months_since_start,ap_frequency)=0,1,0))</f>
        <v>118059.66936500254</v>
      </c>
      <c r="BG517" s="24">
        <f t="shared" ca="1" si="466"/>
        <v>1416716.0323800305</v>
      </c>
      <c r="BH517" s="24">
        <f t="shared" ca="1" si="467"/>
        <v>3358.708369662374</v>
      </c>
      <c r="BI517">
        <f t="shared" ca="1" si="468"/>
        <v>0</v>
      </c>
      <c r="BJ517" s="24">
        <f t="shared" ca="1" si="469"/>
        <v>23510.958587636618</v>
      </c>
      <c r="BK517">
        <f t="shared" ca="1" si="470"/>
        <v>1</v>
      </c>
      <c r="BL517" s="25">
        <f t="shared" ca="1" si="471"/>
        <v>1959.2465489697181</v>
      </c>
      <c r="BM517" s="32">
        <f t="shared" ca="1" si="450"/>
        <v>127158.84313411276</v>
      </c>
      <c r="BN517" s="23">
        <f t="shared" ca="1" si="472"/>
        <v>0</v>
      </c>
      <c r="BO517" s="24">
        <f t="shared" ca="1" si="473"/>
        <v>0</v>
      </c>
      <c r="BP517" s="25">
        <f t="shared" ca="1" si="474"/>
        <v>0</v>
      </c>
      <c r="BQ517" s="34">
        <f t="shared" ca="1" si="475"/>
        <v>61148</v>
      </c>
      <c r="BR517" s="23">
        <f t="shared" ca="1" si="476"/>
        <v>127158.84313411276</v>
      </c>
      <c r="BS517" s="24">
        <f t="shared" ca="1" si="477"/>
        <v>0</v>
      </c>
      <c r="BT517" s="24">
        <f t="shared" ca="1" si="482"/>
        <v>0</v>
      </c>
      <c r="BU517" s="24">
        <f t="shared" ca="1" si="478"/>
        <v>0</v>
      </c>
      <c r="BV517" s="24">
        <f t="shared" ca="1" si="483"/>
        <v>0</v>
      </c>
      <c r="BW517" s="24">
        <f t="shared" ca="1" si="479"/>
        <v>-1959.2465489697181</v>
      </c>
      <c r="BX517" s="25">
        <f t="shared" ca="1" si="484"/>
        <v>-24520.414589799831</v>
      </c>
      <c r="BY517" s="23">
        <f t="shared" ca="1" si="451"/>
        <v>24012.072609483737</v>
      </c>
      <c r="BZ517" s="24">
        <f t="shared" ca="1" si="452"/>
        <v>0</v>
      </c>
      <c r="CA517" s="24">
        <f t="shared" ca="1" si="485"/>
        <v>0</v>
      </c>
      <c r="CB517" s="24">
        <f t="shared" ca="1" si="453"/>
        <v>0</v>
      </c>
      <c r="CC517" s="24">
        <f t="shared" ca="1" si="486"/>
        <v>0</v>
      </c>
      <c r="CD517" s="24">
        <f t="shared" ca="1" si="454"/>
        <v>-371.18602360462472</v>
      </c>
      <c r="CE517" s="25">
        <f t="shared" ca="1" si="487"/>
        <v>-4732.2710977478573</v>
      </c>
      <c r="CF517" s="23">
        <f t="shared" ca="1" si="488"/>
        <v>1394012.2498098377</v>
      </c>
      <c r="CG517" s="25">
        <f t="array" aca="1" ref="CG517" ca="1">SUM(BF506:BF517/(1+inflation/100)^(AP506:AP517/12))</f>
        <v>267980.53702225379</v>
      </c>
      <c r="CH517" s="32">
        <f ca="1">IFERROR(IF(MOD(AP517-ap_months_since_start,12)=0,ap_drawdown/100*(AQ517+AV517+BA517-BC517),CH516),0)</f>
        <v>20648.549318752888</v>
      </c>
    </row>
    <row r="518" spans="40:86" x14ac:dyDescent="0.25">
      <c r="AN518" s="32">
        <f t="shared" ca="1" si="449"/>
        <v>97.416666666666671</v>
      </c>
      <c r="AO518" s="53">
        <f t="shared" ca="1" si="480"/>
        <v>61149</v>
      </c>
      <c r="AP518" s="22">
        <v>511</v>
      </c>
      <c r="AQ518" s="32">
        <f t="shared" ca="1" si="481"/>
        <v>127158.84313411276</v>
      </c>
      <c r="AR518" s="23">
        <f t="array" aca="1" ref="AR518" ca="1">SUM(IF(lsc_start_date=AO518,lsc_amount,0))</f>
        <v>0</v>
      </c>
      <c r="AS518" s="24">
        <f t="shared" ca="1" si="455"/>
        <v>0</v>
      </c>
      <c r="AT518" s="24">
        <f t="shared" ca="1" si="456"/>
        <v>0</v>
      </c>
      <c r="AU518" s="24">
        <f t="shared" ca="1" si="457"/>
        <v>0</v>
      </c>
      <c r="AV518" s="25">
        <f t="shared" ca="1" si="458"/>
        <v>0</v>
      </c>
      <c r="AW518" s="23">
        <f t="array" aca="1" ref="AW518" ca="1">SUM(IF(rcs_start_date&lt;=AO518,1,0)*IF(rcs_end_date&gt;=AO518,1,0)*rcs_amount*(1+rcs_escalation/100)^(INT((AP518-rcs_months_since_start)/12))*IF(MOD((AP518-rcs_months_since_start),rcs_frequency)=0,1,0)*IF(rcs_frequency=13,0,1))+SUM(IF(rcs_start_date=AO518,rcs_amount,0)*IF(rcs_frequency=13,1,0))</f>
        <v>0</v>
      </c>
      <c r="AX518" s="24">
        <f t="shared" ca="1" si="459"/>
        <v>0</v>
      </c>
      <c r="AY518" s="24">
        <f t="shared" ca="1" si="460"/>
        <v>0</v>
      </c>
      <c r="AZ518" s="24">
        <f t="shared" ca="1" si="461"/>
        <v>0</v>
      </c>
      <c r="BA518" s="25">
        <f t="shared" ca="1" si="462"/>
        <v>0</v>
      </c>
      <c r="BB518" s="23">
        <f t="array" aca="1" ref="BB518" ca="1">SUM(IF(w_start_date&lt;=AO518,1,0)*IF(w_end_date&gt;=AO518,1,0)*w_amount*(1+w_escalation/100)^(INT((AP518-w_months_since_start)/12))*IF(MOD(AP518-w_months_since_start,w_frequency)=0,1,0)*IF(w_frequency=13,0,1))+SUM(IF(w_start_date=AO518,w_amount,0)*IF(w_frequency=13,1,0))</f>
        <v>0</v>
      </c>
      <c r="BC518" s="25">
        <f t="shared" ca="1" si="463"/>
        <v>0</v>
      </c>
      <c r="BD518" s="24" t="b">
        <f t="shared" ca="1" si="464"/>
        <v>1</v>
      </c>
      <c r="BE518" s="24" t="b">
        <f t="shared" ca="1" si="465"/>
        <v>1</v>
      </c>
      <c r="BF518" s="23">
        <f t="array" aca="1" ref="BF518" ca="1">SUM(IF(BD518,1,0)*IF(ap_start_date&lt;=AO518,1,0)*IF(ap_end_date&gt;=AO518,1,0)*ap_amount*(1+ap_escalation/100)^(INT((AP518-ap_months_since_start)/12))*IF(MOD(AP518-ap_months_since_start,ap_frequency)=0,1,0))</f>
        <v>118059.66936500254</v>
      </c>
      <c r="BG518" s="24">
        <f t="shared" ca="1" si="466"/>
        <v>1416716.0323800305</v>
      </c>
      <c r="BH518" s="24">
        <f t="shared" ca="1" si="467"/>
        <v>3358.708369662374</v>
      </c>
      <c r="BI518">
        <f t="shared" ca="1" si="468"/>
        <v>0</v>
      </c>
      <c r="BJ518" s="24">
        <f t="shared" ca="1" si="469"/>
        <v>23510.958587636618</v>
      </c>
      <c r="BK518">
        <f t="shared" ca="1" si="470"/>
        <v>1</v>
      </c>
      <c r="BL518" s="25">
        <f t="shared" ca="1" si="471"/>
        <v>1959.2465489697181</v>
      </c>
      <c r="BM518" s="32">
        <f t="shared" ca="1" si="450"/>
        <v>126101.95055678205</v>
      </c>
      <c r="BN518" s="23">
        <f t="shared" ca="1" si="472"/>
        <v>0</v>
      </c>
      <c r="BO518" s="24">
        <f t="shared" ca="1" si="473"/>
        <v>0</v>
      </c>
      <c r="BP518" s="25">
        <f t="shared" ca="1" si="474"/>
        <v>0</v>
      </c>
      <c r="BQ518" s="34">
        <f t="shared" ca="1" si="475"/>
        <v>61178</v>
      </c>
      <c r="BR518" s="23">
        <f t="shared" ca="1" si="476"/>
        <v>126101.95055678205</v>
      </c>
      <c r="BS518" s="24">
        <f t="shared" ca="1" si="477"/>
        <v>0</v>
      </c>
      <c r="BT518" s="24">
        <f t="shared" ca="1" si="482"/>
        <v>0</v>
      </c>
      <c r="BU518" s="24">
        <f t="shared" ca="1" si="478"/>
        <v>0</v>
      </c>
      <c r="BV518" s="24">
        <f t="shared" ca="1" si="483"/>
        <v>0</v>
      </c>
      <c r="BW518" s="24">
        <f t="shared" ca="1" si="479"/>
        <v>-1959.2465489697181</v>
      </c>
      <c r="BX518" s="25">
        <f t="shared" ca="1" si="484"/>
        <v>-24318.52338936719</v>
      </c>
      <c r="BY518" s="23">
        <f t="shared" ca="1" si="451"/>
        <v>23734.79249538283</v>
      </c>
      <c r="BZ518" s="24">
        <f t="shared" ca="1" si="452"/>
        <v>0</v>
      </c>
      <c r="CA518" s="24">
        <f t="shared" ca="1" si="485"/>
        <v>0</v>
      </c>
      <c r="CB518" s="24">
        <f t="shared" ca="1" si="453"/>
        <v>0</v>
      </c>
      <c r="CC518" s="24">
        <f t="shared" ca="1" si="486"/>
        <v>0</v>
      </c>
      <c r="CD518" s="24">
        <f t="shared" ca="1" si="454"/>
        <v>-369.97482231041505</v>
      </c>
      <c r="CE518" s="25">
        <f t="shared" ca="1" si="487"/>
        <v>-4677.8229614195643</v>
      </c>
      <c r="CF518" s="23">
        <f t="shared" ca="1" si="488"/>
        <v>1398553.0063238763</v>
      </c>
      <c r="CG518" s="25">
        <f t="array" aca="1" ref="CG518" ca="1">SUM(BF507:BF518/(1+inflation/100)^(AP507:AP518/12))</f>
        <v>267980.53702225373</v>
      </c>
      <c r="CH518" s="32">
        <f ca="1">IFERROR(IF(MOD(AP518-ap_months_since_start,12)=0,ap_drawdown/100*(AQ518+AV518+BA518-BC518),CH517),0)</f>
        <v>20648.549318752888</v>
      </c>
    </row>
    <row r="519" spans="40:86" x14ac:dyDescent="0.25">
      <c r="AN519" s="32">
        <f t="shared" ca="1" si="449"/>
        <v>97.5</v>
      </c>
      <c r="AO519" s="53">
        <f t="shared" ca="1" si="480"/>
        <v>61179</v>
      </c>
      <c r="AP519" s="22">
        <v>512</v>
      </c>
      <c r="AQ519" s="32">
        <f t="shared" ca="1" si="481"/>
        <v>126101.95055678205</v>
      </c>
      <c r="AR519" s="23">
        <f t="array" aca="1" ref="AR519" ca="1">SUM(IF(lsc_start_date=AO519,lsc_amount,0))</f>
        <v>0</v>
      </c>
      <c r="AS519" s="24">
        <f t="shared" ca="1" si="455"/>
        <v>0</v>
      </c>
      <c r="AT519" s="24">
        <f t="shared" ca="1" si="456"/>
        <v>0</v>
      </c>
      <c r="AU519" s="24">
        <f t="shared" ca="1" si="457"/>
        <v>0</v>
      </c>
      <c r="AV519" s="25">
        <f t="shared" ca="1" si="458"/>
        <v>0</v>
      </c>
      <c r="AW519" s="23">
        <f t="array" aca="1" ref="AW519" ca="1">SUM(IF(rcs_start_date&lt;=AO519,1,0)*IF(rcs_end_date&gt;=AO519,1,0)*rcs_amount*(1+rcs_escalation/100)^(INT((AP519-rcs_months_since_start)/12))*IF(MOD((AP519-rcs_months_since_start),rcs_frequency)=0,1,0)*IF(rcs_frequency=13,0,1))+SUM(IF(rcs_start_date=AO519,rcs_amount,0)*IF(rcs_frequency=13,1,0))</f>
        <v>0</v>
      </c>
      <c r="AX519" s="24">
        <f t="shared" ca="1" si="459"/>
        <v>0</v>
      </c>
      <c r="AY519" s="24">
        <f t="shared" ca="1" si="460"/>
        <v>0</v>
      </c>
      <c r="AZ519" s="24">
        <f t="shared" ca="1" si="461"/>
        <v>0</v>
      </c>
      <c r="BA519" s="25">
        <f t="shared" ca="1" si="462"/>
        <v>0</v>
      </c>
      <c r="BB519" s="23">
        <f t="array" aca="1" ref="BB519" ca="1">SUM(IF(w_start_date&lt;=AO519,1,0)*IF(w_end_date&gt;=AO519,1,0)*w_amount*(1+w_escalation/100)^(INT((AP519-w_months_since_start)/12))*IF(MOD(AP519-w_months_since_start,w_frequency)=0,1,0)*IF(w_frequency=13,0,1))+SUM(IF(w_start_date=AO519,w_amount,0)*IF(w_frequency=13,1,0))</f>
        <v>0</v>
      </c>
      <c r="BC519" s="25">
        <f t="shared" ca="1" si="463"/>
        <v>0</v>
      </c>
      <c r="BD519" s="24" t="b">
        <f t="shared" ca="1" si="464"/>
        <v>1</v>
      </c>
      <c r="BE519" s="24" t="b">
        <f t="shared" ca="1" si="465"/>
        <v>1</v>
      </c>
      <c r="BF519" s="23">
        <f t="array" aca="1" ref="BF519" ca="1">SUM(IF(BD519,1,0)*IF(ap_start_date&lt;=AO519,1,0)*IF(ap_end_date&gt;=AO519,1,0)*ap_amount*(1+ap_escalation/100)^(INT((AP519-ap_months_since_start)/12))*IF(MOD(AP519-ap_months_since_start,ap_frequency)=0,1,0))</f>
        <v>118059.66936500254</v>
      </c>
      <c r="BG519" s="24">
        <f t="shared" ca="1" si="466"/>
        <v>1416716.0323800305</v>
      </c>
      <c r="BH519" s="24">
        <f t="shared" ca="1" si="467"/>
        <v>3358.708369662374</v>
      </c>
      <c r="BI519">
        <f t="shared" ca="1" si="468"/>
        <v>0</v>
      </c>
      <c r="BJ519" s="24">
        <f t="shared" ca="1" si="469"/>
        <v>23510.958587636618</v>
      </c>
      <c r="BK519">
        <f t="shared" ca="1" si="470"/>
        <v>1</v>
      </c>
      <c r="BL519" s="25">
        <f t="shared" ca="1" si="471"/>
        <v>1959.2465489697181</v>
      </c>
      <c r="BM519" s="32">
        <f t="shared" ca="1" si="450"/>
        <v>125037.44061293609</v>
      </c>
      <c r="BN519" s="23">
        <f t="shared" ca="1" si="472"/>
        <v>0</v>
      </c>
      <c r="BO519" s="24">
        <f t="shared" ca="1" si="473"/>
        <v>0</v>
      </c>
      <c r="BP519" s="25">
        <f t="shared" ca="1" si="474"/>
        <v>0</v>
      </c>
      <c r="BQ519" s="34">
        <f t="shared" ca="1" si="475"/>
        <v>61209</v>
      </c>
      <c r="BR519" s="23">
        <f t="shared" ca="1" si="476"/>
        <v>125037.44061293609</v>
      </c>
      <c r="BS519" s="24">
        <f t="shared" ca="1" si="477"/>
        <v>0</v>
      </c>
      <c r="BT519" s="24">
        <f t="shared" ca="1" si="482"/>
        <v>0</v>
      </c>
      <c r="BU519" s="24">
        <f t="shared" ca="1" si="478"/>
        <v>0</v>
      </c>
      <c r="BV519" s="24">
        <f t="shared" ca="1" si="483"/>
        <v>0</v>
      </c>
      <c r="BW519" s="24">
        <f t="shared" ca="1" si="479"/>
        <v>-1959.2465489697181</v>
      </c>
      <c r="BX519" s="25">
        <f t="shared" ca="1" si="484"/>
        <v>-24116.632188934549</v>
      </c>
      <c r="BY519" s="23">
        <f t="shared" ca="1" si="451"/>
        <v>23457.637218216467</v>
      </c>
      <c r="BZ519" s="24">
        <f t="shared" ca="1" si="452"/>
        <v>0</v>
      </c>
      <c r="CA519" s="24">
        <f t="shared" ca="1" si="485"/>
        <v>0</v>
      </c>
      <c r="CB519" s="24">
        <f t="shared" ca="1" si="453"/>
        <v>0</v>
      </c>
      <c r="CC519" s="24">
        <f t="shared" ca="1" si="486"/>
        <v>0</v>
      </c>
      <c r="CD519" s="24">
        <f t="shared" ca="1" si="454"/>
        <v>-368.76757323552897</v>
      </c>
      <c r="CE519" s="25">
        <f t="shared" ca="1" si="487"/>
        <v>-4623.5524924844212</v>
      </c>
      <c r="CF519" s="23">
        <f t="shared" ca="1" si="488"/>
        <v>1403093.7628379147</v>
      </c>
      <c r="CG519" s="25">
        <f t="array" aca="1" ref="CG519" ca="1">SUM(BF508:BF519/(1+inflation/100)^(AP508:AP519/12))</f>
        <v>267980.53702225379</v>
      </c>
      <c r="CH519" s="32">
        <f ca="1">IFERROR(IF(MOD(AP519-ap_months_since_start,12)=0,ap_drawdown/100*(AQ519+AV519+BA519-BC519),CH518),0)</f>
        <v>20648.549318752888</v>
      </c>
    </row>
    <row r="520" spans="40:86" x14ac:dyDescent="0.25">
      <c r="AN520" s="32">
        <f t="shared" ref="AN520:AN583" ca="1" si="489">IF(AND(Date_of_birth&lt;&gt;"",Date_of_birth&lt;&gt;"Please enter date of birth"),YEARFRAC(Date_of_birth,AO520),AP520/12)</f>
        <v>97.583333333333329</v>
      </c>
      <c r="AO520" s="53">
        <f t="shared" ca="1" si="480"/>
        <v>61210</v>
      </c>
      <c r="AP520" s="22">
        <v>513</v>
      </c>
      <c r="AQ520" s="32">
        <f t="shared" ca="1" si="481"/>
        <v>125037.44061293609</v>
      </c>
      <c r="AR520" s="23">
        <f t="array" aca="1" ref="AR520" ca="1">SUM(IF(lsc_start_date=AO520,lsc_amount,0))</f>
        <v>0</v>
      </c>
      <c r="AS520" s="24">
        <f t="shared" ca="1" si="455"/>
        <v>0</v>
      </c>
      <c r="AT520" s="24">
        <f t="shared" ca="1" si="456"/>
        <v>0</v>
      </c>
      <c r="AU520" s="24">
        <f t="shared" ca="1" si="457"/>
        <v>0</v>
      </c>
      <c r="AV520" s="25">
        <f t="shared" ca="1" si="458"/>
        <v>0</v>
      </c>
      <c r="AW520" s="23">
        <f t="array" aca="1" ref="AW520" ca="1">SUM(IF(rcs_start_date&lt;=AO520,1,0)*IF(rcs_end_date&gt;=AO520,1,0)*rcs_amount*(1+rcs_escalation/100)^(INT((AP520-rcs_months_since_start)/12))*IF(MOD((AP520-rcs_months_since_start),rcs_frequency)=0,1,0)*IF(rcs_frequency=13,0,1))+SUM(IF(rcs_start_date=AO520,rcs_amount,0)*IF(rcs_frequency=13,1,0))</f>
        <v>0</v>
      </c>
      <c r="AX520" s="24">
        <f t="shared" ca="1" si="459"/>
        <v>0</v>
      </c>
      <c r="AY520" s="24">
        <f t="shared" ca="1" si="460"/>
        <v>0</v>
      </c>
      <c r="AZ520" s="24">
        <f t="shared" ca="1" si="461"/>
        <v>0</v>
      </c>
      <c r="BA520" s="25">
        <f t="shared" ca="1" si="462"/>
        <v>0</v>
      </c>
      <c r="BB520" s="23">
        <f t="array" aca="1" ref="BB520" ca="1">SUM(IF(w_start_date&lt;=AO520,1,0)*IF(w_end_date&gt;=AO520,1,0)*w_amount*(1+w_escalation/100)^(INT((AP520-w_months_since_start)/12))*IF(MOD(AP520-w_months_since_start,w_frequency)=0,1,0)*IF(w_frequency=13,0,1))+SUM(IF(w_start_date=AO520,w_amount,0)*IF(w_frequency=13,1,0))</f>
        <v>0</v>
      </c>
      <c r="BC520" s="25">
        <f t="shared" ca="1" si="463"/>
        <v>0</v>
      </c>
      <c r="BD520" s="24" t="b">
        <f t="shared" ca="1" si="464"/>
        <v>1</v>
      </c>
      <c r="BE520" s="24" t="b">
        <f t="shared" ca="1" si="465"/>
        <v>1</v>
      </c>
      <c r="BF520" s="23">
        <f t="array" aca="1" ref="BF520" ca="1">SUM(IF(BD520,1,0)*IF(ap_start_date&lt;=AO520,1,0)*IF(ap_end_date&gt;=AO520,1,0)*ap_amount*(1+ap_escalation/100)^(INT((AP520-ap_months_since_start)/12))*IF(MOD(AP520-ap_months_since_start,ap_frequency)=0,1,0))</f>
        <v>118059.66936500254</v>
      </c>
      <c r="BG520" s="24">
        <f t="shared" ca="1" si="466"/>
        <v>1416716.0323800305</v>
      </c>
      <c r="BH520" s="24">
        <f t="shared" ca="1" si="467"/>
        <v>3358.708369662374</v>
      </c>
      <c r="BI520">
        <f t="shared" ca="1" si="468"/>
        <v>0</v>
      </c>
      <c r="BJ520" s="24">
        <f t="shared" ca="1" si="469"/>
        <v>23510.958587636618</v>
      </c>
      <c r="BK520">
        <f t="shared" ca="1" si="470"/>
        <v>1</v>
      </c>
      <c r="BL520" s="25">
        <f t="shared" ca="1" si="471"/>
        <v>1959.2465489697181</v>
      </c>
      <c r="BM520" s="32">
        <f t="shared" ref="BM520:BM583" ca="1" si="490">(AQ520+AV520+BA520-BC520-BL520)*(1+NomRetn/100)^(1/12)</f>
        <v>123965.25840175159</v>
      </c>
      <c r="BN520" s="23">
        <f t="shared" ca="1" si="472"/>
        <v>0</v>
      </c>
      <c r="BO520" s="24">
        <f t="shared" ca="1" si="473"/>
        <v>0</v>
      </c>
      <c r="BP520" s="25">
        <f t="shared" ca="1" si="474"/>
        <v>0</v>
      </c>
      <c r="BQ520" s="34">
        <f t="shared" ca="1" si="475"/>
        <v>61240</v>
      </c>
      <c r="BR520" s="23">
        <f t="shared" ca="1" si="476"/>
        <v>123965.25840175159</v>
      </c>
      <c r="BS520" s="24">
        <f t="shared" ca="1" si="477"/>
        <v>0</v>
      </c>
      <c r="BT520" s="24">
        <f t="shared" ca="1" si="482"/>
        <v>0</v>
      </c>
      <c r="BU520" s="24">
        <f t="shared" ca="1" si="478"/>
        <v>0</v>
      </c>
      <c r="BV520" s="24">
        <f t="shared" ca="1" si="483"/>
        <v>0</v>
      </c>
      <c r="BW520" s="24">
        <f t="shared" ca="1" si="479"/>
        <v>-1959.2465489697181</v>
      </c>
      <c r="BX520" s="25">
        <f t="shared" ca="1" si="484"/>
        <v>-23914.740988501904</v>
      </c>
      <c r="BY520" s="23">
        <f t="shared" ref="BY520:BY583" ca="1" si="491">BR520*(1+inflation/100)^(-$AP520/12)</f>
        <v>23180.603312670701</v>
      </c>
      <c r="BZ520" s="24">
        <f t="shared" ref="BZ520:BZ583" ca="1" si="492">BS520*(1+inflation/100)^(-(AP520-1)/12)</f>
        <v>0</v>
      </c>
      <c r="CA520" s="24">
        <f t="shared" ca="1" si="485"/>
        <v>0</v>
      </c>
      <c r="CB520" s="24">
        <f t="shared" ref="CB520:CB583" ca="1" si="493">BU520*(1+inflation/100)^(-($AP520-1)/12)</f>
        <v>0</v>
      </c>
      <c r="CC520" s="24">
        <f t="shared" ca="1" si="486"/>
        <v>0</v>
      </c>
      <c r="CD520" s="24">
        <f t="shared" ref="CD520:CD583" ca="1" si="494">BW520*(1+inflation/100)^(-($AP520-1)/12)</f>
        <v>-367.56426348364801</v>
      </c>
      <c r="CE520" s="25">
        <f t="shared" ca="1" si="487"/>
        <v>-4569.4591112035314</v>
      </c>
      <c r="CF520" s="23">
        <f t="shared" ca="1" si="488"/>
        <v>1407634.5193519534</v>
      </c>
      <c r="CG520" s="25">
        <f t="array" aca="1" ref="CG520" ca="1">SUM(BF509:BF520/(1+inflation/100)^(AP509:AP520/12))</f>
        <v>267980.53702225379</v>
      </c>
      <c r="CH520" s="32">
        <f ca="1">IFERROR(IF(MOD(AP520-ap_months_since_start,12)=0,ap_drawdown/100*(AQ520+AV520+BA520-BC520),CH519),0)</f>
        <v>20648.549318752888</v>
      </c>
    </row>
    <row r="521" spans="40:86" x14ac:dyDescent="0.25">
      <c r="AN521" s="32">
        <f t="shared" ca="1" si="489"/>
        <v>97.666666666666671</v>
      </c>
      <c r="AO521" s="53">
        <f t="shared" ca="1" si="480"/>
        <v>61241</v>
      </c>
      <c r="AP521" s="22">
        <v>514</v>
      </c>
      <c r="AQ521" s="32">
        <f t="shared" ca="1" si="481"/>
        <v>123965.25840175159</v>
      </c>
      <c r="AR521" s="23">
        <f t="array" aca="1" ref="AR521" ca="1">SUM(IF(lsc_start_date=AO521,lsc_amount,0))</f>
        <v>0</v>
      </c>
      <c r="AS521" s="24">
        <f t="shared" ref="AS521:AS584" ca="1" si="495">AR521*$D$34/100</f>
        <v>0</v>
      </c>
      <c r="AT521" s="24">
        <f t="shared" ref="AT521:AT584" ca="1" si="496">AR521*$D$33/100</f>
        <v>0</v>
      </c>
      <c r="AU521" s="24">
        <f t="shared" ref="AU521:AU584" ca="1" si="497">AR521*$D$35/100</f>
        <v>0</v>
      </c>
      <c r="AV521" s="25">
        <f t="shared" ref="AV521:AV584" ca="1" si="498">AR521-AS521-AT521-AU521</f>
        <v>0</v>
      </c>
      <c r="AW521" s="23">
        <f t="array" aca="1" ref="AW521" ca="1">SUM(IF(rcs_start_date&lt;=AO521,1,0)*IF(rcs_end_date&gt;=AO521,1,0)*rcs_amount*(1+rcs_escalation/100)^(INT((AP521-rcs_months_since_start)/12))*IF(MOD((AP521-rcs_months_since_start),rcs_frequency)=0,1,0)*IF(rcs_frequency=13,0,1))+SUM(IF(rcs_start_date=AO521,rcs_amount,0)*IF(rcs_frequency=13,1,0))</f>
        <v>0</v>
      </c>
      <c r="AX521" s="24">
        <f t="shared" ref="AX521:AX584" ca="1" si="499">AW521*$D$34/100</f>
        <v>0</v>
      </c>
      <c r="AY521" s="24">
        <f t="shared" ref="AY521:AY584" ca="1" si="500">AW521*$D$33/100</f>
        <v>0</v>
      </c>
      <c r="AZ521" s="24">
        <f t="shared" ref="AZ521:AZ584" ca="1" si="501">AW521*$D$35/100</f>
        <v>0</v>
      </c>
      <c r="BA521" s="25">
        <f t="shared" ref="BA521:BA584" ca="1" si="502">AW521-AX521-AY521-AZ521</f>
        <v>0</v>
      </c>
      <c r="BB521" s="23">
        <f t="array" aca="1" ref="BB521" ca="1">SUM(IF(w_start_date&lt;=AO521,1,0)*IF(w_end_date&gt;=AO521,1,0)*w_amount*(1+w_escalation/100)^(INT((AP521-w_months_since_start)/12))*IF(MOD(AP521-w_months_since_start,w_frequency)=0,1,0)*IF(w_frequency=13,0,1))+SUM(IF(w_start_date=AO521,w_amount,0)*IF(w_frequency=13,1,0))</f>
        <v>0</v>
      </c>
      <c r="BC521" s="25">
        <f t="shared" ref="BC521:BC584" ca="1" si="503">IF(BB521&gt;AQ521+AV521+BA521,AQ521+AV521+BA521,BB521)</f>
        <v>0</v>
      </c>
      <c r="BD521" s="24" t="b">
        <f t="shared" ref="BD521:BD584" ca="1" si="504">AND($DV$11&lt;=AO521,$DV$11&lt;&gt;0)</f>
        <v>1</v>
      </c>
      <c r="BE521" s="24" t="b">
        <f t="shared" ref="BE521:BE584" ca="1" si="505">$DW$11&lt;&gt;""</f>
        <v>1</v>
      </c>
      <c r="BF521" s="23">
        <f t="array" aca="1" ref="BF521" ca="1">SUM(IF(BD521,1,0)*IF(ap_start_date&lt;=AO521,1,0)*IF(ap_end_date&gt;=AO521,1,0)*ap_amount*(1+ap_escalation/100)^(INT((AP521-ap_months_since_start)/12))*IF(MOD(AP521-ap_months_since_start,ap_frequency)=0,1,0))</f>
        <v>118059.66936500254</v>
      </c>
      <c r="BG521" s="24">
        <f t="shared" ref="BG521:BG584" ca="1" si="506">IF(MOD(YEAR(AO521)*12+MONTH(AO521)-YEAR(Earliest_annuity_payment)*12-MONTH(Earliest_annuity_payment),12)=0,SUM(BF521:BF532),BG520)</f>
        <v>1416716.0323800305</v>
      </c>
      <c r="BH521" s="24">
        <f t="shared" ref="BH521:BH584" ca="1" si="507">IF(AO521&gt;=Earliest_annuity_payment,IF(MOD(YEAR(AO521)*12+MONTH(AO521)-YEAR(Earliest_annuity_payment)*12-MONTH(Earliest_annuity_payment),12)=0,(AQ521+AV521+BA521-BC521)*Annuity_min,BH520),0)</f>
        <v>3358.708369662374</v>
      </c>
      <c r="BI521">
        <f t="shared" ref="BI521:BI584" ca="1" si="508">IF(AND(BH521&gt;BG521,BD521),1,0)</f>
        <v>0</v>
      </c>
      <c r="BJ521" s="24">
        <f t="shared" ref="BJ521:BJ584" ca="1" si="509">IF(AO521&gt;=Earliest_annuity_payment,IF(MOD(YEAR(AO521)*12+MONTH(AO521)-YEAR(Earliest_annuity_payment)*12-MONTH(Earliest_annuity_payment),12)=0,(AQ521+AV521+BA521-BC521)*Annuity_cap,BJ520),0)</f>
        <v>23510.958587636618</v>
      </c>
      <c r="BK521">
        <f t="shared" ref="BK521:BK584" ca="1" si="510">IF(BJ521&lt;BG521,1,0)</f>
        <v>1</v>
      </c>
      <c r="BL521" s="25">
        <f t="shared" ref="BL521:BL584" ca="1" si="511">IF(BJ521&lt;BG521,BF521/BG521*BJ521,IF(AND(BH521&gt;BG521,BG521&lt;&gt;0),BF521/BG521*BH521,BF521))</f>
        <v>1959.2465489697181</v>
      </c>
      <c r="BM521" s="32">
        <f t="shared" ca="1" si="490"/>
        <v>122885.34862671728</v>
      </c>
      <c r="BN521" s="23">
        <f t="shared" ref="BN521:BN584" ca="1" si="512">BM521*$E$34/1200</f>
        <v>0</v>
      </c>
      <c r="BO521" s="24">
        <f t="shared" ref="BO521:BO584" ca="1" si="513">BM521*$E$33/1200</f>
        <v>0</v>
      </c>
      <c r="BP521" s="25">
        <f t="shared" ref="BP521:BP584" ca="1" si="514">BM521*$E$35/1200</f>
        <v>0</v>
      </c>
      <c r="BQ521" s="34">
        <f t="shared" ref="BQ521:BQ584" ca="1" si="515">EOMONTH(AO521,0)</f>
        <v>61270</v>
      </c>
      <c r="BR521" s="23">
        <f t="shared" ref="BR521:BR584" ca="1" si="516">BM521-BN521-BO521-BP521</f>
        <v>122885.34862671728</v>
      </c>
      <c r="BS521" s="24">
        <f t="shared" ref="BS521:BS584" ca="1" si="517">AV521+BA521</f>
        <v>0</v>
      </c>
      <c r="BT521" s="24">
        <f t="shared" ca="1" si="482"/>
        <v>0</v>
      </c>
      <c r="BU521" s="24">
        <f t="shared" ref="BU521:BU584" ca="1" si="518">-BC521</f>
        <v>0</v>
      </c>
      <c r="BV521" s="24">
        <f t="shared" ca="1" si="483"/>
        <v>0</v>
      </c>
      <c r="BW521" s="24">
        <f t="shared" ref="BW521:BW584" ca="1" si="519">-BL521</f>
        <v>-1959.2465489697181</v>
      </c>
      <c r="BX521" s="25">
        <f t="shared" ca="1" si="484"/>
        <v>-23712.849788069259</v>
      </c>
      <c r="BY521" s="23">
        <f t="shared" ca="1" si="491"/>
        <v>22903.687312749615</v>
      </c>
      <c r="BZ521" s="24">
        <f t="shared" ca="1" si="492"/>
        <v>0</v>
      </c>
      <c r="CA521" s="24">
        <f t="shared" ca="1" si="485"/>
        <v>0</v>
      </c>
      <c r="CB521" s="24">
        <f t="shared" ca="1" si="493"/>
        <v>0</v>
      </c>
      <c r="CC521" s="24">
        <f t="shared" ca="1" si="486"/>
        <v>0</v>
      </c>
      <c r="CD521" s="24">
        <f t="shared" ca="1" si="494"/>
        <v>-366.36488020053503</v>
      </c>
      <c r="CE521" s="25">
        <f t="shared" ca="1" si="487"/>
        <v>-4515.542239729717</v>
      </c>
      <c r="CF521" s="23">
        <f t="shared" ca="1" si="488"/>
        <v>1412175.2758659918</v>
      </c>
      <c r="CG521" s="25">
        <f t="array" aca="1" ref="CG521" ca="1">SUM(BF510:BF521/(1+inflation/100)^(AP510:AP521/12))</f>
        <v>267980.53702225379</v>
      </c>
      <c r="CH521" s="32">
        <f ca="1">IFERROR(IF(MOD(AP521-ap_months_since_start,12)=0,ap_drawdown/100*(AQ521+AV521+BA521-BC521),CH520),0)</f>
        <v>20648.549318752888</v>
      </c>
    </row>
    <row r="522" spans="40:86" x14ac:dyDescent="0.25">
      <c r="AN522" s="32">
        <f t="shared" ca="1" si="489"/>
        <v>97.75</v>
      </c>
      <c r="AO522" s="53">
        <f t="shared" ref="AO522:AO585" ca="1" si="520">DATE(YEAR(AO521),MONTH(AO521)+1,1)</f>
        <v>61271</v>
      </c>
      <c r="AP522" s="22">
        <v>515</v>
      </c>
      <c r="AQ522" s="32">
        <f t="shared" ref="AQ522:AQ585" ca="1" si="521">IF(BR521&lt;0,0,BR521)</f>
        <v>122885.34862671728</v>
      </c>
      <c r="AR522" s="23">
        <f t="array" aca="1" ref="AR522" ca="1">SUM(IF(lsc_start_date=AO522,lsc_amount,0))</f>
        <v>0</v>
      </c>
      <c r="AS522" s="24">
        <f t="shared" ca="1" si="495"/>
        <v>0</v>
      </c>
      <c r="AT522" s="24">
        <f t="shared" ca="1" si="496"/>
        <v>0</v>
      </c>
      <c r="AU522" s="24">
        <f t="shared" ca="1" si="497"/>
        <v>0</v>
      </c>
      <c r="AV522" s="25">
        <f t="shared" ca="1" si="498"/>
        <v>0</v>
      </c>
      <c r="AW522" s="23">
        <f t="array" aca="1" ref="AW522" ca="1">SUM(IF(rcs_start_date&lt;=AO522,1,0)*IF(rcs_end_date&gt;=AO522,1,0)*rcs_amount*(1+rcs_escalation/100)^(INT((AP522-rcs_months_since_start)/12))*IF(MOD((AP522-rcs_months_since_start),rcs_frequency)=0,1,0)*IF(rcs_frequency=13,0,1))+SUM(IF(rcs_start_date=AO522,rcs_amount,0)*IF(rcs_frequency=13,1,0))</f>
        <v>0</v>
      </c>
      <c r="AX522" s="24">
        <f t="shared" ca="1" si="499"/>
        <v>0</v>
      </c>
      <c r="AY522" s="24">
        <f t="shared" ca="1" si="500"/>
        <v>0</v>
      </c>
      <c r="AZ522" s="24">
        <f t="shared" ca="1" si="501"/>
        <v>0</v>
      </c>
      <c r="BA522" s="25">
        <f t="shared" ca="1" si="502"/>
        <v>0</v>
      </c>
      <c r="BB522" s="23">
        <f t="array" aca="1" ref="BB522" ca="1">SUM(IF(w_start_date&lt;=AO522,1,0)*IF(w_end_date&gt;=AO522,1,0)*w_amount*(1+w_escalation/100)^(INT((AP522-w_months_since_start)/12))*IF(MOD(AP522-w_months_since_start,w_frequency)=0,1,0)*IF(w_frequency=13,0,1))+SUM(IF(w_start_date=AO522,w_amount,0)*IF(w_frequency=13,1,0))</f>
        <v>0</v>
      </c>
      <c r="BC522" s="25">
        <f t="shared" ca="1" si="503"/>
        <v>0</v>
      </c>
      <c r="BD522" s="24" t="b">
        <f t="shared" ca="1" si="504"/>
        <v>1</v>
      </c>
      <c r="BE522" s="24" t="b">
        <f t="shared" ca="1" si="505"/>
        <v>1</v>
      </c>
      <c r="BF522" s="23">
        <f t="array" aca="1" ref="BF522" ca="1">SUM(IF(BD522,1,0)*IF(ap_start_date&lt;=AO522,1,0)*IF(ap_end_date&gt;=AO522,1,0)*ap_amount*(1+ap_escalation/100)^(INT((AP522-ap_months_since_start)/12))*IF(MOD(AP522-ap_months_since_start,ap_frequency)=0,1,0))</f>
        <v>118059.66936500254</v>
      </c>
      <c r="BG522" s="24">
        <f t="shared" ca="1" si="506"/>
        <v>1416716.0323800305</v>
      </c>
      <c r="BH522" s="24">
        <f t="shared" ca="1" si="507"/>
        <v>3358.708369662374</v>
      </c>
      <c r="BI522">
        <f t="shared" ca="1" si="508"/>
        <v>0</v>
      </c>
      <c r="BJ522" s="24">
        <f t="shared" ca="1" si="509"/>
        <v>23510.958587636618</v>
      </c>
      <c r="BK522">
        <f t="shared" ca="1" si="510"/>
        <v>1</v>
      </c>
      <c r="BL522" s="25">
        <f t="shared" ca="1" si="511"/>
        <v>1959.2465489697181</v>
      </c>
      <c r="BM522" s="32">
        <f t="shared" ca="1" si="490"/>
        <v>121797.65559278204</v>
      </c>
      <c r="BN522" s="23">
        <f t="shared" ca="1" si="512"/>
        <v>0</v>
      </c>
      <c r="BO522" s="24">
        <f t="shared" ca="1" si="513"/>
        <v>0</v>
      </c>
      <c r="BP522" s="25">
        <f t="shared" ca="1" si="514"/>
        <v>0</v>
      </c>
      <c r="BQ522" s="34">
        <f t="shared" ca="1" si="515"/>
        <v>61301</v>
      </c>
      <c r="BR522" s="23">
        <f t="shared" ca="1" si="516"/>
        <v>121797.65559278204</v>
      </c>
      <c r="BS522" s="24">
        <f t="shared" ca="1" si="517"/>
        <v>0</v>
      </c>
      <c r="BT522" s="24">
        <f t="shared" ca="1" si="482"/>
        <v>0</v>
      </c>
      <c r="BU522" s="24">
        <f t="shared" ca="1" si="518"/>
        <v>0</v>
      </c>
      <c r="BV522" s="24">
        <f t="shared" ca="1" si="483"/>
        <v>0</v>
      </c>
      <c r="BW522" s="24">
        <f t="shared" ca="1" si="519"/>
        <v>-1959.2465489697181</v>
      </c>
      <c r="BX522" s="25">
        <f t="shared" ca="1" si="484"/>
        <v>-23510.958587636615</v>
      </c>
      <c r="BY522" s="23">
        <f t="shared" ca="1" si="491"/>
        <v>22626.88575173053</v>
      </c>
      <c r="BZ522" s="24">
        <f t="shared" ca="1" si="492"/>
        <v>0</v>
      </c>
      <c r="CA522" s="24">
        <f t="shared" ca="1" si="485"/>
        <v>0</v>
      </c>
      <c r="CB522" s="24">
        <f t="shared" ca="1" si="493"/>
        <v>0</v>
      </c>
      <c r="CC522" s="24">
        <f t="shared" ca="1" si="486"/>
        <v>0</v>
      </c>
      <c r="CD522" s="24">
        <f t="shared" ca="1" si="494"/>
        <v>-365.16941057389704</v>
      </c>
      <c r="CE522" s="25">
        <f t="shared" ca="1" si="487"/>
        <v>-4461.8013021013512</v>
      </c>
      <c r="CF522" s="23">
        <f t="shared" ca="1" si="488"/>
        <v>1416716.0323800305</v>
      </c>
      <c r="CG522" s="25">
        <f t="array" aca="1" ref="CG522" ca="1">SUM(BF511:BF522/(1+inflation/100)^(AP511:AP522/12))</f>
        <v>267980.53702225379</v>
      </c>
      <c r="CH522" s="32">
        <f ca="1">IFERROR(IF(MOD(AP522-ap_months_since_start,12)=0,ap_drawdown/100*(AQ522+AV522+BA522-BC522),CH521),0)</f>
        <v>20648.549318752888</v>
      </c>
    </row>
    <row r="523" spans="40:86" x14ac:dyDescent="0.25">
      <c r="AN523" s="32">
        <f t="shared" ca="1" si="489"/>
        <v>97.833333333333329</v>
      </c>
      <c r="AO523" s="53">
        <f t="shared" ca="1" si="520"/>
        <v>61302</v>
      </c>
      <c r="AP523" s="22">
        <v>516</v>
      </c>
      <c r="AQ523" s="32">
        <f t="shared" ca="1" si="521"/>
        <v>121797.65559278204</v>
      </c>
      <c r="AR523" s="23">
        <f t="array" aca="1" ref="AR523" ca="1">SUM(IF(lsc_start_date=AO523,lsc_amount,0))</f>
        <v>0</v>
      </c>
      <c r="AS523" s="24">
        <f t="shared" ca="1" si="495"/>
        <v>0</v>
      </c>
      <c r="AT523" s="24">
        <f t="shared" ca="1" si="496"/>
        <v>0</v>
      </c>
      <c r="AU523" s="24">
        <f t="shared" ca="1" si="497"/>
        <v>0</v>
      </c>
      <c r="AV523" s="25">
        <f t="shared" ca="1" si="498"/>
        <v>0</v>
      </c>
      <c r="AW523" s="23">
        <f t="array" aca="1" ref="AW523" ca="1">SUM(IF(rcs_start_date&lt;=AO523,1,0)*IF(rcs_end_date&gt;=AO523,1,0)*rcs_amount*(1+rcs_escalation/100)^(INT((AP523-rcs_months_since_start)/12))*IF(MOD((AP523-rcs_months_since_start),rcs_frequency)=0,1,0)*IF(rcs_frequency=13,0,1))+SUM(IF(rcs_start_date=AO523,rcs_amount,0)*IF(rcs_frequency=13,1,0))</f>
        <v>0</v>
      </c>
      <c r="AX523" s="24">
        <f t="shared" ca="1" si="499"/>
        <v>0</v>
      </c>
      <c r="AY523" s="24">
        <f t="shared" ca="1" si="500"/>
        <v>0</v>
      </c>
      <c r="AZ523" s="24">
        <f t="shared" ca="1" si="501"/>
        <v>0</v>
      </c>
      <c r="BA523" s="25">
        <f t="shared" ca="1" si="502"/>
        <v>0</v>
      </c>
      <c r="BB523" s="23">
        <f t="array" aca="1" ref="BB523" ca="1">SUM(IF(w_start_date&lt;=AO523,1,0)*IF(w_end_date&gt;=AO523,1,0)*w_amount*(1+w_escalation/100)^(INT((AP523-w_months_since_start)/12))*IF(MOD(AP523-w_months_since_start,w_frequency)=0,1,0)*IF(w_frequency=13,0,1))+SUM(IF(w_start_date=AO523,w_amount,0)*IF(w_frequency=13,1,0))</f>
        <v>0</v>
      </c>
      <c r="BC523" s="25">
        <f t="shared" ca="1" si="503"/>
        <v>0</v>
      </c>
      <c r="BD523" s="24" t="b">
        <f t="shared" ca="1" si="504"/>
        <v>1</v>
      </c>
      <c r="BE523" s="24" t="b">
        <f t="shared" ca="1" si="505"/>
        <v>1</v>
      </c>
      <c r="BF523" s="23">
        <f t="array" aca="1" ref="BF523" ca="1">SUM(IF(BD523,1,0)*IF(ap_start_date&lt;=AO523,1,0)*IF(ap_end_date&gt;=AO523,1,0)*ap_amount*(1+ap_escalation/100)^(INT((AP523-ap_months_since_start)/12))*IF(MOD(AP523-ap_months_since_start,ap_frequency)=0,1,0))</f>
        <v>122782.05613960266</v>
      </c>
      <c r="BG523" s="24">
        <f t="shared" ca="1" si="506"/>
        <v>1473384.6736752316</v>
      </c>
      <c r="BH523" s="24">
        <f t="shared" ca="1" si="507"/>
        <v>3044.9413898195512</v>
      </c>
      <c r="BI523">
        <f t="shared" ca="1" si="508"/>
        <v>0</v>
      </c>
      <c r="BJ523" s="24">
        <f t="shared" ca="1" si="509"/>
        <v>21314.589728736857</v>
      </c>
      <c r="BK523">
        <f t="shared" ca="1" si="510"/>
        <v>1</v>
      </c>
      <c r="BL523" s="25">
        <f t="shared" ca="1" si="511"/>
        <v>1776.215810728072</v>
      </c>
      <c r="BM523" s="32">
        <f t="shared" ca="1" si="490"/>
        <v>120886.47310343148</v>
      </c>
      <c r="BN523" s="23">
        <f t="shared" ca="1" si="512"/>
        <v>0</v>
      </c>
      <c r="BO523" s="24">
        <f t="shared" ca="1" si="513"/>
        <v>0</v>
      </c>
      <c r="BP523" s="25">
        <f t="shared" ca="1" si="514"/>
        <v>0</v>
      </c>
      <c r="BQ523" s="34">
        <f t="shared" ca="1" si="515"/>
        <v>61331</v>
      </c>
      <c r="BR523" s="23">
        <f t="shared" ca="1" si="516"/>
        <v>120886.47310343148</v>
      </c>
      <c r="BS523" s="24">
        <f t="shared" ca="1" si="517"/>
        <v>0</v>
      </c>
      <c r="BT523" s="24">
        <f t="shared" ca="1" si="482"/>
        <v>0</v>
      </c>
      <c r="BU523" s="24">
        <f t="shared" ca="1" si="518"/>
        <v>0</v>
      </c>
      <c r="BV523" s="24">
        <f t="shared" ca="1" si="483"/>
        <v>0</v>
      </c>
      <c r="BW523" s="24">
        <f t="shared" ca="1" si="519"/>
        <v>-1776.215810728072</v>
      </c>
      <c r="BX523" s="25">
        <f t="shared" ca="1" si="484"/>
        <v>-23327.927849394968</v>
      </c>
      <c r="BY523" s="23">
        <f t="shared" ca="1" si="491"/>
        <v>22384.330901678833</v>
      </c>
      <c r="BZ523" s="24">
        <f t="shared" ca="1" si="492"/>
        <v>0</v>
      </c>
      <c r="CA523" s="24">
        <f t="shared" ca="1" si="485"/>
        <v>0</v>
      </c>
      <c r="CB523" s="24">
        <f t="shared" ca="1" si="493"/>
        <v>0</v>
      </c>
      <c r="CC523" s="24">
        <f t="shared" ca="1" si="486"/>
        <v>0</v>
      </c>
      <c r="CD523" s="24">
        <f t="shared" ca="1" si="494"/>
        <v>-329.975417212737</v>
      </c>
      <c r="CE523" s="25">
        <f t="shared" ca="1" si="487"/>
        <v>-4413.239763807509</v>
      </c>
      <c r="CF523" s="23">
        <f t="shared" ca="1" si="488"/>
        <v>1421438.4191546305</v>
      </c>
      <c r="CG523" s="25">
        <f t="array" aca="1" ref="CG523" ca="1">SUM(BF512:BF523/(1+inflation/100)^(AP512:AP523/12))</f>
        <v>267980.53702225379</v>
      </c>
      <c r="CH523" s="32">
        <f ca="1">IFERROR(IF(MOD(AP523-ap_months_since_start,12)=0,ap_drawdown/100*(AQ523+AV523+BA523-BC523),CH522),0)</f>
        <v>18719.583703160624</v>
      </c>
    </row>
    <row r="524" spans="40:86" x14ac:dyDescent="0.25">
      <c r="AN524" s="32">
        <f t="shared" ca="1" si="489"/>
        <v>97.916666666666671</v>
      </c>
      <c r="AO524" s="53">
        <f t="shared" ca="1" si="520"/>
        <v>61332</v>
      </c>
      <c r="AP524" s="22">
        <v>517</v>
      </c>
      <c r="AQ524" s="32">
        <f t="shared" ca="1" si="521"/>
        <v>120886.47310343148</v>
      </c>
      <c r="AR524" s="23">
        <f t="array" aca="1" ref="AR524" ca="1">SUM(IF(lsc_start_date=AO524,lsc_amount,0))</f>
        <v>0</v>
      </c>
      <c r="AS524" s="24">
        <f t="shared" ca="1" si="495"/>
        <v>0</v>
      </c>
      <c r="AT524" s="24">
        <f t="shared" ca="1" si="496"/>
        <v>0</v>
      </c>
      <c r="AU524" s="24">
        <f t="shared" ca="1" si="497"/>
        <v>0</v>
      </c>
      <c r="AV524" s="25">
        <f t="shared" ca="1" si="498"/>
        <v>0</v>
      </c>
      <c r="AW524" s="23">
        <f t="array" aca="1" ref="AW524" ca="1">SUM(IF(rcs_start_date&lt;=AO524,1,0)*IF(rcs_end_date&gt;=AO524,1,0)*rcs_amount*(1+rcs_escalation/100)^(INT((AP524-rcs_months_since_start)/12))*IF(MOD((AP524-rcs_months_since_start),rcs_frequency)=0,1,0)*IF(rcs_frequency=13,0,1))+SUM(IF(rcs_start_date=AO524,rcs_amount,0)*IF(rcs_frequency=13,1,0))</f>
        <v>0</v>
      </c>
      <c r="AX524" s="24">
        <f t="shared" ca="1" si="499"/>
        <v>0</v>
      </c>
      <c r="AY524" s="24">
        <f t="shared" ca="1" si="500"/>
        <v>0</v>
      </c>
      <c r="AZ524" s="24">
        <f t="shared" ca="1" si="501"/>
        <v>0</v>
      </c>
      <c r="BA524" s="25">
        <f t="shared" ca="1" si="502"/>
        <v>0</v>
      </c>
      <c r="BB524" s="23">
        <f t="array" aca="1" ref="BB524" ca="1">SUM(IF(w_start_date&lt;=AO524,1,0)*IF(w_end_date&gt;=AO524,1,0)*w_amount*(1+w_escalation/100)^(INT((AP524-w_months_since_start)/12))*IF(MOD(AP524-w_months_since_start,w_frequency)=0,1,0)*IF(w_frequency=13,0,1))+SUM(IF(w_start_date=AO524,w_amount,0)*IF(w_frequency=13,1,0))</f>
        <v>0</v>
      </c>
      <c r="BC524" s="25">
        <f t="shared" ca="1" si="503"/>
        <v>0</v>
      </c>
      <c r="BD524" s="24" t="b">
        <f t="shared" ca="1" si="504"/>
        <v>1</v>
      </c>
      <c r="BE524" s="24" t="b">
        <f t="shared" ca="1" si="505"/>
        <v>1</v>
      </c>
      <c r="BF524" s="23">
        <f t="array" aca="1" ref="BF524" ca="1">SUM(IF(BD524,1,0)*IF(ap_start_date&lt;=AO524,1,0)*IF(ap_end_date&gt;=AO524,1,0)*ap_amount*(1+ap_escalation/100)^(INT((AP524-ap_months_since_start)/12))*IF(MOD(AP524-ap_months_since_start,ap_frequency)=0,1,0))</f>
        <v>122782.05613960266</v>
      </c>
      <c r="BG524" s="24">
        <f t="shared" ca="1" si="506"/>
        <v>1473384.6736752316</v>
      </c>
      <c r="BH524" s="24">
        <f t="shared" ca="1" si="507"/>
        <v>3044.9413898195512</v>
      </c>
      <c r="BI524">
        <f t="shared" ca="1" si="508"/>
        <v>0</v>
      </c>
      <c r="BJ524" s="24">
        <f t="shared" ca="1" si="509"/>
        <v>21314.589728736857</v>
      </c>
      <c r="BK524">
        <f t="shared" ca="1" si="510"/>
        <v>1</v>
      </c>
      <c r="BL524" s="25">
        <f t="shared" ca="1" si="511"/>
        <v>1776.215810728072</v>
      </c>
      <c r="BM524" s="32">
        <f t="shared" ca="1" si="490"/>
        <v>119968.72342728014</v>
      </c>
      <c r="BN524" s="23">
        <f t="shared" ca="1" si="512"/>
        <v>0</v>
      </c>
      <c r="BO524" s="24">
        <f t="shared" ca="1" si="513"/>
        <v>0</v>
      </c>
      <c r="BP524" s="25">
        <f t="shared" ca="1" si="514"/>
        <v>0</v>
      </c>
      <c r="BQ524" s="34">
        <f t="shared" ca="1" si="515"/>
        <v>61362</v>
      </c>
      <c r="BR524" s="23">
        <f t="shared" ca="1" si="516"/>
        <v>119968.72342728014</v>
      </c>
      <c r="BS524" s="24">
        <f t="shared" ca="1" si="517"/>
        <v>0</v>
      </c>
      <c r="BT524" s="24">
        <f t="shared" ca="1" si="482"/>
        <v>0</v>
      </c>
      <c r="BU524" s="24">
        <f t="shared" ca="1" si="518"/>
        <v>0</v>
      </c>
      <c r="BV524" s="24">
        <f t="shared" ca="1" si="483"/>
        <v>0</v>
      </c>
      <c r="BW524" s="24">
        <f t="shared" ca="1" si="519"/>
        <v>-1776.215810728072</v>
      </c>
      <c r="BX524" s="25">
        <f t="shared" ca="1" si="484"/>
        <v>-23144.897111153325</v>
      </c>
      <c r="BY524" s="23">
        <f t="shared" ca="1" si="491"/>
        <v>22141.906005480658</v>
      </c>
      <c r="BZ524" s="24">
        <f t="shared" ca="1" si="492"/>
        <v>0</v>
      </c>
      <c r="CA524" s="24">
        <f t="shared" ca="1" si="485"/>
        <v>0</v>
      </c>
      <c r="CB524" s="24">
        <f t="shared" ca="1" si="493"/>
        <v>0</v>
      </c>
      <c r="CC524" s="24">
        <f t="shared" ca="1" si="486"/>
        <v>0</v>
      </c>
      <c r="CD524" s="24">
        <f t="shared" ca="1" si="494"/>
        <v>-328.89868849190782</v>
      </c>
      <c r="CE524" s="25">
        <f t="shared" ca="1" si="487"/>
        <v>-4364.8366845996507</v>
      </c>
      <c r="CF524" s="23">
        <f t="shared" ca="1" si="488"/>
        <v>1426160.8059292305</v>
      </c>
      <c r="CG524" s="25">
        <f t="array" aca="1" ref="CG524" ca="1">SUM(BF513:BF524/(1+inflation/100)^(AP513:AP524/12))</f>
        <v>267980.53702225379</v>
      </c>
      <c r="CH524" s="32">
        <f ca="1">IFERROR(IF(MOD(AP524-ap_months_since_start,12)=0,ap_drawdown/100*(AQ524+AV524+BA524-BC524),CH523),0)</f>
        <v>18719.583703160624</v>
      </c>
    </row>
    <row r="525" spans="40:86" x14ac:dyDescent="0.25">
      <c r="AN525" s="32">
        <f t="shared" ca="1" si="489"/>
        <v>98</v>
      </c>
      <c r="AO525" s="53">
        <f t="shared" ca="1" si="520"/>
        <v>61363</v>
      </c>
      <c r="AP525" s="22">
        <v>518</v>
      </c>
      <c r="AQ525" s="32">
        <f t="shared" ca="1" si="521"/>
        <v>119968.72342728014</v>
      </c>
      <c r="AR525" s="23">
        <f t="array" aca="1" ref="AR525" ca="1">SUM(IF(lsc_start_date=AO525,lsc_amount,0))</f>
        <v>0</v>
      </c>
      <c r="AS525" s="24">
        <f t="shared" ca="1" si="495"/>
        <v>0</v>
      </c>
      <c r="AT525" s="24">
        <f t="shared" ca="1" si="496"/>
        <v>0</v>
      </c>
      <c r="AU525" s="24">
        <f t="shared" ca="1" si="497"/>
        <v>0</v>
      </c>
      <c r="AV525" s="25">
        <f t="shared" ca="1" si="498"/>
        <v>0</v>
      </c>
      <c r="AW525" s="23">
        <f t="array" aca="1" ref="AW525" ca="1">SUM(IF(rcs_start_date&lt;=AO525,1,0)*IF(rcs_end_date&gt;=AO525,1,0)*rcs_amount*(1+rcs_escalation/100)^(INT((AP525-rcs_months_since_start)/12))*IF(MOD((AP525-rcs_months_since_start),rcs_frequency)=0,1,0)*IF(rcs_frequency=13,0,1))+SUM(IF(rcs_start_date=AO525,rcs_amount,0)*IF(rcs_frequency=13,1,0))</f>
        <v>0</v>
      </c>
      <c r="AX525" s="24">
        <f t="shared" ca="1" si="499"/>
        <v>0</v>
      </c>
      <c r="AY525" s="24">
        <f t="shared" ca="1" si="500"/>
        <v>0</v>
      </c>
      <c r="AZ525" s="24">
        <f t="shared" ca="1" si="501"/>
        <v>0</v>
      </c>
      <c r="BA525" s="25">
        <f t="shared" ca="1" si="502"/>
        <v>0</v>
      </c>
      <c r="BB525" s="23">
        <f t="array" aca="1" ref="BB525" ca="1">SUM(IF(w_start_date&lt;=AO525,1,0)*IF(w_end_date&gt;=AO525,1,0)*w_amount*(1+w_escalation/100)^(INT((AP525-w_months_since_start)/12))*IF(MOD(AP525-w_months_since_start,w_frequency)=0,1,0)*IF(w_frequency=13,0,1))+SUM(IF(w_start_date=AO525,w_amount,0)*IF(w_frequency=13,1,0))</f>
        <v>0</v>
      </c>
      <c r="BC525" s="25">
        <f t="shared" ca="1" si="503"/>
        <v>0</v>
      </c>
      <c r="BD525" s="24" t="b">
        <f t="shared" ca="1" si="504"/>
        <v>1</v>
      </c>
      <c r="BE525" s="24" t="b">
        <f t="shared" ca="1" si="505"/>
        <v>1</v>
      </c>
      <c r="BF525" s="23">
        <f t="array" aca="1" ref="BF525" ca="1">SUM(IF(BD525,1,0)*IF(ap_start_date&lt;=AO525,1,0)*IF(ap_end_date&gt;=AO525,1,0)*ap_amount*(1+ap_escalation/100)^(INT((AP525-ap_months_since_start)/12))*IF(MOD(AP525-ap_months_since_start,ap_frequency)=0,1,0))</f>
        <v>122782.05613960266</v>
      </c>
      <c r="BG525" s="24">
        <f t="shared" ca="1" si="506"/>
        <v>1473384.6736752316</v>
      </c>
      <c r="BH525" s="24">
        <f t="shared" ca="1" si="507"/>
        <v>3044.9413898195512</v>
      </c>
      <c r="BI525">
        <f t="shared" ca="1" si="508"/>
        <v>0</v>
      </c>
      <c r="BJ525" s="24">
        <f t="shared" ca="1" si="509"/>
        <v>21314.589728736857</v>
      </c>
      <c r="BK525">
        <f t="shared" ca="1" si="510"/>
        <v>1</v>
      </c>
      <c r="BL525" s="25">
        <f t="shared" ca="1" si="511"/>
        <v>1776.215810728072</v>
      </c>
      <c r="BM525" s="32">
        <f t="shared" ca="1" si="490"/>
        <v>119044.35923248951</v>
      </c>
      <c r="BN525" s="23">
        <f t="shared" ca="1" si="512"/>
        <v>0</v>
      </c>
      <c r="BO525" s="24">
        <f t="shared" ca="1" si="513"/>
        <v>0</v>
      </c>
      <c r="BP525" s="25">
        <f t="shared" ca="1" si="514"/>
        <v>0</v>
      </c>
      <c r="BQ525" s="34">
        <f t="shared" ca="1" si="515"/>
        <v>61393</v>
      </c>
      <c r="BR525" s="23">
        <f t="shared" ca="1" si="516"/>
        <v>119044.35923248951</v>
      </c>
      <c r="BS525" s="24">
        <f t="shared" ca="1" si="517"/>
        <v>0</v>
      </c>
      <c r="BT525" s="24">
        <f t="shared" ca="1" si="482"/>
        <v>0</v>
      </c>
      <c r="BU525" s="24">
        <f t="shared" ca="1" si="518"/>
        <v>0</v>
      </c>
      <c r="BV525" s="24">
        <f t="shared" ca="1" si="483"/>
        <v>0</v>
      </c>
      <c r="BW525" s="24">
        <f t="shared" ca="1" si="519"/>
        <v>-1776.215810728072</v>
      </c>
      <c r="BX525" s="25">
        <f t="shared" ca="1" si="484"/>
        <v>-22961.866372911674</v>
      </c>
      <c r="BY525" s="23">
        <f t="shared" ca="1" si="491"/>
        <v>21899.608045449429</v>
      </c>
      <c r="BZ525" s="24">
        <f t="shared" ca="1" si="492"/>
        <v>0</v>
      </c>
      <c r="CA525" s="24">
        <f t="shared" ca="1" si="485"/>
        <v>0</v>
      </c>
      <c r="CB525" s="24">
        <f t="shared" ca="1" si="493"/>
        <v>0</v>
      </c>
      <c r="CC525" s="24">
        <f t="shared" ca="1" si="486"/>
        <v>0</v>
      </c>
      <c r="CD525" s="24">
        <f t="shared" ca="1" si="494"/>
        <v>-327.82547319867928</v>
      </c>
      <c r="CE525" s="25">
        <f t="shared" ca="1" si="487"/>
        <v>-4316.5915474166859</v>
      </c>
      <c r="CF525" s="23">
        <f t="shared" ca="1" si="488"/>
        <v>1430883.1927038305</v>
      </c>
      <c r="CG525" s="25">
        <f t="array" aca="1" ref="CG525" ca="1">SUM(BF514:BF525/(1+inflation/100)^(AP514:AP525/12))</f>
        <v>267980.53702225379</v>
      </c>
      <c r="CH525" s="32">
        <f ca="1">IFERROR(IF(MOD(AP525-ap_months_since_start,12)=0,ap_drawdown/100*(AQ525+AV525+BA525-BC525),CH524),0)</f>
        <v>18719.583703160624</v>
      </c>
    </row>
    <row r="526" spans="40:86" x14ac:dyDescent="0.25">
      <c r="AN526" s="32">
        <f t="shared" ca="1" si="489"/>
        <v>98.083333333333329</v>
      </c>
      <c r="AO526" s="53">
        <f t="shared" ca="1" si="520"/>
        <v>61394</v>
      </c>
      <c r="AP526" s="22">
        <v>519</v>
      </c>
      <c r="AQ526" s="32">
        <f t="shared" ca="1" si="521"/>
        <v>119044.35923248951</v>
      </c>
      <c r="AR526" s="23">
        <f t="array" aca="1" ref="AR526" ca="1">SUM(IF(lsc_start_date=AO526,lsc_amount,0))</f>
        <v>0</v>
      </c>
      <c r="AS526" s="24">
        <f t="shared" ca="1" si="495"/>
        <v>0</v>
      </c>
      <c r="AT526" s="24">
        <f t="shared" ca="1" si="496"/>
        <v>0</v>
      </c>
      <c r="AU526" s="24">
        <f t="shared" ca="1" si="497"/>
        <v>0</v>
      </c>
      <c r="AV526" s="25">
        <f t="shared" ca="1" si="498"/>
        <v>0</v>
      </c>
      <c r="AW526" s="23">
        <f t="array" aca="1" ref="AW526" ca="1">SUM(IF(rcs_start_date&lt;=AO526,1,0)*IF(rcs_end_date&gt;=AO526,1,0)*rcs_amount*(1+rcs_escalation/100)^(INT((AP526-rcs_months_since_start)/12))*IF(MOD((AP526-rcs_months_since_start),rcs_frequency)=0,1,0)*IF(rcs_frequency=13,0,1))+SUM(IF(rcs_start_date=AO526,rcs_amount,0)*IF(rcs_frequency=13,1,0))</f>
        <v>0</v>
      </c>
      <c r="AX526" s="24">
        <f t="shared" ca="1" si="499"/>
        <v>0</v>
      </c>
      <c r="AY526" s="24">
        <f t="shared" ca="1" si="500"/>
        <v>0</v>
      </c>
      <c r="AZ526" s="24">
        <f t="shared" ca="1" si="501"/>
        <v>0</v>
      </c>
      <c r="BA526" s="25">
        <f t="shared" ca="1" si="502"/>
        <v>0</v>
      </c>
      <c r="BB526" s="23">
        <f t="array" aca="1" ref="BB526" ca="1">SUM(IF(w_start_date&lt;=AO526,1,0)*IF(w_end_date&gt;=AO526,1,0)*w_amount*(1+w_escalation/100)^(INT((AP526-w_months_since_start)/12))*IF(MOD(AP526-w_months_since_start,w_frequency)=0,1,0)*IF(w_frequency=13,0,1))+SUM(IF(w_start_date=AO526,w_amount,0)*IF(w_frequency=13,1,0))</f>
        <v>0</v>
      </c>
      <c r="BC526" s="25">
        <f t="shared" ca="1" si="503"/>
        <v>0</v>
      </c>
      <c r="BD526" s="24" t="b">
        <f t="shared" ca="1" si="504"/>
        <v>1</v>
      </c>
      <c r="BE526" s="24" t="b">
        <f t="shared" ca="1" si="505"/>
        <v>1</v>
      </c>
      <c r="BF526" s="23">
        <f t="array" aca="1" ref="BF526" ca="1">SUM(IF(BD526,1,0)*IF(ap_start_date&lt;=AO526,1,0)*IF(ap_end_date&gt;=AO526,1,0)*ap_amount*(1+ap_escalation/100)^(INT((AP526-ap_months_since_start)/12))*IF(MOD(AP526-ap_months_since_start,ap_frequency)=0,1,0))</f>
        <v>122782.05613960266</v>
      </c>
      <c r="BG526" s="24">
        <f t="shared" ca="1" si="506"/>
        <v>1473384.6736752316</v>
      </c>
      <c r="BH526" s="24">
        <f t="shared" ca="1" si="507"/>
        <v>3044.9413898195512</v>
      </c>
      <c r="BI526">
        <f t="shared" ca="1" si="508"/>
        <v>0</v>
      </c>
      <c r="BJ526" s="24">
        <f t="shared" ca="1" si="509"/>
        <v>21314.589728736857</v>
      </c>
      <c r="BK526">
        <f t="shared" ca="1" si="510"/>
        <v>1</v>
      </c>
      <c r="BL526" s="25">
        <f t="shared" ca="1" si="511"/>
        <v>1776.215810728072</v>
      </c>
      <c r="BM526" s="32">
        <f t="shared" ca="1" si="490"/>
        <v>118113.33284608516</v>
      </c>
      <c r="BN526" s="23">
        <f t="shared" ca="1" si="512"/>
        <v>0</v>
      </c>
      <c r="BO526" s="24">
        <f t="shared" ca="1" si="513"/>
        <v>0</v>
      </c>
      <c r="BP526" s="25">
        <f t="shared" ca="1" si="514"/>
        <v>0</v>
      </c>
      <c r="BQ526" s="34">
        <f t="shared" ca="1" si="515"/>
        <v>61422</v>
      </c>
      <c r="BR526" s="23">
        <f t="shared" ca="1" si="516"/>
        <v>118113.33284608516</v>
      </c>
      <c r="BS526" s="24">
        <f t="shared" ca="1" si="517"/>
        <v>0</v>
      </c>
      <c r="BT526" s="24">
        <f t="shared" ca="1" si="482"/>
        <v>0</v>
      </c>
      <c r="BU526" s="24">
        <f t="shared" ca="1" si="518"/>
        <v>0</v>
      </c>
      <c r="BV526" s="24">
        <f t="shared" ca="1" si="483"/>
        <v>0</v>
      </c>
      <c r="BW526" s="24">
        <f t="shared" ca="1" si="519"/>
        <v>-1776.215810728072</v>
      </c>
      <c r="BX526" s="25">
        <f t="shared" ca="1" si="484"/>
        <v>-22778.835634670031</v>
      </c>
      <c r="BY526" s="23">
        <f t="shared" ca="1" si="491"/>
        <v>21657.434003576476</v>
      </c>
      <c r="BZ526" s="24">
        <f t="shared" ca="1" si="492"/>
        <v>0</v>
      </c>
      <c r="CA526" s="24">
        <f t="shared" ca="1" si="485"/>
        <v>0</v>
      </c>
      <c r="CB526" s="24">
        <f t="shared" ca="1" si="493"/>
        <v>0</v>
      </c>
      <c r="CC526" s="24">
        <f t="shared" ca="1" si="486"/>
        <v>0</v>
      </c>
      <c r="CD526" s="24">
        <f t="shared" ca="1" si="494"/>
        <v>-326.75575986853505</v>
      </c>
      <c r="CE526" s="25">
        <f t="shared" ca="1" si="487"/>
        <v>-4268.5038368847254</v>
      </c>
      <c r="CF526" s="23">
        <f t="shared" ca="1" si="488"/>
        <v>1435605.5794784306</v>
      </c>
      <c r="CG526" s="25">
        <f t="array" aca="1" ref="CG526" ca="1">SUM(BF515:BF526/(1+inflation/100)^(AP515:AP526/12))</f>
        <v>267980.53702225379</v>
      </c>
      <c r="CH526" s="32">
        <f ca="1">IFERROR(IF(MOD(AP526-ap_months_since_start,12)=0,ap_drawdown/100*(AQ526+AV526+BA526-BC526),CH525),0)</f>
        <v>18719.583703160624</v>
      </c>
    </row>
    <row r="527" spans="40:86" x14ac:dyDescent="0.25">
      <c r="AN527" s="32">
        <f t="shared" ca="1" si="489"/>
        <v>98.166666666666671</v>
      </c>
      <c r="AO527" s="53">
        <f t="shared" ca="1" si="520"/>
        <v>61423</v>
      </c>
      <c r="AP527" s="22">
        <v>520</v>
      </c>
      <c r="AQ527" s="32">
        <f t="shared" ca="1" si="521"/>
        <v>118113.33284608516</v>
      </c>
      <c r="AR527" s="23">
        <f t="array" aca="1" ref="AR527" ca="1">SUM(IF(lsc_start_date=AO527,lsc_amount,0))</f>
        <v>0</v>
      </c>
      <c r="AS527" s="24">
        <f t="shared" ca="1" si="495"/>
        <v>0</v>
      </c>
      <c r="AT527" s="24">
        <f t="shared" ca="1" si="496"/>
        <v>0</v>
      </c>
      <c r="AU527" s="24">
        <f t="shared" ca="1" si="497"/>
        <v>0</v>
      </c>
      <c r="AV527" s="25">
        <f t="shared" ca="1" si="498"/>
        <v>0</v>
      </c>
      <c r="AW527" s="23">
        <f t="array" aca="1" ref="AW527" ca="1">SUM(IF(rcs_start_date&lt;=AO527,1,0)*IF(rcs_end_date&gt;=AO527,1,0)*rcs_amount*(1+rcs_escalation/100)^(INT((AP527-rcs_months_since_start)/12))*IF(MOD((AP527-rcs_months_since_start),rcs_frequency)=0,1,0)*IF(rcs_frequency=13,0,1))+SUM(IF(rcs_start_date=AO527,rcs_amount,0)*IF(rcs_frequency=13,1,0))</f>
        <v>0</v>
      </c>
      <c r="AX527" s="24">
        <f t="shared" ca="1" si="499"/>
        <v>0</v>
      </c>
      <c r="AY527" s="24">
        <f t="shared" ca="1" si="500"/>
        <v>0</v>
      </c>
      <c r="AZ527" s="24">
        <f t="shared" ca="1" si="501"/>
        <v>0</v>
      </c>
      <c r="BA527" s="25">
        <f t="shared" ca="1" si="502"/>
        <v>0</v>
      </c>
      <c r="BB527" s="23">
        <f t="array" aca="1" ref="BB527" ca="1">SUM(IF(w_start_date&lt;=AO527,1,0)*IF(w_end_date&gt;=AO527,1,0)*w_amount*(1+w_escalation/100)^(INT((AP527-w_months_since_start)/12))*IF(MOD(AP527-w_months_since_start,w_frequency)=0,1,0)*IF(w_frequency=13,0,1))+SUM(IF(w_start_date=AO527,w_amount,0)*IF(w_frequency=13,1,0))</f>
        <v>0</v>
      </c>
      <c r="BC527" s="25">
        <f t="shared" ca="1" si="503"/>
        <v>0</v>
      </c>
      <c r="BD527" s="24" t="b">
        <f t="shared" ca="1" si="504"/>
        <v>1</v>
      </c>
      <c r="BE527" s="24" t="b">
        <f t="shared" ca="1" si="505"/>
        <v>1</v>
      </c>
      <c r="BF527" s="23">
        <f t="array" aca="1" ref="BF527" ca="1">SUM(IF(BD527,1,0)*IF(ap_start_date&lt;=AO527,1,0)*IF(ap_end_date&gt;=AO527,1,0)*ap_amount*(1+ap_escalation/100)^(INT((AP527-ap_months_since_start)/12))*IF(MOD(AP527-ap_months_since_start,ap_frequency)=0,1,0))</f>
        <v>122782.05613960266</v>
      </c>
      <c r="BG527" s="24">
        <f t="shared" ca="1" si="506"/>
        <v>1473384.6736752316</v>
      </c>
      <c r="BH527" s="24">
        <f t="shared" ca="1" si="507"/>
        <v>3044.9413898195512</v>
      </c>
      <c r="BI527">
        <f t="shared" ca="1" si="508"/>
        <v>0</v>
      </c>
      <c r="BJ527" s="24">
        <f t="shared" ca="1" si="509"/>
        <v>21314.589728736857</v>
      </c>
      <c r="BK527">
        <f t="shared" ca="1" si="510"/>
        <v>1</v>
      </c>
      <c r="BL527" s="25">
        <f t="shared" ca="1" si="511"/>
        <v>1776.215810728072</v>
      </c>
      <c r="BM527" s="32">
        <f t="shared" ca="1" si="490"/>
        <v>117175.59625149815</v>
      </c>
      <c r="BN527" s="23">
        <f t="shared" ca="1" si="512"/>
        <v>0</v>
      </c>
      <c r="BO527" s="24">
        <f t="shared" ca="1" si="513"/>
        <v>0</v>
      </c>
      <c r="BP527" s="25">
        <f t="shared" ca="1" si="514"/>
        <v>0</v>
      </c>
      <c r="BQ527" s="34">
        <f t="shared" ca="1" si="515"/>
        <v>61453</v>
      </c>
      <c r="BR527" s="23">
        <f t="shared" ca="1" si="516"/>
        <v>117175.59625149815</v>
      </c>
      <c r="BS527" s="24">
        <f t="shared" ca="1" si="517"/>
        <v>0</v>
      </c>
      <c r="BT527" s="24">
        <f t="shared" ca="1" si="482"/>
        <v>0</v>
      </c>
      <c r="BU527" s="24">
        <f t="shared" ca="1" si="518"/>
        <v>0</v>
      </c>
      <c r="BV527" s="24">
        <f t="shared" ca="1" si="483"/>
        <v>0</v>
      </c>
      <c r="BW527" s="24">
        <f t="shared" ca="1" si="519"/>
        <v>-1776.215810728072</v>
      </c>
      <c r="BX527" s="25">
        <f t="shared" ca="1" si="484"/>
        <v>-22595.804896428381</v>
      </c>
      <c r="BY527" s="23">
        <f t="shared" ca="1" si="491"/>
        <v>21415.380861492191</v>
      </c>
      <c r="BZ527" s="24">
        <f t="shared" ca="1" si="492"/>
        <v>0</v>
      </c>
      <c r="CA527" s="24">
        <f t="shared" ca="1" si="485"/>
        <v>0</v>
      </c>
      <c r="CB527" s="24">
        <f t="shared" ca="1" si="493"/>
        <v>0</v>
      </c>
      <c r="CC527" s="24">
        <f t="shared" ca="1" si="486"/>
        <v>0</v>
      </c>
      <c r="CD527" s="24">
        <f t="shared" ca="1" si="494"/>
        <v>-325.68953707436873</v>
      </c>
      <c r="CE527" s="25">
        <f t="shared" ca="1" si="487"/>
        <v>-4220.5730393115718</v>
      </c>
      <c r="CF527" s="23">
        <f t="shared" ca="1" si="488"/>
        <v>1440327.9662530308</v>
      </c>
      <c r="CG527" s="25">
        <f t="array" aca="1" ref="CG527" ca="1">SUM(BF516:BF527/(1+inflation/100)^(AP516:AP527/12))</f>
        <v>267980.53702225385</v>
      </c>
      <c r="CH527" s="32">
        <f ca="1">IFERROR(IF(MOD(AP527-ap_months_since_start,12)=0,ap_drawdown/100*(AQ527+AV527+BA527-BC527),CH526),0)</f>
        <v>18719.583703160624</v>
      </c>
    </row>
    <row r="528" spans="40:86" x14ac:dyDescent="0.25">
      <c r="AN528" s="32">
        <f t="shared" ca="1" si="489"/>
        <v>98.25</v>
      </c>
      <c r="AO528" s="53">
        <f t="shared" ca="1" si="520"/>
        <v>61454</v>
      </c>
      <c r="AP528" s="22">
        <v>521</v>
      </c>
      <c r="AQ528" s="32">
        <f t="shared" ca="1" si="521"/>
        <v>117175.59625149815</v>
      </c>
      <c r="AR528" s="23">
        <f t="array" aca="1" ref="AR528" ca="1">SUM(IF(lsc_start_date=AO528,lsc_amount,0))</f>
        <v>0</v>
      </c>
      <c r="AS528" s="24">
        <f t="shared" ca="1" si="495"/>
        <v>0</v>
      </c>
      <c r="AT528" s="24">
        <f t="shared" ca="1" si="496"/>
        <v>0</v>
      </c>
      <c r="AU528" s="24">
        <f t="shared" ca="1" si="497"/>
        <v>0</v>
      </c>
      <c r="AV528" s="25">
        <f t="shared" ca="1" si="498"/>
        <v>0</v>
      </c>
      <c r="AW528" s="23">
        <f t="array" aca="1" ref="AW528" ca="1">SUM(IF(rcs_start_date&lt;=AO528,1,0)*IF(rcs_end_date&gt;=AO528,1,0)*rcs_amount*(1+rcs_escalation/100)^(INT((AP528-rcs_months_since_start)/12))*IF(MOD((AP528-rcs_months_since_start),rcs_frequency)=0,1,0)*IF(rcs_frequency=13,0,1))+SUM(IF(rcs_start_date=AO528,rcs_amount,0)*IF(rcs_frequency=13,1,0))</f>
        <v>0</v>
      </c>
      <c r="AX528" s="24">
        <f t="shared" ca="1" si="499"/>
        <v>0</v>
      </c>
      <c r="AY528" s="24">
        <f t="shared" ca="1" si="500"/>
        <v>0</v>
      </c>
      <c r="AZ528" s="24">
        <f t="shared" ca="1" si="501"/>
        <v>0</v>
      </c>
      <c r="BA528" s="25">
        <f t="shared" ca="1" si="502"/>
        <v>0</v>
      </c>
      <c r="BB528" s="23">
        <f t="array" aca="1" ref="BB528" ca="1">SUM(IF(w_start_date&lt;=AO528,1,0)*IF(w_end_date&gt;=AO528,1,0)*w_amount*(1+w_escalation/100)^(INT((AP528-w_months_since_start)/12))*IF(MOD(AP528-w_months_since_start,w_frequency)=0,1,0)*IF(w_frequency=13,0,1))+SUM(IF(w_start_date=AO528,w_amount,0)*IF(w_frequency=13,1,0))</f>
        <v>0</v>
      </c>
      <c r="BC528" s="25">
        <f t="shared" ca="1" si="503"/>
        <v>0</v>
      </c>
      <c r="BD528" s="24" t="b">
        <f t="shared" ca="1" si="504"/>
        <v>1</v>
      </c>
      <c r="BE528" s="24" t="b">
        <f t="shared" ca="1" si="505"/>
        <v>1</v>
      </c>
      <c r="BF528" s="23">
        <f t="array" aca="1" ref="BF528" ca="1">SUM(IF(BD528,1,0)*IF(ap_start_date&lt;=AO528,1,0)*IF(ap_end_date&gt;=AO528,1,0)*ap_amount*(1+ap_escalation/100)^(INT((AP528-ap_months_since_start)/12))*IF(MOD(AP528-ap_months_since_start,ap_frequency)=0,1,0))</f>
        <v>122782.05613960266</v>
      </c>
      <c r="BG528" s="24">
        <f t="shared" ca="1" si="506"/>
        <v>1473384.6736752316</v>
      </c>
      <c r="BH528" s="24">
        <f t="shared" ca="1" si="507"/>
        <v>3044.9413898195512</v>
      </c>
      <c r="BI528">
        <f t="shared" ca="1" si="508"/>
        <v>0</v>
      </c>
      <c r="BJ528" s="24">
        <f t="shared" ca="1" si="509"/>
        <v>21314.589728736857</v>
      </c>
      <c r="BK528">
        <f t="shared" ca="1" si="510"/>
        <v>1</v>
      </c>
      <c r="BL528" s="25">
        <f t="shared" ca="1" si="511"/>
        <v>1776.215810728072</v>
      </c>
      <c r="BM528" s="32">
        <f t="shared" ca="1" si="490"/>
        <v>116231.10108608857</v>
      </c>
      <c r="BN528" s="23">
        <f t="shared" ca="1" si="512"/>
        <v>0</v>
      </c>
      <c r="BO528" s="24">
        <f t="shared" ca="1" si="513"/>
        <v>0</v>
      </c>
      <c r="BP528" s="25">
        <f t="shared" ca="1" si="514"/>
        <v>0</v>
      </c>
      <c r="BQ528" s="34">
        <f t="shared" ca="1" si="515"/>
        <v>61483</v>
      </c>
      <c r="BR528" s="23">
        <f t="shared" ca="1" si="516"/>
        <v>116231.10108608857</v>
      </c>
      <c r="BS528" s="24">
        <f t="shared" ca="1" si="517"/>
        <v>0</v>
      </c>
      <c r="BT528" s="24">
        <f t="shared" ca="1" si="482"/>
        <v>0</v>
      </c>
      <c r="BU528" s="24">
        <f t="shared" ca="1" si="518"/>
        <v>0</v>
      </c>
      <c r="BV528" s="24">
        <f t="shared" ca="1" si="483"/>
        <v>0</v>
      </c>
      <c r="BW528" s="24">
        <f t="shared" ca="1" si="519"/>
        <v>-1776.215810728072</v>
      </c>
      <c r="BX528" s="25">
        <f t="shared" ca="1" si="484"/>
        <v>-22412.774158186738</v>
      </c>
      <c r="BY528" s="23">
        <f t="shared" ca="1" si="491"/>
        <v>21173.445600427167</v>
      </c>
      <c r="BZ528" s="24">
        <f t="shared" ca="1" si="492"/>
        <v>0</v>
      </c>
      <c r="CA528" s="24">
        <f t="shared" ca="1" si="485"/>
        <v>0</v>
      </c>
      <c r="CB528" s="24">
        <f t="shared" ca="1" si="493"/>
        <v>0</v>
      </c>
      <c r="CC528" s="24">
        <f t="shared" ca="1" si="486"/>
        <v>0</v>
      </c>
      <c r="CD528" s="24">
        <f t="shared" ca="1" si="494"/>
        <v>-324.62679342636119</v>
      </c>
      <c r="CE528" s="25">
        <f t="shared" ca="1" si="487"/>
        <v>-4172.7986426812377</v>
      </c>
      <c r="CF528" s="23">
        <f t="shared" ca="1" si="488"/>
        <v>1445050.3530276308</v>
      </c>
      <c r="CG528" s="25">
        <f t="array" aca="1" ref="CG528" ca="1">SUM(BF517:BF528/(1+inflation/100)^(AP517:AP528/12))</f>
        <v>267980.53702225379</v>
      </c>
      <c r="CH528" s="32">
        <f ca="1">IFERROR(IF(MOD(AP528-ap_months_since_start,12)=0,ap_drawdown/100*(AQ528+AV528+BA528-BC528),CH527),0)</f>
        <v>18719.583703160624</v>
      </c>
    </row>
    <row r="529" spans="40:86" x14ac:dyDescent="0.25">
      <c r="AN529" s="32">
        <f t="shared" ca="1" si="489"/>
        <v>98.333333333333329</v>
      </c>
      <c r="AO529" s="53">
        <f t="shared" ca="1" si="520"/>
        <v>61484</v>
      </c>
      <c r="AP529" s="22">
        <v>522</v>
      </c>
      <c r="AQ529" s="32">
        <f t="shared" ca="1" si="521"/>
        <v>116231.10108608857</v>
      </c>
      <c r="AR529" s="23">
        <f t="array" aca="1" ref="AR529" ca="1">SUM(IF(lsc_start_date=AO529,lsc_amount,0))</f>
        <v>0</v>
      </c>
      <c r="AS529" s="24">
        <f t="shared" ca="1" si="495"/>
        <v>0</v>
      </c>
      <c r="AT529" s="24">
        <f t="shared" ca="1" si="496"/>
        <v>0</v>
      </c>
      <c r="AU529" s="24">
        <f t="shared" ca="1" si="497"/>
        <v>0</v>
      </c>
      <c r="AV529" s="25">
        <f t="shared" ca="1" si="498"/>
        <v>0</v>
      </c>
      <c r="AW529" s="23">
        <f t="array" aca="1" ref="AW529" ca="1">SUM(IF(rcs_start_date&lt;=AO529,1,0)*IF(rcs_end_date&gt;=AO529,1,0)*rcs_amount*(1+rcs_escalation/100)^(INT((AP529-rcs_months_since_start)/12))*IF(MOD((AP529-rcs_months_since_start),rcs_frequency)=0,1,0)*IF(rcs_frequency=13,0,1))+SUM(IF(rcs_start_date=AO529,rcs_amount,0)*IF(rcs_frequency=13,1,0))</f>
        <v>0</v>
      </c>
      <c r="AX529" s="24">
        <f t="shared" ca="1" si="499"/>
        <v>0</v>
      </c>
      <c r="AY529" s="24">
        <f t="shared" ca="1" si="500"/>
        <v>0</v>
      </c>
      <c r="AZ529" s="24">
        <f t="shared" ca="1" si="501"/>
        <v>0</v>
      </c>
      <c r="BA529" s="25">
        <f t="shared" ca="1" si="502"/>
        <v>0</v>
      </c>
      <c r="BB529" s="23">
        <f t="array" aca="1" ref="BB529" ca="1">SUM(IF(w_start_date&lt;=AO529,1,0)*IF(w_end_date&gt;=AO529,1,0)*w_amount*(1+w_escalation/100)^(INT((AP529-w_months_since_start)/12))*IF(MOD(AP529-w_months_since_start,w_frequency)=0,1,0)*IF(w_frequency=13,0,1))+SUM(IF(w_start_date=AO529,w_amount,0)*IF(w_frequency=13,1,0))</f>
        <v>0</v>
      </c>
      <c r="BC529" s="25">
        <f t="shared" ca="1" si="503"/>
        <v>0</v>
      </c>
      <c r="BD529" s="24" t="b">
        <f t="shared" ca="1" si="504"/>
        <v>1</v>
      </c>
      <c r="BE529" s="24" t="b">
        <f t="shared" ca="1" si="505"/>
        <v>1</v>
      </c>
      <c r="BF529" s="23">
        <f t="array" aca="1" ref="BF529" ca="1">SUM(IF(BD529,1,0)*IF(ap_start_date&lt;=AO529,1,0)*IF(ap_end_date&gt;=AO529,1,0)*ap_amount*(1+ap_escalation/100)^(INT((AP529-ap_months_since_start)/12))*IF(MOD(AP529-ap_months_since_start,ap_frequency)=0,1,0))</f>
        <v>122782.05613960266</v>
      </c>
      <c r="BG529" s="24">
        <f t="shared" ca="1" si="506"/>
        <v>1473384.6736752316</v>
      </c>
      <c r="BH529" s="24">
        <f t="shared" ca="1" si="507"/>
        <v>3044.9413898195512</v>
      </c>
      <c r="BI529">
        <f t="shared" ca="1" si="508"/>
        <v>0</v>
      </c>
      <c r="BJ529" s="24">
        <f t="shared" ca="1" si="509"/>
        <v>21314.589728736857</v>
      </c>
      <c r="BK529">
        <f t="shared" ca="1" si="510"/>
        <v>1</v>
      </c>
      <c r="BL529" s="25">
        <f t="shared" ca="1" si="511"/>
        <v>1776.215810728072</v>
      </c>
      <c r="BM529" s="32">
        <f t="shared" ca="1" si="490"/>
        <v>115279.79863865137</v>
      </c>
      <c r="BN529" s="23">
        <f t="shared" ca="1" si="512"/>
        <v>0</v>
      </c>
      <c r="BO529" s="24">
        <f t="shared" ca="1" si="513"/>
        <v>0</v>
      </c>
      <c r="BP529" s="25">
        <f t="shared" ca="1" si="514"/>
        <v>0</v>
      </c>
      <c r="BQ529" s="34">
        <f t="shared" ca="1" si="515"/>
        <v>61514</v>
      </c>
      <c r="BR529" s="23">
        <f t="shared" ca="1" si="516"/>
        <v>115279.79863865137</v>
      </c>
      <c r="BS529" s="24">
        <f t="shared" ca="1" si="517"/>
        <v>0</v>
      </c>
      <c r="BT529" s="24">
        <f t="shared" ca="1" si="482"/>
        <v>0</v>
      </c>
      <c r="BU529" s="24">
        <f t="shared" ca="1" si="518"/>
        <v>0</v>
      </c>
      <c r="BV529" s="24">
        <f t="shared" ca="1" si="483"/>
        <v>0</v>
      </c>
      <c r="BW529" s="24">
        <f t="shared" ca="1" si="519"/>
        <v>-1776.215810728072</v>
      </c>
      <c r="BX529" s="25">
        <f t="shared" ca="1" si="484"/>
        <v>-22229.743419945087</v>
      </c>
      <c r="BY529" s="23">
        <f t="shared" ca="1" si="491"/>
        <v>20931.625201173323</v>
      </c>
      <c r="BZ529" s="24">
        <f t="shared" ca="1" si="492"/>
        <v>0</v>
      </c>
      <c r="CA529" s="24">
        <f t="shared" ca="1" si="485"/>
        <v>0</v>
      </c>
      <c r="CB529" s="24">
        <f t="shared" ca="1" si="493"/>
        <v>0</v>
      </c>
      <c r="CC529" s="24">
        <f t="shared" ca="1" si="486"/>
        <v>0</v>
      </c>
      <c r="CD529" s="24">
        <f t="shared" ca="1" si="494"/>
        <v>-323.5675175718589</v>
      </c>
      <c r="CE529" s="25">
        <f t="shared" ca="1" si="487"/>
        <v>-4125.1801366484724</v>
      </c>
      <c r="CF529" s="23">
        <f t="shared" ca="1" si="488"/>
        <v>1449772.7398022311</v>
      </c>
      <c r="CG529" s="25">
        <f t="array" aca="1" ref="CG529" ca="1">SUM(BF518:BF529/(1+inflation/100)^(AP518:AP529/12))</f>
        <v>267980.53702225379</v>
      </c>
      <c r="CH529" s="32">
        <f ca="1">IFERROR(IF(MOD(AP529-ap_months_since_start,12)=0,ap_drawdown/100*(AQ529+AV529+BA529-BC529),CH528),0)</f>
        <v>18719.583703160624</v>
      </c>
    </row>
    <row r="530" spans="40:86" x14ac:dyDescent="0.25">
      <c r="AN530" s="32">
        <f t="shared" ca="1" si="489"/>
        <v>98.416666666666671</v>
      </c>
      <c r="AO530" s="53">
        <f t="shared" ca="1" si="520"/>
        <v>61515</v>
      </c>
      <c r="AP530" s="22">
        <v>523</v>
      </c>
      <c r="AQ530" s="32">
        <f t="shared" ca="1" si="521"/>
        <v>115279.79863865137</v>
      </c>
      <c r="AR530" s="23">
        <f t="array" aca="1" ref="AR530" ca="1">SUM(IF(lsc_start_date=AO530,lsc_amount,0))</f>
        <v>0</v>
      </c>
      <c r="AS530" s="24">
        <f t="shared" ca="1" si="495"/>
        <v>0</v>
      </c>
      <c r="AT530" s="24">
        <f t="shared" ca="1" si="496"/>
        <v>0</v>
      </c>
      <c r="AU530" s="24">
        <f t="shared" ca="1" si="497"/>
        <v>0</v>
      </c>
      <c r="AV530" s="25">
        <f t="shared" ca="1" si="498"/>
        <v>0</v>
      </c>
      <c r="AW530" s="23">
        <f t="array" aca="1" ref="AW530" ca="1">SUM(IF(rcs_start_date&lt;=AO530,1,0)*IF(rcs_end_date&gt;=AO530,1,0)*rcs_amount*(1+rcs_escalation/100)^(INT((AP530-rcs_months_since_start)/12))*IF(MOD((AP530-rcs_months_since_start),rcs_frequency)=0,1,0)*IF(rcs_frequency=13,0,1))+SUM(IF(rcs_start_date=AO530,rcs_amount,0)*IF(rcs_frequency=13,1,0))</f>
        <v>0</v>
      </c>
      <c r="AX530" s="24">
        <f t="shared" ca="1" si="499"/>
        <v>0</v>
      </c>
      <c r="AY530" s="24">
        <f t="shared" ca="1" si="500"/>
        <v>0</v>
      </c>
      <c r="AZ530" s="24">
        <f t="shared" ca="1" si="501"/>
        <v>0</v>
      </c>
      <c r="BA530" s="25">
        <f t="shared" ca="1" si="502"/>
        <v>0</v>
      </c>
      <c r="BB530" s="23">
        <f t="array" aca="1" ref="BB530" ca="1">SUM(IF(w_start_date&lt;=AO530,1,0)*IF(w_end_date&gt;=AO530,1,0)*w_amount*(1+w_escalation/100)^(INT((AP530-w_months_since_start)/12))*IF(MOD(AP530-w_months_since_start,w_frequency)=0,1,0)*IF(w_frequency=13,0,1))+SUM(IF(w_start_date=AO530,w_amount,0)*IF(w_frequency=13,1,0))</f>
        <v>0</v>
      </c>
      <c r="BC530" s="25">
        <f t="shared" ca="1" si="503"/>
        <v>0</v>
      </c>
      <c r="BD530" s="24" t="b">
        <f t="shared" ca="1" si="504"/>
        <v>1</v>
      </c>
      <c r="BE530" s="24" t="b">
        <f t="shared" ca="1" si="505"/>
        <v>1</v>
      </c>
      <c r="BF530" s="23">
        <f t="array" aca="1" ref="BF530" ca="1">SUM(IF(BD530,1,0)*IF(ap_start_date&lt;=AO530,1,0)*IF(ap_end_date&gt;=AO530,1,0)*ap_amount*(1+ap_escalation/100)^(INT((AP530-ap_months_since_start)/12))*IF(MOD(AP530-ap_months_since_start,ap_frequency)=0,1,0))</f>
        <v>122782.05613960266</v>
      </c>
      <c r="BG530" s="24">
        <f t="shared" ca="1" si="506"/>
        <v>1473384.6736752316</v>
      </c>
      <c r="BH530" s="24">
        <f t="shared" ca="1" si="507"/>
        <v>3044.9413898195512</v>
      </c>
      <c r="BI530">
        <f t="shared" ca="1" si="508"/>
        <v>0</v>
      </c>
      <c r="BJ530" s="24">
        <f t="shared" ca="1" si="509"/>
        <v>21314.589728736857</v>
      </c>
      <c r="BK530">
        <f t="shared" ca="1" si="510"/>
        <v>1</v>
      </c>
      <c r="BL530" s="25">
        <f t="shared" ca="1" si="511"/>
        <v>1776.215810728072</v>
      </c>
      <c r="BM530" s="32">
        <f t="shared" ca="1" si="490"/>
        <v>114321.63984690404</v>
      </c>
      <c r="BN530" s="23">
        <f t="shared" ca="1" si="512"/>
        <v>0</v>
      </c>
      <c r="BO530" s="24">
        <f t="shared" ca="1" si="513"/>
        <v>0</v>
      </c>
      <c r="BP530" s="25">
        <f t="shared" ca="1" si="514"/>
        <v>0</v>
      </c>
      <c r="BQ530" s="34">
        <f t="shared" ca="1" si="515"/>
        <v>61544</v>
      </c>
      <c r="BR530" s="23">
        <f t="shared" ca="1" si="516"/>
        <v>114321.63984690404</v>
      </c>
      <c r="BS530" s="24">
        <f t="shared" ca="1" si="517"/>
        <v>0</v>
      </c>
      <c r="BT530" s="24">
        <f t="shared" ca="1" si="482"/>
        <v>0</v>
      </c>
      <c r="BU530" s="24">
        <f t="shared" ca="1" si="518"/>
        <v>0</v>
      </c>
      <c r="BV530" s="24">
        <f t="shared" ca="1" si="483"/>
        <v>0</v>
      </c>
      <c r="BW530" s="24">
        <f t="shared" ca="1" si="519"/>
        <v>-1776.215810728072</v>
      </c>
      <c r="BX530" s="25">
        <f t="shared" ca="1" si="484"/>
        <v>-22046.712681703444</v>
      </c>
      <c r="BY530" s="23">
        <f t="shared" ca="1" si="491"/>
        <v>20689.916644045003</v>
      </c>
      <c r="BZ530" s="24">
        <f t="shared" ca="1" si="492"/>
        <v>0</v>
      </c>
      <c r="CA530" s="24">
        <f t="shared" ca="1" si="485"/>
        <v>0</v>
      </c>
      <c r="CB530" s="24">
        <f t="shared" ca="1" si="493"/>
        <v>0</v>
      </c>
      <c r="CC530" s="24">
        <f t="shared" ca="1" si="486"/>
        <v>0</v>
      </c>
      <c r="CD530" s="24">
        <f t="shared" ca="1" si="494"/>
        <v>-322.51169819525262</v>
      </c>
      <c r="CE530" s="25">
        <f t="shared" ca="1" si="487"/>
        <v>-4077.7170125333096</v>
      </c>
      <c r="CF530" s="23">
        <f t="shared" ca="1" si="488"/>
        <v>1454495.1265768311</v>
      </c>
      <c r="CG530" s="25">
        <f t="array" aca="1" ref="CG530" ca="1">SUM(BF519:BF530/(1+inflation/100)^(AP519:AP530/12))</f>
        <v>267980.53702225379</v>
      </c>
      <c r="CH530" s="32">
        <f ca="1">IFERROR(IF(MOD(AP530-ap_months_since_start,12)=0,ap_drawdown/100*(AQ530+AV530+BA530-BC530),CH529),0)</f>
        <v>18719.583703160624</v>
      </c>
    </row>
    <row r="531" spans="40:86" x14ac:dyDescent="0.25">
      <c r="AN531" s="32">
        <f t="shared" ca="1" si="489"/>
        <v>98.5</v>
      </c>
      <c r="AO531" s="53">
        <f t="shared" ca="1" si="520"/>
        <v>61545</v>
      </c>
      <c r="AP531" s="22">
        <v>524</v>
      </c>
      <c r="AQ531" s="32">
        <f t="shared" ca="1" si="521"/>
        <v>114321.63984690404</v>
      </c>
      <c r="AR531" s="23">
        <f t="array" aca="1" ref="AR531" ca="1">SUM(IF(lsc_start_date=AO531,lsc_amount,0))</f>
        <v>0</v>
      </c>
      <c r="AS531" s="24">
        <f t="shared" ca="1" si="495"/>
        <v>0</v>
      </c>
      <c r="AT531" s="24">
        <f t="shared" ca="1" si="496"/>
        <v>0</v>
      </c>
      <c r="AU531" s="24">
        <f t="shared" ca="1" si="497"/>
        <v>0</v>
      </c>
      <c r="AV531" s="25">
        <f t="shared" ca="1" si="498"/>
        <v>0</v>
      </c>
      <c r="AW531" s="23">
        <f t="array" aca="1" ref="AW531" ca="1">SUM(IF(rcs_start_date&lt;=AO531,1,0)*IF(rcs_end_date&gt;=AO531,1,0)*rcs_amount*(1+rcs_escalation/100)^(INT((AP531-rcs_months_since_start)/12))*IF(MOD((AP531-rcs_months_since_start),rcs_frequency)=0,1,0)*IF(rcs_frequency=13,0,1))+SUM(IF(rcs_start_date=AO531,rcs_amount,0)*IF(rcs_frequency=13,1,0))</f>
        <v>0</v>
      </c>
      <c r="AX531" s="24">
        <f t="shared" ca="1" si="499"/>
        <v>0</v>
      </c>
      <c r="AY531" s="24">
        <f t="shared" ca="1" si="500"/>
        <v>0</v>
      </c>
      <c r="AZ531" s="24">
        <f t="shared" ca="1" si="501"/>
        <v>0</v>
      </c>
      <c r="BA531" s="25">
        <f t="shared" ca="1" si="502"/>
        <v>0</v>
      </c>
      <c r="BB531" s="23">
        <f t="array" aca="1" ref="BB531" ca="1">SUM(IF(w_start_date&lt;=AO531,1,0)*IF(w_end_date&gt;=AO531,1,0)*w_amount*(1+w_escalation/100)^(INT((AP531-w_months_since_start)/12))*IF(MOD(AP531-w_months_since_start,w_frequency)=0,1,0)*IF(w_frequency=13,0,1))+SUM(IF(w_start_date=AO531,w_amount,0)*IF(w_frequency=13,1,0))</f>
        <v>0</v>
      </c>
      <c r="BC531" s="25">
        <f t="shared" ca="1" si="503"/>
        <v>0</v>
      </c>
      <c r="BD531" s="24" t="b">
        <f t="shared" ca="1" si="504"/>
        <v>1</v>
      </c>
      <c r="BE531" s="24" t="b">
        <f t="shared" ca="1" si="505"/>
        <v>1</v>
      </c>
      <c r="BF531" s="23">
        <f t="array" aca="1" ref="BF531" ca="1">SUM(IF(BD531,1,0)*IF(ap_start_date&lt;=AO531,1,0)*IF(ap_end_date&gt;=AO531,1,0)*ap_amount*(1+ap_escalation/100)^(INT((AP531-ap_months_since_start)/12))*IF(MOD(AP531-ap_months_since_start,ap_frequency)=0,1,0))</f>
        <v>122782.05613960266</v>
      </c>
      <c r="BG531" s="24">
        <f t="shared" ca="1" si="506"/>
        <v>1473384.6736752316</v>
      </c>
      <c r="BH531" s="24">
        <f t="shared" ca="1" si="507"/>
        <v>3044.9413898195512</v>
      </c>
      <c r="BI531">
        <f t="shared" ca="1" si="508"/>
        <v>0</v>
      </c>
      <c r="BJ531" s="24">
        <f t="shared" ca="1" si="509"/>
        <v>21314.589728736857</v>
      </c>
      <c r="BK531">
        <f t="shared" ca="1" si="510"/>
        <v>1</v>
      </c>
      <c r="BL531" s="25">
        <f t="shared" ca="1" si="511"/>
        <v>1776.215810728072</v>
      </c>
      <c r="BM531" s="32">
        <f t="shared" ca="1" si="490"/>
        <v>113356.5752949564</v>
      </c>
      <c r="BN531" s="23">
        <f t="shared" ca="1" si="512"/>
        <v>0</v>
      </c>
      <c r="BO531" s="24">
        <f t="shared" ca="1" si="513"/>
        <v>0</v>
      </c>
      <c r="BP531" s="25">
        <f t="shared" ca="1" si="514"/>
        <v>0</v>
      </c>
      <c r="BQ531" s="34">
        <f t="shared" ca="1" si="515"/>
        <v>61575</v>
      </c>
      <c r="BR531" s="23">
        <f t="shared" ca="1" si="516"/>
        <v>113356.5752949564</v>
      </c>
      <c r="BS531" s="24">
        <f t="shared" ca="1" si="517"/>
        <v>0</v>
      </c>
      <c r="BT531" s="24">
        <f t="shared" ca="1" si="482"/>
        <v>0</v>
      </c>
      <c r="BU531" s="24">
        <f t="shared" ca="1" si="518"/>
        <v>0</v>
      </c>
      <c r="BV531" s="24">
        <f t="shared" ca="1" si="483"/>
        <v>0</v>
      </c>
      <c r="BW531" s="24">
        <f t="shared" ca="1" si="519"/>
        <v>-1776.215810728072</v>
      </c>
      <c r="BX531" s="25">
        <f t="shared" ca="1" si="484"/>
        <v>-21863.681943461801</v>
      </c>
      <c r="BY531" s="23">
        <f t="shared" ca="1" si="491"/>
        <v>20448.316908840039</v>
      </c>
      <c r="BZ531" s="24">
        <f t="shared" ca="1" si="492"/>
        <v>0</v>
      </c>
      <c r="CA531" s="24">
        <f t="shared" ca="1" si="485"/>
        <v>0</v>
      </c>
      <c r="CB531" s="24">
        <f t="shared" ca="1" si="493"/>
        <v>0</v>
      </c>
      <c r="CC531" s="24">
        <f t="shared" ca="1" si="486"/>
        <v>0</v>
      </c>
      <c r="CD531" s="24">
        <f t="shared" ca="1" si="494"/>
        <v>-321.45932401785655</v>
      </c>
      <c r="CE531" s="25">
        <f t="shared" ca="1" si="487"/>
        <v>-4030.4087633156378</v>
      </c>
      <c r="CF531" s="23">
        <f t="shared" ca="1" si="488"/>
        <v>1459217.5133514313</v>
      </c>
      <c r="CG531" s="25">
        <f t="array" aca="1" ref="CG531" ca="1">SUM(BF520:BF531/(1+inflation/100)^(AP520:AP531/12))</f>
        <v>267980.53702225379</v>
      </c>
      <c r="CH531" s="32">
        <f ca="1">IFERROR(IF(MOD(AP531-ap_months_since_start,12)=0,ap_drawdown/100*(AQ531+AV531+BA531-BC531),CH530),0)</f>
        <v>18719.583703160624</v>
      </c>
    </row>
    <row r="532" spans="40:86" x14ac:dyDescent="0.25">
      <c r="AN532" s="32">
        <f t="shared" ca="1" si="489"/>
        <v>98.583333333333329</v>
      </c>
      <c r="AO532" s="53">
        <f t="shared" ca="1" si="520"/>
        <v>61576</v>
      </c>
      <c r="AP532" s="22">
        <v>525</v>
      </c>
      <c r="AQ532" s="32">
        <f t="shared" ca="1" si="521"/>
        <v>113356.5752949564</v>
      </c>
      <c r="AR532" s="23">
        <f t="array" aca="1" ref="AR532" ca="1">SUM(IF(lsc_start_date=AO532,lsc_amount,0))</f>
        <v>0</v>
      </c>
      <c r="AS532" s="24">
        <f t="shared" ca="1" si="495"/>
        <v>0</v>
      </c>
      <c r="AT532" s="24">
        <f t="shared" ca="1" si="496"/>
        <v>0</v>
      </c>
      <c r="AU532" s="24">
        <f t="shared" ca="1" si="497"/>
        <v>0</v>
      </c>
      <c r="AV532" s="25">
        <f t="shared" ca="1" si="498"/>
        <v>0</v>
      </c>
      <c r="AW532" s="23">
        <f t="array" aca="1" ref="AW532" ca="1">SUM(IF(rcs_start_date&lt;=AO532,1,0)*IF(rcs_end_date&gt;=AO532,1,0)*rcs_amount*(1+rcs_escalation/100)^(INT((AP532-rcs_months_since_start)/12))*IF(MOD((AP532-rcs_months_since_start),rcs_frequency)=0,1,0)*IF(rcs_frequency=13,0,1))+SUM(IF(rcs_start_date=AO532,rcs_amount,0)*IF(rcs_frequency=13,1,0))</f>
        <v>0</v>
      </c>
      <c r="AX532" s="24">
        <f t="shared" ca="1" si="499"/>
        <v>0</v>
      </c>
      <c r="AY532" s="24">
        <f t="shared" ca="1" si="500"/>
        <v>0</v>
      </c>
      <c r="AZ532" s="24">
        <f t="shared" ca="1" si="501"/>
        <v>0</v>
      </c>
      <c r="BA532" s="25">
        <f t="shared" ca="1" si="502"/>
        <v>0</v>
      </c>
      <c r="BB532" s="23">
        <f t="array" aca="1" ref="BB532" ca="1">SUM(IF(w_start_date&lt;=AO532,1,0)*IF(w_end_date&gt;=AO532,1,0)*w_amount*(1+w_escalation/100)^(INT((AP532-w_months_since_start)/12))*IF(MOD(AP532-w_months_since_start,w_frequency)=0,1,0)*IF(w_frequency=13,0,1))+SUM(IF(w_start_date=AO532,w_amount,0)*IF(w_frequency=13,1,0))</f>
        <v>0</v>
      </c>
      <c r="BC532" s="25">
        <f t="shared" ca="1" si="503"/>
        <v>0</v>
      </c>
      <c r="BD532" s="24" t="b">
        <f t="shared" ca="1" si="504"/>
        <v>1</v>
      </c>
      <c r="BE532" s="24" t="b">
        <f t="shared" ca="1" si="505"/>
        <v>1</v>
      </c>
      <c r="BF532" s="23">
        <f t="array" aca="1" ref="BF532" ca="1">SUM(IF(BD532,1,0)*IF(ap_start_date&lt;=AO532,1,0)*IF(ap_end_date&gt;=AO532,1,0)*ap_amount*(1+ap_escalation/100)^(INT((AP532-ap_months_since_start)/12))*IF(MOD(AP532-ap_months_since_start,ap_frequency)=0,1,0))</f>
        <v>122782.05613960266</v>
      </c>
      <c r="BG532" s="24">
        <f t="shared" ca="1" si="506"/>
        <v>1473384.6736752316</v>
      </c>
      <c r="BH532" s="24">
        <f t="shared" ca="1" si="507"/>
        <v>3044.9413898195512</v>
      </c>
      <c r="BI532">
        <f t="shared" ca="1" si="508"/>
        <v>0</v>
      </c>
      <c r="BJ532" s="24">
        <f t="shared" ca="1" si="509"/>
        <v>21314.589728736857</v>
      </c>
      <c r="BK532">
        <f t="shared" ca="1" si="510"/>
        <v>1</v>
      </c>
      <c r="BL532" s="25">
        <f t="shared" ca="1" si="511"/>
        <v>1776.215810728072</v>
      </c>
      <c r="BM532" s="32">
        <f t="shared" ca="1" si="490"/>
        <v>112384.55521076193</v>
      </c>
      <c r="BN532" s="23">
        <f t="shared" ca="1" si="512"/>
        <v>0</v>
      </c>
      <c r="BO532" s="24">
        <f t="shared" ca="1" si="513"/>
        <v>0</v>
      </c>
      <c r="BP532" s="25">
        <f t="shared" ca="1" si="514"/>
        <v>0</v>
      </c>
      <c r="BQ532" s="34">
        <f t="shared" ca="1" si="515"/>
        <v>61606</v>
      </c>
      <c r="BR532" s="23">
        <f t="shared" ca="1" si="516"/>
        <v>112384.55521076193</v>
      </c>
      <c r="BS532" s="24">
        <f t="shared" ca="1" si="517"/>
        <v>0</v>
      </c>
      <c r="BT532" s="24">
        <f t="shared" ref="BT532:BT595" ca="1" si="522">SUM(BS521:BS532)</f>
        <v>0</v>
      </c>
      <c r="BU532" s="24">
        <f t="shared" ca="1" si="518"/>
        <v>0</v>
      </c>
      <c r="BV532" s="24">
        <f t="shared" ref="BV532:BV595" ca="1" si="523">SUM(BU521:BU532)</f>
        <v>0</v>
      </c>
      <c r="BW532" s="24">
        <f t="shared" ca="1" si="519"/>
        <v>-1776.215810728072</v>
      </c>
      <c r="BX532" s="25">
        <f t="shared" ref="BX532:BX595" ca="1" si="524">SUM(BW521:BW532)</f>
        <v>-21680.651205220151</v>
      </c>
      <c r="BY532" s="23">
        <f t="shared" ca="1" si="491"/>
        <v>20206.822974800751</v>
      </c>
      <c r="BZ532" s="24">
        <f t="shared" ca="1" si="492"/>
        <v>0</v>
      </c>
      <c r="CA532" s="24">
        <f t="shared" ref="CA532:CA595" ca="1" si="525">SUM(BZ521:BZ532)</f>
        <v>0</v>
      </c>
      <c r="CB532" s="24">
        <f t="shared" ca="1" si="493"/>
        <v>0</v>
      </c>
      <c r="CC532" s="24">
        <f t="shared" ref="CC532:CC595" ca="1" si="526">SUM(CB521:CB532)</f>
        <v>0</v>
      </c>
      <c r="CD532" s="24">
        <f t="shared" ca="1" si="494"/>
        <v>-320.41038379778814</v>
      </c>
      <c r="CE532" s="25">
        <f t="shared" ref="CE532:CE595" ca="1" si="527">SUM(CD521:CD532)</f>
        <v>-3983.2548836297774</v>
      </c>
      <c r="CF532" s="23">
        <f t="shared" ref="CF532:CF595" ca="1" si="528">SUM(BF521:BF532)</f>
        <v>1463939.9001260314</v>
      </c>
      <c r="CG532" s="25">
        <f t="array" aca="1" ref="CG532" ca="1">SUM(BF521:BF532/(1+inflation/100)^(AP521:AP532/12))</f>
        <v>267980.53702225379</v>
      </c>
      <c r="CH532" s="32">
        <f ca="1">IFERROR(IF(MOD(AP532-ap_months_since_start,12)=0,ap_drawdown/100*(AQ532+AV532+BA532-BC532),CH531),0)</f>
        <v>18719.583703160624</v>
      </c>
    </row>
    <row r="533" spans="40:86" x14ac:dyDescent="0.25">
      <c r="AN533" s="32">
        <f t="shared" ca="1" si="489"/>
        <v>98.666666666666671</v>
      </c>
      <c r="AO533" s="53">
        <f t="shared" ca="1" si="520"/>
        <v>61607</v>
      </c>
      <c r="AP533" s="22">
        <v>526</v>
      </c>
      <c r="AQ533" s="32">
        <f t="shared" ca="1" si="521"/>
        <v>112384.55521076193</v>
      </c>
      <c r="AR533" s="23">
        <f t="array" aca="1" ref="AR533" ca="1">SUM(IF(lsc_start_date=AO533,lsc_amount,0))</f>
        <v>0</v>
      </c>
      <c r="AS533" s="24">
        <f t="shared" ca="1" si="495"/>
        <v>0</v>
      </c>
      <c r="AT533" s="24">
        <f t="shared" ca="1" si="496"/>
        <v>0</v>
      </c>
      <c r="AU533" s="24">
        <f t="shared" ca="1" si="497"/>
        <v>0</v>
      </c>
      <c r="AV533" s="25">
        <f t="shared" ca="1" si="498"/>
        <v>0</v>
      </c>
      <c r="AW533" s="23">
        <f t="array" aca="1" ref="AW533" ca="1">SUM(IF(rcs_start_date&lt;=AO533,1,0)*IF(rcs_end_date&gt;=AO533,1,0)*rcs_amount*(1+rcs_escalation/100)^(INT((AP533-rcs_months_since_start)/12))*IF(MOD((AP533-rcs_months_since_start),rcs_frequency)=0,1,0)*IF(rcs_frequency=13,0,1))+SUM(IF(rcs_start_date=AO533,rcs_amount,0)*IF(rcs_frequency=13,1,0))</f>
        <v>0</v>
      </c>
      <c r="AX533" s="24">
        <f t="shared" ca="1" si="499"/>
        <v>0</v>
      </c>
      <c r="AY533" s="24">
        <f t="shared" ca="1" si="500"/>
        <v>0</v>
      </c>
      <c r="AZ533" s="24">
        <f t="shared" ca="1" si="501"/>
        <v>0</v>
      </c>
      <c r="BA533" s="25">
        <f t="shared" ca="1" si="502"/>
        <v>0</v>
      </c>
      <c r="BB533" s="23">
        <f t="array" aca="1" ref="BB533" ca="1">SUM(IF(w_start_date&lt;=AO533,1,0)*IF(w_end_date&gt;=AO533,1,0)*w_amount*(1+w_escalation/100)^(INT((AP533-w_months_since_start)/12))*IF(MOD(AP533-w_months_since_start,w_frequency)=0,1,0)*IF(w_frequency=13,0,1))+SUM(IF(w_start_date=AO533,w_amount,0)*IF(w_frequency=13,1,0))</f>
        <v>0</v>
      </c>
      <c r="BC533" s="25">
        <f t="shared" ca="1" si="503"/>
        <v>0</v>
      </c>
      <c r="BD533" s="24" t="b">
        <f t="shared" ca="1" si="504"/>
        <v>1</v>
      </c>
      <c r="BE533" s="24" t="b">
        <f t="shared" ca="1" si="505"/>
        <v>1</v>
      </c>
      <c r="BF533" s="23">
        <f t="array" aca="1" ref="BF533" ca="1">SUM(IF(BD533,1,0)*IF(ap_start_date&lt;=AO533,1,0)*IF(ap_end_date&gt;=AO533,1,0)*ap_amount*(1+ap_escalation/100)^(INT((AP533-ap_months_since_start)/12))*IF(MOD(AP533-ap_months_since_start,ap_frequency)=0,1,0))</f>
        <v>122782.05613960266</v>
      </c>
      <c r="BG533" s="24">
        <f t="shared" ca="1" si="506"/>
        <v>1473384.6736752316</v>
      </c>
      <c r="BH533" s="24">
        <f t="shared" ca="1" si="507"/>
        <v>3044.9413898195512</v>
      </c>
      <c r="BI533">
        <f t="shared" ca="1" si="508"/>
        <v>0</v>
      </c>
      <c r="BJ533" s="24">
        <f t="shared" ca="1" si="509"/>
        <v>21314.589728736857</v>
      </c>
      <c r="BK533">
        <f t="shared" ca="1" si="510"/>
        <v>1</v>
      </c>
      <c r="BL533" s="25">
        <f t="shared" ca="1" si="511"/>
        <v>1776.215810728072</v>
      </c>
      <c r="BM533" s="32">
        <f t="shared" ca="1" si="490"/>
        <v>111405.52946355089</v>
      </c>
      <c r="BN533" s="23">
        <f t="shared" ca="1" si="512"/>
        <v>0</v>
      </c>
      <c r="BO533" s="24">
        <f t="shared" ca="1" si="513"/>
        <v>0</v>
      </c>
      <c r="BP533" s="25">
        <f t="shared" ca="1" si="514"/>
        <v>0</v>
      </c>
      <c r="BQ533" s="34">
        <f t="shared" ca="1" si="515"/>
        <v>61636</v>
      </c>
      <c r="BR533" s="23">
        <f t="shared" ca="1" si="516"/>
        <v>111405.52946355089</v>
      </c>
      <c r="BS533" s="24">
        <f t="shared" ca="1" si="517"/>
        <v>0</v>
      </c>
      <c r="BT533" s="24">
        <f t="shared" ca="1" si="522"/>
        <v>0</v>
      </c>
      <c r="BU533" s="24">
        <f t="shared" ca="1" si="518"/>
        <v>0</v>
      </c>
      <c r="BV533" s="24">
        <f t="shared" ca="1" si="523"/>
        <v>0</v>
      </c>
      <c r="BW533" s="24">
        <f t="shared" ca="1" si="519"/>
        <v>-1776.215810728072</v>
      </c>
      <c r="BX533" s="25">
        <f t="shared" ca="1" si="524"/>
        <v>-21497.620466978507</v>
      </c>
      <c r="BY533" s="23">
        <f t="shared" ca="1" si="491"/>
        <v>19965.431820574984</v>
      </c>
      <c r="BZ533" s="24">
        <f t="shared" ca="1" si="492"/>
        <v>0</v>
      </c>
      <c r="CA533" s="24">
        <f t="shared" ca="1" si="525"/>
        <v>0</v>
      </c>
      <c r="CB533" s="24">
        <f t="shared" ca="1" si="493"/>
        <v>0</v>
      </c>
      <c r="CC533" s="24">
        <f t="shared" ca="1" si="526"/>
        <v>0</v>
      </c>
      <c r="CD533" s="24">
        <f t="shared" ca="1" si="494"/>
        <v>-319.36486632984747</v>
      </c>
      <c r="CE533" s="25">
        <f t="shared" ca="1" si="527"/>
        <v>-3936.2548697590892</v>
      </c>
      <c r="CF533" s="23">
        <f t="shared" ca="1" si="528"/>
        <v>1468662.2869006316</v>
      </c>
      <c r="CG533" s="25">
        <f t="array" aca="1" ref="CG533" ca="1">SUM(BF522:BF533/(1+inflation/100)^(AP522:AP533/12))</f>
        <v>267980.53702225379</v>
      </c>
      <c r="CH533" s="32">
        <f ca="1">IFERROR(IF(MOD(AP533-ap_months_since_start,12)=0,ap_drawdown/100*(AQ533+AV533+BA533-BC533),CH532),0)</f>
        <v>18719.583703160624</v>
      </c>
    </row>
    <row r="534" spans="40:86" x14ac:dyDescent="0.25">
      <c r="AN534" s="32">
        <f t="shared" ca="1" si="489"/>
        <v>98.75</v>
      </c>
      <c r="AO534" s="53">
        <f t="shared" ca="1" si="520"/>
        <v>61637</v>
      </c>
      <c r="AP534" s="22">
        <v>527</v>
      </c>
      <c r="AQ534" s="32">
        <f t="shared" ca="1" si="521"/>
        <v>111405.52946355089</v>
      </c>
      <c r="AR534" s="23">
        <f t="array" aca="1" ref="AR534" ca="1">SUM(IF(lsc_start_date=AO534,lsc_amount,0))</f>
        <v>0</v>
      </c>
      <c r="AS534" s="24">
        <f t="shared" ca="1" si="495"/>
        <v>0</v>
      </c>
      <c r="AT534" s="24">
        <f t="shared" ca="1" si="496"/>
        <v>0</v>
      </c>
      <c r="AU534" s="24">
        <f t="shared" ca="1" si="497"/>
        <v>0</v>
      </c>
      <c r="AV534" s="25">
        <f t="shared" ca="1" si="498"/>
        <v>0</v>
      </c>
      <c r="AW534" s="23">
        <f t="array" aca="1" ref="AW534" ca="1">SUM(IF(rcs_start_date&lt;=AO534,1,0)*IF(rcs_end_date&gt;=AO534,1,0)*rcs_amount*(1+rcs_escalation/100)^(INT((AP534-rcs_months_since_start)/12))*IF(MOD((AP534-rcs_months_since_start),rcs_frequency)=0,1,0)*IF(rcs_frequency=13,0,1))+SUM(IF(rcs_start_date=AO534,rcs_amount,0)*IF(rcs_frequency=13,1,0))</f>
        <v>0</v>
      </c>
      <c r="AX534" s="24">
        <f t="shared" ca="1" si="499"/>
        <v>0</v>
      </c>
      <c r="AY534" s="24">
        <f t="shared" ca="1" si="500"/>
        <v>0</v>
      </c>
      <c r="AZ534" s="24">
        <f t="shared" ca="1" si="501"/>
        <v>0</v>
      </c>
      <c r="BA534" s="25">
        <f t="shared" ca="1" si="502"/>
        <v>0</v>
      </c>
      <c r="BB534" s="23">
        <f t="array" aca="1" ref="BB534" ca="1">SUM(IF(w_start_date&lt;=AO534,1,0)*IF(w_end_date&gt;=AO534,1,0)*w_amount*(1+w_escalation/100)^(INT((AP534-w_months_since_start)/12))*IF(MOD(AP534-w_months_since_start,w_frequency)=0,1,0)*IF(w_frequency=13,0,1))+SUM(IF(w_start_date=AO534,w_amount,0)*IF(w_frequency=13,1,0))</f>
        <v>0</v>
      </c>
      <c r="BC534" s="25">
        <f t="shared" ca="1" si="503"/>
        <v>0</v>
      </c>
      <c r="BD534" s="24" t="b">
        <f t="shared" ca="1" si="504"/>
        <v>1</v>
      </c>
      <c r="BE534" s="24" t="b">
        <f t="shared" ca="1" si="505"/>
        <v>1</v>
      </c>
      <c r="BF534" s="23">
        <f t="array" aca="1" ref="BF534" ca="1">SUM(IF(BD534,1,0)*IF(ap_start_date&lt;=AO534,1,0)*IF(ap_end_date&gt;=AO534,1,0)*ap_amount*(1+ap_escalation/100)^(INT((AP534-ap_months_since_start)/12))*IF(MOD(AP534-ap_months_since_start,ap_frequency)=0,1,0))</f>
        <v>122782.05613960266</v>
      </c>
      <c r="BG534" s="24">
        <f t="shared" ca="1" si="506"/>
        <v>1473384.6736752316</v>
      </c>
      <c r="BH534" s="24">
        <f t="shared" ca="1" si="507"/>
        <v>3044.9413898195512</v>
      </c>
      <c r="BI534">
        <f t="shared" ca="1" si="508"/>
        <v>0</v>
      </c>
      <c r="BJ534" s="24">
        <f t="shared" ca="1" si="509"/>
        <v>21314.589728736857</v>
      </c>
      <c r="BK534">
        <f t="shared" ca="1" si="510"/>
        <v>1</v>
      </c>
      <c r="BL534" s="25">
        <f t="shared" ca="1" si="511"/>
        <v>1776.215810728072</v>
      </c>
      <c r="BM534" s="32">
        <f t="shared" ca="1" si="490"/>
        <v>110419.44756124487</v>
      </c>
      <c r="BN534" s="23">
        <f t="shared" ca="1" si="512"/>
        <v>0</v>
      </c>
      <c r="BO534" s="24">
        <f t="shared" ca="1" si="513"/>
        <v>0</v>
      </c>
      <c r="BP534" s="25">
        <f t="shared" ca="1" si="514"/>
        <v>0</v>
      </c>
      <c r="BQ534" s="34">
        <f t="shared" ca="1" si="515"/>
        <v>61667</v>
      </c>
      <c r="BR534" s="23">
        <f t="shared" ca="1" si="516"/>
        <v>110419.44756124487</v>
      </c>
      <c r="BS534" s="24">
        <f t="shared" ca="1" si="517"/>
        <v>0</v>
      </c>
      <c r="BT534" s="24">
        <f t="shared" ca="1" si="522"/>
        <v>0</v>
      </c>
      <c r="BU534" s="24">
        <f t="shared" ca="1" si="518"/>
        <v>0</v>
      </c>
      <c r="BV534" s="24">
        <f t="shared" ca="1" si="523"/>
        <v>0</v>
      </c>
      <c r="BW534" s="24">
        <f t="shared" ca="1" si="519"/>
        <v>-1776.215810728072</v>
      </c>
      <c r="BX534" s="25">
        <f t="shared" ca="1" si="524"/>
        <v>-21314.589728736864</v>
      </c>
      <c r="BY534" s="23">
        <f t="shared" ca="1" si="491"/>
        <v>19724.140424177036</v>
      </c>
      <c r="BZ534" s="24">
        <f t="shared" ca="1" si="492"/>
        <v>0</v>
      </c>
      <c r="CA534" s="24">
        <f t="shared" ca="1" si="525"/>
        <v>0</v>
      </c>
      <c r="CB534" s="24">
        <f t="shared" ca="1" si="493"/>
        <v>0</v>
      </c>
      <c r="CC534" s="24">
        <f t="shared" ca="1" si="526"/>
        <v>0</v>
      </c>
      <c r="CD534" s="24">
        <f t="shared" ca="1" si="494"/>
        <v>-318.32276044539805</v>
      </c>
      <c r="CE534" s="25">
        <f t="shared" ca="1" si="527"/>
        <v>-3889.4082196305903</v>
      </c>
      <c r="CF534" s="23">
        <f t="shared" ca="1" si="528"/>
        <v>1473384.6736752316</v>
      </c>
      <c r="CG534" s="25">
        <f t="array" aca="1" ref="CG534" ca="1">SUM(BF523:BF534/(1+inflation/100)^(AP523:AP534/12))</f>
        <v>267980.53702225385</v>
      </c>
      <c r="CH534" s="32">
        <f ca="1">IFERROR(IF(MOD(AP534-ap_months_since_start,12)=0,ap_drawdown/100*(AQ534+AV534+BA534-BC534),CH533),0)</f>
        <v>18719.583703160624</v>
      </c>
    </row>
    <row r="535" spans="40:86" x14ac:dyDescent="0.25">
      <c r="AN535" s="32">
        <f t="shared" ca="1" si="489"/>
        <v>98.833333333333329</v>
      </c>
      <c r="AO535" s="53">
        <f t="shared" ca="1" si="520"/>
        <v>61668</v>
      </c>
      <c r="AP535" s="22">
        <v>528</v>
      </c>
      <c r="AQ535" s="32">
        <f t="shared" ca="1" si="521"/>
        <v>110419.44756124487</v>
      </c>
      <c r="AR535" s="23">
        <f t="array" aca="1" ref="AR535" ca="1">SUM(IF(lsc_start_date=AO535,lsc_amount,0))</f>
        <v>0</v>
      </c>
      <c r="AS535" s="24">
        <f t="shared" ca="1" si="495"/>
        <v>0</v>
      </c>
      <c r="AT535" s="24">
        <f t="shared" ca="1" si="496"/>
        <v>0</v>
      </c>
      <c r="AU535" s="24">
        <f t="shared" ca="1" si="497"/>
        <v>0</v>
      </c>
      <c r="AV535" s="25">
        <f t="shared" ca="1" si="498"/>
        <v>0</v>
      </c>
      <c r="AW535" s="23">
        <f t="array" aca="1" ref="AW535" ca="1">SUM(IF(rcs_start_date&lt;=AO535,1,0)*IF(rcs_end_date&gt;=AO535,1,0)*rcs_amount*(1+rcs_escalation/100)^(INT((AP535-rcs_months_since_start)/12))*IF(MOD((AP535-rcs_months_since_start),rcs_frequency)=0,1,0)*IF(rcs_frequency=13,0,1))+SUM(IF(rcs_start_date=AO535,rcs_amount,0)*IF(rcs_frequency=13,1,0))</f>
        <v>0</v>
      </c>
      <c r="AX535" s="24">
        <f t="shared" ca="1" si="499"/>
        <v>0</v>
      </c>
      <c r="AY535" s="24">
        <f t="shared" ca="1" si="500"/>
        <v>0</v>
      </c>
      <c r="AZ535" s="24">
        <f t="shared" ca="1" si="501"/>
        <v>0</v>
      </c>
      <c r="BA535" s="25">
        <f t="shared" ca="1" si="502"/>
        <v>0</v>
      </c>
      <c r="BB535" s="23">
        <f t="array" aca="1" ref="BB535" ca="1">SUM(IF(w_start_date&lt;=AO535,1,0)*IF(w_end_date&gt;=AO535,1,0)*w_amount*(1+w_escalation/100)^(INT((AP535-w_months_since_start)/12))*IF(MOD(AP535-w_months_since_start,w_frequency)=0,1,0)*IF(w_frequency=13,0,1))+SUM(IF(w_start_date=AO535,w_amount,0)*IF(w_frequency=13,1,0))</f>
        <v>0</v>
      </c>
      <c r="BC535" s="25">
        <f t="shared" ca="1" si="503"/>
        <v>0</v>
      </c>
      <c r="BD535" s="24" t="b">
        <f t="shared" ca="1" si="504"/>
        <v>1</v>
      </c>
      <c r="BE535" s="24" t="b">
        <f t="shared" ca="1" si="505"/>
        <v>1</v>
      </c>
      <c r="BF535" s="23">
        <f t="array" aca="1" ref="BF535" ca="1">SUM(IF(BD535,1,0)*IF(ap_start_date&lt;=AO535,1,0)*IF(ap_end_date&gt;=AO535,1,0)*ap_amount*(1+ap_escalation/100)^(INT((AP535-ap_months_since_start)/12))*IF(MOD(AP535-ap_months_since_start,ap_frequency)=0,1,0))</f>
        <v>127693.33838518675</v>
      </c>
      <c r="BG535" s="24">
        <f t="shared" ca="1" si="506"/>
        <v>1532320.0606222413</v>
      </c>
      <c r="BH535" s="24">
        <f t="shared" ca="1" si="507"/>
        <v>2760.4861890311222</v>
      </c>
      <c r="BI535">
        <f t="shared" ca="1" si="508"/>
        <v>0</v>
      </c>
      <c r="BJ535" s="24">
        <f t="shared" ca="1" si="509"/>
        <v>19323.403323217852</v>
      </c>
      <c r="BK535">
        <f t="shared" ca="1" si="510"/>
        <v>1</v>
      </c>
      <c r="BL535" s="25">
        <f t="shared" ca="1" si="511"/>
        <v>1610.283610268154</v>
      </c>
      <c r="BM535" s="32">
        <f t="shared" ca="1" si="490"/>
        <v>109593.38677532993</v>
      </c>
      <c r="BN535" s="23">
        <f t="shared" ca="1" si="512"/>
        <v>0</v>
      </c>
      <c r="BO535" s="24">
        <f t="shared" ca="1" si="513"/>
        <v>0</v>
      </c>
      <c r="BP535" s="25">
        <f t="shared" ca="1" si="514"/>
        <v>0</v>
      </c>
      <c r="BQ535" s="34">
        <f t="shared" ca="1" si="515"/>
        <v>61697</v>
      </c>
      <c r="BR535" s="23">
        <f t="shared" ca="1" si="516"/>
        <v>109593.38677532993</v>
      </c>
      <c r="BS535" s="24">
        <f t="shared" ca="1" si="517"/>
        <v>0</v>
      </c>
      <c r="BT535" s="24">
        <f t="shared" ca="1" si="522"/>
        <v>0</v>
      </c>
      <c r="BU535" s="24">
        <f t="shared" ca="1" si="518"/>
        <v>0</v>
      </c>
      <c r="BV535" s="24">
        <f t="shared" ca="1" si="523"/>
        <v>0</v>
      </c>
      <c r="BW535" s="24">
        <f t="shared" ca="1" si="519"/>
        <v>-1610.283610268154</v>
      </c>
      <c r="BX535" s="25">
        <f t="shared" ca="1" si="524"/>
        <v>-21148.657528276948</v>
      </c>
      <c r="BY535" s="23">
        <f t="shared" ca="1" si="491"/>
        <v>19512.702315748036</v>
      </c>
      <c r="BZ535" s="24">
        <f t="shared" ca="1" si="492"/>
        <v>0</v>
      </c>
      <c r="CA535" s="24">
        <f t="shared" ca="1" si="525"/>
        <v>0</v>
      </c>
      <c r="CB535" s="24">
        <f t="shared" ca="1" si="493"/>
        <v>0</v>
      </c>
      <c r="CC535" s="24">
        <f t="shared" ca="1" si="526"/>
        <v>0</v>
      </c>
      <c r="CD535" s="24">
        <f t="shared" ca="1" si="494"/>
        <v>-287.64371451924836</v>
      </c>
      <c r="CE535" s="25">
        <f t="shared" ca="1" si="527"/>
        <v>-3847.076516937102</v>
      </c>
      <c r="CF535" s="23">
        <f t="shared" ca="1" si="528"/>
        <v>1478295.9559208159</v>
      </c>
      <c r="CG535" s="25">
        <f t="array" aca="1" ref="CG535" ca="1">SUM(BF524:BF535/(1+inflation/100)^(AP524:AP535/12))</f>
        <v>267980.53702225379</v>
      </c>
      <c r="CH535" s="32">
        <f ca="1">IFERROR(IF(MOD(AP535-ap_months_since_start,12)=0,ap_drawdown/100*(AQ535+AV535+BA535-BC535),CH534),0)</f>
        <v>16970.82001307399</v>
      </c>
    </row>
    <row r="536" spans="40:86" x14ac:dyDescent="0.25">
      <c r="AN536" s="32">
        <f t="shared" ca="1" si="489"/>
        <v>98.916666666666671</v>
      </c>
      <c r="AO536" s="53">
        <f t="shared" ca="1" si="520"/>
        <v>61698</v>
      </c>
      <c r="AP536" s="22">
        <v>529</v>
      </c>
      <c r="AQ536" s="32">
        <f t="shared" ca="1" si="521"/>
        <v>109593.38677532993</v>
      </c>
      <c r="AR536" s="23">
        <f t="array" aca="1" ref="AR536" ca="1">SUM(IF(lsc_start_date=AO536,lsc_amount,0))</f>
        <v>0</v>
      </c>
      <c r="AS536" s="24">
        <f t="shared" ca="1" si="495"/>
        <v>0</v>
      </c>
      <c r="AT536" s="24">
        <f t="shared" ca="1" si="496"/>
        <v>0</v>
      </c>
      <c r="AU536" s="24">
        <f t="shared" ca="1" si="497"/>
        <v>0</v>
      </c>
      <c r="AV536" s="25">
        <f t="shared" ca="1" si="498"/>
        <v>0</v>
      </c>
      <c r="AW536" s="23">
        <f t="array" aca="1" ref="AW536" ca="1">SUM(IF(rcs_start_date&lt;=AO536,1,0)*IF(rcs_end_date&gt;=AO536,1,0)*rcs_amount*(1+rcs_escalation/100)^(INT((AP536-rcs_months_since_start)/12))*IF(MOD((AP536-rcs_months_since_start),rcs_frequency)=0,1,0)*IF(rcs_frequency=13,0,1))+SUM(IF(rcs_start_date=AO536,rcs_amount,0)*IF(rcs_frequency=13,1,0))</f>
        <v>0</v>
      </c>
      <c r="AX536" s="24">
        <f t="shared" ca="1" si="499"/>
        <v>0</v>
      </c>
      <c r="AY536" s="24">
        <f t="shared" ca="1" si="500"/>
        <v>0</v>
      </c>
      <c r="AZ536" s="24">
        <f t="shared" ca="1" si="501"/>
        <v>0</v>
      </c>
      <c r="BA536" s="25">
        <f t="shared" ca="1" si="502"/>
        <v>0</v>
      </c>
      <c r="BB536" s="23">
        <f t="array" aca="1" ref="BB536" ca="1">SUM(IF(w_start_date&lt;=AO536,1,0)*IF(w_end_date&gt;=AO536,1,0)*w_amount*(1+w_escalation/100)^(INT((AP536-w_months_since_start)/12))*IF(MOD(AP536-w_months_since_start,w_frequency)=0,1,0)*IF(w_frequency=13,0,1))+SUM(IF(w_start_date=AO536,w_amount,0)*IF(w_frequency=13,1,0))</f>
        <v>0</v>
      </c>
      <c r="BC536" s="25">
        <f t="shared" ca="1" si="503"/>
        <v>0</v>
      </c>
      <c r="BD536" s="24" t="b">
        <f t="shared" ca="1" si="504"/>
        <v>1</v>
      </c>
      <c r="BE536" s="24" t="b">
        <f t="shared" ca="1" si="505"/>
        <v>1</v>
      </c>
      <c r="BF536" s="23">
        <f t="array" aca="1" ref="BF536" ca="1">SUM(IF(BD536,1,0)*IF(ap_start_date&lt;=AO536,1,0)*IF(ap_end_date&gt;=AO536,1,0)*ap_amount*(1+ap_escalation/100)^(INT((AP536-ap_months_since_start)/12))*IF(MOD(AP536-ap_months_since_start,ap_frequency)=0,1,0))</f>
        <v>127693.33838518675</v>
      </c>
      <c r="BG536" s="24">
        <f t="shared" ca="1" si="506"/>
        <v>1532320.0606222413</v>
      </c>
      <c r="BH536" s="24">
        <f t="shared" ca="1" si="507"/>
        <v>2760.4861890311222</v>
      </c>
      <c r="BI536">
        <f t="shared" ca="1" si="508"/>
        <v>0</v>
      </c>
      <c r="BJ536" s="24">
        <f t="shared" ca="1" si="509"/>
        <v>19323.403323217852</v>
      </c>
      <c r="BK536">
        <f t="shared" ca="1" si="510"/>
        <v>1</v>
      </c>
      <c r="BL536" s="25">
        <f t="shared" ca="1" si="511"/>
        <v>1610.283610268154</v>
      </c>
      <c r="BM536" s="32">
        <f t="shared" ca="1" si="490"/>
        <v>108761.37230225212</v>
      </c>
      <c r="BN536" s="23">
        <f t="shared" ca="1" si="512"/>
        <v>0</v>
      </c>
      <c r="BO536" s="24">
        <f t="shared" ca="1" si="513"/>
        <v>0</v>
      </c>
      <c r="BP536" s="25">
        <f t="shared" ca="1" si="514"/>
        <v>0</v>
      </c>
      <c r="BQ536" s="34">
        <f t="shared" ca="1" si="515"/>
        <v>61728</v>
      </c>
      <c r="BR536" s="23">
        <f t="shared" ca="1" si="516"/>
        <v>108761.37230225212</v>
      </c>
      <c r="BS536" s="24">
        <f t="shared" ca="1" si="517"/>
        <v>0</v>
      </c>
      <c r="BT536" s="24">
        <f t="shared" ca="1" si="522"/>
        <v>0</v>
      </c>
      <c r="BU536" s="24">
        <f t="shared" ca="1" si="518"/>
        <v>0</v>
      </c>
      <c r="BV536" s="24">
        <f t="shared" ca="1" si="523"/>
        <v>0</v>
      </c>
      <c r="BW536" s="24">
        <f t="shared" ca="1" si="519"/>
        <v>-1610.283610268154</v>
      </c>
      <c r="BX536" s="25">
        <f t="shared" ca="1" si="524"/>
        <v>-20982.725327817028</v>
      </c>
      <c r="BY536" s="23">
        <f t="shared" ca="1" si="491"/>
        <v>19301.377489724924</v>
      </c>
      <c r="BZ536" s="24">
        <f t="shared" ca="1" si="492"/>
        <v>0</v>
      </c>
      <c r="CA536" s="24">
        <f t="shared" ca="1" si="525"/>
        <v>0</v>
      </c>
      <c r="CB536" s="24">
        <f t="shared" ca="1" si="493"/>
        <v>0</v>
      </c>
      <c r="CC536" s="24">
        <f t="shared" ca="1" si="526"/>
        <v>0</v>
      </c>
      <c r="CD536" s="24">
        <f t="shared" ca="1" si="494"/>
        <v>-286.70511657336203</v>
      </c>
      <c r="CE536" s="25">
        <f t="shared" ca="1" si="527"/>
        <v>-3804.8829450185563</v>
      </c>
      <c r="CF536" s="23">
        <f t="shared" ca="1" si="528"/>
        <v>1483207.2381664002</v>
      </c>
      <c r="CG536" s="25">
        <f t="array" aca="1" ref="CG536" ca="1">SUM(BF525:BF536/(1+inflation/100)^(AP525:AP536/12))</f>
        <v>267980.53702225379</v>
      </c>
      <c r="CH536" s="32">
        <f ca="1">IFERROR(IF(MOD(AP536-ap_months_since_start,12)=0,ap_drawdown/100*(AQ536+AV536+BA536-BC536),CH535),0)</f>
        <v>16970.82001307399</v>
      </c>
    </row>
    <row r="537" spans="40:86" x14ac:dyDescent="0.25">
      <c r="AN537" s="32">
        <f t="shared" ca="1" si="489"/>
        <v>99</v>
      </c>
      <c r="AO537" s="53">
        <f t="shared" ca="1" si="520"/>
        <v>61729</v>
      </c>
      <c r="AP537" s="22">
        <v>530</v>
      </c>
      <c r="AQ537" s="32">
        <f t="shared" ca="1" si="521"/>
        <v>108761.37230225212</v>
      </c>
      <c r="AR537" s="23">
        <f t="array" aca="1" ref="AR537" ca="1">SUM(IF(lsc_start_date=AO537,lsc_amount,0))</f>
        <v>0</v>
      </c>
      <c r="AS537" s="24">
        <f t="shared" ca="1" si="495"/>
        <v>0</v>
      </c>
      <c r="AT537" s="24">
        <f t="shared" ca="1" si="496"/>
        <v>0</v>
      </c>
      <c r="AU537" s="24">
        <f t="shared" ca="1" si="497"/>
        <v>0</v>
      </c>
      <c r="AV537" s="25">
        <f t="shared" ca="1" si="498"/>
        <v>0</v>
      </c>
      <c r="AW537" s="23">
        <f t="array" aca="1" ref="AW537" ca="1">SUM(IF(rcs_start_date&lt;=AO537,1,0)*IF(rcs_end_date&gt;=AO537,1,0)*rcs_amount*(1+rcs_escalation/100)^(INT((AP537-rcs_months_since_start)/12))*IF(MOD((AP537-rcs_months_since_start),rcs_frequency)=0,1,0)*IF(rcs_frequency=13,0,1))+SUM(IF(rcs_start_date=AO537,rcs_amount,0)*IF(rcs_frequency=13,1,0))</f>
        <v>0</v>
      </c>
      <c r="AX537" s="24">
        <f t="shared" ca="1" si="499"/>
        <v>0</v>
      </c>
      <c r="AY537" s="24">
        <f t="shared" ca="1" si="500"/>
        <v>0</v>
      </c>
      <c r="AZ537" s="24">
        <f t="shared" ca="1" si="501"/>
        <v>0</v>
      </c>
      <c r="BA537" s="25">
        <f t="shared" ca="1" si="502"/>
        <v>0</v>
      </c>
      <c r="BB537" s="23">
        <f t="array" aca="1" ref="BB537" ca="1">SUM(IF(w_start_date&lt;=AO537,1,0)*IF(w_end_date&gt;=AO537,1,0)*w_amount*(1+w_escalation/100)^(INT((AP537-w_months_since_start)/12))*IF(MOD(AP537-w_months_since_start,w_frequency)=0,1,0)*IF(w_frequency=13,0,1))+SUM(IF(w_start_date=AO537,w_amount,0)*IF(w_frequency=13,1,0))</f>
        <v>0</v>
      </c>
      <c r="BC537" s="25">
        <f t="shared" ca="1" si="503"/>
        <v>0</v>
      </c>
      <c r="BD537" s="24" t="b">
        <f t="shared" ca="1" si="504"/>
        <v>1</v>
      </c>
      <c r="BE537" s="24" t="b">
        <f t="shared" ca="1" si="505"/>
        <v>1</v>
      </c>
      <c r="BF537" s="23">
        <f t="array" aca="1" ref="BF537" ca="1">SUM(IF(BD537,1,0)*IF(ap_start_date&lt;=AO537,1,0)*IF(ap_end_date&gt;=AO537,1,0)*ap_amount*(1+ap_escalation/100)^(INT((AP537-ap_months_since_start)/12))*IF(MOD(AP537-ap_months_since_start,ap_frequency)=0,1,0))</f>
        <v>127693.33838518675</v>
      </c>
      <c r="BG537" s="24">
        <f t="shared" ca="1" si="506"/>
        <v>1532320.0606222413</v>
      </c>
      <c r="BH537" s="24">
        <f t="shared" ca="1" si="507"/>
        <v>2760.4861890311222</v>
      </c>
      <c r="BI537">
        <f t="shared" ca="1" si="508"/>
        <v>0</v>
      </c>
      <c r="BJ537" s="24">
        <f t="shared" ca="1" si="509"/>
        <v>19323.403323217852</v>
      </c>
      <c r="BK537">
        <f t="shared" ca="1" si="510"/>
        <v>1</v>
      </c>
      <c r="BL537" s="25">
        <f t="shared" ca="1" si="511"/>
        <v>1610.283610268154</v>
      </c>
      <c r="BM537" s="32">
        <f t="shared" ca="1" si="490"/>
        <v>107923.36123186312</v>
      </c>
      <c r="BN537" s="23">
        <f t="shared" ca="1" si="512"/>
        <v>0</v>
      </c>
      <c r="BO537" s="24">
        <f t="shared" ca="1" si="513"/>
        <v>0</v>
      </c>
      <c r="BP537" s="25">
        <f t="shared" ca="1" si="514"/>
        <v>0</v>
      </c>
      <c r="BQ537" s="34">
        <f t="shared" ca="1" si="515"/>
        <v>61759</v>
      </c>
      <c r="BR537" s="23">
        <f t="shared" ca="1" si="516"/>
        <v>107923.36123186312</v>
      </c>
      <c r="BS537" s="24">
        <f t="shared" ca="1" si="517"/>
        <v>0</v>
      </c>
      <c r="BT537" s="24">
        <f t="shared" ca="1" si="522"/>
        <v>0</v>
      </c>
      <c r="BU537" s="24">
        <f t="shared" ca="1" si="518"/>
        <v>0</v>
      </c>
      <c r="BV537" s="24">
        <f t="shared" ca="1" si="523"/>
        <v>0</v>
      </c>
      <c r="BW537" s="24">
        <f t="shared" ca="1" si="519"/>
        <v>-1610.283610268154</v>
      </c>
      <c r="BX537" s="25">
        <f t="shared" ca="1" si="524"/>
        <v>-20816.793127357108</v>
      </c>
      <c r="BY537" s="23">
        <f t="shared" ca="1" si="491"/>
        <v>19090.16331555241</v>
      </c>
      <c r="BZ537" s="24">
        <f t="shared" ca="1" si="492"/>
        <v>0</v>
      </c>
      <c r="CA537" s="24">
        <f t="shared" ca="1" si="525"/>
        <v>0</v>
      </c>
      <c r="CB537" s="24">
        <f t="shared" ca="1" si="493"/>
        <v>0</v>
      </c>
      <c r="CC537" s="24">
        <f t="shared" ca="1" si="526"/>
        <v>0</v>
      </c>
      <c r="CD537" s="24">
        <f t="shared" ca="1" si="494"/>
        <v>-285.76958132643148</v>
      </c>
      <c r="CE537" s="25">
        <f t="shared" ca="1" si="527"/>
        <v>-3762.8270531463086</v>
      </c>
      <c r="CF537" s="23">
        <f t="shared" ca="1" si="528"/>
        <v>1488118.5204119845</v>
      </c>
      <c r="CG537" s="25">
        <f t="array" aca="1" ref="CG537" ca="1">SUM(BF526:BF537/(1+inflation/100)^(AP526:AP537/12))</f>
        <v>267980.53702225379</v>
      </c>
      <c r="CH537" s="32">
        <f ca="1">IFERROR(IF(MOD(AP537-ap_months_since_start,12)=0,ap_drawdown/100*(AQ537+AV537+BA537-BC537),CH536),0)</f>
        <v>16970.82001307399</v>
      </c>
    </row>
    <row r="538" spans="40:86" x14ac:dyDescent="0.25">
      <c r="AN538" s="32">
        <f t="shared" ca="1" si="489"/>
        <v>99.083333333333329</v>
      </c>
      <c r="AO538" s="53">
        <f t="shared" ca="1" si="520"/>
        <v>61760</v>
      </c>
      <c r="AP538" s="22">
        <v>531</v>
      </c>
      <c r="AQ538" s="32">
        <f t="shared" ca="1" si="521"/>
        <v>107923.36123186312</v>
      </c>
      <c r="AR538" s="23">
        <f t="array" aca="1" ref="AR538" ca="1">SUM(IF(lsc_start_date=AO538,lsc_amount,0))</f>
        <v>0</v>
      </c>
      <c r="AS538" s="24">
        <f t="shared" ca="1" si="495"/>
        <v>0</v>
      </c>
      <c r="AT538" s="24">
        <f t="shared" ca="1" si="496"/>
        <v>0</v>
      </c>
      <c r="AU538" s="24">
        <f t="shared" ca="1" si="497"/>
        <v>0</v>
      </c>
      <c r="AV538" s="25">
        <f t="shared" ca="1" si="498"/>
        <v>0</v>
      </c>
      <c r="AW538" s="23">
        <f t="array" aca="1" ref="AW538" ca="1">SUM(IF(rcs_start_date&lt;=AO538,1,0)*IF(rcs_end_date&gt;=AO538,1,0)*rcs_amount*(1+rcs_escalation/100)^(INT((AP538-rcs_months_since_start)/12))*IF(MOD((AP538-rcs_months_since_start),rcs_frequency)=0,1,0)*IF(rcs_frequency=13,0,1))+SUM(IF(rcs_start_date=AO538,rcs_amount,0)*IF(rcs_frequency=13,1,0))</f>
        <v>0</v>
      </c>
      <c r="AX538" s="24">
        <f t="shared" ca="1" si="499"/>
        <v>0</v>
      </c>
      <c r="AY538" s="24">
        <f t="shared" ca="1" si="500"/>
        <v>0</v>
      </c>
      <c r="AZ538" s="24">
        <f t="shared" ca="1" si="501"/>
        <v>0</v>
      </c>
      <c r="BA538" s="25">
        <f t="shared" ca="1" si="502"/>
        <v>0</v>
      </c>
      <c r="BB538" s="23">
        <f t="array" aca="1" ref="BB538" ca="1">SUM(IF(w_start_date&lt;=AO538,1,0)*IF(w_end_date&gt;=AO538,1,0)*w_amount*(1+w_escalation/100)^(INT((AP538-w_months_since_start)/12))*IF(MOD(AP538-w_months_since_start,w_frequency)=0,1,0)*IF(w_frequency=13,0,1))+SUM(IF(w_start_date=AO538,w_amount,0)*IF(w_frequency=13,1,0))</f>
        <v>0</v>
      </c>
      <c r="BC538" s="25">
        <f t="shared" ca="1" si="503"/>
        <v>0</v>
      </c>
      <c r="BD538" s="24" t="b">
        <f t="shared" ca="1" si="504"/>
        <v>1</v>
      </c>
      <c r="BE538" s="24" t="b">
        <f t="shared" ca="1" si="505"/>
        <v>1</v>
      </c>
      <c r="BF538" s="23">
        <f t="array" aca="1" ref="BF538" ca="1">SUM(IF(BD538,1,0)*IF(ap_start_date&lt;=AO538,1,0)*IF(ap_end_date&gt;=AO538,1,0)*ap_amount*(1+ap_escalation/100)^(INT((AP538-ap_months_since_start)/12))*IF(MOD(AP538-ap_months_since_start,ap_frequency)=0,1,0))</f>
        <v>127693.33838518675</v>
      </c>
      <c r="BG538" s="24">
        <f t="shared" ca="1" si="506"/>
        <v>1532320.0606222413</v>
      </c>
      <c r="BH538" s="24">
        <f t="shared" ca="1" si="507"/>
        <v>2760.4861890311222</v>
      </c>
      <c r="BI538">
        <f t="shared" ca="1" si="508"/>
        <v>0</v>
      </c>
      <c r="BJ538" s="24">
        <f t="shared" ca="1" si="509"/>
        <v>19323.403323217852</v>
      </c>
      <c r="BK538">
        <f t="shared" ca="1" si="510"/>
        <v>1</v>
      </c>
      <c r="BL538" s="25">
        <f t="shared" ca="1" si="511"/>
        <v>1610.283610268154</v>
      </c>
      <c r="BM538" s="32">
        <f t="shared" ca="1" si="490"/>
        <v>107079.31034474734</v>
      </c>
      <c r="BN538" s="23">
        <f t="shared" ca="1" si="512"/>
        <v>0</v>
      </c>
      <c r="BO538" s="24">
        <f t="shared" ca="1" si="513"/>
        <v>0</v>
      </c>
      <c r="BP538" s="25">
        <f t="shared" ca="1" si="514"/>
        <v>0</v>
      </c>
      <c r="BQ538" s="34">
        <f t="shared" ca="1" si="515"/>
        <v>61787</v>
      </c>
      <c r="BR538" s="23">
        <f t="shared" ca="1" si="516"/>
        <v>107079.31034474734</v>
      </c>
      <c r="BS538" s="24">
        <f t="shared" ca="1" si="517"/>
        <v>0</v>
      </c>
      <c r="BT538" s="24">
        <f t="shared" ca="1" si="522"/>
        <v>0</v>
      </c>
      <c r="BU538" s="24">
        <f t="shared" ca="1" si="518"/>
        <v>0</v>
      </c>
      <c r="BV538" s="24">
        <f t="shared" ca="1" si="523"/>
        <v>0</v>
      </c>
      <c r="BW538" s="24">
        <f t="shared" ca="1" si="519"/>
        <v>-1610.283610268154</v>
      </c>
      <c r="BX538" s="25">
        <f t="shared" ca="1" si="524"/>
        <v>-20650.860926897192</v>
      </c>
      <c r="BY538" s="23">
        <f t="shared" ca="1" si="491"/>
        <v>18879.057162394442</v>
      </c>
      <c r="BZ538" s="24">
        <f t="shared" ca="1" si="492"/>
        <v>0</v>
      </c>
      <c r="CA538" s="24">
        <f t="shared" ca="1" si="525"/>
        <v>0</v>
      </c>
      <c r="CB538" s="24">
        <f t="shared" ca="1" si="493"/>
        <v>0</v>
      </c>
      <c r="CC538" s="24">
        <f t="shared" ca="1" si="526"/>
        <v>0</v>
      </c>
      <c r="CD538" s="24">
        <f t="shared" ca="1" si="494"/>
        <v>-284.83709878469398</v>
      </c>
      <c r="CE538" s="25">
        <f t="shared" ca="1" si="527"/>
        <v>-3720.9083920624671</v>
      </c>
      <c r="CF538" s="23">
        <f t="shared" ca="1" si="528"/>
        <v>1493029.8026575686</v>
      </c>
      <c r="CG538" s="25">
        <f t="array" aca="1" ref="CG538" ca="1">SUM(BF527:BF538/(1+inflation/100)^(AP527:AP538/12))</f>
        <v>267980.53702225379</v>
      </c>
      <c r="CH538" s="32">
        <f ca="1">IFERROR(IF(MOD(AP538-ap_months_since_start,12)=0,ap_drawdown/100*(AQ538+AV538+BA538-BC538),CH537),0)</f>
        <v>16970.82001307399</v>
      </c>
    </row>
    <row r="539" spans="40:86" x14ac:dyDescent="0.25">
      <c r="AN539" s="32">
        <f t="shared" ca="1" si="489"/>
        <v>99.166666666666671</v>
      </c>
      <c r="AO539" s="53">
        <f t="shared" ca="1" si="520"/>
        <v>61788</v>
      </c>
      <c r="AP539" s="22">
        <v>532</v>
      </c>
      <c r="AQ539" s="32">
        <f t="shared" ca="1" si="521"/>
        <v>107079.31034474734</v>
      </c>
      <c r="AR539" s="23">
        <f t="array" aca="1" ref="AR539" ca="1">SUM(IF(lsc_start_date=AO539,lsc_amount,0))</f>
        <v>0</v>
      </c>
      <c r="AS539" s="24">
        <f t="shared" ca="1" si="495"/>
        <v>0</v>
      </c>
      <c r="AT539" s="24">
        <f t="shared" ca="1" si="496"/>
        <v>0</v>
      </c>
      <c r="AU539" s="24">
        <f t="shared" ca="1" si="497"/>
        <v>0</v>
      </c>
      <c r="AV539" s="25">
        <f t="shared" ca="1" si="498"/>
        <v>0</v>
      </c>
      <c r="AW539" s="23">
        <f t="array" aca="1" ref="AW539" ca="1">SUM(IF(rcs_start_date&lt;=AO539,1,0)*IF(rcs_end_date&gt;=AO539,1,0)*rcs_amount*(1+rcs_escalation/100)^(INT((AP539-rcs_months_since_start)/12))*IF(MOD((AP539-rcs_months_since_start),rcs_frequency)=0,1,0)*IF(rcs_frequency=13,0,1))+SUM(IF(rcs_start_date=AO539,rcs_amount,0)*IF(rcs_frequency=13,1,0))</f>
        <v>0</v>
      </c>
      <c r="AX539" s="24">
        <f t="shared" ca="1" si="499"/>
        <v>0</v>
      </c>
      <c r="AY539" s="24">
        <f t="shared" ca="1" si="500"/>
        <v>0</v>
      </c>
      <c r="AZ539" s="24">
        <f t="shared" ca="1" si="501"/>
        <v>0</v>
      </c>
      <c r="BA539" s="25">
        <f t="shared" ca="1" si="502"/>
        <v>0</v>
      </c>
      <c r="BB539" s="23">
        <f t="array" aca="1" ref="BB539" ca="1">SUM(IF(w_start_date&lt;=AO539,1,0)*IF(w_end_date&gt;=AO539,1,0)*w_amount*(1+w_escalation/100)^(INT((AP539-w_months_since_start)/12))*IF(MOD(AP539-w_months_since_start,w_frequency)=0,1,0)*IF(w_frequency=13,0,1))+SUM(IF(w_start_date=AO539,w_amount,0)*IF(w_frequency=13,1,0))</f>
        <v>0</v>
      </c>
      <c r="BC539" s="25">
        <f t="shared" ca="1" si="503"/>
        <v>0</v>
      </c>
      <c r="BD539" s="24" t="b">
        <f t="shared" ca="1" si="504"/>
        <v>1</v>
      </c>
      <c r="BE539" s="24" t="b">
        <f t="shared" ca="1" si="505"/>
        <v>1</v>
      </c>
      <c r="BF539" s="23">
        <f t="array" aca="1" ref="BF539" ca="1">SUM(IF(BD539,1,0)*IF(ap_start_date&lt;=AO539,1,0)*IF(ap_end_date&gt;=AO539,1,0)*ap_amount*(1+ap_escalation/100)^(INT((AP539-ap_months_since_start)/12))*IF(MOD(AP539-ap_months_since_start,ap_frequency)=0,1,0))</f>
        <v>127693.33838518675</v>
      </c>
      <c r="BG539" s="24">
        <f t="shared" ca="1" si="506"/>
        <v>1532320.0606222413</v>
      </c>
      <c r="BH539" s="24">
        <f t="shared" ca="1" si="507"/>
        <v>2760.4861890311222</v>
      </c>
      <c r="BI539">
        <f t="shared" ca="1" si="508"/>
        <v>0</v>
      </c>
      <c r="BJ539" s="24">
        <f t="shared" ca="1" si="509"/>
        <v>19323.403323217852</v>
      </c>
      <c r="BK539">
        <f t="shared" ca="1" si="510"/>
        <v>1</v>
      </c>
      <c r="BL539" s="25">
        <f t="shared" ca="1" si="511"/>
        <v>1610.283610268154</v>
      </c>
      <c r="BM539" s="32">
        <f t="shared" ca="1" si="490"/>
        <v>106229.17610999284</v>
      </c>
      <c r="BN539" s="23">
        <f t="shared" ca="1" si="512"/>
        <v>0</v>
      </c>
      <c r="BO539" s="24">
        <f t="shared" ca="1" si="513"/>
        <v>0</v>
      </c>
      <c r="BP539" s="25">
        <f t="shared" ca="1" si="514"/>
        <v>0</v>
      </c>
      <c r="BQ539" s="34">
        <f t="shared" ca="1" si="515"/>
        <v>61818</v>
      </c>
      <c r="BR539" s="23">
        <f t="shared" ca="1" si="516"/>
        <v>106229.17610999284</v>
      </c>
      <c r="BS539" s="24">
        <f t="shared" ca="1" si="517"/>
        <v>0</v>
      </c>
      <c r="BT539" s="24">
        <f t="shared" ca="1" si="522"/>
        <v>0</v>
      </c>
      <c r="BU539" s="24">
        <f t="shared" ca="1" si="518"/>
        <v>0</v>
      </c>
      <c r="BV539" s="24">
        <f t="shared" ca="1" si="523"/>
        <v>0</v>
      </c>
      <c r="BW539" s="24">
        <f t="shared" ca="1" si="519"/>
        <v>-1610.283610268154</v>
      </c>
      <c r="BX539" s="25">
        <f t="shared" ca="1" si="524"/>
        <v>-20484.928726437276</v>
      </c>
      <c r="BY539" s="23">
        <f t="shared" ca="1" si="491"/>
        <v>18668.056399100336</v>
      </c>
      <c r="BZ539" s="24">
        <f t="shared" ca="1" si="492"/>
        <v>0</v>
      </c>
      <c r="CA539" s="24">
        <f t="shared" ca="1" si="525"/>
        <v>0</v>
      </c>
      <c r="CB539" s="24">
        <f t="shared" ca="1" si="493"/>
        <v>0</v>
      </c>
      <c r="CC539" s="24">
        <f t="shared" ca="1" si="526"/>
        <v>0</v>
      </c>
      <c r="CD539" s="24">
        <f t="shared" ca="1" si="494"/>
        <v>-283.90765898699721</v>
      </c>
      <c r="CE539" s="25">
        <f t="shared" ca="1" si="527"/>
        <v>-3679.1265139750958</v>
      </c>
      <c r="CF539" s="23">
        <f t="shared" ca="1" si="528"/>
        <v>1497941.0849031527</v>
      </c>
      <c r="CG539" s="25">
        <f t="array" aca="1" ref="CG539" ca="1">SUM(BF528:BF539/(1+inflation/100)^(AP528:AP539/12))</f>
        <v>267980.53702225385</v>
      </c>
      <c r="CH539" s="32">
        <f ca="1">IFERROR(IF(MOD(AP539-ap_months_since_start,12)=0,ap_drawdown/100*(AQ539+AV539+BA539-BC539),CH538),0)</f>
        <v>16970.82001307399</v>
      </c>
    </row>
    <row r="540" spans="40:86" x14ac:dyDescent="0.25">
      <c r="AN540" s="32">
        <f t="shared" ca="1" si="489"/>
        <v>99.25</v>
      </c>
      <c r="AO540" s="53">
        <f t="shared" ca="1" si="520"/>
        <v>61819</v>
      </c>
      <c r="AP540" s="22">
        <v>533</v>
      </c>
      <c r="AQ540" s="32">
        <f t="shared" ca="1" si="521"/>
        <v>106229.17610999284</v>
      </c>
      <c r="AR540" s="23">
        <f t="array" aca="1" ref="AR540" ca="1">SUM(IF(lsc_start_date=AO540,lsc_amount,0))</f>
        <v>0</v>
      </c>
      <c r="AS540" s="24">
        <f t="shared" ca="1" si="495"/>
        <v>0</v>
      </c>
      <c r="AT540" s="24">
        <f t="shared" ca="1" si="496"/>
        <v>0</v>
      </c>
      <c r="AU540" s="24">
        <f t="shared" ca="1" si="497"/>
        <v>0</v>
      </c>
      <c r="AV540" s="25">
        <f t="shared" ca="1" si="498"/>
        <v>0</v>
      </c>
      <c r="AW540" s="23">
        <f t="array" aca="1" ref="AW540" ca="1">SUM(IF(rcs_start_date&lt;=AO540,1,0)*IF(rcs_end_date&gt;=AO540,1,0)*rcs_amount*(1+rcs_escalation/100)^(INT((AP540-rcs_months_since_start)/12))*IF(MOD((AP540-rcs_months_since_start),rcs_frequency)=0,1,0)*IF(rcs_frequency=13,0,1))+SUM(IF(rcs_start_date=AO540,rcs_amount,0)*IF(rcs_frequency=13,1,0))</f>
        <v>0</v>
      </c>
      <c r="AX540" s="24">
        <f t="shared" ca="1" si="499"/>
        <v>0</v>
      </c>
      <c r="AY540" s="24">
        <f t="shared" ca="1" si="500"/>
        <v>0</v>
      </c>
      <c r="AZ540" s="24">
        <f t="shared" ca="1" si="501"/>
        <v>0</v>
      </c>
      <c r="BA540" s="25">
        <f t="shared" ca="1" si="502"/>
        <v>0</v>
      </c>
      <c r="BB540" s="23">
        <f t="array" aca="1" ref="BB540" ca="1">SUM(IF(w_start_date&lt;=AO540,1,0)*IF(w_end_date&gt;=AO540,1,0)*w_amount*(1+w_escalation/100)^(INT((AP540-w_months_since_start)/12))*IF(MOD(AP540-w_months_since_start,w_frequency)=0,1,0)*IF(w_frequency=13,0,1))+SUM(IF(w_start_date=AO540,w_amount,0)*IF(w_frequency=13,1,0))</f>
        <v>0</v>
      </c>
      <c r="BC540" s="25">
        <f t="shared" ca="1" si="503"/>
        <v>0</v>
      </c>
      <c r="BD540" s="24" t="b">
        <f t="shared" ca="1" si="504"/>
        <v>1</v>
      </c>
      <c r="BE540" s="24" t="b">
        <f t="shared" ca="1" si="505"/>
        <v>1</v>
      </c>
      <c r="BF540" s="23">
        <f t="array" aca="1" ref="BF540" ca="1">SUM(IF(BD540,1,0)*IF(ap_start_date&lt;=AO540,1,0)*IF(ap_end_date&gt;=AO540,1,0)*ap_amount*(1+ap_escalation/100)^(INT((AP540-ap_months_since_start)/12))*IF(MOD(AP540-ap_months_since_start,ap_frequency)=0,1,0))</f>
        <v>127693.33838518675</v>
      </c>
      <c r="BG540" s="24">
        <f t="shared" ca="1" si="506"/>
        <v>1532320.0606222413</v>
      </c>
      <c r="BH540" s="24">
        <f t="shared" ca="1" si="507"/>
        <v>2760.4861890311222</v>
      </c>
      <c r="BI540">
        <f t="shared" ca="1" si="508"/>
        <v>0</v>
      </c>
      <c r="BJ540" s="24">
        <f t="shared" ca="1" si="509"/>
        <v>19323.403323217852</v>
      </c>
      <c r="BK540">
        <f t="shared" ca="1" si="510"/>
        <v>1</v>
      </c>
      <c r="BL540" s="25">
        <f t="shared" ca="1" si="511"/>
        <v>1610.283610268154</v>
      </c>
      <c r="BM540" s="32">
        <f t="shared" ca="1" si="490"/>
        <v>105372.91468294636</v>
      </c>
      <c r="BN540" s="23">
        <f t="shared" ca="1" si="512"/>
        <v>0</v>
      </c>
      <c r="BO540" s="24">
        <f t="shared" ca="1" si="513"/>
        <v>0</v>
      </c>
      <c r="BP540" s="25">
        <f t="shared" ca="1" si="514"/>
        <v>0</v>
      </c>
      <c r="BQ540" s="34">
        <f t="shared" ca="1" si="515"/>
        <v>61848</v>
      </c>
      <c r="BR540" s="23">
        <f t="shared" ca="1" si="516"/>
        <v>105372.91468294636</v>
      </c>
      <c r="BS540" s="24">
        <f t="shared" ca="1" si="517"/>
        <v>0</v>
      </c>
      <c r="BT540" s="24">
        <f t="shared" ca="1" si="522"/>
        <v>0</v>
      </c>
      <c r="BU540" s="24">
        <f t="shared" ca="1" si="518"/>
        <v>0</v>
      </c>
      <c r="BV540" s="24">
        <f t="shared" ca="1" si="523"/>
        <v>0</v>
      </c>
      <c r="BW540" s="24">
        <f t="shared" ca="1" si="519"/>
        <v>-1610.283610268154</v>
      </c>
      <c r="BX540" s="25">
        <f t="shared" ca="1" si="524"/>
        <v>-20318.996525977356</v>
      </c>
      <c r="BY540" s="23">
        <f t="shared" ca="1" si="491"/>
        <v>18457.158394170889</v>
      </c>
      <c r="BZ540" s="24">
        <f t="shared" ca="1" si="492"/>
        <v>0</v>
      </c>
      <c r="CA540" s="24">
        <f t="shared" ca="1" si="525"/>
        <v>0</v>
      </c>
      <c r="CB540" s="24">
        <f t="shared" ca="1" si="493"/>
        <v>0</v>
      </c>
      <c r="CC540" s="24">
        <f t="shared" ca="1" si="526"/>
        <v>0</v>
      </c>
      <c r="CD540" s="24">
        <f t="shared" ca="1" si="494"/>
        <v>-282.98125200469303</v>
      </c>
      <c r="CE540" s="25">
        <f t="shared" ca="1" si="527"/>
        <v>-3637.4809725534274</v>
      </c>
      <c r="CF540" s="23">
        <f t="shared" ca="1" si="528"/>
        <v>1502852.3671487367</v>
      </c>
      <c r="CG540" s="25">
        <f t="array" aca="1" ref="CG540" ca="1">SUM(BF529:BF540/(1+inflation/100)^(AP529:AP540/12))</f>
        <v>267980.53702225379</v>
      </c>
      <c r="CH540" s="32">
        <f ca="1">IFERROR(IF(MOD(AP540-ap_months_since_start,12)=0,ap_drawdown/100*(AQ540+AV540+BA540-BC540),CH539),0)</f>
        <v>16970.82001307399</v>
      </c>
    </row>
    <row r="541" spans="40:86" x14ac:dyDescent="0.25">
      <c r="AN541" s="32">
        <f t="shared" ca="1" si="489"/>
        <v>99.333333333333329</v>
      </c>
      <c r="AO541" s="53">
        <f t="shared" ca="1" si="520"/>
        <v>61849</v>
      </c>
      <c r="AP541" s="22">
        <v>534</v>
      </c>
      <c r="AQ541" s="32">
        <f t="shared" ca="1" si="521"/>
        <v>105372.91468294636</v>
      </c>
      <c r="AR541" s="23">
        <f t="array" aca="1" ref="AR541" ca="1">SUM(IF(lsc_start_date=AO541,lsc_amount,0))</f>
        <v>0</v>
      </c>
      <c r="AS541" s="24">
        <f t="shared" ca="1" si="495"/>
        <v>0</v>
      </c>
      <c r="AT541" s="24">
        <f t="shared" ca="1" si="496"/>
        <v>0</v>
      </c>
      <c r="AU541" s="24">
        <f t="shared" ca="1" si="497"/>
        <v>0</v>
      </c>
      <c r="AV541" s="25">
        <f t="shared" ca="1" si="498"/>
        <v>0</v>
      </c>
      <c r="AW541" s="23">
        <f t="array" aca="1" ref="AW541" ca="1">SUM(IF(rcs_start_date&lt;=AO541,1,0)*IF(rcs_end_date&gt;=AO541,1,0)*rcs_amount*(1+rcs_escalation/100)^(INT((AP541-rcs_months_since_start)/12))*IF(MOD((AP541-rcs_months_since_start),rcs_frequency)=0,1,0)*IF(rcs_frequency=13,0,1))+SUM(IF(rcs_start_date=AO541,rcs_amount,0)*IF(rcs_frequency=13,1,0))</f>
        <v>0</v>
      </c>
      <c r="AX541" s="24">
        <f t="shared" ca="1" si="499"/>
        <v>0</v>
      </c>
      <c r="AY541" s="24">
        <f t="shared" ca="1" si="500"/>
        <v>0</v>
      </c>
      <c r="AZ541" s="24">
        <f t="shared" ca="1" si="501"/>
        <v>0</v>
      </c>
      <c r="BA541" s="25">
        <f t="shared" ca="1" si="502"/>
        <v>0</v>
      </c>
      <c r="BB541" s="23">
        <f t="array" aca="1" ref="BB541" ca="1">SUM(IF(w_start_date&lt;=AO541,1,0)*IF(w_end_date&gt;=AO541,1,0)*w_amount*(1+w_escalation/100)^(INT((AP541-w_months_since_start)/12))*IF(MOD(AP541-w_months_since_start,w_frequency)=0,1,0)*IF(w_frequency=13,0,1))+SUM(IF(w_start_date=AO541,w_amount,0)*IF(w_frequency=13,1,0))</f>
        <v>0</v>
      </c>
      <c r="BC541" s="25">
        <f t="shared" ca="1" si="503"/>
        <v>0</v>
      </c>
      <c r="BD541" s="24" t="b">
        <f t="shared" ca="1" si="504"/>
        <v>1</v>
      </c>
      <c r="BE541" s="24" t="b">
        <f t="shared" ca="1" si="505"/>
        <v>1</v>
      </c>
      <c r="BF541" s="23">
        <f t="array" aca="1" ref="BF541" ca="1">SUM(IF(BD541,1,0)*IF(ap_start_date&lt;=AO541,1,0)*IF(ap_end_date&gt;=AO541,1,0)*ap_amount*(1+ap_escalation/100)^(INT((AP541-ap_months_since_start)/12))*IF(MOD(AP541-ap_months_since_start,ap_frequency)=0,1,0))</f>
        <v>127693.33838518675</v>
      </c>
      <c r="BG541" s="24">
        <f t="shared" ca="1" si="506"/>
        <v>1532320.0606222413</v>
      </c>
      <c r="BH541" s="24">
        <f t="shared" ca="1" si="507"/>
        <v>2760.4861890311222</v>
      </c>
      <c r="BI541">
        <f t="shared" ca="1" si="508"/>
        <v>0</v>
      </c>
      <c r="BJ541" s="24">
        <f t="shared" ca="1" si="509"/>
        <v>19323.403323217852</v>
      </c>
      <c r="BK541">
        <f t="shared" ca="1" si="510"/>
        <v>1</v>
      </c>
      <c r="BL541" s="25">
        <f t="shared" ca="1" si="511"/>
        <v>1610.283610268154</v>
      </c>
      <c r="BM541" s="32">
        <f t="shared" ca="1" si="490"/>
        <v>104510.481902952</v>
      </c>
      <c r="BN541" s="23">
        <f t="shared" ca="1" si="512"/>
        <v>0</v>
      </c>
      <c r="BO541" s="24">
        <f t="shared" ca="1" si="513"/>
        <v>0</v>
      </c>
      <c r="BP541" s="25">
        <f t="shared" ca="1" si="514"/>
        <v>0</v>
      </c>
      <c r="BQ541" s="34">
        <f t="shared" ca="1" si="515"/>
        <v>61879</v>
      </c>
      <c r="BR541" s="23">
        <f t="shared" ca="1" si="516"/>
        <v>104510.481902952</v>
      </c>
      <c r="BS541" s="24">
        <f t="shared" ca="1" si="517"/>
        <v>0</v>
      </c>
      <c r="BT541" s="24">
        <f t="shared" ca="1" si="522"/>
        <v>0</v>
      </c>
      <c r="BU541" s="24">
        <f t="shared" ca="1" si="518"/>
        <v>0</v>
      </c>
      <c r="BV541" s="24">
        <f t="shared" ca="1" si="523"/>
        <v>0</v>
      </c>
      <c r="BW541" s="24">
        <f t="shared" ca="1" si="519"/>
        <v>-1610.283610268154</v>
      </c>
      <c r="BX541" s="25">
        <f t="shared" ca="1" si="524"/>
        <v>-20153.064325517436</v>
      </c>
      <c r="BY541" s="23">
        <f t="shared" ca="1" si="491"/>
        <v>18246.360515724511</v>
      </c>
      <c r="BZ541" s="24">
        <f t="shared" ca="1" si="492"/>
        <v>0</v>
      </c>
      <c r="CA541" s="24">
        <f t="shared" ca="1" si="525"/>
        <v>0</v>
      </c>
      <c r="CB541" s="24">
        <f t="shared" ca="1" si="493"/>
        <v>0</v>
      </c>
      <c r="CC541" s="24">
        <f t="shared" ca="1" si="526"/>
        <v>0</v>
      </c>
      <c r="CD541" s="24">
        <f t="shared" ca="1" si="494"/>
        <v>-282.05786794153067</v>
      </c>
      <c r="CE541" s="25">
        <f t="shared" ca="1" si="527"/>
        <v>-3595.9713229230993</v>
      </c>
      <c r="CF541" s="23">
        <f t="shared" ca="1" si="528"/>
        <v>1507763.6493943208</v>
      </c>
      <c r="CG541" s="25">
        <f t="array" aca="1" ref="CG541" ca="1">SUM(BF530:BF541/(1+inflation/100)^(AP530:AP541/12))</f>
        <v>267980.53702225379</v>
      </c>
      <c r="CH541" s="32">
        <f ca="1">IFERROR(IF(MOD(AP541-ap_months_since_start,12)=0,ap_drawdown/100*(AQ541+AV541+BA541-BC541),CH540),0)</f>
        <v>16970.82001307399</v>
      </c>
    </row>
    <row r="542" spans="40:86" x14ac:dyDescent="0.25">
      <c r="AN542" s="32">
        <f t="shared" ca="1" si="489"/>
        <v>99.416666666666671</v>
      </c>
      <c r="AO542" s="53">
        <f t="shared" ca="1" si="520"/>
        <v>61880</v>
      </c>
      <c r="AP542" s="22">
        <v>535</v>
      </c>
      <c r="AQ542" s="32">
        <f t="shared" ca="1" si="521"/>
        <v>104510.481902952</v>
      </c>
      <c r="AR542" s="23">
        <f t="array" aca="1" ref="AR542" ca="1">SUM(IF(lsc_start_date=AO542,lsc_amount,0))</f>
        <v>0</v>
      </c>
      <c r="AS542" s="24">
        <f t="shared" ca="1" si="495"/>
        <v>0</v>
      </c>
      <c r="AT542" s="24">
        <f t="shared" ca="1" si="496"/>
        <v>0</v>
      </c>
      <c r="AU542" s="24">
        <f t="shared" ca="1" si="497"/>
        <v>0</v>
      </c>
      <c r="AV542" s="25">
        <f t="shared" ca="1" si="498"/>
        <v>0</v>
      </c>
      <c r="AW542" s="23">
        <f t="array" aca="1" ref="AW542" ca="1">SUM(IF(rcs_start_date&lt;=AO542,1,0)*IF(rcs_end_date&gt;=AO542,1,0)*rcs_amount*(1+rcs_escalation/100)^(INT((AP542-rcs_months_since_start)/12))*IF(MOD((AP542-rcs_months_since_start),rcs_frequency)=0,1,0)*IF(rcs_frequency=13,0,1))+SUM(IF(rcs_start_date=AO542,rcs_amount,0)*IF(rcs_frequency=13,1,0))</f>
        <v>0</v>
      </c>
      <c r="AX542" s="24">
        <f t="shared" ca="1" si="499"/>
        <v>0</v>
      </c>
      <c r="AY542" s="24">
        <f t="shared" ca="1" si="500"/>
        <v>0</v>
      </c>
      <c r="AZ542" s="24">
        <f t="shared" ca="1" si="501"/>
        <v>0</v>
      </c>
      <c r="BA542" s="25">
        <f t="shared" ca="1" si="502"/>
        <v>0</v>
      </c>
      <c r="BB542" s="23">
        <f t="array" aca="1" ref="BB542" ca="1">SUM(IF(w_start_date&lt;=AO542,1,0)*IF(w_end_date&gt;=AO542,1,0)*w_amount*(1+w_escalation/100)^(INT((AP542-w_months_since_start)/12))*IF(MOD(AP542-w_months_since_start,w_frequency)=0,1,0)*IF(w_frequency=13,0,1))+SUM(IF(w_start_date=AO542,w_amount,0)*IF(w_frequency=13,1,0))</f>
        <v>0</v>
      </c>
      <c r="BC542" s="25">
        <f t="shared" ca="1" si="503"/>
        <v>0</v>
      </c>
      <c r="BD542" s="24" t="b">
        <f t="shared" ca="1" si="504"/>
        <v>1</v>
      </c>
      <c r="BE542" s="24" t="b">
        <f t="shared" ca="1" si="505"/>
        <v>1</v>
      </c>
      <c r="BF542" s="23">
        <f t="array" aca="1" ref="BF542" ca="1">SUM(IF(BD542,1,0)*IF(ap_start_date&lt;=AO542,1,0)*IF(ap_end_date&gt;=AO542,1,0)*ap_amount*(1+ap_escalation/100)^(INT((AP542-ap_months_since_start)/12))*IF(MOD(AP542-ap_months_since_start,ap_frequency)=0,1,0))</f>
        <v>127693.33838518675</v>
      </c>
      <c r="BG542" s="24">
        <f t="shared" ca="1" si="506"/>
        <v>1532320.0606222413</v>
      </c>
      <c r="BH542" s="24">
        <f t="shared" ca="1" si="507"/>
        <v>2760.4861890311222</v>
      </c>
      <c r="BI542">
        <f t="shared" ca="1" si="508"/>
        <v>0</v>
      </c>
      <c r="BJ542" s="24">
        <f t="shared" ca="1" si="509"/>
        <v>19323.403323217852</v>
      </c>
      <c r="BK542">
        <f t="shared" ca="1" si="510"/>
        <v>1</v>
      </c>
      <c r="BL542" s="25">
        <f t="shared" ca="1" si="511"/>
        <v>1610.283610268154</v>
      </c>
      <c r="BM542" s="32">
        <f t="shared" ca="1" si="490"/>
        <v>103641.8332910738</v>
      </c>
      <c r="BN542" s="23">
        <f t="shared" ca="1" si="512"/>
        <v>0</v>
      </c>
      <c r="BO542" s="24">
        <f t="shared" ca="1" si="513"/>
        <v>0</v>
      </c>
      <c r="BP542" s="25">
        <f t="shared" ca="1" si="514"/>
        <v>0</v>
      </c>
      <c r="BQ542" s="34">
        <f t="shared" ca="1" si="515"/>
        <v>61909</v>
      </c>
      <c r="BR542" s="23">
        <f t="shared" ca="1" si="516"/>
        <v>103641.8332910738</v>
      </c>
      <c r="BS542" s="24">
        <f t="shared" ca="1" si="517"/>
        <v>0</v>
      </c>
      <c r="BT542" s="24">
        <f t="shared" ca="1" si="522"/>
        <v>0</v>
      </c>
      <c r="BU542" s="24">
        <f t="shared" ca="1" si="518"/>
        <v>0</v>
      </c>
      <c r="BV542" s="24">
        <f t="shared" ca="1" si="523"/>
        <v>0</v>
      </c>
      <c r="BW542" s="24">
        <f t="shared" ca="1" si="519"/>
        <v>-1610.283610268154</v>
      </c>
      <c r="BX542" s="25">
        <f t="shared" ca="1" si="524"/>
        <v>-19987.13212505752</v>
      </c>
      <c r="BY542" s="23">
        <f t="shared" ca="1" si="491"/>
        <v>18035.66013146329</v>
      </c>
      <c r="BZ542" s="24">
        <f t="shared" ca="1" si="492"/>
        <v>0</v>
      </c>
      <c r="CA542" s="24">
        <f t="shared" ca="1" si="525"/>
        <v>0</v>
      </c>
      <c r="CB542" s="24">
        <f t="shared" ca="1" si="493"/>
        <v>0</v>
      </c>
      <c r="CC542" s="24">
        <f t="shared" ca="1" si="526"/>
        <v>0</v>
      </c>
      <c r="CD542" s="24">
        <f t="shared" ca="1" si="494"/>
        <v>-281.13749693355152</v>
      </c>
      <c r="CE542" s="25">
        <f t="shared" ca="1" si="527"/>
        <v>-3554.5971216613984</v>
      </c>
      <c r="CF542" s="23">
        <f t="shared" ca="1" si="528"/>
        <v>1512674.9316399051</v>
      </c>
      <c r="CG542" s="25">
        <f t="array" aca="1" ref="CG542" ca="1">SUM(BF531:BF542/(1+inflation/100)^(AP531:AP542/12))</f>
        <v>267980.53702225379</v>
      </c>
      <c r="CH542" s="32">
        <f ca="1">IFERROR(IF(MOD(AP542-ap_months_since_start,12)=0,ap_drawdown/100*(AQ542+AV542+BA542-BC542),CH541),0)</f>
        <v>16970.82001307399</v>
      </c>
    </row>
    <row r="543" spans="40:86" x14ac:dyDescent="0.25">
      <c r="AN543" s="32">
        <f t="shared" ca="1" si="489"/>
        <v>99.5</v>
      </c>
      <c r="AO543" s="53">
        <f t="shared" ca="1" si="520"/>
        <v>61910</v>
      </c>
      <c r="AP543" s="22">
        <v>536</v>
      </c>
      <c r="AQ543" s="32">
        <f t="shared" ca="1" si="521"/>
        <v>103641.8332910738</v>
      </c>
      <c r="AR543" s="23">
        <f t="array" aca="1" ref="AR543" ca="1">SUM(IF(lsc_start_date=AO543,lsc_amount,0))</f>
        <v>0</v>
      </c>
      <c r="AS543" s="24">
        <f t="shared" ca="1" si="495"/>
        <v>0</v>
      </c>
      <c r="AT543" s="24">
        <f t="shared" ca="1" si="496"/>
        <v>0</v>
      </c>
      <c r="AU543" s="24">
        <f t="shared" ca="1" si="497"/>
        <v>0</v>
      </c>
      <c r="AV543" s="25">
        <f t="shared" ca="1" si="498"/>
        <v>0</v>
      </c>
      <c r="AW543" s="23">
        <f t="array" aca="1" ref="AW543" ca="1">SUM(IF(rcs_start_date&lt;=AO543,1,0)*IF(rcs_end_date&gt;=AO543,1,0)*rcs_amount*(1+rcs_escalation/100)^(INT((AP543-rcs_months_since_start)/12))*IF(MOD((AP543-rcs_months_since_start),rcs_frequency)=0,1,0)*IF(rcs_frequency=13,0,1))+SUM(IF(rcs_start_date=AO543,rcs_amount,0)*IF(rcs_frequency=13,1,0))</f>
        <v>0</v>
      </c>
      <c r="AX543" s="24">
        <f t="shared" ca="1" si="499"/>
        <v>0</v>
      </c>
      <c r="AY543" s="24">
        <f t="shared" ca="1" si="500"/>
        <v>0</v>
      </c>
      <c r="AZ543" s="24">
        <f t="shared" ca="1" si="501"/>
        <v>0</v>
      </c>
      <c r="BA543" s="25">
        <f t="shared" ca="1" si="502"/>
        <v>0</v>
      </c>
      <c r="BB543" s="23">
        <f t="array" aca="1" ref="BB543" ca="1">SUM(IF(w_start_date&lt;=AO543,1,0)*IF(w_end_date&gt;=AO543,1,0)*w_amount*(1+w_escalation/100)^(INT((AP543-w_months_since_start)/12))*IF(MOD(AP543-w_months_since_start,w_frequency)=0,1,0)*IF(w_frequency=13,0,1))+SUM(IF(w_start_date=AO543,w_amount,0)*IF(w_frequency=13,1,0))</f>
        <v>0</v>
      </c>
      <c r="BC543" s="25">
        <f t="shared" ca="1" si="503"/>
        <v>0</v>
      </c>
      <c r="BD543" s="24" t="b">
        <f t="shared" ca="1" si="504"/>
        <v>1</v>
      </c>
      <c r="BE543" s="24" t="b">
        <f t="shared" ca="1" si="505"/>
        <v>1</v>
      </c>
      <c r="BF543" s="23">
        <f t="array" aca="1" ref="BF543" ca="1">SUM(IF(BD543,1,0)*IF(ap_start_date&lt;=AO543,1,0)*IF(ap_end_date&gt;=AO543,1,0)*ap_amount*(1+ap_escalation/100)^(INT((AP543-ap_months_since_start)/12))*IF(MOD(AP543-ap_months_since_start,ap_frequency)=0,1,0))</f>
        <v>127693.33838518675</v>
      </c>
      <c r="BG543" s="24">
        <f t="shared" ca="1" si="506"/>
        <v>1532320.0606222413</v>
      </c>
      <c r="BH543" s="24">
        <f t="shared" ca="1" si="507"/>
        <v>2760.4861890311222</v>
      </c>
      <c r="BI543">
        <f t="shared" ca="1" si="508"/>
        <v>0</v>
      </c>
      <c r="BJ543" s="24">
        <f t="shared" ca="1" si="509"/>
        <v>19323.403323217852</v>
      </c>
      <c r="BK543">
        <f t="shared" ca="1" si="510"/>
        <v>1</v>
      </c>
      <c r="BL543" s="25">
        <f t="shared" ca="1" si="511"/>
        <v>1610.283610268154</v>
      </c>
      <c r="BM543" s="32">
        <f t="shared" ca="1" si="490"/>
        <v>102766.92404780169</v>
      </c>
      <c r="BN543" s="23">
        <f t="shared" ca="1" si="512"/>
        <v>0</v>
      </c>
      <c r="BO543" s="24">
        <f t="shared" ca="1" si="513"/>
        <v>0</v>
      </c>
      <c r="BP543" s="25">
        <f t="shared" ca="1" si="514"/>
        <v>0</v>
      </c>
      <c r="BQ543" s="34">
        <f t="shared" ca="1" si="515"/>
        <v>61940</v>
      </c>
      <c r="BR543" s="23">
        <f t="shared" ca="1" si="516"/>
        <v>102766.92404780169</v>
      </c>
      <c r="BS543" s="24">
        <f t="shared" ca="1" si="517"/>
        <v>0</v>
      </c>
      <c r="BT543" s="24">
        <f t="shared" ca="1" si="522"/>
        <v>0</v>
      </c>
      <c r="BU543" s="24">
        <f t="shared" ca="1" si="518"/>
        <v>0</v>
      </c>
      <c r="BV543" s="24">
        <f t="shared" ca="1" si="523"/>
        <v>0</v>
      </c>
      <c r="BW543" s="24">
        <f t="shared" ca="1" si="519"/>
        <v>-1610.283610268154</v>
      </c>
      <c r="BX543" s="25">
        <f t="shared" ca="1" si="524"/>
        <v>-19821.199924597604</v>
      </c>
      <c r="BY543" s="23">
        <f t="shared" ca="1" si="491"/>
        <v>17825.054608639093</v>
      </c>
      <c r="BZ543" s="24">
        <f t="shared" ca="1" si="492"/>
        <v>0</v>
      </c>
      <c r="CA543" s="24">
        <f t="shared" ca="1" si="525"/>
        <v>0</v>
      </c>
      <c r="CB543" s="24">
        <f t="shared" ca="1" si="493"/>
        <v>0</v>
      </c>
      <c r="CC543" s="24">
        <f t="shared" ca="1" si="526"/>
        <v>0</v>
      </c>
      <c r="CD543" s="24">
        <f t="shared" ca="1" si="494"/>
        <v>-280.22012914898352</v>
      </c>
      <c r="CE543" s="25">
        <f t="shared" ca="1" si="527"/>
        <v>-3513.3579267925261</v>
      </c>
      <c r="CF543" s="23">
        <f t="shared" ca="1" si="528"/>
        <v>1517586.2138854892</v>
      </c>
      <c r="CG543" s="25">
        <f t="array" aca="1" ref="CG543" ca="1">SUM(BF532:BF543/(1+inflation/100)^(AP532:AP543/12))</f>
        <v>267980.53702225379</v>
      </c>
      <c r="CH543" s="32">
        <f ca="1">IFERROR(IF(MOD(AP543-ap_months_since_start,12)=0,ap_drawdown/100*(AQ543+AV543+BA543-BC543),CH542),0)</f>
        <v>16970.82001307399</v>
      </c>
    </row>
    <row r="544" spans="40:86" x14ac:dyDescent="0.25">
      <c r="AN544" s="32">
        <f t="shared" ca="1" si="489"/>
        <v>99.583333333333329</v>
      </c>
      <c r="AO544" s="53">
        <f t="shared" ca="1" si="520"/>
        <v>61941</v>
      </c>
      <c r="AP544" s="22">
        <v>537</v>
      </c>
      <c r="AQ544" s="32">
        <f t="shared" ca="1" si="521"/>
        <v>102766.92404780169</v>
      </c>
      <c r="AR544" s="23">
        <f t="array" aca="1" ref="AR544" ca="1">SUM(IF(lsc_start_date=AO544,lsc_amount,0))</f>
        <v>0</v>
      </c>
      <c r="AS544" s="24">
        <f t="shared" ca="1" si="495"/>
        <v>0</v>
      </c>
      <c r="AT544" s="24">
        <f t="shared" ca="1" si="496"/>
        <v>0</v>
      </c>
      <c r="AU544" s="24">
        <f t="shared" ca="1" si="497"/>
        <v>0</v>
      </c>
      <c r="AV544" s="25">
        <f t="shared" ca="1" si="498"/>
        <v>0</v>
      </c>
      <c r="AW544" s="23">
        <f t="array" aca="1" ref="AW544" ca="1">SUM(IF(rcs_start_date&lt;=AO544,1,0)*IF(rcs_end_date&gt;=AO544,1,0)*rcs_amount*(1+rcs_escalation/100)^(INT((AP544-rcs_months_since_start)/12))*IF(MOD((AP544-rcs_months_since_start),rcs_frequency)=0,1,0)*IF(rcs_frequency=13,0,1))+SUM(IF(rcs_start_date=AO544,rcs_amount,0)*IF(rcs_frequency=13,1,0))</f>
        <v>0</v>
      </c>
      <c r="AX544" s="24">
        <f t="shared" ca="1" si="499"/>
        <v>0</v>
      </c>
      <c r="AY544" s="24">
        <f t="shared" ca="1" si="500"/>
        <v>0</v>
      </c>
      <c r="AZ544" s="24">
        <f t="shared" ca="1" si="501"/>
        <v>0</v>
      </c>
      <c r="BA544" s="25">
        <f t="shared" ca="1" si="502"/>
        <v>0</v>
      </c>
      <c r="BB544" s="23">
        <f t="array" aca="1" ref="BB544" ca="1">SUM(IF(w_start_date&lt;=AO544,1,0)*IF(w_end_date&gt;=AO544,1,0)*w_amount*(1+w_escalation/100)^(INT((AP544-w_months_since_start)/12))*IF(MOD(AP544-w_months_since_start,w_frequency)=0,1,0)*IF(w_frequency=13,0,1))+SUM(IF(w_start_date=AO544,w_amount,0)*IF(w_frequency=13,1,0))</f>
        <v>0</v>
      </c>
      <c r="BC544" s="25">
        <f t="shared" ca="1" si="503"/>
        <v>0</v>
      </c>
      <c r="BD544" s="24" t="b">
        <f t="shared" ca="1" si="504"/>
        <v>1</v>
      </c>
      <c r="BE544" s="24" t="b">
        <f t="shared" ca="1" si="505"/>
        <v>1</v>
      </c>
      <c r="BF544" s="23">
        <f t="array" aca="1" ref="BF544" ca="1">SUM(IF(BD544,1,0)*IF(ap_start_date&lt;=AO544,1,0)*IF(ap_end_date&gt;=AO544,1,0)*ap_amount*(1+ap_escalation/100)^(INT((AP544-ap_months_since_start)/12))*IF(MOD(AP544-ap_months_since_start,ap_frequency)=0,1,0))</f>
        <v>127693.33838518675</v>
      </c>
      <c r="BG544" s="24">
        <f t="shared" ca="1" si="506"/>
        <v>1532320.0606222413</v>
      </c>
      <c r="BH544" s="24">
        <f t="shared" ca="1" si="507"/>
        <v>2760.4861890311222</v>
      </c>
      <c r="BI544">
        <f t="shared" ca="1" si="508"/>
        <v>0</v>
      </c>
      <c r="BJ544" s="24">
        <f t="shared" ca="1" si="509"/>
        <v>19323.403323217852</v>
      </c>
      <c r="BK544">
        <f t="shared" ca="1" si="510"/>
        <v>1</v>
      </c>
      <c r="BL544" s="25">
        <f t="shared" ca="1" si="511"/>
        <v>1610.283610268154</v>
      </c>
      <c r="BM544" s="32">
        <f t="shared" ca="1" si="490"/>
        <v>101885.70905074102</v>
      </c>
      <c r="BN544" s="23">
        <f t="shared" ca="1" si="512"/>
        <v>0</v>
      </c>
      <c r="BO544" s="24">
        <f t="shared" ca="1" si="513"/>
        <v>0</v>
      </c>
      <c r="BP544" s="25">
        <f t="shared" ca="1" si="514"/>
        <v>0</v>
      </c>
      <c r="BQ544" s="34">
        <f t="shared" ca="1" si="515"/>
        <v>61971</v>
      </c>
      <c r="BR544" s="23">
        <f t="shared" ca="1" si="516"/>
        <v>101885.70905074102</v>
      </c>
      <c r="BS544" s="24">
        <f t="shared" ca="1" si="517"/>
        <v>0</v>
      </c>
      <c r="BT544" s="24">
        <f t="shared" ca="1" si="522"/>
        <v>0</v>
      </c>
      <c r="BU544" s="24">
        <f t="shared" ca="1" si="518"/>
        <v>0</v>
      </c>
      <c r="BV544" s="24">
        <f t="shared" ca="1" si="523"/>
        <v>0</v>
      </c>
      <c r="BW544" s="24">
        <f t="shared" ca="1" si="519"/>
        <v>-1610.283610268154</v>
      </c>
      <c r="BX544" s="25">
        <f t="shared" ca="1" si="524"/>
        <v>-19655.267724137684</v>
      </c>
      <c r="BY544" s="23">
        <f t="shared" ca="1" si="491"/>
        <v>17614.541314019501</v>
      </c>
      <c r="BZ544" s="24">
        <f t="shared" ca="1" si="492"/>
        <v>0</v>
      </c>
      <c r="CA544" s="24">
        <f t="shared" ca="1" si="525"/>
        <v>0</v>
      </c>
      <c r="CB544" s="24">
        <f t="shared" ca="1" si="493"/>
        <v>0</v>
      </c>
      <c r="CC544" s="24">
        <f t="shared" ca="1" si="526"/>
        <v>0</v>
      </c>
      <c r="CD544" s="24">
        <f t="shared" ca="1" si="494"/>
        <v>-279.3057547881366</v>
      </c>
      <c r="CE544" s="25">
        <f t="shared" ca="1" si="527"/>
        <v>-3472.2532977828746</v>
      </c>
      <c r="CF544" s="23">
        <f t="shared" ca="1" si="528"/>
        <v>1522497.4961310732</v>
      </c>
      <c r="CG544" s="25">
        <f t="array" aca="1" ref="CG544" ca="1">SUM(BF533:BF544/(1+inflation/100)^(AP533:AP544/12))</f>
        <v>267980.53702225379</v>
      </c>
      <c r="CH544" s="32">
        <f ca="1">IFERROR(IF(MOD(AP544-ap_months_since_start,12)=0,ap_drawdown/100*(AQ544+AV544+BA544-BC544),CH543),0)</f>
        <v>16970.82001307399</v>
      </c>
    </row>
    <row r="545" spans="40:86" x14ac:dyDescent="0.25">
      <c r="AN545" s="32">
        <f t="shared" ca="1" si="489"/>
        <v>99.666666666666671</v>
      </c>
      <c r="AO545" s="53">
        <f t="shared" ca="1" si="520"/>
        <v>61972</v>
      </c>
      <c r="AP545" s="22">
        <v>538</v>
      </c>
      <c r="AQ545" s="32">
        <f t="shared" ca="1" si="521"/>
        <v>101885.70905074102</v>
      </c>
      <c r="AR545" s="23">
        <f t="array" aca="1" ref="AR545" ca="1">SUM(IF(lsc_start_date=AO545,lsc_amount,0))</f>
        <v>0</v>
      </c>
      <c r="AS545" s="24">
        <f t="shared" ca="1" si="495"/>
        <v>0</v>
      </c>
      <c r="AT545" s="24">
        <f t="shared" ca="1" si="496"/>
        <v>0</v>
      </c>
      <c r="AU545" s="24">
        <f t="shared" ca="1" si="497"/>
        <v>0</v>
      </c>
      <c r="AV545" s="25">
        <f t="shared" ca="1" si="498"/>
        <v>0</v>
      </c>
      <c r="AW545" s="23">
        <f t="array" aca="1" ref="AW545" ca="1">SUM(IF(rcs_start_date&lt;=AO545,1,0)*IF(rcs_end_date&gt;=AO545,1,0)*rcs_amount*(1+rcs_escalation/100)^(INT((AP545-rcs_months_since_start)/12))*IF(MOD((AP545-rcs_months_since_start),rcs_frequency)=0,1,0)*IF(rcs_frequency=13,0,1))+SUM(IF(rcs_start_date=AO545,rcs_amount,0)*IF(rcs_frequency=13,1,0))</f>
        <v>0</v>
      </c>
      <c r="AX545" s="24">
        <f t="shared" ca="1" si="499"/>
        <v>0</v>
      </c>
      <c r="AY545" s="24">
        <f t="shared" ca="1" si="500"/>
        <v>0</v>
      </c>
      <c r="AZ545" s="24">
        <f t="shared" ca="1" si="501"/>
        <v>0</v>
      </c>
      <c r="BA545" s="25">
        <f t="shared" ca="1" si="502"/>
        <v>0</v>
      </c>
      <c r="BB545" s="23">
        <f t="array" aca="1" ref="BB545" ca="1">SUM(IF(w_start_date&lt;=AO545,1,0)*IF(w_end_date&gt;=AO545,1,0)*w_amount*(1+w_escalation/100)^(INT((AP545-w_months_since_start)/12))*IF(MOD(AP545-w_months_since_start,w_frequency)=0,1,0)*IF(w_frequency=13,0,1))+SUM(IF(w_start_date=AO545,w_amount,0)*IF(w_frequency=13,1,0))</f>
        <v>0</v>
      </c>
      <c r="BC545" s="25">
        <f t="shared" ca="1" si="503"/>
        <v>0</v>
      </c>
      <c r="BD545" s="24" t="b">
        <f t="shared" ca="1" si="504"/>
        <v>1</v>
      </c>
      <c r="BE545" s="24" t="b">
        <f t="shared" ca="1" si="505"/>
        <v>1</v>
      </c>
      <c r="BF545" s="23">
        <f t="array" aca="1" ref="BF545" ca="1">SUM(IF(BD545,1,0)*IF(ap_start_date&lt;=AO545,1,0)*IF(ap_end_date&gt;=AO545,1,0)*ap_amount*(1+ap_escalation/100)^(INT((AP545-ap_months_since_start)/12))*IF(MOD(AP545-ap_months_since_start,ap_frequency)=0,1,0))</f>
        <v>127693.33838518675</v>
      </c>
      <c r="BG545" s="24">
        <f t="shared" ca="1" si="506"/>
        <v>1532320.0606222413</v>
      </c>
      <c r="BH545" s="24">
        <f t="shared" ca="1" si="507"/>
        <v>2760.4861890311222</v>
      </c>
      <c r="BI545">
        <f t="shared" ca="1" si="508"/>
        <v>0</v>
      </c>
      <c r="BJ545" s="24">
        <f t="shared" ca="1" si="509"/>
        <v>19323.403323217852</v>
      </c>
      <c r="BK545">
        <f t="shared" ca="1" si="510"/>
        <v>1</v>
      </c>
      <c r="BL545" s="25">
        <f t="shared" ca="1" si="511"/>
        <v>1610.283610268154</v>
      </c>
      <c r="BM545" s="32">
        <f t="shared" ca="1" si="490"/>
        <v>100998.14285228551</v>
      </c>
      <c r="BN545" s="23">
        <f t="shared" ca="1" si="512"/>
        <v>0</v>
      </c>
      <c r="BO545" s="24">
        <f t="shared" ca="1" si="513"/>
        <v>0</v>
      </c>
      <c r="BP545" s="25">
        <f t="shared" ca="1" si="514"/>
        <v>0</v>
      </c>
      <c r="BQ545" s="34">
        <f t="shared" ca="1" si="515"/>
        <v>62001</v>
      </c>
      <c r="BR545" s="23">
        <f t="shared" ca="1" si="516"/>
        <v>100998.14285228551</v>
      </c>
      <c r="BS545" s="24">
        <f t="shared" ca="1" si="517"/>
        <v>0</v>
      </c>
      <c r="BT545" s="24">
        <f t="shared" ca="1" si="522"/>
        <v>0</v>
      </c>
      <c r="BU545" s="24">
        <f t="shared" ca="1" si="518"/>
        <v>0</v>
      </c>
      <c r="BV545" s="24">
        <f t="shared" ca="1" si="523"/>
        <v>0</v>
      </c>
      <c r="BW545" s="24">
        <f t="shared" ca="1" si="519"/>
        <v>-1610.283610268154</v>
      </c>
      <c r="BX545" s="25">
        <f t="shared" ca="1" si="524"/>
        <v>-19489.335523677764</v>
      </c>
      <c r="BY545" s="23">
        <f t="shared" ca="1" si="491"/>
        <v>17404.117613853912</v>
      </c>
      <c r="BZ545" s="24">
        <f t="shared" ca="1" si="492"/>
        <v>0</v>
      </c>
      <c r="CA545" s="24">
        <f t="shared" ca="1" si="525"/>
        <v>0</v>
      </c>
      <c r="CB545" s="24">
        <f t="shared" ca="1" si="493"/>
        <v>0</v>
      </c>
      <c r="CC545" s="24">
        <f t="shared" ca="1" si="526"/>
        <v>0</v>
      </c>
      <c r="CD545" s="24">
        <f t="shared" ca="1" si="494"/>
        <v>-278.39436408329715</v>
      </c>
      <c r="CE545" s="25">
        <f t="shared" ca="1" si="527"/>
        <v>-3431.2827955363241</v>
      </c>
      <c r="CF545" s="23">
        <f t="shared" ca="1" si="528"/>
        <v>1527408.7783766573</v>
      </c>
      <c r="CG545" s="25">
        <f t="array" aca="1" ref="CG545" ca="1">SUM(BF534:BF545/(1+inflation/100)^(AP534:AP545/12))</f>
        <v>267980.53702225379</v>
      </c>
      <c r="CH545" s="32">
        <f ca="1">IFERROR(IF(MOD(AP545-ap_months_since_start,12)=0,ap_drawdown/100*(AQ545+AV545+BA545-BC545),CH544),0)</f>
        <v>16970.82001307399</v>
      </c>
    </row>
    <row r="546" spans="40:86" x14ac:dyDescent="0.25">
      <c r="AN546" s="32">
        <f t="shared" ca="1" si="489"/>
        <v>99.75</v>
      </c>
      <c r="AO546" s="53">
        <f t="shared" ca="1" si="520"/>
        <v>62002</v>
      </c>
      <c r="AP546" s="22">
        <v>539</v>
      </c>
      <c r="AQ546" s="32">
        <f t="shared" ca="1" si="521"/>
        <v>100998.14285228551</v>
      </c>
      <c r="AR546" s="23">
        <f t="array" aca="1" ref="AR546" ca="1">SUM(IF(lsc_start_date=AO546,lsc_amount,0))</f>
        <v>0</v>
      </c>
      <c r="AS546" s="24">
        <f t="shared" ca="1" si="495"/>
        <v>0</v>
      </c>
      <c r="AT546" s="24">
        <f t="shared" ca="1" si="496"/>
        <v>0</v>
      </c>
      <c r="AU546" s="24">
        <f t="shared" ca="1" si="497"/>
        <v>0</v>
      </c>
      <c r="AV546" s="25">
        <f t="shared" ca="1" si="498"/>
        <v>0</v>
      </c>
      <c r="AW546" s="23">
        <f t="array" aca="1" ref="AW546" ca="1">SUM(IF(rcs_start_date&lt;=AO546,1,0)*IF(rcs_end_date&gt;=AO546,1,0)*rcs_amount*(1+rcs_escalation/100)^(INT((AP546-rcs_months_since_start)/12))*IF(MOD((AP546-rcs_months_since_start),rcs_frequency)=0,1,0)*IF(rcs_frequency=13,0,1))+SUM(IF(rcs_start_date=AO546,rcs_amount,0)*IF(rcs_frequency=13,1,0))</f>
        <v>0</v>
      </c>
      <c r="AX546" s="24">
        <f t="shared" ca="1" si="499"/>
        <v>0</v>
      </c>
      <c r="AY546" s="24">
        <f t="shared" ca="1" si="500"/>
        <v>0</v>
      </c>
      <c r="AZ546" s="24">
        <f t="shared" ca="1" si="501"/>
        <v>0</v>
      </c>
      <c r="BA546" s="25">
        <f t="shared" ca="1" si="502"/>
        <v>0</v>
      </c>
      <c r="BB546" s="23">
        <f t="array" aca="1" ref="BB546" ca="1">SUM(IF(w_start_date&lt;=AO546,1,0)*IF(w_end_date&gt;=AO546,1,0)*w_amount*(1+w_escalation/100)^(INT((AP546-w_months_since_start)/12))*IF(MOD(AP546-w_months_since_start,w_frequency)=0,1,0)*IF(w_frequency=13,0,1))+SUM(IF(w_start_date=AO546,w_amount,0)*IF(w_frequency=13,1,0))</f>
        <v>0</v>
      </c>
      <c r="BC546" s="25">
        <f t="shared" ca="1" si="503"/>
        <v>0</v>
      </c>
      <c r="BD546" s="24" t="b">
        <f t="shared" ca="1" si="504"/>
        <v>1</v>
      </c>
      <c r="BE546" s="24" t="b">
        <f t="shared" ca="1" si="505"/>
        <v>1</v>
      </c>
      <c r="BF546" s="23">
        <f t="array" aca="1" ref="BF546" ca="1">SUM(IF(BD546,1,0)*IF(ap_start_date&lt;=AO546,1,0)*IF(ap_end_date&gt;=AO546,1,0)*ap_amount*(1+ap_escalation/100)^(INT((AP546-ap_months_since_start)/12))*IF(MOD(AP546-ap_months_since_start,ap_frequency)=0,1,0))</f>
        <v>127693.33838518675</v>
      </c>
      <c r="BG546" s="24">
        <f t="shared" ca="1" si="506"/>
        <v>1532320.0606222413</v>
      </c>
      <c r="BH546" s="24">
        <f t="shared" ca="1" si="507"/>
        <v>2760.4861890311222</v>
      </c>
      <c r="BI546">
        <f t="shared" ca="1" si="508"/>
        <v>0</v>
      </c>
      <c r="BJ546" s="24">
        <f t="shared" ca="1" si="509"/>
        <v>19323.403323217852</v>
      </c>
      <c r="BK546">
        <f t="shared" ca="1" si="510"/>
        <v>1</v>
      </c>
      <c r="BL546" s="25">
        <f t="shared" ca="1" si="511"/>
        <v>1610.283610268154</v>
      </c>
      <c r="BM546" s="32">
        <f t="shared" ca="1" si="490"/>
        <v>100104.17967727326</v>
      </c>
      <c r="BN546" s="23">
        <f t="shared" ca="1" si="512"/>
        <v>0</v>
      </c>
      <c r="BO546" s="24">
        <f t="shared" ca="1" si="513"/>
        <v>0</v>
      </c>
      <c r="BP546" s="25">
        <f t="shared" ca="1" si="514"/>
        <v>0</v>
      </c>
      <c r="BQ546" s="34">
        <f t="shared" ca="1" si="515"/>
        <v>62032</v>
      </c>
      <c r="BR546" s="23">
        <f t="shared" ca="1" si="516"/>
        <v>100104.17967727326</v>
      </c>
      <c r="BS546" s="24">
        <f t="shared" ca="1" si="517"/>
        <v>0</v>
      </c>
      <c r="BT546" s="24">
        <f t="shared" ca="1" si="522"/>
        <v>0</v>
      </c>
      <c r="BU546" s="24">
        <f t="shared" ca="1" si="518"/>
        <v>0</v>
      </c>
      <c r="BV546" s="24">
        <f t="shared" ca="1" si="523"/>
        <v>0</v>
      </c>
      <c r="BW546" s="24">
        <f t="shared" ca="1" si="519"/>
        <v>-1610.283610268154</v>
      </c>
      <c r="BX546" s="25">
        <f t="shared" ca="1" si="524"/>
        <v>-19323.403323217848</v>
      </c>
      <c r="BY546" s="23">
        <f t="shared" ca="1" si="491"/>
        <v>17193.780873839438</v>
      </c>
      <c r="BZ546" s="24">
        <f t="shared" ca="1" si="492"/>
        <v>0</v>
      </c>
      <c r="CA546" s="24">
        <f t="shared" ca="1" si="525"/>
        <v>0</v>
      </c>
      <c r="CB546" s="24">
        <f t="shared" ca="1" si="493"/>
        <v>0</v>
      </c>
      <c r="CC546" s="24">
        <f t="shared" ca="1" si="526"/>
        <v>0</v>
      </c>
      <c r="CD546" s="24">
        <f t="shared" ca="1" si="494"/>
        <v>-277.48594729862447</v>
      </c>
      <c r="CE546" s="25">
        <f t="shared" ca="1" si="527"/>
        <v>-3390.4459823895504</v>
      </c>
      <c r="CF546" s="23">
        <f t="shared" ca="1" si="528"/>
        <v>1532320.0606222413</v>
      </c>
      <c r="CG546" s="25">
        <f t="array" aca="1" ref="CG546" ca="1">SUM(BF535:BF546/(1+inflation/100)^(AP535:AP546/12))</f>
        <v>267980.53702225379</v>
      </c>
      <c r="CH546" s="32">
        <f ca="1">IFERROR(IF(MOD(AP546-ap_months_since_start,12)=0,ap_drawdown/100*(AQ546+AV546+BA546-BC546),CH545),0)</f>
        <v>16970.82001307399</v>
      </c>
    </row>
    <row r="547" spans="40:86" x14ac:dyDescent="0.25">
      <c r="AN547" s="32">
        <f t="shared" ca="1" si="489"/>
        <v>99.833333333333329</v>
      </c>
      <c r="AO547" s="53">
        <f t="shared" ca="1" si="520"/>
        <v>62033</v>
      </c>
      <c r="AP547" s="22">
        <v>540</v>
      </c>
      <c r="AQ547" s="32">
        <f t="shared" ca="1" si="521"/>
        <v>100104.17967727326</v>
      </c>
      <c r="AR547" s="23">
        <f t="array" aca="1" ref="AR547" ca="1">SUM(IF(lsc_start_date=AO547,lsc_amount,0))</f>
        <v>0</v>
      </c>
      <c r="AS547" s="24">
        <f t="shared" ca="1" si="495"/>
        <v>0</v>
      </c>
      <c r="AT547" s="24">
        <f t="shared" ca="1" si="496"/>
        <v>0</v>
      </c>
      <c r="AU547" s="24">
        <f t="shared" ca="1" si="497"/>
        <v>0</v>
      </c>
      <c r="AV547" s="25">
        <f t="shared" ca="1" si="498"/>
        <v>0</v>
      </c>
      <c r="AW547" s="23">
        <f t="array" aca="1" ref="AW547" ca="1">SUM(IF(rcs_start_date&lt;=AO547,1,0)*IF(rcs_end_date&gt;=AO547,1,0)*rcs_amount*(1+rcs_escalation/100)^(INT((AP547-rcs_months_since_start)/12))*IF(MOD((AP547-rcs_months_since_start),rcs_frequency)=0,1,0)*IF(rcs_frequency=13,0,1))+SUM(IF(rcs_start_date=AO547,rcs_amount,0)*IF(rcs_frequency=13,1,0))</f>
        <v>0</v>
      </c>
      <c r="AX547" s="24">
        <f t="shared" ca="1" si="499"/>
        <v>0</v>
      </c>
      <c r="AY547" s="24">
        <f t="shared" ca="1" si="500"/>
        <v>0</v>
      </c>
      <c r="AZ547" s="24">
        <f t="shared" ca="1" si="501"/>
        <v>0</v>
      </c>
      <c r="BA547" s="25">
        <f t="shared" ca="1" si="502"/>
        <v>0</v>
      </c>
      <c r="BB547" s="23">
        <f t="array" aca="1" ref="BB547" ca="1">SUM(IF(w_start_date&lt;=AO547,1,0)*IF(w_end_date&gt;=AO547,1,0)*w_amount*(1+w_escalation/100)^(INT((AP547-w_months_since_start)/12))*IF(MOD(AP547-w_months_since_start,w_frequency)=0,1,0)*IF(w_frequency=13,0,1))+SUM(IF(w_start_date=AO547,w_amount,0)*IF(w_frequency=13,1,0))</f>
        <v>0</v>
      </c>
      <c r="BC547" s="25">
        <f t="shared" ca="1" si="503"/>
        <v>0</v>
      </c>
      <c r="BD547" s="24" t="b">
        <f t="shared" ca="1" si="504"/>
        <v>1</v>
      </c>
      <c r="BE547" s="24" t="b">
        <f t="shared" ca="1" si="505"/>
        <v>1</v>
      </c>
      <c r="BF547" s="23">
        <f t="array" aca="1" ref="BF547" ca="1">SUM(IF(BD547,1,0)*IF(ap_start_date&lt;=AO547,1,0)*IF(ap_end_date&gt;=AO547,1,0)*ap_amount*(1+ap_escalation/100)^(INT((AP547-ap_months_since_start)/12))*IF(MOD(AP547-ap_months_since_start,ap_frequency)=0,1,0))</f>
        <v>132801.07192059426</v>
      </c>
      <c r="BG547" s="24">
        <f t="shared" ca="1" si="506"/>
        <v>1593612.8630471306</v>
      </c>
      <c r="BH547" s="24">
        <f t="shared" ca="1" si="507"/>
        <v>2502.6044919318319</v>
      </c>
      <c r="BI547">
        <f t="shared" ca="1" si="508"/>
        <v>0</v>
      </c>
      <c r="BJ547" s="24">
        <f t="shared" ca="1" si="509"/>
        <v>17518.231443522818</v>
      </c>
      <c r="BK547">
        <f t="shared" ca="1" si="510"/>
        <v>1</v>
      </c>
      <c r="BL547" s="25">
        <f t="shared" ca="1" si="511"/>
        <v>1459.8526202935686</v>
      </c>
      <c r="BM547" s="32">
        <f t="shared" ca="1" si="490"/>
        <v>99355.288615382073</v>
      </c>
      <c r="BN547" s="23">
        <f t="shared" ca="1" si="512"/>
        <v>0</v>
      </c>
      <c r="BO547" s="24">
        <f t="shared" ca="1" si="513"/>
        <v>0</v>
      </c>
      <c r="BP547" s="25">
        <f t="shared" ca="1" si="514"/>
        <v>0</v>
      </c>
      <c r="BQ547" s="34">
        <f t="shared" ca="1" si="515"/>
        <v>62062</v>
      </c>
      <c r="BR547" s="23">
        <f t="shared" ca="1" si="516"/>
        <v>99355.288615382073</v>
      </c>
      <c r="BS547" s="24">
        <f t="shared" ca="1" si="517"/>
        <v>0</v>
      </c>
      <c r="BT547" s="24">
        <f t="shared" ca="1" si="522"/>
        <v>0</v>
      </c>
      <c r="BU547" s="24">
        <f t="shared" ca="1" si="518"/>
        <v>0</v>
      </c>
      <c r="BV547" s="24">
        <f t="shared" ca="1" si="523"/>
        <v>0</v>
      </c>
      <c r="BW547" s="24">
        <f t="shared" ca="1" si="519"/>
        <v>-1459.8526202935686</v>
      </c>
      <c r="BX547" s="25">
        <f t="shared" ca="1" si="524"/>
        <v>-19172.972333243262</v>
      </c>
      <c r="BY547" s="23">
        <f t="shared" ca="1" si="491"/>
        <v>17009.46761980018</v>
      </c>
      <c r="BZ547" s="24">
        <f t="shared" ca="1" si="492"/>
        <v>0</v>
      </c>
      <c r="CA547" s="24">
        <f t="shared" ca="1" si="525"/>
        <v>0</v>
      </c>
      <c r="CB547" s="24">
        <f t="shared" ca="1" si="493"/>
        <v>0</v>
      </c>
      <c r="CC547" s="24">
        <f t="shared" ca="1" si="526"/>
        <v>0</v>
      </c>
      <c r="CD547" s="24">
        <f t="shared" ca="1" si="494"/>
        <v>-250.74263774349185</v>
      </c>
      <c r="CE547" s="25">
        <f t="shared" ca="1" si="527"/>
        <v>-3353.5449056137936</v>
      </c>
      <c r="CF547" s="23">
        <f t="shared" ca="1" si="528"/>
        <v>1537427.7941576487</v>
      </c>
      <c r="CG547" s="25">
        <f t="array" aca="1" ref="CG547" ca="1">SUM(BF536:BF547/(1+inflation/100)^(AP536:AP547/12))</f>
        <v>267980.53702225379</v>
      </c>
      <c r="CH547" s="32">
        <f ca="1">IFERROR(IF(MOD(AP547-ap_months_since_start,12)=0,ap_drawdown/100*(AQ547+AV547+BA547-BC547),CH546),0)</f>
        <v>15385.423975402025</v>
      </c>
    </row>
    <row r="548" spans="40:86" x14ac:dyDescent="0.25">
      <c r="AN548" s="32">
        <f t="shared" ca="1" si="489"/>
        <v>99.916666666666671</v>
      </c>
      <c r="AO548" s="53">
        <f t="shared" ca="1" si="520"/>
        <v>62063</v>
      </c>
      <c r="AP548" s="22">
        <v>541</v>
      </c>
      <c r="AQ548" s="32">
        <f t="shared" ca="1" si="521"/>
        <v>99355.288615382073</v>
      </c>
      <c r="AR548" s="23">
        <f t="array" aca="1" ref="AR548" ca="1">SUM(IF(lsc_start_date=AO548,lsc_amount,0))</f>
        <v>0</v>
      </c>
      <c r="AS548" s="24">
        <f t="shared" ca="1" si="495"/>
        <v>0</v>
      </c>
      <c r="AT548" s="24">
        <f t="shared" ca="1" si="496"/>
        <v>0</v>
      </c>
      <c r="AU548" s="24">
        <f t="shared" ca="1" si="497"/>
        <v>0</v>
      </c>
      <c r="AV548" s="25">
        <f t="shared" ca="1" si="498"/>
        <v>0</v>
      </c>
      <c r="AW548" s="23">
        <f t="array" aca="1" ref="AW548" ca="1">SUM(IF(rcs_start_date&lt;=AO548,1,0)*IF(rcs_end_date&gt;=AO548,1,0)*rcs_amount*(1+rcs_escalation/100)^(INT((AP548-rcs_months_since_start)/12))*IF(MOD((AP548-rcs_months_since_start),rcs_frequency)=0,1,0)*IF(rcs_frequency=13,0,1))+SUM(IF(rcs_start_date=AO548,rcs_amount,0)*IF(rcs_frequency=13,1,0))</f>
        <v>0</v>
      </c>
      <c r="AX548" s="24">
        <f t="shared" ca="1" si="499"/>
        <v>0</v>
      </c>
      <c r="AY548" s="24">
        <f t="shared" ca="1" si="500"/>
        <v>0</v>
      </c>
      <c r="AZ548" s="24">
        <f t="shared" ca="1" si="501"/>
        <v>0</v>
      </c>
      <c r="BA548" s="25">
        <f t="shared" ca="1" si="502"/>
        <v>0</v>
      </c>
      <c r="BB548" s="23">
        <f t="array" aca="1" ref="BB548" ca="1">SUM(IF(w_start_date&lt;=AO548,1,0)*IF(w_end_date&gt;=AO548,1,0)*w_amount*(1+w_escalation/100)^(INT((AP548-w_months_since_start)/12))*IF(MOD(AP548-w_months_since_start,w_frequency)=0,1,0)*IF(w_frequency=13,0,1))+SUM(IF(w_start_date=AO548,w_amount,0)*IF(w_frequency=13,1,0))</f>
        <v>0</v>
      </c>
      <c r="BC548" s="25">
        <f t="shared" ca="1" si="503"/>
        <v>0</v>
      </c>
      <c r="BD548" s="24" t="b">
        <f t="shared" ca="1" si="504"/>
        <v>1</v>
      </c>
      <c r="BE548" s="24" t="b">
        <f t="shared" ca="1" si="505"/>
        <v>1</v>
      </c>
      <c r="BF548" s="23">
        <f t="array" aca="1" ref="BF548" ca="1">SUM(IF(BD548,1,0)*IF(ap_start_date&lt;=AO548,1,0)*IF(ap_end_date&gt;=AO548,1,0)*ap_amount*(1+ap_escalation/100)^(INT((AP548-ap_months_since_start)/12))*IF(MOD(AP548-ap_months_since_start,ap_frequency)=0,1,0))</f>
        <v>132801.07192059426</v>
      </c>
      <c r="BG548" s="24">
        <f t="shared" ca="1" si="506"/>
        <v>1593612.8630471306</v>
      </c>
      <c r="BH548" s="24">
        <f t="shared" ca="1" si="507"/>
        <v>2502.6044919318319</v>
      </c>
      <c r="BI548">
        <f t="shared" ca="1" si="508"/>
        <v>0</v>
      </c>
      <c r="BJ548" s="24">
        <f t="shared" ca="1" si="509"/>
        <v>17518.231443522818</v>
      </c>
      <c r="BK548">
        <f t="shared" ca="1" si="510"/>
        <v>1</v>
      </c>
      <c r="BL548" s="25">
        <f t="shared" ca="1" si="511"/>
        <v>1459.8526202935686</v>
      </c>
      <c r="BM548" s="32">
        <f t="shared" ca="1" si="490"/>
        <v>98601.000053479263</v>
      </c>
      <c r="BN548" s="23">
        <f t="shared" ca="1" si="512"/>
        <v>0</v>
      </c>
      <c r="BO548" s="24">
        <f t="shared" ca="1" si="513"/>
        <v>0</v>
      </c>
      <c r="BP548" s="25">
        <f t="shared" ca="1" si="514"/>
        <v>0</v>
      </c>
      <c r="BQ548" s="34">
        <f t="shared" ca="1" si="515"/>
        <v>62093</v>
      </c>
      <c r="BR548" s="23">
        <f t="shared" ca="1" si="516"/>
        <v>98601.000053479263</v>
      </c>
      <c r="BS548" s="24">
        <f t="shared" ca="1" si="517"/>
        <v>0</v>
      </c>
      <c r="BT548" s="24">
        <f t="shared" ca="1" si="522"/>
        <v>0</v>
      </c>
      <c r="BU548" s="24">
        <f t="shared" ca="1" si="518"/>
        <v>0</v>
      </c>
      <c r="BV548" s="24">
        <f t="shared" ca="1" si="523"/>
        <v>0</v>
      </c>
      <c r="BW548" s="24">
        <f t="shared" ca="1" si="519"/>
        <v>-1459.8526202935686</v>
      </c>
      <c r="BX548" s="25">
        <f t="shared" ca="1" si="524"/>
        <v>-19022.541343268676</v>
      </c>
      <c r="BY548" s="23">
        <f t="shared" ca="1" si="491"/>
        <v>16825.253115456562</v>
      </c>
      <c r="BZ548" s="24">
        <f t="shared" ca="1" si="492"/>
        <v>0</v>
      </c>
      <c r="CA548" s="24">
        <f t="shared" ca="1" si="525"/>
        <v>0</v>
      </c>
      <c r="CB548" s="24">
        <f t="shared" ca="1" si="493"/>
        <v>0</v>
      </c>
      <c r="CC548" s="24">
        <f t="shared" ca="1" si="526"/>
        <v>0</v>
      </c>
      <c r="CD548" s="24">
        <f t="shared" ca="1" si="494"/>
        <v>-249.9244501285616</v>
      </c>
      <c r="CE548" s="25">
        <f t="shared" ca="1" si="527"/>
        <v>-3316.7642391689933</v>
      </c>
      <c r="CF548" s="23">
        <f t="shared" ca="1" si="528"/>
        <v>1542535.527693056</v>
      </c>
      <c r="CG548" s="25">
        <f t="array" aca="1" ref="CG548" ca="1">SUM(BF537:BF548/(1+inflation/100)^(AP537:AP548/12))</f>
        <v>267980.53702225379</v>
      </c>
      <c r="CH548" s="32">
        <f ca="1">IFERROR(IF(MOD(AP548-ap_months_since_start,12)=0,ap_drawdown/100*(AQ548+AV548+BA548-BC548),CH547),0)</f>
        <v>15385.423975402025</v>
      </c>
    </row>
    <row r="549" spans="40:86" x14ac:dyDescent="0.25">
      <c r="AN549" s="32">
        <f t="shared" ca="1" si="489"/>
        <v>100</v>
      </c>
      <c r="AO549" s="53">
        <f t="shared" ca="1" si="520"/>
        <v>62094</v>
      </c>
      <c r="AP549" s="22">
        <v>542</v>
      </c>
      <c r="AQ549" s="32">
        <f t="shared" ca="1" si="521"/>
        <v>98601.000053479263</v>
      </c>
      <c r="AR549" s="23">
        <f t="array" aca="1" ref="AR549" ca="1">SUM(IF(lsc_start_date=AO549,lsc_amount,0))</f>
        <v>0</v>
      </c>
      <c r="AS549" s="24">
        <f t="shared" ca="1" si="495"/>
        <v>0</v>
      </c>
      <c r="AT549" s="24">
        <f t="shared" ca="1" si="496"/>
        <v>0</v>
      </c>
      <c r="AU549" s="24">
        <f t="shared" ca="1" si="497"/>
        <v>0</v>
      </c>
      <c r="AV549" s="25">
        <f t="shared" ca="1" si="498"/>
        <v>0</v>
      </c>
      <c r="AW549" s="23">
        <f t="array" aca="1" ref="AW549" ca="1">SUM(IF(rcs_start_date&lt;=AO549,1,0)*IF(rcs_end_date&gt;=AO549,1,0)*rcs_amount*(1+rcs_escalation/100)^(INT((AP549-rcs_months_since_start)/12))*IF(MOD((AP549-rcs_months_since_start),rcs_frequency)=0,1,0)*IF(rcs_frequency=13,0,1))+SUM(IF(rcs_start_date=AO549,rcs_amount,0)*IF(rcs_frequency=13,1,0))</f>
        <v>0</v>
      </c>
      <c r="AX549" s="24">
        <f t="shared" ca="1" si="499"/>
        <v>0</v>
      </c>
      <c r="AY549" s="24">
        <f t="shared" ca="1" si="500"/>
        <v>0</v>
      </c>
      <c r="AZ549" s="24">
        <f t="shared" ca="1" si="501"/>
        <v>0</v>
      </c>
      <c r="BA549" s="25">
        <f t="shared" ca="1" si="502"/>
        <v>0</v>
      </c>
      <c r="BB549" s="23">
        <f t="array" aca="1" ref="BB549" ca="1">SUM(IF(w_start_date&lt;=AO549,1,0)*IF(w_end_date&gt;=AO549,1,0)*w_amount*(1+w_escalation/100)^(INT((AP549-w_months_since_start)/12))*IF(MOD(AP549-w_months_since_start,w_frequency)=0,1,0)*IF(w_frequency=13,0,1))+SUM(IF(w_start_date=AO549,w_amount,0)*IF(w_frequency=13,1,0))</f>
        <v>0</v>
      </c>
      <c r="BC549" s="25">
        <f t="shared" ca="1" si="503"/>
        <v>0</v>
      </c>
      <c r="BD549" s="24" t="b">
        <f t="shared" ca="1" si="504"/>
        <v>1</v>
      </c>
      <c r="BE549" s="24" t="b">
        <f t="shared" ca="1" si="505"/>
        <v>1</v>
      </c>
      <c r="BF549" s="23">
        <f t="array" aca="1" ref="BF549" ca="1">SUM(IF(BD549,1,0)*IF(ap_start_date&lt;=AO549,1,0)*IF(ap_end_date&gt;=AO549,1,0)*ap_amount*(1+ap_escalation/100)^(INT((AP549-ap_months_since_start)/12))*IF(MOD(AP549-ap_months_since_start,ap_frequency)=0,1,0))</f>
        <v>132801.07192059426</v>
      </c>
      <c r="BG549" s="24">
        <f t="shared" ca="1" si="506"/>
        <v>1593612.8630471306</v>
      </c>
      <c r="BH549" s="24">
        <f t="shared" ca="1" si="507"/>
        <v>2502.6044919318319</v>
      </c>
      <c r="BI549">
        <f t="shared" ca="1" si="508"/>
        <v>0</v>
      </c>
      <c r="BJ549" s="24">
        <f t="shared" ca="1" si="509"/>
        <v>17518.231443522818</v>
      </c>
      <c r="BK549">
        <f t="shared" ca="1" si="510"/>
        <v>1</v>
      </c>
      <c r="BL549" s="25">
        <f t="shared" ca="1" si="511"/>
        <v>1459.8526202935686</v>
      </c>
      <c r="BM549" s="32">
        <f t="shared" ca="1" si="490"/>
        <v>97841.275090037161</v>
      </c>
      <c r="BN549" s="23">
        <f t="shared" ca="1" si="512"/>
        <v>0</v>
      </c>
      <c r="BO549" s="24">
        <f t="shared" ca="1" si="513"/>
        <v>0</v>
      </c>
      <c r="BP549" s="25">
        <f t="shared" ca="1" si="514"/>
        <v>0</v>
      </c>
      <c r="BQ549" s="34">
        <f t="shared" ca="1" si="515"/>
        <v>62124</v>
      </c>
      <c r="BR549" s="23">
        <f t="shared" ca="1" si="516"/>
        <v>97841.275090037161</v>
      </c>
      <c r="BS549" s="24">
        <f t="shared" ca="1" si="517"/>
        <v>0</v>
      </c>
      <c r="BT549" s="24">
        <f t="shared" ca="1" si="522"/>
        <v>0</v>
      </c>
      <c r="BU549" s="24">
        <f t="shared" ca="1" si="518"/>
        <v>0</v>
      </c>
      <c r="BV549" s="24">
        <f t="shared" ca="1" si="523"/>
        <v>0</v>
      </c>
      <c r="BW549" s="24">
        <f t="shared" ca="1" si="519"/>
        <v>-1459.8526202935686</v>
      </c>
      <c r="BX549" s="25">
        <f t="shared" ca="1" si="524"/>
        <v>-18872.110353294091</v>
      </c>
      <c r="BY549" s="23">
        <f t="shared" ca="1" si="491"/>
        <v>16641.135067720516</v>
      </c>
      <c r="BZ549" s="24">
        <f t="shared" ca="1" si="492"/>
        <v>0</v>
      </c>
      <c r="CA549" s="24">
        <f t="shared" ca="1" si="525"/>
        <v>0</v>
      </c>
      <c r="CB549" s="24">
        <f t="shared" ca="1" si="493"/>
        <v>0</v>
      </c>
      <c r="CC549" s="24">
        <f t="shared" ca="1" si="526"/>
        <v>0</v>
      </c>
      <c r="CD549" s="24">
        <f t="shared" ca="1" si="494"/>
        <v>-249.108932306768</v>
      </c>
      <c r="CE549" s="25">
        <f t="shared" ca="1" si="527"/>
        <v>-3280.1035901493296</v>
      </c>
      <c r="CF549" s="23">
        <f t="shared" ca="1" si="528"/>
        <v>1547643.2612284634</v>
      </c>
      <c r="CG549" s="25">
        <f t="array" aca="1" ref="CG549" ca="1">SUM(BF538:BF549/(1+inflation/100)^(AP538:AP549/12))</f>
        <v>267980.53702225379</v>
      </c>
      <c r="CH549" s="32">
        <f ca="1">IFERROR(IF(MOD(AP549-ap_months_since_start,12)=0,ap_drawdown/100*(AQ549+AV549+BA549-BC549),CH548),0)</f>
        <v>15385.423975402025</v>
      </c>
    </row>
    <row r="550" spans="40:86" x14ac:dyDescent="0.25">
      <c r="AN550" s="32">
        <f t="shared" ca="1" si="489"/>
        <v>100.08333333333333</v>
      </c>
      <c r="AO550" s="53">
        <f t="shared" ca="1" si="520"/>
        <v>62125</v>
      </c>
      <c r="AP550" s="22">
        <v>543</v>
      </c>
      <c r="AQ550" s="32">
        <f t="shared" ca="1" si="521"/>
        <v>97841.275090037161</v>
      </c>
      <c r="AR550" s="23">
        <f t="array" aca="1" ref="AR550" ca="1">SUM(IF(lsc_start_date=AO550,lsc_amount,0))</f>
        <v>0</v>
      </c>
      <c r="AS550" s="24">
        <f t="shared" ca="1" si="495"/>
        <v>0</v>
      </c>
      <c r="AT550" s="24">
        <f t="shared" ca="1" si="496"/>
        <v>0</v>
      </c>
      <c r="AU550" s="24">
        <f t="shared" ca="1" si="497"/>
        <v>0</v>
      </c>
      <c r="AV550" s="25">
        <f t="shared" ca="1" si="498"/>
        <v>0</v>
      </c>
      <c r="AW550" s="23">
        <f t="array" aca="1" ref="AW550" ca="1">SUM(IF(rcs_start_date&lt;=AO550,1,0)*IF(rcs_end_date&gt;=AO550,1,0)*rcs_amount*(1+rcs_escalation/100)^(INT((AP550-rcs_months_since_start)/12))*IF(MOD((AP550-rcs_months_since_start),rcs_frequency)=0,1,0)*IF(rcs_frequency=13,0,1))+SUM(IF(rcs_start_date=AO550,rcs_amount,0)*IF(rcs_frequency=13,1,0))</f>
        <v>0</v>
      </c>
      <c r="AX550" s="24">
        <f t="shared" ca="1" si="499"/>
        <v>0</v>
      </c>
      <c r="AY550" s="24">
        <f t="shared" ca="1" si="500"/>
        <v>0</v>
      </c>
      <c r="AZ550" s="24">
        <f t="shared" ca="1" si="501"/>
        <v>0</v>
      </c>
      <c r="BA550" s="25">
        <f t="shared" ca="1" si="502"/>
        <v>0</v>
      </c>
      <c r="BB550" s="23">
        <f t="array" aca="1" ref="BB550" ca="1">SUM(IF(w_start_date&lt;=AO550,1,0)*IF(w_end_date&gt;=AO550,1,0)*w_amount*(1+w_escalation/100)^(INT((AP550-w_months_since_start)/12))*IF(MOD(AP550-w_months_since_start,w_frequency)=0,1,0)*IF(w_frequency=13,0,1))+SUM(IF(w_start_date=AO550,w_amount,0)*IF(w_frequency=13,1,0))</f>
        <v>0</v>
      </c>
      <c r="BC550" s="25">
        <f t="shared" ca="1" si="503"/>
        <v>0</v>
      </c>
      <c r="BD550" s="24" t="b">
        <f t="shared" ca="1" si="504"/>
        <v>1</v>
      </c>
      <c r="BE550" s="24" t="b">
        <f t="shared" ca="1" si="505"/>
        <v>1</v>
      </c>
      <c r="BF550" s="23">
        <f t="array" aca="1" ref="BF550" ca="1">SUM(IF(BD550,1,0)*IF(ap_start_date&lt;=AO550,1,0)*IF(ap_end_date&gt;=AO550,1,0)*ap_amount*(1+ap_escalation/100)^(INT((AP550-ap_months_since_start)/12))*IF(MOD(AP550-ap_months_since_start,ap_frequency)=0,1,0))</f>
        <v>132801.07192059426</v>
      </c>
      <c r="BG550" s="24">
        <f t="shared" ca="1" si="506"/>
        <v>1593612.8630471306</v>
      </c>
      <c r="BH550" s="24">
        <f t="shared" ca="1" si="507"/>
        <v>2502.6044919318319</v>
      </c>
      <c r="BI550">
        <f t="shared" ca="1" si="508"/>
        <v>0</v>
      </c>
      <c r="BJ550" s="24">
        <f t="shared" ca="1" si="509"/>
        <v>17518.231443522818</v>
      </c>
      <c r="BK550">
        <f t="shared" ca="1" si="510"/>
        <v>1</v>
      </c>
      <c r="BL550" s="25">
        <f t="shared" ca="1" si="511"/>
        <v>1459.8526202935686</v>
      </c>
      <c r="BM550" s="32">
        <f t="shared" ca="1" si="490"/>
        <v>97076.074543152194</v>
      </c>
      <c r="BN550" s="23">
        <f t="shared" ca="1" si="512"/>
        <v>0</v>
      </c>
      <c r="BO550" s="24">
        <f t="shared" ca="1" si="513"/>
        <v>0</v>
      </c>
      <c r="BP550" s="25">
        <f t="shared" ca="1" si="514"/>
        <v>0</v>
      </c>
      <c r="BQ550" s="34">
        <f t="shared" ca="1" si="515"/>
        <v>62152</v>
      </c>
      <c r="BR550" s="23">
        <f t="shared" ca="1" si="516"/>
        <v>97076.074543152194</v>
      </c>
      <c r="BS550" s="24">
        <f t="shared" ca="1" si="517"/>
        <v>0</v>
      </c>
      <c r="BT550" s="24">
        <f t="shared" ca="1" si="522"/>
        <v>0</v>
      </c>
      <c r="BU550" s="24">
        <f t="shared" ca="1" si="518"/>
        <v>0</v>
      </c>
      <c r="BV550" s="24">
        <f t="shared" ca="1" si="523"/>
        <v>0</v>
      </c>
      <c r="BW550" s="24">
        <f t="shared" ca="1" si="519"/>
        <v>-1459.8526202935686</v>
      </c>
      <c r="BX550" s="25">
        <f t="shared" ca="1" si="524"/>
        <v>-18721.679363319505</v>
      </c>
      <c r="BY550" s="23">
        <f t="shared" ca="1" si="491"/>
        <v>16457.111183259211</v>
      </c>
      <c r="BZ550" s="24">
        <f t="shared" ca="1" si="492"/>
        <v>0</v>
      </c>
      <c r="CA550" s="24">
        <f t="shared" ca="1" si="525"/>
        <v>0</v>
      </c>
      <c r="CB550" s="24">
        <f t="shared" ca="1" si="493"/>
        <v>0</v>
      </c>
      <c r="CC550" s="24">
        <f t="shared" ca="1" si="526"/>
        <v>0</v>
      </c>
      <c r="CD550" s="24">
        <f t="shared" ca="1" si="494"/>
        <v>-248.29607556642239</v>
      </c>
      <c r="CE550" s="25">
        <f t="shared" ca="1" si="527"/>
        <v>-3243.5625669310584</v>
      </c>
      <c r="CF550" s="23">
        <f t="shared" ca="1" si="528"/>
        <v>1552750.994763871</v>
      </c>
      <c r="CG550" s="25">
        <f t="array" aca="1" ref="CG550" ca="1">SUM(BF539:BF550/(1+inflation/100)^(AP539:AP550/12))</f>
        <v>267980.53702225379</v>
      </c>
      <c r="CH550" s="32">
        <f ca="1">IFERROR(IF(MOD(AP550-ap_months_since_start,12)=0,ap_drawdown/100*(AQ550+AV550+BA550-BC550),CH549),0)</f>
        <v>15385.423975402025</v>
      </c>
    </row>
    <row r="551" spans="40:86" x14ac:dyDescent="0.25">
      <c r="AN551" s="32">
        <f t="shared" ca="1" si="489"/>
        <v>100.16666666666667</v>
      </c>
      <c r="AO551" s="53">
        <f t="shared" ca="1" si="520"/>
        <v>62153</v>
      </c>
      <c r="AP551" s="22">
        <v>544</v>
      </c>
      <c r="AQ551" s="32">
        <f t="shared" ca="1" si="521"/>
        <v>97076.074543152194</v>
      </c>
      <c r="AR551" s="23">
        <f t="array" aca="1" ref="AR551" ca="1">SUM(IF(lsc_start_date=AO551,lsc_amount,0))</f>
        <v>0</v>
      </c>
      <c r="AS551" s="24">
        <f t="shared" ca="1" si="495"/>
        <v>0</v>
      </c>
      <c r="AT551" s="24">
        <f t="shared" ca="1" si="496"/>
        <v>0</v>
      </c>
      <c r="AU551" s="24">
        <f t="shared" ca="1" si="497"/>
        <v>0</v>
      </c>
      <c r="AV551" s="25">
        <f t="shared" ca="1" si="498"/>
        <v>0</v>
      </c>
      <c r="AW551" s="23">
        <f t="array" aca="1" ref="AW551" ca="1">SUM(IF(rcs_start_date&lt;=AO551,1,0)*IF(rcs_end_date&gt;=AO551,1,0)*rcs_amount*(1+rcs_escalation/100)^(INT((AP551-rcs_months_since_start)/12))*IF(MOD((AP551-rcs_months_since_start),rcs_frequency)=0,1,0)*IF(rcs_frequency=13,0,1))+SUM(IF(rcs_start_date=AO551,rcs_amount,0)*IF(rcs_frequency=13,1,0))</f>
        <v>0</v>
      </c>
      <c r="AX551" s="24">
        <f t="shared" ca="1" si="499"/>
        <v>0</v>
      </c>
      <c r="AY551" s="24">
        <f t="shared" ca="1" si="500"/>
        <v>0</v>
      </c>
      <c r="AZ551" s="24">
        <f t="shared" ca="1" si="501"/>
        <v>0</v>
      </c>
      <c r="BA551" s="25">
        <f t="shared" ca="1" si="502"/>
        <v>0</v>
      </c>
      <c r="BB551" s="23">
        <f t="array" aca="1" ref="BB551" ca="1">SUM(IF(w_start_date&lt;=AO551,1,0)*IF(w_end_date&gt;=AO551,1,0)*w_amount*(1+w_escalation/100)^(INT((AP551-w_months_since_start)/12))*IF(MOD(AP551-w_months_since_start,w_frequency)=0,1,0)*IF(w_frequency=13,0,1))+SUM(IF(w_start_date=AO551,w_amount,0)*IF(w_frequency=13,1,0))</f>
        <v>0</v>
      </c>
      <c r="BC551" s="25">
        <f t="shared" ca="1" si="503"/>
        <v>0</v>
      </c>
      <c r="BD551" s="24" t="b">
        <f t="shared" ca="1" si="504"/>
        <v>1</v>
      </c>
      <c r="BE551" s="24" t="b">
        <f t="shared" ca="1" si="505"/>
        <v>1</v>
      </c>
      <c r="BF551" s="23">
        <f t="array" aca="1" ref="BF551" ca="1">SUM(IF(BD551,1,0)*IF(ap_start_date&lt;=AO551,1,0)*IF(ap_end_date&gt;=AO551,1,0)*ap_amount*(1+ap_escalation/100)^(INT((AP551-ap_months_since_start)/12))*IF(MOD(AP551-ap_months_since_start,ap_frequency)=0,1,0))</f>
        <v>132801.07192059426</v>
      </c>
      <c r="BG551" s="24">
        <f t="shared" ca="1" si="506"/>
        <v>1593612.8630471306</v>
      </c>
      <c r="BH551" s="24">
        <f t="shared" ca="1" si="507"/>
        <v>2502.6044919318319</v>
      </c>
      <c r="BI551">
        <f t="shared" ca="1" si="508"/>
        <v>0</v>
      </c>
      <c r="BJ551" s="24">
        <f t="shared" ca="1" si="509"/>
        <v>17518.231443522818</v>
      </c>
      <c r="BK551">
        <f t="shared" ca="1" si="510"/>
        <v>1</v>
      </c>
      <c r="BL551" s="25">
        <f t="shared" ca="1" si="511"/>
        <v>1459.8526202935686</v>
      </c>
      <c r="BM551" s="32">
        <f t="shared" ca="1" si="490"/>
        <v>96305.358948524139</v>
      </c>
      <c r="BN551" s="23">
        <f t="shared" ca="1" si="512"/>
        <v>0</v>
      </c>
      <c r="BO551" s="24">
        <f t="shared" ca="1" si="513"/>
        <v>0</v>
      </c>
      <c r="BP551" s="25">
        <f t="shared" ca="1" si="514"/>
        <v>0</v>
      </c>
      <c r="BQ551" s="34">
        <f t="shared" ca="1" si="515"/>
        <v>62183</v>
      </c>
      <c r="BR551" s="23">
        <f t="shared" ca="1" si="516"/>
        <v>96305.358948524139</v>
      </c>
      <c r="BS551" s="24">
        <f t="shared" ca="1" si="517"/>
        <v>0</v>
      </c>
      <c r="BT551" s="24">
        <f t="shared" ca="1" si="522"/>
        <v>0</v>
      </c>
      <c r="BU551" s="24">
        <f t="shared" ca="1" si="518"/>
        <v>0</v>
      </c>
      <c r="BV551" s="24">
        <f t="shared" ca="1" si="523"/>
        <v>0</v>
      </c>
      <c r="BW551" s="24">
        <f t="shared" ca="1" si="519"/>
        <v>-1459.8526202935686</v>
      </c>
      <c r="BX551" s="25">
        <f t="shared" ca="1" si="524"/>
        <v>-18571.248373344919</v>
      </c>
      <c r="BY551" s="23">
        <f t="shared" ca="1" si="491"/>
        <v>16273.17916846556</v>
      </c>
      <c r="BZ551" s="24">
        <f t="shared" ca="1" si="492"/>
        <v>0</v>
      </c>
      <c r="CA551" s="24">
        <f t="shared" ca="1" si="525"/>
        <v>0</v>
      </c>
      <c r="CB551" s="24">
        <f t="shared" ca="1" si="493"/>
        <v>0</v>
      </c>
      <c r="CC551" s="24">
        <f t="shared" ca="1" si="526"/>
        <v>0</v>
      </c>
      <c r="CD551" s="24">
        <f t="shared" ca="1" si="494"/>
        <v>-247.48587122426332</v>
      </c>
      <c r="CE551" s="25">
        <f t="shared" ca="1" si="527"/>
        <v>-3207.1407791683246</v>
      </c>
      <c r="CF551" s="23">
        <f t="shared" ca="1" si="528"/>
        <v>1557858.7282992783</v>
      </c>
      <c r="CG551" s="25">
        <f t="array" aca="1" ref="CG551" ca="1">SUM(BF540:BF551/(1+inflation/100)^(AP540:AP551/12))</f>
        <v>267980.53702225385</v>
      </c>
      <c r="CH551" s="32">
        <f ca="1">IFERROR(IF(MOD(AP551-ap_months_since_start,12)=0,ap_drawdown/100*(AQ551+AV551+BA551-BC551),CH550),0)</f>
        <v>15385.423975402025</v>
      </c>
    </row>
    <row r="552" spans="40:86" x14ac:dyDescent="0.25">
      <c r="AN552" s="32">
        <f t="shared" ca="1" si="489"/>
        <v>100.25</v>
      </c>
      <c r="AO552" s="53">
        <f t="shared" ca="1" si="520"/>
        <v>62184</v>
      </c>
      <c r="AP552" s="22">
        <v>545</v>
      </c>
      <c r="AQ552" s="32">
        <f t="shared" ca="1" si="521"/>
        <v>96305.358948524139</v>
      </c>
      <c r="AR552" s="23">
        <f t="array" aca="1" ref="AR552" ca="1">SUM(IF(lsc_start_date=AO552,lsc_amount,0))</f>
        <v>0</v>
      </c>
      <c r="AS552" s="24">
        <f t="shared" ca="1" si="495"/>
        <v>0</v>
      </c>
      <c r="AT552" s="24">
        <f t="shared" ca="1" si="496"/>
        <v>0</v>
      </c>
      <c r="AU552" s="24">
        <f t="shared" ca="1" si="497"/>
        <v>0</v>
      </c>
      <c r="AV552" s="25">
        <f t="shared" ca="1" si="498"/>
        <v>0</v>
      </c>
      <c r="AW552" s="23">
        <f t="array" aca="1" ref="AW552" ca="1">SUM(IF(rcs_start_date&lt;=AO552,1,0)*IF(rcs_end_date&gt;=AO552,1,0)*rcs_amount*(1+rcs_escalation/100)^(INT((AP552-rcs_months_since_start)/12))*IF(MOD((AP552-rcs_months_since_start),rcs_frequency)=0,1,0)*IF(rcs_frequency=13,0,1))+SUM(IF(rcs_start_date=AO552,rcs_amount,0)*IF(rcs_frequency=13,1,0))</f>
        <v>0</v>
      </c>
      <c r="AX552" s="24">
        <f t="shared" ca="1" si="499"/>
        <v>0</v>
      </c>
      <c r="AY552" s="24">
        <f t="shared" ca="1" si="500"/>
        <v>0</v>
      </c>
      <c r="AZ552" s="24">
        <f t="shared" ca="1" si="501"/>
        <v>0</v>
      </c>
      <c r="BA552" s="25">
        <f t="shared" ca="1" si="502"/>
        <v>0</v>
      </c>
      <c r="BB552" s="23">
        <f t="array" aca="1" ref="BB552" ca="1">SUM(IF(w_start_date&lt;=AO552,1,0)*IF(w_end_date&gt;=AO552,1,0)*w_amount*(1+w_escalation/100)^(INT((AP552-w_months_since_start)/12))*IF(MOD(AP552-w_months_since_start,w_frequency)=0,1,0)*IF(w_frequency=13,0,1))+SUM(IF(w_start_date=AO552,w_amount,0)*IF(w_frequency=13,1,0))</f>
        <v>0</v>
      </c>
      <c r="BC552" s="25">
        <f t="shared" ca="1" si="503"/>
        <v>0</v>
      </c>
      <c r="BD552" s="24" t="b">
        <f t="shared" ca="1" si="504"/>
        <v>1</v>
      </c>
      <c r="BE552" s="24" t="b">
        <f t="shared" ca="1" si="505"/>
        <v>1</v>
      </c>
      <c r="BF552" s="23">
        <f t="array" aca="1" ref="BF552" ca="1">SUM(IF(BD552,1,0)*IF(ap_start_date&lt;=AO552,1,0)*IF(ap_end_date&gt;=AO552,1,0)*ap_amount*(1+ap_escalation/100)^(INT((AP552-ap_months_since_start)/12))*IF(MOD(AP552-ap_months_since_start,ap_frequency)=0,1,0))</f>
        <v>132801.07192059426</v>
      </c>
      <c r="BG552" s="24">
        <f t="shared" ca="1" si="506"/>
        <v>1593612.8630471306</v>
      </c>
      <c r="BH552" s="24">
        <f t="shared" ca="1" si="507"/>
        <v>2502.6044919318319</v>
      </c>
      <c r="BI552">
        <f t="shared" ca="1" si="508"/>
        <v>0</v>
      </c>
      <c r="BJ552" s="24">
        <f t="shared" ca="1" si="509"/>
        <v>17518.231443522818</v>
      </c>
      <c r="BK552">
        <f t="shared" ca="1" si="510"/>
        <v>1</v>
      </c>
      <c r="BL552" s="25">
        <f t="shared" ca="1" si="511"/>
        <v>1459.8526202935686</v>
      </c>
      <c r="BM552" s="32">
        <f t="shared" ca="1" si="490"/>
        <v>95529.088557420808</v>
      </c>
      <c r="BN552" s="23">
        <f t="shared" ca="1" si="512"/>
        <v>0</v>
      </c>
      <c r="BO552" s="24">
        <f t="shared" ca="1" si="513"/>
        <v>0</v>
      </c>
      <c r="BP552" s="25">
        <f t="shared" ca="1" si="514"/>
        <v>0</v>
      </c>
      <c r="BQ552" s="34">
        <f t="shared" ca="1" si="515"/>
        <v>62213</v>
      </c>
      <c r="BR552" s="23">
        <f t="shared" ca="1" si="516"/>
        <v>95529.088557420808</v>
      </c>
      <c r="BS552" s="24">
        <f t="shared" ca="1" si="517"/>
        <v>0</v>
      </c>
      <c r="BT552" s="24">
        <f t="shared" ca="1" si="522"/>
        <v>0</v>
      </c>
      <c r="BU552" s="24">
        <f t="shared" ca="1" si="518"/>
        <v>0</v>
      </c>
      <c r="BV552" s="24">
        <f t="shared" ca="1" si="523"/>
        <v>0</v>
      </c>
      <c r="BW552" s="24">
        <f t="shared" ca="1" si="519"/>
        <v>-1459.8526202935686</v>
      </c>
      <c r="BX552" s="25">
        <f t="shared" ca="1" si="524"/>
        <v>-18420.817383370333</v>
      </c>
      <c r="BY552" s="23">
        <f t="shared" ca="1" si="491"/>
        <v>16089.336729428669</v>
      </c>
      <c r="BZ552" s="24">
        <f t="shared" ca="1" si="492"/>
        <v>0</v>
      </c>
      <c r="CA552" s="24">
        <f t="shared" ca="1" si="525"/>
        <v>0</v>
      </c>
      <c r="CB552" s="24">
        <f t="shared" ca="1" si="493"/>
        <v>0</v>
      </c>
      <c r="CC552" s="24">
        <f t="shared" ca="1" si="526"/>
        <v>0</v>
      </c>
      <c r="CD552" s="24">
        <f t="shared" ca="1" si="494"/>
        <v>-246.67831062536345</v>
      </c>
      <c r="CE552" s="25">
        <f t="shared" ca="1" si="527"/>
        <v>-3170.8378377889949</v>
      </c>
      <c r="CF552" s="23">
        <f t="shared" ca="1" si="528"/>
        <v>1562966.4618346859</v>
      </c>
      <c r="CG552" s="25">
        <f t="array" aca="1" ref="CG552" ca="1">SUM(BF541:BF552/(1+inflation/100)^(AP541:AP552/12))</f>
        <v>267980.53702225379</v>
      </c>
      <c r="CH552" s="32">
        <f ca="1">IFERROR(IF(MOD(AP552-ap_months_since_start,12)=0,ap_drawdown/100*(AQ552+AV552+BA552-BC552),CH551),0)</f>
        <v>15385.423975402025</v>
      </c>
    </row>
    <row r="553" spans="40:86" x14ac:dyDescent="0.25">
      <c r="AN553" s="32">
        <f t="shared" ca="1" si="489"/>
        <v>100.33333333333333</v>
      </c>
      <c r="AO553" s="53">
        <f t="shared" ca="1" si="520"/>
        <v>62214</v>
      </c>
      <c r="AP553" s="22">
        <v>546</v>
      </c>
      <c r="AQ553" s="32">
        <f t="shared" ca="1" si="521"/>
        <v>95529.088557420808</v>
      </c>
      <c r="AR553" s="23">
        <f t="array" aca="1" ref="AR553" ca="1">SUM(IF(lsc_start_date=AO553,lsc_amount,0))</f>
        <v>0</v>
      </c>
      <c r="AS553" s="24">
        <f t="shared" ca="1" si="495"/>
        <v>0</v>
      </c>
      <c r="AT553" s="24">
        <f t="shared" ca="1" si="496"/>
        <v>0</v>
      </c>
      <c r="AU553" s="24">
        <f t="shared" ca="1" si="497"/>
        <v>0</v>
      </c>
      <c r="AV553" s="25">
        <f t="shared" ca="1" si="498"/>
        <v>0</v>
      </c>
      <c r="AW553" s="23">
        <f t="array" aca="1" ref="AW553" ca="1">SUM(IF(rcs_start_date&lt;=AO553,1,0)*IF(rcs_end_date&gt;=AO553,1,0)*rcs_amount*(1+rcs_escalation/100)^(INT((AP553-rcs_months_since_start)/12))*IF(MOD((AP553-rcs_months_since_start),rcs_frequency)=0,1,0)*IF(rcs_frequency=13,0,1))+SUM(IF(rcs_start_date=AO553,rcs_amount,0)*IF(rcs_frequency=13,1,0))</f>
        <v>0</v>
      </c>
      <c r="AX553" s="24">
        <f t="shared" ca="1" si="499"/>
        <v>0</v>
      </c>
      <c r="AY553" s="24">
        <f t="shared" ca="1" si="500"/>
        <v>0</v>
      </c>
      <c r="AZ553" s="24">
        <f t="shared" ca="1" si="501"/>
        <v>0</v>
      </c>
      <c r="BA553" s="25">
        <f t="shared" ca="1" si="502"/>
        <v>0</v>
      </c>
      <c r="BB553" s="23">
        <f t="array" aca="1" ref="BB553" ca="1">SUM(IF(w_start_date&lt;=AO553,1,0)*IF(w_end_date&gt;=AO553,1,0)*w_amount*(1+w_escalation/100)^(INT((AP553-w_months_since_start)/12))*IF(MOD(AP553-w_months_since_start,w_frequency)=0,1,0)*IF(w_frequency=13,0,1))+SUM(IF(w_start_date=AO553,w_amount,0)*IF(w_frequency=13,1,0))</f>
        <v>0</v>
      </c>
      <c r="BC553" s="25">
        <f t="shared" ca="1" si="503"/>
        <v>0</v>
      </c>
      <c r="BD553" s="24" t="b">
        <f t="shared" ca="1" si="504"/>
        <v>1</v>
      </c>
      <c r="BE553" s="24" t="b">
        <f t="shared" ca="1" si="505"/>
        <v>1</v>
      </c>
      <c r="BF553" s="23">
        <f t="array" aca="1" ref="BF553" ca="1">SUM(IF(BD553,1,0)*IF(ap_start_date&lt;=AO553,1,0)*IF(ap_end_date&gt;=AO553,1,0)*ap_amount*(1+ap_escalation/100)^(INT((AP553-ap_months_since_start)/12))*IF(MOD(AP553-ap_months_since_start,ap_frequency)=0,1,0))</f>
        <v>132801.07192059426</v>
      </c>
      <c r="BG553" s="24">
        <f t="shared" ca="1" si="506"/>
        <v>1593612.8630471306</v>
      </c>
      <c r="BH553" s="24">
        <f t="shared" ca="1" si="507"/>
        <v>2502.6044919318319</v>
      </c>
      <c r="BI553">
        <f t="shared" ca="1" si="508"/>
        <v>0</v>
      </c>
      <c r="BJ553" s="24">
        <f t="shared" ca="1" si="509"/>
        <v>17518.231443522818</v>
      </c>
      <c r="BK553">
        <f t="shared" ca="1" si="510"/>
        <v>1</v>
      </c>
      <c r="BL553" s="25">
        <f t="shared" ca="1" si="511"/>
        <v>1459.8526202935686</v>
      </c>
      <c r="BM553" s="32">
        <f t="shared" ca="1" si="490"/>
        <v>94747.223334628055</v>
      </c>
      <c r="BN553" s="23">
        <f t="shared" ca="1" si="512"/>
        <v>0</v>
      </c>
      <c r="BO553" s="24">
        <f t="shared" ca="1" si="513"/>
        <v>0</v>
      </c>
      <c r="BP553" s="25">
        <f t="shared" ca="1" si="514"/>
        <v>0</v>
      </c>
      <c r="BQ553" s="34">
        <f t="shared" ca="1" si="515"/>
        <v>62244</v>
      </c>
      <c r="BR553" s="23">
        <f t="shared" ca="1" si="516"/>
        <v>94747.223334628055</v>
      </c>
      <c r="BS553" s="24">
        <f t="shared" ca="1" si="517"/>
        <v>0</v>
      </c>
      <c r="BT553" s="24">
        <f t="shared" ca="1" si="522"/>
        <v>0</v>
      </c>
      <c r="BU553" s="24">
        <f t="shared" ca="1" si="518"/>
        <v>0</v>
      </c>
      <c r="BV553" s="24">
        <f t="shared" ca="1" si="523"/>
        <v>0</v>
      </c>
      <c r="BW553" s="24">
        <f t="shared" ca="1" si="519"/>
        <v>-1459.8526202935686</v>
      </c>
      <c r="BX553" s="25">
        <f t="shared" ca="1" si="524"/>
        <v>-18270.386393395747</v>
      </c>
      <c r="BY553" s="23">
        <f t="shared" ca="1" si="491"/>
        <v>15905.581571904308</v>
      </c>
      <c r="BZ553" s="24">
        <f t="shared" ca="1" si="492"/>
        <v>0</v>
      </c>
      <c r="CA553" s="24">
        <f t="shared" ca="1" si="525"/>
        <v>0</v>
      </c>
      <c r="CB553" s="24">
        <f t="shared" ca="1" si="493"/>
        <v>0</v>
      </c>
      <c r="CC553" s="24">
        <f t="shared" ca="1" si="526"/>
        <v>0</v>
      </c>
      <c r="CD553" s="24">
        <f t="shared" ca="1" si="494"/>
        <v>-245.87338514303684</v>
      </c>
      <c r="CE553" s="25">
        <f t="shared" ca="1" si="527"/>
        <v>-3134.6533549905012</v>
      </c>
      <c r="CF553" s="23">
        <f t="shared" ca="1" si="528"/>
        <v>1568074.1953700932</v>
      </c>
      <c r="CG553" s="25">
        <f t="array" aca="1" ref="CG553" ca="1">SUM(BF542:BF553/(1+inflation/100)^(AP542:AP553/12))</f>
        <v>267980.53702225379</v>
      </c>
      <c r="CH553" s="32">
        <f ca="1">IFERROR(IF(MOD(AP553-ap_months_since_start,12)=0,ap_drawdown/100*(AQ553+AV553+BA553-BC553),CH552),0)</f>
        <v>15385.423975402025</v>
      </c>
    </row>
    <row r="554" spans="40:86" x14ac:dyDescent="0.25">
      <c r="AN554" s="32">
        <f t="shared" ca="1" si="489"/>
        <v>100.41666666666667</v>
      </c>
      <c r="AO554" s="53">
        <f t="shared" ca="1" si="520"/>
        <v>62245</v>
      </c>
      <c r="AP554" s="22">
        <v>547</v>
      </c>
      <c r="AQ554" s="32">
        <f t="shared" ca="1" si="521"/>
        <v>94747.223334628055</v>
      </c>
      <c r="AR554" s="23">
        <f t="array" aca="1" ref="AR554" ca="1">SUM(IF(lsc_start_date=AO554,lsc_amount,0))</f>
        <v>0</v>
      </c>
      <c r="AS554" s="24">
        <f t="shared" ca="1" si="495"/>
        <v>0</v>
      </c>
      <c r="AT554" s="24">
        <f t="shared" ca="1" si="496"/>
        <v>0</v>
      </c>
      <c r="AU554" s="24">
        <f t="shared" ca="1" si="497"/>
        <v>0</v>
      </c>
      <c r="AV554" s="25">
        <f t="shared" ca="1" si="498"/>
        <v>0</v>
      </c>
      <c r="AW554" s="23">
        <f t="array" aca="1" ref="AW554" ca="1">SUM(IF(rcs_start_date&lt;=AO554,1,0)*IF(rcs_end_date&gt;=AO554,1,0)*rcs_amount*(1+rcs_escalation/100)^(INT((AP554-rcs_months_since_start)/12))*IF(MOD((AP554-rcs_months_since_start),rcs_frequency)=0,1,0)*IF(rcs_frequency=13,0,1))+SUM(IF(rcs_start_date=AO554,rcs_amount,0)*IF(rcs_frequency=13,1,0))</f>
        <v>0</v>
      </c>
      <c r="AX554" s="24">
        <f t="shared" ca="1" si="499"/>
        <v>0</v>
      </c>
      <c r="AY554" s="24">
        <f t="shared" ca="1" si="500"/>
        <v>0</v>
      </c>
      <c r="AZ554" s="24">
        <f t="shared" ca="1" si="501"/>
        <v>0</v>
      </c>
      <c r="BA554" s="25">
        <f t="shared" ca="1" si="502"/>
        <v>0</v>
      </c>
      <c r="BB554" s="23">
        <f t="array" aca="1" ref="BB554" ca="1">SUM(IF(w_start_date&lt;=AO554,1,0)*IF(w_end_date&gt;=AO554,1,0)*w_amount*(1+w_escalation/100)^(INT((AP554-w_months_since_start)/12))*IF(MOD(AP554-w_months_since_start,w_frequency)=0,1,0)*IF(w_frequency=13,0,1))+SUM(IF(w_start_date=AO554,w_amount,0)*IF(w_frequency=13,1,0))</f>
        <v>0</v>
      </c>
      <c r="BC554" s="25">
        <f t="shared" ca="1" si="503"/>
        <v>0</v>
      </c>
      <c r="BD554" s="24" t="b">
        <f t="shared" ca="1" si="504"/>
        <v>1</v>
      </c>
      <c r="BE554" s="24" t="b">
        <f t="shared" ca="1" si="505"/>
        <v>1</v>
      </c>
      <c r="BF554" s="23">
        <f t="array" aca="1" ref="BF554" ca="1">SUM(IF(BD554,1,0)*IF(ap_start_date&lt;=AO554,1,0)*IF(ap_end_date&gt;=AO554,1,0)*ap_amount*(1+ap_escalation/100)^(INT((AP554-ap_months_since_start)/12))*IF(MOD(AP554-ap_months_since_start,ap_frequency)=0,1,0))</f>
        <v>132801.07192059426</v>
      </c>
      <c r="BG554" s="24">
        <f t="shared" ca="1" si="506"/>
        <v>1593612.8630471306</v>
      </c>
      <c r="BH554" s="24">
        <f t="shared" ca="1" si="507"/>
        <v>2502.6044919318319</v>
      </c>
      <c r="BI554">
        <f t="shared" ca="1" si="508"/>
        <v>0</v>
      </c>
      <c r="BJ554" s="24">
        <f t="shared" ca="1" si="509"/>
        <v>17518.231443522818</v>
      </c>
      <c r="BK554">
        <f t="shared" ca="1" si="510"/>
        <v>1</v>
      </c>
      <c r="BL554" s="25">
        <f t="shared" ca="1" si="511"/>
        <v>1459.8526202935686</v>
      </c>
      <c r="BM554" s="32">
        <f t="shared" ca="1" si="490"/>
        <v>93959.722956384998</v>
      </c>
      <c r="BN554" s="23">
        <f t="shared" ca="1" si="512"/>
        <v>0</v>
      </c>
      <c r="BO554" s="24">
        <f t="shared" ca="1" si="513"/>
        <v>0</v>
      </c>
      <c r="BP554" s="25">
        <f t="shared" ca="1" si="514"/>
        <v>0</v>
      </c>
      <c r="BQ554" s="34">
        <f t="shared" ca="1" si="515"/>
        <v>62274</v>
      </c>
      <c r="BR554" s="23">
        <f t="shared" ca="1" si="516"/>
        <v>93959.722956384998</v>
      </c>
      <c r="BS554" s="24">
        <f t="shared" ca="1" si="517"/>
        <v>0</v>
      </c>
      <c r="BT554" s="24">
        <f t="shared" ca="1" si="522"/>
        <v>0</v>
      </c>
      <c r="BU554" s="24">
        <f t="shared" ca="1" si="518"/>
        <v>0</v>
      </c>
      <c r="BV554" s="24">
        <f t="shared" ca="1" si="523"/>
        <v>0</v>
      </c>
      <c r="BW554" s="24">
        <f t="shared" ca="1" si="519"/>
        <v>-1459.8526202935686</v>
      </c>
      <c r="BX554" s="25">
        <f t="shared" ca="1" si="524"/>
        <v>-18119.955403421161</v>
      </c>
      <c r="BY554" s="23">
        <f t="shared" ca="1" si="491"/>
        <v>15721.911401285335</v>
      </c>
      <c r="BZ554" s="24">
        <f t="shared" ca="1" si="492"/>
        <v>0</v>
      </c>
      <c r="CA554" s="24">
        <f t="shared" ca="1" si="525"/>
        <v>0</v>
      </c>
      <c r="CB554" s="24">
        <f t="shared" ca="1" si="493"/>
        <v>0</v>
      </c>
      <c r="CC554" s="24">
        <f t="shared" ca="1" si="526"/>
        <v>0</v>
      </c>
      <c r="CD554" s="24">
        <f t="shared" ca="1" si="494"/>
        <v>-245.07108617874681</v>
      </c>
      <c r="CE554" s="25">
        <f t="shared" ca="1" si="527"/>
        <v>-3098.586944235697</v>
      </c>
      <c r="CF554" s="23">
        <f t="shared" ca="1" si="528"/>
        <v>1573181.9289055008</v>
      </c>
      <c r="CG554" s="25">
        <f t="array" aca="1" ref="CG554" ca="1">SUM(BF543:BF554/(1+inflation/100)^(AP543:AP554/12))</f>
        <v>267980.53702225379</v>
      </c>
      <c r="CH554" s="32">
        <f ca="1">IFERROR(IF(MOD(AP554-ap_months_since_start,12)=0,ap_drawdown/100*(AQ554+AV554+BA554-BC554),CH553),0)</f>
        <v>15385.423975402025</v>
      </c>
    </row>
    <row r="555" spans="40:86" x14ac:dyDescent="0.25">
      <c r="AN555" s="32">
        <f t="shared" ca="1" si="489"/>
        <v>100.5</v>
      </c>
      <c r="AO555" s="53">
        <f t="shared" ca="1" si="520"/>
        <v>62275</v>
      </c>
      <c r="AP555" s="22">
        <v>548</v>
      </c>
      <c r="AQ555" s="32">
        <f t="shared" ca="1" si="521"/>
        <v>93959.722956384998</v>
      </c>
      <c r="AR555" s="23">
        <f t="array" aca="1" ref="AR555" ca="1">SUM(IF(lsc_start_date=AO555,lsc_amount,0))</f>
        <v>0</v>
      </c>
      <c r="AS555" s="24">
        <f t="shared" ca="1" si="495"/>
        <v>0</v>
      </c>
      <c r="AT555" s="24">
        <f t="shared" ca="1" si="496"/>
        <v>0</v>
      </c>
      <c r="AU555" s="24">
        <f t="shared" ca="1" si="497"/>
        <v>0</v>
      </c>
      <c r="AV555" s="25">
        <f t="shared" ca="1" si="498"/>
        <v>0</v>
      </c>
      <c r="AW555" s="23">
        <f t="array" aca="1" ref="AW555" ca="1">SUM(IF(rcs_start_date&lt;=AO555,1,0)*IF(rcs_end_date&gt;=AO555,1,0)*rcs_amount*(1+rcs_escalation/100)^(INT((AP555-rcs_months_since_start)/12))*IF(MOD((AP555-rcs_months_since_start),rcs_frequency)=0,1,0)*IF(rcs_frequency=13,0,1))+SUM(IF(rcs_start_date=AO555,rcs_amount,0)*IF(rcs_frequency=13,1,0))</f>
        <v>0</v>
      </c>
      <c r="AX555" s="24">
        <f t="shared" ca="1" si="499"/>
        <v>0</v>
      </c>
      <c r="AY555" s="24">
        <f t="shared" ca="1" si="500"/>
        <v>0</v>
      </c>
      <c r="AZ555" s="24">
        <f t="shared" ca="1" si="501"/>
        <v>0</v>
      </c>
      <c r="BA555" s="25">
        <f t="shared" ca="1" si="502"/>
        <v>0</v>
      </c>
      <c r="BB555" s="23">
        <f t="array" aca="1" ref="BB555" ca="1">SUM(IF(w_start_date&lt;=AO555,1,0)*IF(w_end_date&gt;=AO555,1,0)*w_amount*(1+w_escalation/100)^(INT((AP555-w_months_since_start)/12))*IF(MOD(AP555-w_months_since_start,w_frequency)=0,1,0)*IF(w_frequency=13,0,1))+SUM(IF(w_start_date=AO555,w_amount,0)*IF(w_frequency=13,1,0))</f>
        <v>0</v>
      </c>
      <c r="BC555" s="25">
        <f t="shared" ca="1" si="503"/>
        <v>0</v>
      </c>
      <c r="BD555" s="24" t="b">
        <f t="shared" ca="1" si="504"/>
        <v>1</v>
      </c>
      <c r="BE555" s="24" t="b">
        <f t="shared" ca="1" si="505"/>
        <v>1</v>
      </c>
      <c r="BF555" s="23">
        <f t="array" aca="1" ref="BF555" ca="1">SUM(IF(BD555,1,0)*IF(ap_start_date&lt;=AO555,1,0)*IF(ap_end_date&gt;=AO555,1,0)*ap_amount*(1+ap_escalation/100)^(INT((AP555-ap_months_since_start)/12))*IF(MOD(AP555-ap_months_since_start,ap_frequency)=0,1,0))</f>
        <v>132801.07192059426</v>
      </c>
      <c r="BG555" s="24">
        <f t="shared" ca="1" si="506"/>
        <v>1593612.8630471306</v>
      </c>
      <c r="BH555" s="24">
        <f t="shared" ca="1" si="507"/>
        <v>2502.6044919318319</v>
      </c>
      <c r="BI555">
        <f t="shared" ca="1" si="508"/>
        <v>0</v>
      </c>
      <c r="BJ555" s="24">
        <f t="shared" ca="1" si="509"/>
        <v>17518.231443522818</v>
      </c>
      <c r="BK555">
        <f t="shared" ca="1" si="510"/>
        <v>1</v>
      </c>
      <c r="BL555" s="25">
        <f t="shared" ca="1" si="511"/>
        <v>1459.8526202935686</v>
      </c>
      <c r="BM555" s="32">
        <f t="shared" ca="1" si="490"/>
        <v>93166.546808304352</v>
      </c>
      <c r="BN555" s="23">
        <f t="shared" ca="1" si="512"/>
        <v>0</v>
      </c>
      <c r="BO555" s="24">
        <f t="shared" ca="1" si="513"/>
        <v>0</v>
      </c>
      <c r="BP555" s="25">
        <f t="shared" ca="1" si="514"/>
        <v>0</v>
      </c>
      <c r="BQ555" s="34">
        <f t="shared" ca="1" si="515"/>
        <v>62305</v>
      </c>
      <c r="BR555" s="23">
        <f t="shared" ca="1" si="516"/>
        <v>93166.546808304352</v>
      </c>
      <c r="BS555" s="24">
        <f t="shared" ca="1" si="517"/>
        <v>0</v>
      </c>
      <c r="BT555" s="24">
        <f t="shared" ca="1" si="522"/>
        <v>0</v>
      </c>
      <c r="BU555" s="24">
        <f t="shared" ca="1" si="518"/>
        <v>0</v>
      </c>
      <c r="BV555" s="24">
        <f t="shared" ca="1" si="523"/>
        <v>0</v>
      </c>
      <c r="BW555" s="24">
        <f t="shared" ca="1" si="519"/>
        <v>-1459.8526202935686</v>
      </c>
      <c r="BX555" s="25">
        <f t="shared" ca="1" si="524"/>
        <v>-17969.524413446576</v>
      </c>
      <c r="BY555" s="23">
        <f t="shared" ca="1" si="491"/>
        <v>15538.323922572135</v>
      </c>
      <c r="BZ555" s="24">
        <f t="shared" ca="1" si="492"/>
        <v>0</v>
      </c>
      <c r="CA555" s="24">
        <f t="shared" ca="1" si="525"/>
        <v>0</v>
      </c>
      <c r="CB555" s="24">
        <f t="shared" ca="1" si="493"/>
        <v>0</v>
      </c>
      <c r="CC555" s="24">
        <f t="shared" ca="1" si="526"/>
        <v>0</v>
      </c>
      <c r="CD555" s="24">
        <f t="shared" ca="1" si="494"/>
        <v>-244.27140516201422</v>
      </c>
      <c r="CE555" s="25">
        <f t="shared" ca="1" si="527"/>
        <v>-3062.6382202487271</v>
      </c>
      <c r="CF555" s="23">
        <f t="shared" ca="1" si="528"/>
        <v>1578289.6624409081</v>
      </c>
      <c r="CG555" s="25">
        <f t="array" aca="1" ref="CG555" ca="1">SUM(BF544:BF555/(1+inflation/100)^(AP544:AP555/12))</f>
        <v>267980.53702225385</v>
      </c>
      <c r="CH555" s="32">
        <f ca="1">IFERROR(IF(MOD(AP555-ap_months_since_start,12)=0,ap_drawdown/100*(AQ555+AV555+BA555-BC555),CH554),0)</f>
        <v>15385.423975402025</v>
      </c>
    </row>
    <row r="556" spans="40:86" x14ac:dyDescent="0.25">
      <c r="AN556" s="32">
        <f t="shared" ca="1" si="489"/>
        <v>100.58333333333333</v>
      </c>
      <c r="AO556" s="53">
        <f t="shared" ca="1" si="520"/>
        <v>62306</v>
      </c>
      <c r="AP556" s="22">
        <v>549</v>
      </c>
      <c r="AQ556" s="32">
        <f t="shared" ca="1" si="521"/>
        <v>93166.546808304352</v>
      </c>
      <c r="AR556" s="23">
        <f t="array" aca="1" ref="AR556" ca="1">SUM(IF(lsc_start_date=AO556,lsc_amount,0))</f>
        <v>0</v>
      </c>
      <c r="AS556" s="24">
        <f t="shared" ca="1" si="495"/>
        <v>0</v>
      </c>
      <c r="AT556" s="24">
        <f t="shared" ca="1" si="496"/>
        <v>0</v>
      </c>
      <c r="AU556" s="24">
        <f t="shared" ca="1" si="497"/>
        <v>0</v>
      </c>
      <c r="AV556" s="25">
        <f t="shared" ca="1" si="498"/>
        <v>0</v>
      </c>
      <c r="AW556" s="23">
        <f t="array" aca="1" ref="AW556" ca="1">SUM(IF(rcs_start_date&lt;=AO556,1,0)*IF(rcs_end_date&gt;=AO556,1,0)*rcs_amount*(1+rcs_escalation/100)^(INT((AP556-rcs_months_since_start)/12))*IF(MOD((AP556-rcs_months_since_start),rcs_frequency)=0,1,0)*IF(rcs_frequency=13,0,1))+SUM(IF(rcs_start_date=AO556,rcs_amount,0)*IF(rcs_frequency=13,1,0))</f>
        <v>0</v>
      </c>
      <c r="AX556" s="24">
        <f t="shared" ca="1" si="499"/>
        <v>0</v>
      </c>
      <c r="AY556" s="24">
        <f t="shared" ca="1" si="500"/>
        <v>0</v>
      </c>
      <c r="AZ556" s="24">
        <f t="shared" ca="1" si="501"/>
        <v>0</v>
      </c>
      <c r="BA556" s="25">
        <f t="shared" ca="1" si="502"/>
        <v>0</v>
      </c>
      <c r="BB556" s="23">
        <f t="array" aca="1" ref="BB556" ca="1">SUM(IF(w_start_date&lt;=AO556,1,0)*IF(w_end_date&gt;=AO556,1,0)*w_amount*(1+w_escalation/100)^(INT((AP556-w_months_since_start)/12))*IF(MOD(AP556-w_months_since_start,w_frequency)=0,1,0)*IF(w_frequency=13,0,1))+SUM(IF(w_start_date=AO556,w_amount,0)*IF(w_frequency=13,1,0))</f>
        <v>0</v>
      </c>
      <c r="BC556" s="25">
        <f t="shared" ca="1" si="503"/>
        <v>0</v>
      </c>
      <c r="BD556" s="24" t="b">
        <f t="shared" ca="1" si="504"/>
        <v>1</v>
      </c>
      <c r="BE556" s="24" t="b">
        <f t="shared" ca="1" si="505"/>
        <v>1</v>
      </c>
      <c r="BF556" s="23">
        <f t="array" aca="1" ref="BF556" ca="1">SUM(IF(BD556,1,0)*IF(ap_start_date&lt;=AO556,1,0)*IF(ap_end_date&gt;=AO556,1,0)*ap_amount*(1+ap_escalation/100)^(INT((AP556-ap_months_since_start)/12))*IF(MOD(AP556-ap_months_since_start,ap_frequency)=0,1,0))</f>
        <v>132801.07192059426</v>
      </c>
      <c r="BG556" s="24">
        <f t="shared" ca="1" si="506"/>
        <v>1593612.8630471306</v>
      </c>
      <c r="BH556" s="24">
        <f t="shared" ca="1" si="507"/>
        <v>2502.6044919318319</v>
      </c>
      <c r="BI556">
        <f t="shared" ca="1" si="508"/>
        <v>0</v>
      </c>
      <c r="BJ556" s="24">
        <f t="shared" ca="1" si="509"/>
        <v>17518.231443522818</v>
      </c>
      <c r="BK556">
        <f t="shared" ca="1" si="510"/>
        <v>1</v>
      </c>
      <c r="BL556" s="25">
        <f t="shared" ca="1" si="511"/>
        <v>1459.8526202935686</v>
      </c>
      <c r="BM556" s="32">
        <f t="shared" ca="1" si="490"/>
        <v>92367.653983277851</v>
      </c>
      <c r="BN556" s="23">
        <f t="shared" ca="1" si="512"/>
        <v>0</v>
      </c>
      <c r="BO556" s="24">
        <f t="shared" ca="1" si="513"/>
        <v>0</v>
      </c>
      <c r="BP556" s="25">
        <f t="shared" ca="1" si="514"/>
        <v>0</v>
      </c>
      <c r="BQ556" s="34">
        <f t="shared" ca="1" si="515"/>
        <v>62336</v>
      </c>
      <c r="BR556" s="23">
        <f t="shared" ca="1" si="516"/>
        <v>92367.653983277851</v>
      </c>
      <c r="BS556" s="24">
        <f t="shared" ca="1" si="517"/>
        <v>0</v>
      </c>
      <c r="BT556" s="24">
        <f t="shared" ca="1" si="522"/>
        <v>0</v>
      </c>
      <c r="BU556" s="24">
        <f t="shared" ca="1" si="518"/>
        <v>0</v>
      </c>
      <c r="BV556" s="24">
        <f t="shared" ca="1" si="523"/>
        <v>0</v>
      </c>
      <c r="BW556" s="24">
        <f t="shared" ca="1" si="519"/>
        <v>-1459.8526202935686</v>
      </c>
      <c r="BX556" s="25">
        <f t="shared" ca="1" si="524"/>
        <v>-17819.09342347199</v>
      </c>
      <c r="BY556" s="23">
        <f t="shared" ca="1" si="491"/>
        <v>15354.816840342961</v>
      </c>
      <c r="BZ556" s="24">
        <f t="shared" ca="1" si="492"/>
        <v>0</v>
      </c>
      <c r="CA556" s="24">
        <f t="shared" ca="1" si="525"/>
        <v>0</v>
      </c>
      <c r="CB556" s="24">
        <f t="shared" ca="1" si="493"/>
        <v>0</v>
      </c>
      <c r="CC556" s="24">
        <f t="shared" ca="1" si="526"/>
        <v>0</v>
      </c>
      <c r="CD556" s="24">
        <f t="shared" ca="1" si="494"/>
        <v>-243.47433355032621</v>
      </c>
      <c r="CE556" s="25">
        <f t="shared" ca="1" si="527"/>
        <v>-3026.8067990109166</v>
      </c>
      <c r="CF556" s="23">
        <f t="shared" ca="1" si="528"/>
        <v>1583397.3959763157</v>
      </c>
      <c r="CG556" s="25">
        <f t="array" aca="1" ref="CG556" ca="1">SUM(BF545:BF556/(1+inflation/100)^(AP545:AP556/12))</f>
        <v>267980.53702225385</v>
      </c>
      <c r="CH556" s="32">
        <f ca="1">IFERROR(IF(MOD(AP556-ap_months_since_start,12)=0,ap_drawdown/100*(AQ556+AV556+BA556-BC556),CH555),0)</f>
        <v>15385.423975402025</v>
      </c>
    </row>
    <row r="557" spans="40:86" x14ac:dyDescent="0.25">
      <c r="AN557" s="32">
        <f t="shared" ca="1" si="489"/>
        <v>100.66666666666667</v>
      </c>
      <c r="AO557" s="53">
        <f t="shared" ca="1" si="520"/>
        <v>62337</v>
      </c>
      <c r="AP557" s="22">
        <v>550</v>
      </c>
      <c r="AQ557" s="32">
        <f t="shared" ca="1" si="521"/>
        <v>92367.653983277851</v>
      </c>
      <c r="AR557" s="23">
        <f t="array" aca="1" ref="AR557" ca="1">SUM(IF(lsc_start_date=AO557,lsc_amount,0))</f>
        <v>0</v>
      </c>
      <c r="AS557" s="24">
        <f t="shared" ca="1" si="495"/>
        <v>0</v>
      </c>
      <c r="AT557" s="24">
        <f t="shared" ca="1" si="496"/>
        <v>0</v>
      </c>
      <c r="AU557" s="24">
        <f t="shared" ca="1" si="497"/>
        <v>0</v>
      </c>
      <c r="AV557" s="25">
        <f t="shared" ca="1" si="498"/>
        <v>0</v>
      </c>
      <c r="AW557" s="23">
        <f t="array" aca="1" ref="AW557" ca="1">SUM(IF(rcs_start_date&lt;=AO557,1,0)*IF(rcs_end_date&gt;=AO557,1,0)*rcs_amount*(1+rcs_escalation/100)^(INT((AP557-rcs_months_since_start)/12))*IF(MOD((AP557-rcs_months_since_start),rcs_frequency)=0,1,0)*IF(rcs_frequency=13,0,1))+SUM(IF(rcs_start_date=AO557,rcs_amount,0)*IF(rcs_frequency=13,1,0))</f>
        <v>0</v>
      </c>
      <c r="AX557" s="24">
        <f t="shared" ca="1" si="499"/>
        <v>0</v>
      </c>
      <c r="AY557" s="24">
        <f t="shared" ca="1" si="500"/>
        <v>0</v>
      </c>
      <c r="AZ557" s="24">
        <f t="shared" ca="1" si="501"/>
        <v>0</v>
      </c>
      <c r="BA557" s="25">
        <f t="shared" ca="1" si="502"/>
        <v>0</v>
      </c>
      <c r="BB557" s="23">
        <f t="array" aca="1" ref="BB557" ca="1">SUM(IF(w_start_date&lt;=AO557,1,0)*IF(w_end_date&gt;=AO557,1,0)*w_amount*(1+w_escalation/100)^(INT((AP557-w_months_since_start)/12))*IF(MOD(AP557-w_months_since_start,w_frequency)=0,1,0)*IF(w_frequency=13,0,1))+SUM(IF(w_start_date=AO557,w_amount,0)*IF(w_frequency=13,1,0))</f>
        <v>0</v>
      </c>
      <c r="BC557" s="25">
        <f t="shared" ca="1" si="503"/>
        <v>0</v>
      </c>
      <c r="BD557" s="24" t="b">
        <f t="shared" ca="1" si="504"/>
        <v>1</v>
      </c>
      <c r="BE557" s="24" t="b">
        <f t="shared" ca="1" si="505"/>
        <v>1</v>
      </c>
      <c r="BF557" s="23">
        <f t="array" aca="1" ref="BF557" ca="1">SUM(IF(BD557,1,0)*IF(ap_start_date&lt;=AO557,1,0)*IF(ap_end_date&gt;=AO557,1,0)*ap_amount*(1+ap_escalation/100)^(INT((AP557-ap_months_since_start)/12))*IF(MOD(AP557-ap_months_since_start,ap_frequency)=0,1,0))</f>
        <v>132801.07192059426</v>
      </c>
      <c r="BG557" s="24">
        <f t="shared" ca="1" si="506"/>
        <v>1593612.8630471306</v>
      </c>
      <c r="BH557" s="24">
        <f t="shared" ca="1" si="507"/>
        <v>2502.6044919318319</v>
      </c>
      <c r="BI557">
        <f t="shared" ca="1" si="508"/>
        <v>0</v>
      </c>
      <c r="BJ557" s="24">
        <f t="shared" ca="1" si="509"/>
        <v>17518.231443522818</v>
      </c>
      <c r="BK557">
        <f t="shared" ca="1" si="510"/>
        <v>1</v>
      </c>
      <c r="BL557" s="25">
        <f t="shared" ca="1" si="511"/>
        <v>1459.8526202935686</v>
      </c>
      <c r="BM557" s="32">
        <f t="shared" ca="1" si="490"/>
        <v>91563.003279366443</v>
      </c>
      <c r="BN557" s="23">
        <f t="shared" ca="1" si="512"/>
        <v>0</v>
      </c>
      <c r="BO557" s="24">
        <f t="shared" ca="1" si="513"/>
        <v>0</v>
      </c>
      <c r="BP557" s="25">
        <f t="shared" ca="1" si="514"/>
        <v>0</v>
      </c>
      <c r="BQ557" s="34">
        <f t="shared" ca="1" si="515"/>
        <v>62366</v>
      </c>
      <c r="BR557" s="23">
        <f t="shared" ca="1" si="516"/>
        <v>91563.003279366443</v>
      </c>
      <c r="BS557" s="24">
        <f t="shared" ca="1" si="517"/>
        <v>0</v>
      </c>
      <c r="BT557" s="24">
        <f t="shared" ca="1" si="522"/>
        <v>0</v>
      </c>
      <c r="BU557" s="24">
        <f t="shared" ca="1" si="518"/>
        <v>0</v>
      </c>
      <c r="BV557" s="24">
        <f t="shared" ca="1" si="523"/>
        <v>0</v>
      </c>
      <c r="BW557" s="24">
        <f t="shared" ca="1" si="519"/>
        <v>-1459.8526202935686</v>
      </c>
      <c r="BX557" s="25">
        <f t="shared" ca="1" si="524"/>
        <v>-17668.662433497408</v>
      </c>
      <c r="BY557" s="23">
        <f t="shared" ca="1" si="491"/>
        <v>15171.387858724329</v>
      </c>
      <c r="BZ557" s="24">
        <f t="shared" ca="1" si="492"/>
        <v>0</v>
      </c>
      <c r="CA557" s="24">
        <f t="shared" ca="1" si="525"/>
        <v>0</v>
      </c>
      <c r="CB557" s="24">
        <f t="shared" ca="1" si="493"/>
        <v>0</v>
      </c>
      <c r="CC557" s="24">
        <f t="shared" ca="1" si="526"/>
        <v>0</v>
      </c>
      <c r="CD557" s="24">
        <f t="shared" ca="1" si="494"/>
        <v>-242.67986282904417</v>
      </c>
      <c r="CE557" s="25">
        <f t="shared" ca="1" si="527"/>
        <v>-2991.0922977566634</v>
      </c>
      <c r="CF557" s="23">
        <f t="shared" ca="1" si="528"/>
        <v>1588505.1295117231</v>
      </c>
      <c r="CG557" s="25">
        <f t="array" aca="1" ref="CG557" ca="1">SUM(BF546:BF557/(1+inflation/100)^(AP546:AP557/12))</f>
        <v>267980.53702225385</v>
      </c>
      <c r="CH557" s="32">
        <f ca="1">IFERROR(IF(MOD(AP557-ap_months_since_start,12)=0,ap_drawdown/100*(AQ557+AV557+BA557-BC557),CH556),0)</f>
        <v>15385.423975402025</v>
      </c>
    </row>
    <row r="558" spans="40:86" x14ac:dyDescent="0.25">
      <c r="AN558" s="32">
        <f t="shared" ca="1" si="489"/>
        <v>100.75</v>
      </c>
      <c r="AO558" s="53">
        <f t="shared" ca="1" si="520"/>
        <v>62367</v>
      </c>
      <c r="AP558" s="22">
        <v>551</v>
      </c>
      <c r="AQ558" s="32">
        <f t="shared" ca="1" si="521"/>
        <v>91563.003279366443</v>
      </c>
      <c r="AR558" s="23">
        <f t="array" aca="1" ref="AR558" ca="1">SUM(IF(lsc_start_date=AO558,lsc_amount,0))</f>
        <v>0</v>
      </c>
      <c r="AS558" s="24">
        <f t="shared" ca="1" si="495"/>
        <v>0</v>
      </c>
      <c r="AT558" s="24">
        <f t="shared" ca="1" si="496"/>
        <v>0</v>
      </c>
      <c r="AU558" s="24">
        <f t="shared" ca="1" si="497"/>
        <v>0</v>
      </c>
      <c r="AV558" s="25">
        <f t="shared" ca="1" si="498"/>
        <v>0</v>
      </c>
      <c r="AW558" s="23">
        <f t="array" aca="1" ref="AW558" ca="1">SUM(IF(rcs_start_date&lt;=AO558,1,0)*IF(rcs_end_date&gt;=AO558,1,0)*rcs_amount*(1+rcs_escalation/100)^(INT((AP558-rcs_months_since_start)/12))*IF(MOD((AP558-rcs_months_since_start),rcs_frequency)=0,1,0)*IF(rcs_frequency=13,0,1))+SUM(IF(rcs_start_date=AO558,rcs_amount,0)*IF(rcs_frequency=13,1,0))</f>
        <v>0</v>
      </c>
      <c r="AX558" s="24">
        <f t="shared" ca="1" si="499"/>
        <v>0</v>
      </c>
      <c r="AY558" s="24">
        <f t="shared" ca="1" si="500"/>
        <v>0</v>
      </c>
      <c r="AZ558" s="24">
        <f t="shared" ca="1" si="501"/>
        <v>0</v>
      </c>
      <c r="BA558" s="25">
        <f t="shared" ca="1" si="502"/>
        <v>0</v>
      </c>
      <c r="BB558" s="23">
        <f t="array" aca="1" ref="BB558" ca="1">SUM(IF(w_start_date&lt;=AO558,1,0)*IF(w_end_date&gt;=AO558,1,0)*w_amount*(1+w_escalation/100)^(INT((AP558-w_months_since_start)/12))*IF(MOD(AP558-w_months_since_start,w_frequency)=0,1,0)*IF(w_frequency=13,0,1))+SUM(IF(w_start_date=AO558,w_amount,0)*IF(w_frequency=13,1,0))</f>
        <v>0</v>
      </c>
      <c r="BC558" s="25">
        <f t="shared" ca="1" si="503"/>
        <v>0</v>
      </c>
      <c r="BD558" s="24" t="b">
        <f t="shared" ca="1" si="504"/>
        <v>1</v>
      </c>
      <c r="BE558" s="24" t="b">
        <f t="shared" ca="1" si="505"/>
        <v>1</v>
      </c>
      <c r="BF558" s="23">
        <f t="array" aca="1" ref="BF558" ca="1">SUM(IF(BD558,1,0)*IF(ap_start_date&lt;=AO558,1,0)*IF(ap_end_date&gt;=AO558,1,0)*ap_amount*(1+ap_escalation/100)^(INT((AP558-ap_months_since_start)/12))*IF(MOD(AP558-ap_months_since_start,ap_frequency)=0,1,0))</f>
        <v>132801.07192059426</v>
      </c>
      <c r="BG558" s="24">
        <f t="shared" ca="1" si="506"/>
        <v>1593612.8630471306</v>
      </c>
      <c r="BH558" s="24">
        <f t="shared" ca="1" si="507"/>
        <v>2502.6044919318319</v>
      </c>
      <c r="BI558">
        <f t="shared" ca="1" si="508"/>
        <v>0</v>
      </c>
      <c r="BJ558" s="24">
        <f t="shared" ca="1" si="509"/>
        <v>17518.231443522818</v>
      </c>
      <c r="BK558">
        <f t="shared" ca="1" si="510"/>
        <v>1</v>
      </c>
      <c r="BL558" s="25">
        <f t="shared" ca="1" si="511"/>
        <v>1459.8526202935686</v>
      </c>
      <c r="BM558" s="32">
        <f t="shared" ca="1" si="490"/>
        <v>90752.553197675385</v>
      </c>
      <c r="BN558" s="23">
        <f t="shared" ca="1" si="512"/>
        <v>0</v>
      </c>
      <c r="BO558" s="24">
        <f t="shared" ca="1" si="513"/>
        <v>0</v>
      </c>
      <c r="BP558" s="25">
        <f t="shared" ca="1" si="514"/>
        <v>0</v>
      </c>
      <c r="BQ558" s="34">
        <f t="shared" ca="1" si="515"/>
        <v>62397</v>
      </c>
      <c r="BR558" s="23">
        <f t="shared" ca="1" si="516"/>
        <v>90752.553197675385</v>
      </c>
      <c r="BS558" s="24">
        <f t="shared" ca="1" si="517"/>
        <v>0</v>
      </c>
      <c r="BT558" s="24">
        <f t="shared" ca="1" si="522"/>
        <v>0</v>
      </c>
      <c r="BU558" s="24">
        <f t="shared" ca="1" si="518"/>
        <v>0</v>
      </c>
      <c r="BV558" s="24">
        <f t="shared" ca="1" si="523"/>
        <v>0</v>
      </c>
      <c r="BW558" s="24">
        <f t="shared" ca="1" si="519"/>
        <v>-1459.8526202935686</v>
      </c>
      <c r="BX558" s="25">
        <f t="shared" ca="1" si="524"/>
        <v>-17518.231443522822</v>
      </c>
      <c r="BY558" s="23">
        <f t="shared" ca="1" si="491"/>
        <v>14988.034681361347</v>
      </c>
      <c r="BZ558" s="24">
        <f t="shared" ca="1" si="492"/>
        <v>0</v>
      </c>
      <c r="CA558" s="24">
        <f t="shared" ca="1" si="525"/>
        <v>0</v>
      </c>
      <c r="CB558" s="24">
        <f t="shared" ca="1" si="493"/>
        <v>0</v>
      </c>
      <c r="CC558" s="24">
        <f t="shared" ca="1" si="526"/>
        <v>0</v>
      </c>
      <c r="CD558" s="24">
        <f t="shared" ca="1" si="494"/>
        <v>-241.88798451131359</v>
      </c>
      <c r="CE558" s="25">
        <f t="shared" ca="1" si="527"/>
        <v>-2955.4943349693526</v>
      </c>
      <c r="CF558" s="23">
        <f t="shared" ca="1" si="528"/>
        <v>1593612.8630471306</v>
      </c>
      <c r="CG558" s="25">
        <f t="array" aca="1" ref="CG558" ca="1">SUM(BF547:BF558/(1+inflation/100)^(AP547:AP558/12))</f>
        <v>267980.53702225385</v>
      </c>
      <c r="CH558" s="32">
        <f ca="1">IFERROR(IF(MOD(AP558-ap_months_since_start,12)=0,ap_drawdown/100*(AQ558+AV558+BA558-BC558),CH557),0)</f>
        <v>15385.423975402025</v>
      </c>
    </row>
    <row r="559" spans="40:86" x14ac:dyDescent="0.25">
      <c r="AN559" s="32">
        <f t="shared" ca="1" si="489"/>
        <v>100.83333333333333</v>
      </c>
      <c r="AO559" s="53">
        <f t="shared" ca="1" si="520"/>
        <v>62398</v>
      </c>
      <c r="AP559" s="22">
        <v>552</v>
      </c>
      <c r="AQ559" s="32">
        <f t="shared" ca="1" si="521"/>
        <v>90752.553197675385</v>
      </c>
      <c r="AR559" s="23">
        <f t="array" aca="1" ref="AR559" ca="1">SUM(IF(lsc_start_date=AO559,lsc_amount,0))</f>
        <v>0</v>
      </c>
      <c r="AS559" s="24">
        <f t="shared" ca="1" si="495"/>
        <v>0</v>
      </c>
      <c r="AT559" s="24">
        <f t="shared" ca="1" si="496"/>
        <v>0</v>
      </c>
      <c r="AU559" s="24">
        <f t="shared" ca="1" si="497"/>
        <v>0</v>
      </c>
      <c r="AV559" s="25">
        <f t="shared" ca="1" si="498"/>
        <v>0</v>
      </c>
      <c r="AW559" s="23">
        <f t="array" aca="1" ref="AW559" ca="1">SUM(IF(rcs_start_date&lt;=AO559,1,0)*IF(rcs_end_date&gt;=AO559,1,0)*rcs_amount*(1+rcs_escalation/100)^(INT((AP559-rcs_months_since_start)/12))*IF(MOD((AP559-rcs_months_since_start),rcs_frequency)=0,1,0)*IF(rcs_frequency=13,0,1))+SUM(IF(rcs_start_date=AO559,rcs_amount,0)*IF(rcs_frequency=13,1,0))</f>
        <v>0</v>
      </c>
      <c r="AX559" s="24">
        <f t="shared" ca="1" si="499"/>
        <v>0</v>
      </c>
      <c r="AY559" s="24">
        <f t="shared" ca="1" si="500"/>
        <v>0</v>
      </c>
      <c r="AZ559" s="24">
        <f t="shared" ca="1" si="501"/>
        <v>0</v>
      </c>
      <c r="BA559" s="25">
        <f t="shared" ca="1" si="502"/>
        <v>0</v>
      </c>
      <c r="BB559" s="23">
        <f t="array" aca="1" ref="BB559" ca="1">SUM(IF(w_start_date&lt;=AO559,1,0)*IF(w_end_date&gt;=AO559,1,0)*w_amount*(1+w_escalation/100)^(INT((AP559-w_months_since_start)/12))*IF(MOD(AP559-w_months_since_start,w_frequency)=0,1,0)*IF(w_frequency=13,0,1))+SUM(IF(w_start_date=AO559,w_amount,0)*IF(w_frequency=13,1,0))</f>
        <v>0</v>
      </c>
      <c r="BC559" s="25">
        <f t="shared" ca="1" si="503"/>
        <v>0</v>
      </c>
      <c r="BD559" s="24" t="b">
        <f t="shared" ca="1" si="504"/>
        <v>1</v>
      </c>
      <c r="BE559" s="24" t="b">
        <f t="shared" ca="1" si="505"/>
        <v>1</v>
      </c>
      <c r="BF559" s="23">
        <f t="array" aca="1" ref="BF559" ca="1">SUM(IF(BD559,1,0)*IF(ap_start_date&lt;=AO559,1,0)*IF(ap_end_date&gt;=AO559,1,0)*ap_amount*(1+ap_escalation/100)^(INT((AP559-ap_months_since_start)/12))*IF(MOD(AP559-ap_months_since_start,ap_frequency)=0,1,0))</f>
        <v>138113.11479741803</v>
      </c>
      <c r="BG559" s="24">
        <f t="shared" ca="1" si="506"/>
        <v>1657357.3775690163</v>
      </c>
      <c r="BH559" s="24">
        <f t="shared" ca="1" si="507"/>
        <v>2268.8138299418847</v>
      </c>
      <c r="BI559">
        <f t="shared" ca="1" si="508"/>
        <v>0</v>
      </c>
      <c r="BJ559" s="24">
        <f t="shared" ca="1" si="509"/>
        <v>15881.696809593192</v>
      </c>
      <c r="BK559">
        <f t="shared" ca="1" si="510"/>
        <v>1</v>
      </c>
      <c r="BL559" s="25">
        <f t="shared" ca="1" si="511"/>
        <v>1323.4747341327661</v>
      </c>
      <c r="BM559" s="32">
        <f t="shared" ca="1" si="490"/>
        <v>90073.622745893532</v>
      </c>
      <c r="BN559" s="23">
        <f t="shared" ca="1" si="512"/>
        <v>0</v>
      </c>
      <c r="BO559" s="24">
        <f t="shared" ca="1" si="513"/>
        <v>0</v>
      </c>
      <c r="BP559" s="25">
        <f t="shared" ca="1" si="514"/>
        <v>0</v>
      </c>
      <c r="BQ559" s="34">
        <f t="shared" ca="1" si="515"/>
        <v>62427</v>
      </c>
      <c r="BR559" s="23">
        <f t="shared" ca="1" si="516"/>
        <v>90073.622745893532</v>
      </c>
      <c r="BS559" s="24">
        <f t="shared" ca="1" si="517"/>
        <v>0</v>
      </c>
      <c r="BT559" s="24">
        <f t="shared" ca="1" si="522"/>
        <v>0</v>
      </c>
      <c r="BU559" s="24">
        <f t="shared" ca="1" si="518"/>
        <v>0</v>
      </c>
      <c r="BV559" s="24">
        <f t="shared" ca="1" si="523"/>
        <v>0</v>
      </c>
      <c r="BW559" s="24">
        <f t="shared" ca="1" si="519"/>
        <v>-1323.4747341327661</v>
      </c>
      <c r="BX559" s="25">
        <f t="shared" ca="1" si="524"/>
        <v>-17381.853557362017</v>
      </c>
      <c r="BY559" s="23">
        <f t="shared" ca="1" si="491"/>
        <v>14827.366503486746</v>
      </c>
      <c r="BZ559" s="24">
        <f t="shared" ca="1" si="492"/>
        <v>0</v>
      </c>
      <c r="CA559" s="24">
        <f t="shared" ca="1" si="525"/>
        <v>0</v>
      </c>
      <c r="CB559" s="24">
        <f t="shared" ca="1" si="493"/>
        <v>0</v>
      </c>
      <c r="CC559" s="24">
        <f t="shared" ca="1" si="526"/>
        <v>0</v>
      </c>
      <c r="CD559" s="24">
        <f t="shared" ca="1" si="494"/>
        <v>-218.57550576985298</v>
      </c>
      <c r="CE559" s="25">
        <f t="shared" ca="1" si="527"/>
        <v>-2923.3272029957134</v>
      </c>
      <c r="CF559" s="23">
        <f t="shared" ca="1" si="528"/>
        <v>1598924.9059239544</v>
      </c>
      <c r="CG559" s="25">
        <f t="array" aca="1" ref="CG559" ca="1">SUM(BF548:BF559/(1+inflation/100)^(AP548:AP559/12))</f>
        <v>267980.53702225379</v>
      </c>
      <c r="CH559" s="32">
        <f ca="1">IFERROR(IF(MOD(AP559-ap_months_since_start,12)=0,ap_drawdown/100*(AQ559+AV559+BA559-BC559),CH558),0)</f>
        <v>13948.133957022557</v>
      </c>
    </row>
    <row r="560" spans="40:86" x14ac:dyDescent="0.25">
      <c r="AN560" s="32">
        <f t="shared" ca="1" si="489"/>
        <v>100.91666666666667</v>
      </c>
      <c r="AO560" s="53">
        <f t="shared" ca="1" si="520"/>
        <v>62428</v>
      </c>
      <c r="AP560" s="22">
        <v>553</v>
      </c>
      <c r="AQ560" s="32">
        <f t="shared" ca="1" si="521"/>
        <v>90073.622745893532</v>
      </c>
      <c r="AR560" s="23">
        <f t="array" aca="1" ref="AR560" ca="1">SUM(IF(lsc_start_date=AO560,lsc_amount,0))</f>
        <v>0</v>
      </c>
      <c r="AS560" s="24">
        <f t="shared" ca="1" si="495"/>
        <v>0</v>
      </c>
      <c r="AT560" s="24">
        <f t="shared" ca="1" si="496"/>
        <v>0</v>
      </c>
      <c r="AU560" s="24">
        <f t="shared" ca="1" si="497"/>
        <v>0</v>
      </c>
      <c r="AV560" s="25">
        <f t="shared" ca="1" si="498"/>
        <v>0</v>
      </c>
      <c r="AW560" s="23">
        <f t="array" aca="1" ref="AW560" ca="1">SUM(IF(rcs_start_date&lt;=AO560,1,0)*IF(rcs_end_date&gt;=AO560,1,0)*rcs_amount*(1+rcs_escalation/100)^(INT((AP560-rcs_months_since_start)/12))*IF(MOD((AP560-rcs_months_since_start),rcs_frequency)=0,1,0)*IF(rcs_frequency=13,0,1))+SUM(IF(rcs_start_date=AO560,rcs_amount,0)*IF(rcs_frequency=13,1,0))</f>
        <v>0</v>
      </c>
      <c r="AX560" s="24">
        <f t="shared" ca="1" si="499"/>
        <v>0</v>
      </c>
      <c r="AY560" s="24">
        <f t="shared" ca="1" si="500"/>
        <v>0</v>
      </c>
      <c r="AZ560" s="24">
        <f t="shared" ca="1" si="501"/>
        <v>0</v>
      </c>
      <c r="BA560" s="25">
        <f t="shared" ca="1" si="502"/>
        <v>0</v>
      </c>
      <c r="BB560" s="23">
        <f t="array" aca="1" ref="BB560" ca="1">SUM(IF(w_start_date&lt;=AO560,1,0)*IF(w_end_date&gt;=AO560,1,0)*w_amount*(1+w_escalation/100)^(INT((AP560-w_months_since_start)/12))*IF(MOD(AP560-w_months_since_start,w_frequency)=0,1,0)*IF(w_frequency=13,0,1))+SUM(IF(w_start_date=AO560,w_amount,0)*IF(w_frequency=13,1,0))</f>
        <v>0</v>
      </c>
      <c r="BC560" s="25">
        <f t="shared" ca="1" si="503"/>
        <v>0</v>
      </c>
      <c r="BD560" s="24" t="b">
        <f t="shared" ca="1" si="504"/>
        <v>1</v>
      </c>
      <c r="BE560" s="24" t="b">
        <f t="shared" ca="1" si="505"/>
        <v>1</v>
      </c>
      <c r="BF560" s="23">
        <f t="array" aca="1" ref="BF560" ca="1">SUM(IF(BD560,1,0)*IF(ap_start_date&lt;=AO560,1,0)*IF(ap_end_date&gt;=AO560,1,0)*ap_amount*(1+ap_escalation/100)^(INT((AP560-ap_months_since_start)/12))*IF(MOD(AP560-ap_months_since_start,ap_frequency)=0,1,0))</f>
        <v>138113.11479741803</v>
      </c>
      <c r="BG560" s="24">
        <f t="shared" ca="1" si="506"/>
        <v>1657357.3775690163</v>
      </c>
      <c r="BH560" s="24">
        <f t="shared" ca="1" si="507"/>
        <v>2268.8138299418847</v>
      </c>
      <c r="BI560">
        <f t="shared" ca="1" si="508"/>
        <v>0</v>
      </c>
      <c r="BJ560" s="24">
        <f t="shared" ca="1" si="509"/>
        <v>15881.696809593192</v>
      </c>
      <c r="BK560">
        <f t="shared" ca="1" si="510"/>
        <v>1</v>
      </c>
      <c r="BL560" s="25">
        <f t="shared" ca="1" si="511"/>
        <v>1323.4747341327661</v>
      </c>
      <c r="BM560" s="32">
        <f t="shared" ca="1" si="490"/>
        <v>89389.799022836523</v>
      </c>
      <c r="BN560" s="23">
        <f t="shared" ca="1" si="512"/>
        <v>0</v>
      </c>
      <c r="BO560" s="24">
        <f t="shared" ca="1" si="513"/>
        <v>0</v>
      </c>
      <c r="BP560" s="25">
        <f t="shared" ca="1" si="514"/>
        <v>0</v>
      </c>
      <c r="BQ560" s="34">
        <f t="shared" ca="1" si="515"/>
        <v>62458</v>
      </c>
      <c r="BR560" s="23">
        <f t="shared" ca="1" si="516"/>
        <v>89389.799022836523</v>
      </c>
      <c r="BS560" s="24">
        <f t="shared" ca="1" si="517"/>
        <v>0</v>
      </c>
      <c r="BT560" s="24">
        <f t="shared" ca="1" si="522"/>
        <v>0</v>
      </c>
      <c r="BU560" s="24">
        <f t="shared" ca="1" si="518"/>
        <v>0</v>
      </c>
      <c r="BV560" s="24">
        <f t="shared" ca="1" si="523"/>
        <v>0</v>
      </c>
      <c r="BW560" s="24">
        <f t="shared" ca="1" si="519"/>
        <v>-1323.4747341327661</v>
      </c>
      <c r="BX560" s="25">
        <f t="shared" ca="1" si="524"/>
        <v>-17245.475671201217</v>
      </c>
      <c r="BY560" s="23">
        <f t="shared" ca="1" si="491"/>
        <v>14666.784406961788</v>
      </c>
      <c r="BZ560" s="24">
        <f t="shared" ca="1" si="492"/>
        <v>0</v>
      </c>
      <c r="CA560" s="24">
        <f t="shared" ca="1" si="525"/>
        <v>0</v>
      </c>
      <c r="CB560" s="24">
        <f t="shared" ca="1" si="493"/>
        <v>0</v>
      </c>
      <c r="CC560" s="24">
        <f t="shared" ca="1" si="526"/>
        <v>0</v>
      </c>
      <c r="CD560" s="24">
        <f t="shared" ca="1" si="494"/>
        <v>-217.86228135234904</v>
      </c>
      <c r="CE560" s="25">
        <f t="shared" ca="1" si="527"/>
        <v>-2891.2650342195011</v>
      </c>
      <c r="CF560" s="23">
        <f t="shared" ca="1" si="528"/>
        <v>1604236.9488007782</v>
      </c>
      <c r="CG560" s="25">
        <f t="array" aca="1" ref="CG560" ca="1">SUM(BF549:BF560/(1+inflation/100)^(AP549:AP560/12))</f>
        <v>267980.53702225385</v>
      </c>
      <c r="CH560" s="32">
        <f ca="1">IFERROR(IF(MOD(AP560-ap_months_since_start,12)=0,ap_drawdown/100*(AQ560+AV560+BA560-BC560),CH559),0)</f>
        <v>13948.133957022557</v>
      </c>
    </row>
    <row r="561" spans="40:86" x14ac:dyDescent="0.25">
      <c r="AN561" s="32">
        <f t="shared" ca="1" si="489"/>
        <v>101</v>
      </c>
      <c r="AO561" s="53">
        <f t="shared" ca="1" si="520"/>
        <v>62459</v>
      </c>
      <c r="AP561" s="22">
        <v>554</v>
      </c>
      <c r="AQ561" s="32">
        <f t="shared" ca="1" si="521"/>
        <v>89389.799022836523</v>
      </c>
      <c r="AR561" s="23">
        <f t="array" aca="1" ref="AR561" ca="1">SUM(IF(lsc_start_date=AO561,lsc_amount,0))</f>
        <v>0</v>
      </c>
      <c r="AS561" s="24">
        <f t="shared" ca="1" si="495"/>
        <v>0</v>
      </c>
      <c r="AT561" s="24">
        <f t="shared" ca="1" si="496"/>
        <v>0</v>
      </c>
      <c r="AU561" s="24">
        <f t="shared" ca="1" si="497"/>
        <v>0</v>
      </c>
      <c r="AV561" s="25">
        <f t="shared" ca="1" si="498"/>
        <v>0</v>
      </c>
      <c r="AW561" s="23">
        <f t="array" aca="1" ref="AW561" ca="1">SUM(IF(rcs_start_date&lt;=AO561,1,0)*IF(rcs_end_date&gt;=AO561,1,0)*rcs_amount*(1+rcs_escalation/100)^(INT((AP561-rcs_months_since_start)/12))*IF(MOD((AP561-rcs_months_since_start),rcs_frequency)=0,1,0)*IF(rcs_frequency=13,0,1))+SUM(IF(rcs_start_date=AO561,rcs_amount,0)*IF(rcs_frequency=13,1,0))</f>
        <v>0</v>
      </c>
      <c r="AX561" s="24">
        <f t="shared" ca="1" si="499"/>
        <v>0</v>
      </c>
      <c r="AY561" s="24">
        <f t="shared" ca="1" si="500"/>
        <v>0</v>
      </c>
      <c r="AZ561" s="24">
        <f t="shared" ca="1" si="501"/>
        <v>0</v>
      </c>
      <c r="BA561" s="25">
        <f t="shared" ca="1" si="502"/>
        <v>0</v>
      </c>
      <c r="BB561" s="23">
        <f t="array" aca="1" ref="BB561" ca="1">SUM(IF(w_start_date&lt;=AO561,1,0)*IF(w_end_date&gt;=AO561,1,0)*w_amount*(1+w_escalation/100)^(INT((AP561-w_months_since_start)/12))*IF(MOD(AP561-w_months_since_start,w_frequency)=0,1,0)*IF(w_frequency=13,0,1))+SUM(IF(w_start_date=AO561,w_amount,0)*IF(w_frequency=13,1,0))</f>
        <v>0</v>
      </c>
      <c r="BC561" s="25">
        <f t="shared" ca="1" si="503"/>
        <v>0</v>
      </c>
      <c r="BD561" s="24" t="b">
        <f t="shared" ca="1" si="504"/>
        <v>1</v>
      </c>
      <c r="BE561" s="24" t="b">
        <f t="shared" ca="1" si="505"/>
        <v>1</v>
      </c>
      <c r="BF561" s="23">
        <f t="array" aca="1" ref="BF561" ca="1">SUM(IF(BD561,1,0)*IF(ap_start_date&lt;=AO561,1,0)*IF(ap_end_date&gt;=AO561,1,0)*ap_amount*(1+ap_escalation/100)^(INT((AP561-ap_months_since_start)/12))*IF(MOD(AP561-ap_months_since_start,ap_frequency)=0,1,0))</f>
        <v>138113.11479741803</v>
      </c>
      <c r="BG561" s="24">
        <f t="shared" ca="1" si="506"/>
        <v>1657357.3775690163</v>
      </c>
      <c r="BH561" s="24">
        <f t="shared" ca="1" si="507"/>
        <v>2268.8138299418847</v>
      </c>
      <c r="BI561">
        <f t="shared" ca="1" si="508"/>
        <v>0</v>
      </c>
      <c r="BJ561" s="24">
        <f t="shared" ca="1" si="509"/>
        <v>15881.696809593192</v>
      </c>
      <c r="BK561">
        <f t="shared" ca="1" si="510"/>
        <v>1</v>
      </c>
      <c r="BL561" s="25">
        <f t="shared" ca="1" si="511"/>
        <v>1323.4747341327661</v>
      </c>
      <c r="BM561" s="32">
        <f t="shared" ca="1" si="490"/>
        <v>88701.046761116202</v>
      </c>
      <c r="BN561" s="23">
        <f t="shared" ca="1" si="512"/>
        <v>0</v>
      </c>
      <c r="BO561" s="24">
        <f t="shared" ca="1" si="513"/>
        <v>0</v>
      </c>
      <c r="BP561" s="25">
        <f t="shared" ca="1" si="514"/>
        <v>0</v>
      </c>
      <c r="BQ561" s="34">
        <f t="shared" ca="1" si="515"/>
        <v>62489</v>
      </c>
      <c r="BR561" s="23">
        <f t="shared" ca="1" si="516"/>
        <v>88701.046761116202</v>
      </c>
      <c r="BS561" s="24">
        <f t="shared" ca="1" si="517"/>
        <v>0</v>
      </c>
      <c r="BT561" s="24">
        <f t="shared" ca="1" si="522"/>
        <v>0</v>
      </c>
      <c r="BU561" s="24">
        <f t="shared" ca="1" si="518"/>
        <v>0</v>
      </c>
      <c r="BV561" s="24">
        <f t="shared" ca="1" si="523"/>
        <v>0</v>
      </c>
      <c r="BW561" s="24">
        <f t="shared" ca="1" si="519"/>
        <v>-1323.4747341327661</v>
      </c>
      <c r="BX561" s="25">
        <f t="shared" ca="1" si="524"/>
        <v>-17109.097785040412</v>
      </c>
      <c r="BY561" s="23">
        <f t="shared" ca="1" si="491"/>
        <v>14506.286392872804</v>
      </c>
      <c r="BZ561" s="24">
        <f t="shared" ca="1" si="492"/>
        <v>0</v>
      </c>
      <c r="CA561" s="24">
        <f t="shared" ca="1" si="525"/>
        <v>0</v>
      </c>
      <c r="CB561" s="24">
        <f t="shared" ca="1" si="493"/>
        <v>0</v>
      </c>
      <c r="CC561" s="24">
        <f t="shared" ca="1" si="526"/>
        <v>0</v>
      </c>
      <c r="CD561" s="24">
        <f t="shared" ca="1" si="494"/>
        <v>-217.15138422704553</v>
      </c>
      <c r="CE561" s="25">
        <f t="shared" ca="1" si="527"/>
        <v>-2859.3074861397786</v>
      </c>
      <c r="CF561" s="23">
        <f t="shared" ca="1" si="528"/>
        <v>1609548.9916776021</v>
      </c>
      <c r="CG561" s="25">
        <f t="array" aca="1" ref="CG561" ca="1">SUM(BF550:BF561/(1+inflation/100)^(AP550:AP561/12))</f>
        <v>267980.53702225385</v>
      </c>
      <c r="CH561" s="32">
        <f ca="1">IFERROR(IF(MOD(AP561-ap_months_since_start,12)=0,ap_drawdown/100*(AQ561+AV561+BA561-BC561),CH560),0)</f>
        <v>13948.133957022557</v>
      </c>
    </row>
    <row r="562" spans="40:86" x14ac:dyDescent="0.25">
      <c r="AN562" s="32">
        <f t="shared" ca="1" si="489"/>
        <v>101.08333333333333</v>
      </c>
      <c r="AO562" s="53">
        <f t="shared" ca="1" si="520"/>
        <v>62490</v>
      </c>
      <c r="AP562" s="22">
        <v>555</v>
      </c>
      <c r="AQ562" s="32">
        <f t="shared" ca="1" si="521"/>
        <v>88701.046761116202</v>
      </c>
      <c r="AR562" s="23">
        <f t="array" aca="1" ref="AR562" ca="1">SUM(IF(lsc_start_date=AO562,lsc_amount,0))</f>
        <v>0</v>
      </c>
      <c r="AS562" s="24">
        <f t="shared" ca="1" si="495"/>
        <v>0</v>
      </c>
      <c r="AT562" s="24">
        <f t="shared" ca="1" si="496"/>
        <v>0</v>
      </c>
      <c r="AU562" s="24">
        <f t="shared" ca="1" si="497"/>
        <v>0</v>
      </c>
      <c r="AV562" s="25">
        <f t="shared" ca="1" si="498"/>
        <v>0</v>
      </c>
      <c r="AW562" s="23">
        <f t="array" aca="1" ref="AW562" ca="1">SUM(IF(rcs_start_date&lt;=AO562,1,0)*IF(rcs_end_date&gt;=AO562,1,0)*rcs_amount*(1+rcs_escalation/100)^(INT((AP562-rcs_months_since_start)/12))*IF(MOD((AP562-rcs_months_since_start),rcs_frequency)=0,1,0)*IF(rcs_frequency=13,0,1))+SUM(IF(rcs_start_date=AO562,rcs_amount,0)*IF(rcs_frequency=13,1,0))</f>
        <v>0</v>
      </c>
      <c r="AX562" s="24">
        <f t="shared" ca="1" si="499"/>
        <v>0</v>
      </c>
      <c r="AY562" s="24">
        <f t="shared" ca="1" si="500"/>
        <v>0</v>
      </c>
      <c r="AZ562" s="24">
        <f t="shared" ca="1" si="501"/>
        <v>0</v>
      </c>
      <c r="BA562" s="25">
        <f t="shared" ca="1" si="502"/>
        <v>0</v>
      </c>
      <c r="BB562" s="23">
        <f t="array" aca="1" ref="BB562" ca="1">SUM(IF(w_start_date&lt;=AO562,1,0)*IF(w_end_date&gt;=AO562,1,0)*w_amount*(1+w_escalation/100)^(INT((AP562-w_months_since_start)/12))*IF(MOD(AP562-w_months_since_start,w_frequency)=0,1,0)*IF(w_frequency=13,0,1))+SUM(IF(w_start_date=AO562,w_amount,0)*IF(w_frequency=13,1,0))</f>
        <v>0</v>
      </c>
      <c r="BC562" s="25">
        <f t="shared" ca="1" si="503"/>
        <v>0</v>
      </c>
      <c r="BD562" s="24" t="b">
        <f t="shared" ca="1" si="504"/>
        <v>1</v>
      </c>
      <c r="BE562" s="24" t="b">
        <f t="shared" ca="1" si="505"/>
        <v>1</v>
      </c>
      <c r="BF562" s="23">
        <f t="array" aca="1" ref="BF562" ca="1">SUM(IF(BD562,1,0)*IF(ap_start_date&lt;=AO562,1,0)*IF(ap_end_date&gt;=AO562,1,0)*ap_amount*(1+ap_escalation/100)^(INT((AP562-ap_months_since_start)/12))*IF(MOD(AP562-ap_months_since_start,ap_frequency)=0,1,0))</f>
        <v>138113.11479741803</v>
      </c>
      <c r="BG562" s="24">
        <f t="shared" ca="1" si="506"/>
        <v>1657357.3775690163</v>
      </c>
      <c r="BH562" s="24">
        <f t="shared" ca="1" si="507"/>
        <v>2268.8138299418847</v>
      </c>
      <c r="BI562">
        <f t="shared" ca="1" si="508"/>
        <v>0</v>
      </c>
      <c r="BJ562" s="24">
        <f t="shared" ca="1" si="509"/>
        <v>15881.696809593192</v>
      </c>
      <c r="BK562">
        <f t="shared" ca="1" si="510"/>
        <v>1</v>
      </c>
      <c r="BL562" s="25">
        <f t="shared" ca="1" si="511"/>
        <v>1323.4747341327661</v>
      </c>
      <c r="BM562" s="32">
        <f t="shared" ca="1" si="490"/>
        <v>88007.330439160942</v>
      </c>
      <c r="BN562" s="23">
        <f t="shared" ca="1" si="512"/>
        <v>0</v>
      </c>
      <c r="BO562" s="24">
        <f t="shared" ca="1" si="513"/>
        <v>0</v>
      </c>
      <c r="BP562" s="25">
        <f t="shared" ca="1" si="514"/>
        <v>0</v>
      </c>
      <c r="BQ562" s="34">
        <f t="shared" ca="1" si="515"/>
        <v>62517</v>
      </c>
      <c r="BR562" s="23">
        <f t="shared" ca="1" si="516"/>
        <v>88007.330439160942</v>
      </c>
      <c r="BS562" s="24">
        <f t="shared" ca="1" si="517"/>
        <v>0</v>
      </c>
      <c r="BT562" s="24">
        <f t="shared" ca="1" si="522"/>
        <v>0</v>
      </c>
      <c r="BU562" s="24">
        <f t="shared" ca="1" si="518"/>
        <v>0</v>
      </c>
      <c r="BV562" s="24">
        <f t="shared" ca="1" si="523"/>
        <v>0</v>
      </c>
      <c r="BW562" s="24">
        <f t="shared" ca="1" si="519"/>
        <v>-1323.4747341327661</v>
      </c>
      <c r="BX562" s="25">
        <f t="shared" ca="1" si="524"/>
        <v>-16972.719898879612</v>
      </c>
      <c r="BY562" s="23">
        <f t="shared" ca="1" si="491"/>
        <v>14345.870462092777</v>
      </c>
      <c r="BZ562" s="24">
        <f t="shared" ca="1" si="492"/>
        <v>0</v>
      </c>
      <c r="CA562" s="24">
        <f t="shared" ca="1" si="525"/>
        <v>0</v>
      </c>
      <c r="CB562" s="24">
        <f t="shared" ca="1" si="493"/>
        <v>0</v>
      </c>
      <c r="CC562" s="24">
        <f t="shared" ca="1" si="526"/>
        <v>0</v>
      </c>
      <c r="CD562" s="24">
        <f t="shared" ca="1" si="494"/>
        <v>-216.44280679985408</v>
      </c>
      <c r="CE562" s="25">
        <f t="shared" ca="1" si="527"/>
        <v>-2827.4542173732102</v>
      </c>
      <c r="CF562" s="23">
        <f t="shared" ca="1" si="528"/>
        <v>1614861.0345544259</v>
      </c>
      <c r="CG562" s="25">
        <f t="array" aca="1" ref="CG562" ca="1">SUM(BF551:BF562/(1+inflation/100)^(AP551:AP562/12))</f>
        <v>267980.53702225379</v>
      </c>
      <c r="CH562" s="32">
        <f ca="1">IFERROR(IF(MOD(AP562-ap_months_since_start,12)=0,ap_drawdown/100*(AQ562+AV562+BA562-BC562),CH561),0)</f>
        <v>13948.133957022557</v>
      </c>
    </row>
    <row r="563" spans="40:86" x14ac:dyDescent="0.25">
      <c r="AN563" s="32">
        <f t="shared" ca="1" si="489"/>
        <v>101.16666666666667</v>
      </c>
      <c r="AO563" s="53">
        <f t="shared" ca="1" si="520"/>
        <v>62518</v>
      </c>
      <c r="AP563" s="22">
        <v>556</v>
      </c>
      <c r="AQ563" s="32">
        <f t="shared" ca="1" si="521"/>
        <v>88007.330439160942</v>
      </c>
      <c r="AR563" s="23">
        <f t="array" aca="1" ref="AR563" ca="1">SUM(IF(lsc_start_date=AO563,lsc_amount,0))</f>
        <v>0</v>
      </c>
      <c r="AS563" s="24">
        <f t="shared" ca="1" si="495"/>
        <v>0</v>
      </c>
      <c r="AT563" s="24">
        <f t="shared" ca="1" si="496"/>
        <v>0</v>
      </c>
      <c r="AU563" s="24">
        <f t="shared" ca="1" si="497"/>
        <v>0</v>
      </c>
      <c r="AV563" s="25">
        <f t="shared" ca="1" si="498"/>
        <v>0</v>
      </c>
      <c r="AW563" s="23">
        <f t="array" aca="1" ref="AW563" ca="1">SUM(IF(rcs_start_date&lt;=AO563,1,0)*IF(rcs_end_date&gt;=AO563,1,0)*rcs_amount*(1+rcs_escalation/100)^(INT((AP563-rcs_months_since_start)/12))*IF(MOD((AP563-rcs_months_since_start),rcs_frequency)=0,1,0)*IF(rcs_frequency=13,0,1))+SUM(IF(rcs_start_date=AO563,rcs_amount,0)*IF(rcs_frequency=13,1,0))</f>
        <v>0</v>
      </c>
      <c r="AX563" s="24">
        <f t="shared" ca="1" si="499"/>
        <v>0</v>
      </c>
      <c r="AY563" s="24">
        <f t="shared" ca="1" si="500"/>
        <v>0</v>
      </c>
      <c r="AZ563" s="24">
        <f t="shared" ca="1" si="501"/>
        <v>0</v>
      </c>
      <c r="BA563" s="25">
        <f t="shared" ca="1" si="502"/>
        <v>0</v>
      </c>
      <c r="BB563" s="23">
        <f t="array" aca="1" ref="BB563" ca="1">SUM(IF(w_start_date&lt;=AO563,1,0)*IF(w_end_date&gt;=AO563,1,0)*w_amount*(1+w_escalation/100)^(INT((AP563-w_months_since_start)/12))*IF(MOD(AP563-w_months_since_start,w_frequency)=0,1,0)*IF(w_frequency=13,0,1))+SUM(IF(w_start_date=AO563,w_amount,0)*IF(w_frequency=13,1,0))</f>
        <v>0</v>
      </c>
      <c r="BC563" s="25">
        <f t="shared" ca="1" si="503"/>
        <v>0</v>
      </c>
      <c r="BD563" s="24" t="b">
        <f t="shared" ca="1" si="504"/>
        <v>1</v>
      </c>
      <c r="BE563" s="24" t="b">
        <f t="shared" ca="1" si="505"/>
        <v>1</v>
      </c>
      <c r="BF563" s="23">
        <f t="array" aca="1" ref="BF563" ca="1">SUM(IF(BD563,1,0)*IF(ap_start_date&lt;=AO563,1,0)*IF(ap_end_date&gt;=AO563,1,0)*ap_amount*(1+ap_escalation/100)^(INT((AP563-ap_months_since_start)/12))*IF(MOD(AP563-ap_months_since_start,ap_frequency)=0,1,0))</f>
        <v>138113.11479741803</v>
      </c>
      <c r="BG563" s="24">
        <f t="shared" ca="1" si="506"/>
        <v>1657357.3775690163</v>
      </c>
      <c r="BH563" s="24">
        <f t="shared" ca="1" si="507"/>
        <v>2268.8138299418847</v>
      </c>
      <c r="BI563">
        <f t="shared" ca="1" si="508"/>
        <v>0</v>
      </c>
      <c r="BJ563" s="24">
        <f t="shared" ca="1" si="509"/>
        <v>15881.696809593192</v>
      </c>
      <c r="BK563">
        <f t="shared" ca="1" si="510"/>
        <v>1</v>
      </c>
      <c r="BL563" s="25">
        <f t="shared" ca="1" si="511"/>
        <v>1323.4747341327661</v>
      </c>
      <c r="BM563" s="32">
        <f t="shared" ca="1" si="490"/>
        <v>87308.614279383663</v>
      </c>
      <c r="BN563" s="23">
        <f t="shared" ca="1" si="512"/>
        <v>0</v>
      </c>
      <c r="BO563" s="24">
        <f t="shared" ca="1" si="513"/>
        <v>0</v>
      </c>
      <c r="BP563" s="25">
        <f t="shared" ca="1" si="514"/>
        <v>0</v>
      </c>
      <c r="BQ563" s="34">
        <f t="shared" ca="1" si="515"/>
        <v>62548</v>
      </c>
      <c r="BR563" s="23">
        <f t="shared" ca="1" si="516"/>
        <v>87308.614279383663</v>
      </c>
      <c r="BS563" s="24">
        <f t="shared" ca="1" si="517"/>
        <v>0</v>
      </c>
      <c r="BT563" s="24">
        <f t="shared" ca="1" si="522"/>
        <v>0</v>
      </c>
      <c r="BU563" s="24">
        <f t="shared" ca="1" si="518"/>
        <v>0</v>
      </c>
      <c r="BV563" s="24">
        <f t="shared" ca="1" si="523"/>
        <v>0</v>
      </c>
      <c r="BW563" s="24">
        <f t="shared" ca="1" si="519"/>
        <v>-1323.4747341327661</v>
      </c>
      <c r="BX563" s="25">
        <f t="shared" ca="1" si="524"/>
        <v>-16836.342012718807</v>
      </c>
      <c r="BY563" s="23">
        <f t="shared" ca="1" si="491"/>
        <v>14185.534615255598</v>
      </c>
      <c r="BZ563" s="24">
        <f t="shared" ca="1" si="492"/>
        <v>0</v>
      </c>
      <c r="CA563" s="24">
        <f t="shared" ca="1" si="525"/>
        <v>0</v>
      </c>
      <c r="CB563" s="24">
        <f t="shared" ca="1" si="493"/>
        <v>0</v>
      </c>
      <c r="CC563" s="24">
        <f t="shared" ca="1" si="526"/>
        <v>0</v>
      </c>
      <c r="CD563" s="24">
        <f t="shared" ca="1" si="494"/>
        <v>-215.73654150146672</v>
      </c>
      <c r="CE563" s="25">
        <f t="shared" ca="1" si="527"/>
        <v>-2795.7048876504141</v>
      </c>
      <c r="CF563" s="23">
        <f t="shared" ca="1" si="528"/>
        <v>1620173.0774312497</v>
      </c>
      <c r="CG563" s="25">
        <f t="array" aca="1" ref="CG563" ca="1">SUM(BF552:BF563/(1+inflation/100)^(AP552:AP563/12))</f>
        <v>267980.53702225385</v>
      </c>
      <c r="CH563" s="32">
        <f ca="1">IFERROR(IF(MOD(AP563-ap_months_since_start,12)=0,ap_drawdown/100*(AQ563+AV563+BA563-BC563),CH562),0)</f>
        <v>13948.133957022557</v>
      </c>
    </row>
    <row r="564" spans="40:86" x14ac:dyDescent="0.25">
      <c r="AN564" s="32">
        <f t="shared" ca="1" si="489"/>
        <v>101.25</v>
      </c>
      <c r="AO564" s="53">
        <f t="shared" ca="1" si="520"/>
        <v>62549</v>
      </c>
      <c r="AP564" s="22">
        <v>557</v>
      </c>
      <c r="AQ564" s="32">
        <f t="shared" ca="1" si="521"/>
        <v>87308.614279383663</v>
      </c>
      <c r="AR564" s="23">
        <f t="array" aca="1" ref="AR564" ca="1">SUM(IF(lsc_start_date=AO564,lsc_amount,0))</f>
        <v>0</v>
      </c>
      <c r="AS564" s="24">
        <f t="shared" ca="1" si="495"/>
        <v>0</v>
      </c>
      <c r="AT564" s="24">
        <f t="shared" ca="1" si="496"/>
        <v>0</v>
      </c>
      <c r="AU564" s="24">
        <f t="shared" ca="1" si="497"/>
        <v>0</v>
      </c>
      <c r="AV564" s="25">
        <f t="shared" ca="1" si="498"/>
        <v>0</v>
      </c>
      <c r="AW564" s="23">
        <f t="array" aca="1" ref="AW564" ca="1">SUM(IF(rcs_start_date&lt;=AO564,1,0)*IF(rcs_end_date&gt;=AO564,1,0)*rcs_amount*(1+rcs_escalation/100)^(INT((AP564-rcs_months_since_start)/12))*IF(MOD((AP564-rcs_months_since_start),rcs_frequency)=0,1,0)*IF(rcs_frequency=13,0,1))+SUM(IF(rcs_start_date=AO564,rcs_amount,0)*IF(rcs_frequency=13,1,0))</f>
        <v>0</v>
      </c>
      <c r="AX564" s="24">
        <f t="shared" ca="1" si="499"/>
        <v>0</v>
      </c>
      <c r="AY564" s="24">
        <f t="shared" ca="1" si="500"/>
        <v>0</v>
      </c>
      <c r="AZ564" s="24">
        <f t="shared" ca="1" si="501"/>
        <v>0</v>
      </c>
      <c r="BA564" s="25">
        <f t="shared" ca="1" si="502"/>
        <v>0</v>
      </c>
      <c r="BB564" s="23">
        <f t="array" aca="1" ref="BB564" ca="1">SUM(IF(w_start_date&lt;=AO564,1,0)*IF(w_end_date&gt;=AO564,1,0)*w_amount*(1+w_escalation/100)^(INT((AP564-w_months_since_start)/12))*IF(MOD(AP564-w_months_since_start,w_frequency)=0,1,0)*IF(w_frequency=13,0,1))+SUM(IF(w_start_date=AO564,w_amount,0)*IF(w_frequency=13,1,0))</f>
        <v>0</v>
      </c>
      <c r="BC564" s="25">
        <f t="shared" ca="1" si="503"/>
        <v>0</v>
      </c>
      <c r="BD564" s="24" t="b">
        <f t="shared" ca="1" si="504"/>
        <v>1</v>
      </c>
      <c r="BE564" s="24" t="b">
        <f t="shared" ca="1" si="505"/>
        <v>1</v>
      </c>
      <c r="BF564" s="23">
        <f t="array" aca="1" ref="BF564" ca="1">SUM(IF(BD564,1,0)*IF(ap_start_date&lt;=AO564,1,0)*IF(ap_end_date&gt;=AO564,1,0)*ap_amount*(1+ap_escalation/100)^(INT((AP564-ap_months_since_start)/12))*IF(MOD(AP564-ap_months_since_start,ap_frequency)=0,1,0))</f>
        <v>138113.11479741803</v>
      </c>
      <c r="BG564" s="24">
        <f t="shared" ca="1" si="506"/>
        <v>1657357.3775690163</v>
      </c>
      <c r="BH564" s="24">
        <f t="shared" ca="1" si="507"/>
        <v>2268.8138299418847</v>
      </c>
      <c r="BI564">
        <f t="shared" ca="1" si="508"/>
        <v>0</v>
      </c>
      <c r="BJ564" s="24">
        <f t="shared" ca="1" si="509"/>
        <v>15881.696809593192</v>
      </c>
      <c r="BK564">
        <f t="shared" ca="1" si="510"/>
        <v>1</v>
      </c>
      <c r="BL564" s="25">
        <f t="shared" ca="1" si="511"/>
        <v>1323.4747341327661</v>
      </c>
      <c r="BM564" s="32">
        <f t="shared" ca="1" si="490"/>
        <v>86604.862246336663</v>
      </c>
      <c r="BN564" s="23">
        <f t="shared" ca="1" si="512"/>
        <v>0</v>
      </c>
      <c r="BO564" s="24">
        <f t="shared" ca="1" si="513"/>
        <v>0</v>
      </c>
      <c r="BP564" s="25">
        <f t="shared" ca="1" si="514"/>
        <v>0</v>
      </c>
      <c r="BQ564" s="34">
        <f t="shared" ca="1" si="515"/>
        <v>62578</v>
      </c>
      <c r="BR564" s="23">
        <f t="shared" ca="1" si="516"/>
        <v>86604.862246336663</v>
      </c>
      <c r="BS564" s="24">
        <f t="shared" ca="1" si="517"/>
        <v>0</v>
      </c>
      <c r="BT564" s="24">
        <f t="shared" ca="1" si="522"/>
        <v>0</v>
      </c>
      <c r="BU564" s="24">
        <f t="shared" ca="1" si="518"/>
        <v>0</v>
      </c>
      <c r="BV564" s="24">
        <f t="shared" ca="1" si="523"/>
        <v>0</v>
      </c>
      <c r="BW564" s="24">
        <f t="shared" ca="1" si="519"/>
        <v>-1323.4747341327661</v>
      </c>
      <c r="BX564" s="25">
        <f t="shared" ca="1" si="524"/>
        <v>-16699.964126558007</v>
      </c>
      <c r="BY564" s="23">
        <f t="shared" ca="1" si="491"/>
        <v>14025.276852730351</v>
      </c>
      <c r="BZ564" s="24">
        <f t="shared" ca="1" si="492"/>
        <v>0</v>
      </c>
      <c r="CA564" s="24">
        <f t="shared" ca="1" si="525"/>
        <v>0</v>
      </c>
      <c r="CB564" s="24">
        <f t="shared" ca="1" si="493"/>
        <v>0</v>
      </c>
      <c r="CC564" s="24">
        <f t="shared" ca="1" si="526"/>
        <v>0</v>
      </c>
      <c r="CD564" s="24">
        <f t="shared" ca="1" si="494"/>
        <v>-215.03258078727447</v>
      </c>
      <c r="CE564" s="25">
        <f t="shared" ca="1" si="527"/>
        <v>-2764.0591578123253</v>
      </c>
      <c r="CF564" s="23">
        <f t="shared" ca="1" si="528"/>
        <v>1625485.1203080735</v>
      </c>
      <c r="CG564" s="25">
        <f t="array" aca="1" ref="CG564" ca="1">SUM(BF553:BF564/(1+inflation/100)^(AP553:AP564/12))</f>
        <v>267980.53702225385</v>
      </c>
      <c r="CH564" s="32">
        <f ca="1">IFERROR(IF(MOD(AP564-ap_months_since_start,12)=0,ap_drawdown/100*(AQ564+AV564+BA564-BC564),CH563),0)</f>
        <v>13948.133957022557</v>
      </c>
    </row>
    <row r="565" spans="40:86" x14ac:dyDescent="0.25">
      <c r="AN565" s="32">
        <f t="shared" ca="1" si="489"/>
        <v>101.33333333333333</v>
      </c>
      <c r="AO565" s="53">
        <f t="shared" ca="1" si="520"/>
        <v>62579</v>
      </c>
      <c r="AP565" s="22">
        <v>558</v>
      </c>
      <c r="AQ565" s="32">
        <f t="shared" ca="1" si="521"/>
        <v>86604.862246336663</v>
      </c>
      <c r="AR565" s="23">
        <f t="array" aca="1" ref="AR565" ca="1">SUM(IF(lsc_start_date=AO565,lsc_amount,0))</f>
        <v>0</v>
      </c>
      <c r="AS565" s="24">
        <f t="shared" ca="1" si="495"/>
        <v>0</v>
      </c>
      <c r="AT565" s="24">
        <f t="shared" ca="1" si="496"/>
        <v>0</v>
      </c>
      <c r="AU565" s="24">
        <f t="shared" ca="1" si="497"/>
        <v>0</v>
      </c>
      <c r="AV565" s="25">
        <f t="shared" ca="1" si="498"/>
        <v>0</v>
      </c>
      <c r="AW565" s="23">
        <f t="array" aca="1" ref="AW565" ca="1">SUM(IF(rcs_start_date&lt;=AO565,1,0)*IF(rcs_end_date&gt;=AO565,1,0)*rcs_amount*(1+rcs_escalation/100)^(INT((AP565-rcs_months_since_start)/12))*IF(MOD((AP565-rcs_months_since_start),rcs_frequency)=0,1,0)*IF(rcs_frequency=13,0,1))+SUM(IF(rcs_start_date=AO565,rcs_amount,0)*IF(rcs_frequency=13,1,0))</f>
        <v>0</v>
      </c>
      <c r="AX565" s="24">
        <f t="shared" ca="1" si="499"/>
        <v>0</v>
      </c>
      <c r="AY565" s="24">
        <f t="shared" ca="1" si="500"/>
        <v>0</v>
      </c>
      <c r="AZ565" s="24">
        <f t="shared" ca="1" si="501"/>
        <v>0</v>
      </c>
      <c r="BA565" s="25">
        <f t="shared" ca="1" si="502"/>
        <v>0</v>
      </c>
      <c r="BB565" s="23">
        <f t="array" aca="1" ref="BB565" ca="1">SUM(IF(w_start_date&lt;=AO565,1,0)*IF(w_end_date&gt;=AO565,1,0)*w_amount*(1+w_escalation/100)^(INT((AP565-w_months_since_start)/12))*IF(MOD(AP565-w_months_since_start,w_frequency)=0,1,0)*IF(w_frequency=13,0,1))+SUM(IF(w_start_date=AO565,w_amount,0)*IF(w_frequency=13,1,0))</f>
        <v>0</v>
      </c>
      <c r="BC565" s="25">
        <f t="shared" ca="1" si="503"/>
        <v>0</v>
      </c>
      <c r="BD565" s="24" t="b">
        <f t="shared" ca="1" si="504"/>
        <v>1</v>
      </c>
      <c r="BE565" s="24" t="b">
        <f t="shared" ca="1" si="505"/>
        <v>1</v>
      </c>
      <c r="BF565" s="23">
        <f t="array" aca="1" ref="BF565" ca="1">SUM(IF(BD565,1,0)*IF(ap_start_date&lt;=AO565,1,0)*IF(ap_end_date&gt;=AO565,1,0)*ap_amount*(1+ap_escalation/100)^(INT((AP565-ap_months_since_start)/12))*IF(MOD(AP565-ap_months_since_start,ap_frequency)=0,1,0))</f>
        <v>138113.11479741803</v>
      </c>
      <c r="BG565" s="24">
        <f t="shared" ca="1" si="506"/>
        <v>1657357.3775690163</v>
      </c>
      <c r="BH565" s="24">
        <f t="shared" ca="1" si="507"/>
        <v>2268.8138299418847</v>
      </c>
      <c r="BI565">
        <f t="shared" ca="1" si="508"/>
        <v>0</v>
      </c>
      <c r="BJ565" s="24">
        <f t="shared" ca="1" si="509"/>
        <v>15881.696809593192</v>
      </c>
      <c r="BK565">
        <f t="shared" ca="1" si="510"/>
        <v>1</v>
      </c>
      <c r="BL565" s="25">
        <f t="shared" ca="1" si="511"/>
        <v>1323.4747341327661</v>
      </c>
      <c r="BM565" s="32">
        <f t="shared" ca="1" si="490"/>
        <v>85896.038044853107</v>
      </c>
      <c r="BN565" s="23">
        <f t="shared" ca="1" si="512"/>
        <v>0</v>
      </c>
      <c r="BO565" s="24">
        <f t="shared" ca="1" si="513"/>
        <v>0</v>
      </c>
      <c r="BP565" s="25">
        <f t="shared" ca="1" si="514"/>
        <v>0</v>
      </c>
      <c r="BQ565" s="34">
        <f t="shared" ca="1" si="515"/>
        <v>62609</v>
      </c>
      <c r="BR565" s="23">
        <f t="shared" ca="1" si="516"/>
        <v>85896.038044853107</v>
      </c>
      <c r="BS565" s="24">
        <f t="shared" ca="1" si="517"/>
        <v>0</v>
      </c>
      <c r="BT565" s="24">
        <f t="shared" ca="1" si="522"/>
        <v>0</v>
      </c>
      <c r="BU565" s="24">
        <f t="shared" ca="1" si="518"/>
        <v>0</v>
      </c>
      <c r="BV565" s="24">
        <f t="shared" ca="1" si="523"/>
        <v>0</v>
      </c>
      <c r="BW565" s="24">
        <f t="shared" ca="1" si="519"/>
        <v>-1323.4747341327661</v>
      </c>
      <c r="BX565" s="25">
        <f t="shared" ca="1" si="524"/>
        <v>-16563.586240397202</v>
      </c>
      <c r="BY565" s="23">
        <f t="shared" ca="1" si="491"/>
        <v>13865.095174595523</v>
      </c>
      <c r="BZ565" s="24">
        <f t="shared" ca="1" si="492"/>
        <v>0</v>
      </c>
      <c r="CA565" s="24">
        <f t="shared" ca="1" si="525"/>
        <v>0</v>
      </c>
      <c r="CB565" s="24">
        <f t="shared" ca="1" si="493"/>
        <v>0</v>
      </c>
      <c r="CC565" s="24">
        <f t="shared" ca="1" si="526"/>
        <v>0</v>
      </c>
      <c r="CD565" s="24">
        <f t="shared" ca="1" si="494"/>
        <v>-214.330917137287</v>
      </c>
      <c r="CE565" s="25">
        <f t="shared" ca="1" si="527"/>
        <v>-2732.5166898065754</v>
      </c>
      <c r="CF565" s="23">
        <f t="shared" ca="1" si="528"/>
        <v>1630797.1631848973</v>
      </c>
      <c r="CG565" s="25">
        <f t="array" aca="1" ref="CG565" ca="1">SUM(BF554:BF565/(1+inflation/100)^(AP554:AP565/12))</f>
        <v>267980.53702225379</v>
      </c>
      <c r="CH565" s="32">
        <f ca="1">IFERROR(IF(MOD(AP565-ap_months_since_start,12)=0,ap_drawdown/100*(AQ565+AV565+BA565-BC565),CH564),0)</f>
        <v>13948.133957022557</v>
      </c>
    </row>
    <row r="566" spans="40:86" x14ac:dyDescent="0.25">
      <c r="AN566" s="32">
        <f t="shared" ca="1" si="489"/>
        <v>101.41666666666667</v>
      </c>
      <c r="AO566" s="53">
        <f t="shared" ca="1" si="520"/>
        <v>62610</v>
      </c>
      <c r="AP566" s="22">
        <v>559</v>
      </c>
      <c r="AQ566" s="32">
        <f t="shared" ca="1" si="521"/>
        <v>85896.038044853107</v>
      </c>
      <c r="AR566" s="23">
        <f t="array" aca="1" ref="AR566" ca="1">SUM(IF(lsc_start_date=AO566,lsc_amount,0))</f>
        <v>0</v>
      </c>
      <c r="AS566" s="24">
        <f t="shared" ca="1" si="495"/>
        <v>0</v>
      </c>
      <c r="AT566" s="24">
        <f t="shared" ca="1" si="496"/>
        <v>0</v>
      </c>
      <c r="AU566" s="24">
        <f t="shared" ca="1" si="497"/>
        <v>0</v>
      </c>
      <c r="AV566" s="25">
        <f t="shared" ca="1" si="498"/>
        <v>0</v>
      </c>
      <c r="AW566" s="23">
        <f t="array" aca="1" ref="AW566" ca="1">SUM(IF(rcs_start_date&lt;=AO566,1,0)*IF(rcs_end_date&gt;=AO566,1,0)*rcs_amount*(1+rcs_escalation/100)^(INT((AP566-rcs_months_since_start)/12))*IF(MOD((AP566-rcs_months_since_start),rcs_frequency)=0,1,0)*IF(rcs_frequency=13,0,1))+SUM(IF(rcs_start_date=AO566,rcs_amount,0)*IF(rcs_frequency=13,1,0))</f>
        <v>0</v>
      </c>
      <c r="AX566" s="24">
        <f t="shared" ca="1" si="499"/>
        <v>0</v>
      </c>
      <c r="AY566" s="24">
        <f t="shared" ca="1" si="500"/>
        <v>0</v>
      </c>
      <c r="AZ566" s="24">
        <f t="shared" ca="1" si="501"/>
        <v>0</v>
      </c>
      <c r="BA566" s="25">
        <f t="shared" ca="1" si="502"/>
        <v>0</v>
      </c>
      <c r="BB566" s="23">
        <f t="array" aca="1" ref="BB566" ca="1">SUM(IF(w_start_date&lt;=AO566,1,0)*IF(w_end_date&gt;=AO566,1,0)*w_amount*(1+w_escalation/100)^(INT((AP566-w_months_since_start)/12))*IF(MOD(AP566-w_months_since_start,w_frequency)=0,1,0)*IF(w_frequency=13,0,1))+SUM(IF(w_start_date=AO566,w_amount,0)*IF(w_frequency=13,1,0))</f>
        <v>0</v>
      </c>
      <c r="BC566" s="25">
        <f t="shared" ca="1" si="503"/>
        <v>0</v>
      </c>
      <c r="BD566" s="24" t="b">
        <f t="shared" ca="1" si="504"/>
        <v>1</v>
      </c>
      <c r="BE566" s="24" t="b">
        <f t="shared" ca="1" si="505"/>
        <v>1</v>
      </c>
      <c r="BF566" s="23">
        <f t="array" aca="1" ref="BF566" ca="1">SUM(IF(BD566,1,0)*IF(ap_start_date&lt;=AO566,1,0)*IF(ap_end_date&gt;=AO566,1,0)*ap_amount*(1+ap_escalation/100)^(INT((AP566-ap_months_since_start)/12))*IF(MOD(AP566-ap_months_since_start,ap_frequency)=0,1,0))</f>
        <v>138113.11479741803</v>
      </c>
      <c r="BG566" s="24">
        <f t="shared" ca="1" si="506"/>
        <v>1657357.3775690163</v>
      </c>
      <c r="BH566" s="24">
        <f t="shared" ca="1" si="507"/>
        <v>2268.8138299418847</v>
      </c>
      <c r="BI566">
        <f t="shared" ca="1" si="508"/>
        <v>0</v>
      </c>
      <c r="BJ566" s="24">
        <f t="shared" ca="1" si="509"/>
        <v>15881.696809593192</v>
      </c>
      <c r="BK566">
        <f t="shared" ca="1" si="510"/>
        <v>1</v>
      </c>
      <c r="BL566" s="25">
        <f t="shared" ca="1" si="511"/>
        <v>1323.4747341327661</v>
      </c>
      <c r="BM566" s="32">
        <f t="shared" ca="1" si="490"/>
        <v>85182.105118175154</v>
      </c>
      <c r="BN566" s="23">
        <f t="shared" ca="1" si="512"/>
        <v>0</v>
      </c>
      <c r="BO566" s="24">
        <f t="shared" ca="1" si="513"/>
        <v>0</v>
      </c>
      <c r="BP566" s="25">
        <f t="shared" ca="1" si="514"/>
        <v>0</v>
      </c>
      <c r="BQ566" s="34">
        <f t="shared" ca="1" si="515"/>
        <v>62639</v>
      </c>
      <c r="BR566" s="23">
        <f t="shared" ca="1" si="516"/>
        <v>85182.105118175154</v>
      </c>
      <c r="BS566" s="24">
        <f t="shared" ca="1" si="517"/>
        <v>0</v>
      </c>
      <c r="BT566" s="24">
        <f t="shared" ca="1" si="522"/>
        <v>0</v>
      </c>
      <c r="BU566" s="24">
        <f t="shared" ca="1" si="518"/>
        <v>0</v>
      </c>
      <c r="BV566" s="24">
        <f t="shared" ca="1" si="523"/>
        <v>0</v>
      </c>
      <c r="BW566" s="24">
        <f t="shared" ca="1" si="519"/>
        <v>-1323.4747341327661</v>
      </c>
      <c r="BX566" s="25">
        <f t="shared" ca="1" si="524"/>
        <v>-16427.208354236402</v>
      </c>
      <c r="BY566" s="23">
        <f t="shared" ca="1" si="491"/>
        <v>13704.987580613262</v>
      </c>
      <c r="BZ566" s="24">
        <f t="shared" ca="1" si="492"/>
        <v>0</v>
      </c>
      <c r="CA566" s="24">
        <f t="shared" ca="1" si="525"/>
        <v>0</v>
      </c>
      <c r="CB566" s="24">
        <f t="shared" ca="1" si="493"/>
        <v>0</v>
      </c>
      <c r="CC566" s="24">
        <f t="shared" ca="1" si="526"/>
        <v>0</v>
      </c>
      <c r="CD566" s="24">
        <f t="shared" ca="1" si="494"/>
        <v>-213.6315430560519</v>
      </c>
      <c r="CE566" s="25">
        <f t="shared" ca="1" si="527"/>
        <v>-2701.0771466838796</v>
      </c>
      <c r="CF566" s="23">
        <f t="shared" ca="1" si="528"/>
        <v>1636109.2060617211</v>
      </c>
      <c r="CG566" s="25">
        <f t="array" aca="1" ref="CG566" ca="1">SUM(BF555:BF566/(1+inflation/100)^(AP555:AP566/12))</f>
        <v>267980.53702225385</v>
      </c>
      <c r="CH566" s="32">
        <f ca="1">IFERROR(IF(MOD(AP566-ap_months_since_start,12)=0,ap_drawdown/100*(AQ566+AV566+BA566-BC566),CH565),0)</f>
        <v>13948.133957022557</v>
      </c>
    </row>
    <row r="567" spans="40:86" x14ac:dyDescent="0.25">
      <c r="AN567" s="32">
        <f t="shared" ca="1" si="489"/>
        <v>101.5</v>
      </c>
      <c r="AO567" s="53">
        <f t="shared" ca="1" si="520"/>
        <v>62640</v>
      </c>
      <c r="AP567" s="22">
        <v>560</v>
      </c>
      <c r="AQ567" s="32">
        <f t="shared" ca="1" si="521"/>
        <v>85182.105118175154</v>
      </c>
      <c r="AR567" s="23">
        <f t="array" aca="1" ref="AR567" ca="1">SUM(IF(lsc_start_date=AO567,lsc_amount,0))</f>
        <v>0</v>
      </c>
      <c r="AS567" s="24">
        <f t="shared" ca="1" si="495"/>
        <v>0</v>
      </c>
      <c r="AT567" s="24">
        <f t="shared" ca="1" si="496"/>
        <v>0</v>
      </c>
      <c r="AU567" s="24">
        <f t="shared" ca="1" si="497"/>
        <v>0</v>
      </c>
      <c r="AV567" s="25">
        <f t="shared" ca="1" si="498"/>
        <v>0</v>
      </c>
      <c r="AW567" s="23">
        <f t="array" aca="1" ref="AW567" ca="1">SUM(IF(rcs_start_date&lt;=AO567,1,0)*IF(rcs_end_date&gt;=AO567,1,0)*rcs_amount*(1+rcs_escalation/100)^(INT((AP567-rcs_months_since_start)/12))*IF(MOD((AP567-rcs_months_since_start),rcs_frequency)=0,1,0)*IF(rcs_frequency=13,0,1))+SUM(IF(rcs_start_date=AO567,rcs_amount,0)*IF(rcs_frequency=13,1,0))</f>
        <v>0</v>
      </c>
      <c r="AX567" s="24">
        <f t="shared" ca="1" si="499"/>
        <v>0</v>
      </c>
      <c r="AY567" s="24">
        <f t="shared" ca="1" si="500"/>
        <v>0</v>
      </c>
      <c r="AZ567" s="24">
        <f t="shared" ca="1" si="501"/>
        <v>0</v>
      </c>
      <c r="BA567" s="25">
        <f t="shared" ca="1" si="502"/>
        <v>0</v>
      </c>
      <c r="BB567" s="23">
        <f t="array" aca="1" ref="BB567" ca="1">SUM(IF(w_start_date&lt;=AO567,1,0)*IF(w_end_date&gt;=AO567,1,0)*w_amount*(1+w_escalation/100)^(INT((AP567-w_months_since_start)/12))*IF(MOD(AP567-w_months_since_start,w_frequency)=0,1,0)*IF(w_frequency=13,0,1))+SUM(IF(w_start_date=AO567,w_amount,0)*IF(w_frequency=13,1,0))</f>
        <v>0</v>
      </c>
      <c r="BC567" s="25">
        <f t="shared" ca="1" si="503"/>
        <v>0</v>
      </c>
      <c r="BD567" s="24" t="b">
        <f t="shared" ca="1" si="504"/>
        <v>1</v>
      </c>
      <c r="BE567" s="24" t="b">
        <f t="shared" ca="1" si="505"/>
        <v>1</v>
      </c>
      <c r="BF567" s="23">
        <f t="array" aca="1" ref="BF567" ca="1">SUM(IF(BD567,1,0)*IF(ap_start_date&lt;=AO567,1,0)*IF(ap_end_date&gt;=AO567,1,0)*ap_amount*(1+ap_escalation/100)^(INT((AP567-ap_months_since_start)/12))*IF(MOD(AP567-ap_months_since_start,ap_frequency)=0,1,0))</f>
        <v>138113.11479741803</v>
      </c>
      <c r="BG567" s="24">
        <f t="shared" ca="1" si="506"/>
        <v>1657357.3775690163</v>
      </c>
      <c r="BH567" s="24">
        <f t="shared" ca="1" si="507"/>
        <v>2268.8138299418847</v>
      </c>
      <c r="BI567">
        <f t="shared" ca="1" si="508"/>
        <v>0</v>
      </c>
      <c r="BJ567" s="24">
        <f t="shared" ca="1" si="509"/>
        <v>15881.696809593192</v>
      </c>
      <c r="BK567">
        <f t="shared" ca="1" si="510"/>
        <v>1</v>
      </c>
      <c r="BL567" s="25">
        <f t="shared" ca="1" si="511"/>
        <v>1323.4747341327661</v>
      </c>
      <c r="BM567" s="32">
        <f t="shared" ca="1" si="490"/>
        <v>84463.026646068596</v>
      </c>
      <c r="BN567" s="23">
        <f t="shared" ca="1" si="512"/>
        <v>0</v>
      </c>
      <c r="BO567" s="24">
        <f t="shared" ca="1" si="513"/>
        <v>0</v>
      </c>
      <c r="BP567" s="25">
        <f t="shared" ca="1" si="514"/>
        <v>0</v>
      </c>
      <c r="BQ567" s="34">
        <f t="shared" ca="1" si="515"/>
        <v>62670</v>
      </c>
      <c r="BR567" s="23">
        <f t="shared" ca="1" si="516"/>
        <v>84463.026646068596</v>
      </c>
      <c r="BS567" s="24">
        <f t="shared" ca="1" si="517"/>
        <v>0</v>
      </c>
      <c r="BT567" s="24">
        <f t="shared" ca="1" si="522"/>
        <v>0</v>
      </c>
      <c r="BU567" s="24">
        <f t="shared" ca="1" si="518"/>
        <v>0</v>
      </c>
      <c r="BV567" s="24">
        <f t="shared" ca="1" si="523"/>
        <v>0</v>
      </c>
      <c r="BW567" s="24">
        <f t="shared" ca="1" si="519"/>
        <v>-1323.4747341327661</v>
      </c>
      <c r="BX567" s="25">
        <f t="shared" ca="1" si="524"/>
        <v>-16290.830468075597</v>
      </c>
      <c r="BY567" s="23">
        <f t="shared" ca="1" si="491"/>
        <v>13544.952070203581</v>
      </c>
      <c r="BZ567" s="24">
        <f t="shared" ca="1" si="492"/>
        <v>0</v>
      </c>
      <c r="CA567" s="24">
        <f t="shared" ca="1" si="525"/>
        <v>0</v>
      </c>
      <c r="CB567" s="24">
        <f t="shared" ca="1" si="493"/>
        <v>0</v>
      </c>
      <c r="CC567" s="24">
        <f t="shared" ca="1" si="526"/>
        <v>0</v>
      </c>
      <c r="CD567" s="24">
        <f t="shared" ca="1" si="494"/>
        <v>-212.93445107257489</v>
      </c>
      <c r="CE567" s="25">
        <f t="shared" ca="1" si="527"/>
        <v>-2669.7401925944405</v>
      </c>
      <c r="CF567" s="23">
        <f t="shared" ca="1" si="528"/>
        <v>1641421.2489385449</v>
      </c>
      <c r="CG567" s="25">
        <f t="array" aca="1" ref="CG567" ca="1">SUM(BF556:BF567/(1+inflation/100)^(AP556:AP567/12))</f>
        <v>267980.53702225379</v>
      </c>
      <c r="CH567" s="32">
        <f ca="1">IFERROR(IF(MOD(AP567-ap_months_since_start,12)=0,ap_drawdown/100*(AQ567+AV567+BA567-BC567),CH566),0)</f>
        <v>13948.133957022557</v>
      </c>
    </row>
    <row r="568" spans="40:86" x14ac:dyDescent="0.25">
      <c r="AN568" s="32">
        <f t="shared" ca="1" si="489"/>
        <v>101.58333333333333</v>
      </c>
      <c r="AO568" s="53">
        <f t="shared" ca="1" si="520"/>
        <v>62671</v>
      </c>
      <c r="AP568" s="22">
        <v>561</v>
      </c>
      <c r="AQ568" s="32">
        <f t="shared" ca="1" si="521"/>
        <v>84463.026646068596</v>
      </c>
      <c r="AR568" s="23">
        <f t="array" aca="1" ref="AR568" ca="1">SUM(IF(lsc_start_date=AO568,lsc_amount,0))</f>
        <v>0</v>
      </c>
      <c r="AS568" s="24">
        <f t="shared" ca="1" si="495"/>
        <v>0</v>
      </c>
      <c r="AT568" s="24">
        <f t="shared" ca="1" si="496"/>
        <v>0</v>
      </c>
      <c r="AU568" s="24">
        <f t="shared" ca="1" si="497"/>
        <v>0</v>
      </c>
      <c r="AV568" s="25">
        <f t="shared" ca="1" si="498"/>
        <v>0</v>
      </c>
      <c r="AW568" s="23">
        <f t="array" aca="1" ref="AW568" ca="1">SUM(IF(rcs_start_date&lt;=AO568,1,0)*IF(rcs_end_date&gt;=AO568,1,0)*rcs_amount*(1+rcs_escalation/100)^(INT((AP568-rcs_months_since_start)/12))*IF(MOD((AP568-rcs_months_since_start),rcs_frequency)=0,1,0)*IF(rcs_frequency=13,0,1))+SUM(IF(rcs_start_date=AO568,rcs_amount,0)*IF(rcs_frequency=13,1,0))</f>
        <v>0</v>
      </c>
      <c r="AX568" s="24">
        <f t="shared" ca="1" si="499"/>
        <v>0</v>
      </c>
      <c r="AY568" s="24">
        <f t="shared" ca="1" si="500"/>
        <v>0</v>
      </c>
      <c r="AZ568" s="24">
        <f t="shared" ca="1" si="501"/>
        <v>0</v>
      </c>
      <c r="BA568" s="25">
        <f t="shared" ca="1" si="502"/>
        <v>0</v>
      </c>
      <c r="BB568" s="23">
        <f t="array" aca="1" ref="BB568" ca="1">SUM(IF(w_start_date&lt;=AO568,1,0)*IF(w_end_date&gt;=AO568,1,0)*w_amount*(1+w_escalation/100)^(INT((AP568-w_months_since_start)/12))*IF(MOD(AP568-w_months_since_start,w_frequency)=0,1,0)*IF(w_frequency=13,0,1))+SUM(IF(w_start_date=AO568,w_amount,0)*IF(w_frequency=13,1,0))</f>
        <v>0</v>
      </c>
      <c r="BC568" s="25">
        <f t="shared" ca="1" si="503"/>
        <v>0</v>
      </c>
      <c r="BD568" s="24" t="b">
        <f t="shared" ca="1" si="504"/>
        <v>1</v>
      </c>
      <c r="BE568" s="24" t="b">
        <f t="shared" ca="1" si="505"/>
        <v>1</v>
      </c>
      <c r="BF568" s="23">
        <f t="array" aca="1" ref="BF568" ca="1">SUM(IF(BD568,1,0)*IF(ap_start_date&lt;=AO568,1,0)*IF(ap_end_date&gt;=AO568,1,0)*ap_amount*(1+ap_escalation/100)^(INT((AP568-ap_months_since_start)/12))*IF(MOD(AP568-ap_months_since_start,ap_frequency)=0,1,0))</f>
        <v>138113.11479741803</v>
      </c>
      <c r="BG568" s="24">
        <f t="shared" ca="1" si="506"/>
        <v>1657357.3775690163</v>
      </c>
      <c r="BH568" s="24">
        <f t="shared" ca="1" si="507"/>
        <v>2268.8138299418847</v>
      </c>
      <c r="BI568">
        <f t="shared" ca="1" si="508"/>
        <v>0</v>
      </c>
      <c r="BJ568" s="24">
        <f t="shared" ca="1" si="509"/>
        <v>15881.696809593192</v>
      </c>
      <c r="BK568">
        <f t="shared" ca="1" si="510"/>
        <v>1</v>
      </c>
      <c r="BL568" s="25">
        <f t="shared" ca="1" si="511"/>
        <v>1323.4747341327661</v>
      </c>
      <c r="BM568" s="32">
        <f t="shared" ca="1" si="490"/>
        <v>83738.765542923895</v>
      </c>
      <c r="BN568" s="23">
        <f t="shared" ca="1" si="512"/>
        <v>0</v>
      </c>
      <c r="BO568" s="24">
        <f t="shared" ca="1" si="513"/>
        <v>0</v>
      </c>
      <c r="BP568" s="25">
        <f t="shared" ca="1" si="514"/>
        <v>0</v>
      </c>
      <c r="BQ568" s="34">
        <f t="shared" ca="1" si="515"/>
        <v>62701</v>
      </c>
      <c r="BR568" s="23">
        <f t="shared" ca="1" si="516"/>
        <v>83738.765542923895</v>
      </c>
      <c r="BS568" s="24">
        <f t="shared" ca="1" si="517"/>
        <v>0</v>
      </c>
      <c r="BT568" s="24">
        <f t="shared" ca="1" si="522"/>
        <v>0</v>
      </c>
      <c r="BU568" s="24">
        <f t="shared" ca="1" si="518"/>
        <v>0</v>
      </c>
      <c r="BV568" s="24">
        <f t="shared" ca="1" si="523"/>
        <v>0</v>
      </c>
      <c r="BW568" s="24">
        <f t="shared" ca="1" si="519"/>
        <v>-1323.4747341327661</v>
      </c>
      <c r="BX568" s="25">
        <f t="shared" ca="1" si="524"/>
        <v>-16154.452581914795</v>
      </c>
      <c r="BY568" s="23">
        <f t="shared" ca="1" si="491"/>
        <v>13384.986642418524</v>
      </c>
      <c r="BZ568" s="24">
        <f t="shared" ca="1" si="492"/>
        <v>0</v>
      </c>
      <c r="CA568" s="24">
        <f t="shared" ca="1" si="525"/>
        <v>0</v>
      </c>
      <c r="CB568" s="24">
        <f t="shared" ca="1" si="493"/>
        <v>0</v>
      </c>
      <c r="CC568" s="24">
        <f t="shared" ca="1" si="526"/>
        <v>0</v>
      </c>
      <c r="CD568" s="24">
        <f t="shared" ca="1" si="494"/>
        <v>-212.23963374024015</v>
      </c>
      <c r="CE568" s="25">
        <f t="shared" ca="1" si="527"/>
        <v>-2638.5054927843544</v>
      </c>
      <c r="CF568" s="23">
        <f t="shared" ca="1" si="528"/>
        <v>1646733.2918153687</v>
      </c>
      <c r="CG568" s="25">
        <f t="array" aca="1" ref="CG568" ca="1">SUM(BF557:BF568/(1+inflation/100)^(AP557:AP568/12))</f>
        <v>267980.53702225385</v>
      </c>
      <c r="CH568" s="32">
        <f ca="1">IFERROR(IF(MOD(AP568-ap_months_since_start,12)=0,ap_drawdown/100*(AQ568+AV568+BA568-BC568),CH567),0)</f>
        <v>13948.133957022557</v>
      </c>
    </row>
    <row r="569" spans="40:86" x14ac:dyDescent="0.25">
      <c r="AN569" s="32">
        <f t="shared" ca="1" si="489"/>
        <v>101.66666666666667</v>
      </c>
      <c r="AO569" s="53">
        <f t="shared" ca="1" si="520"/>
        <v>62702</v>
      </c>
      <c r="AP569" s="22">
        <v>562</v>
      </c>
      <c r="AQ569" s="32">
        <f t="shared" ca="1" si="521"/>
        <v>83738.765542923895</v>
      </c>
      <c r="AR569" s="23">
        <f t="array" aca="1" ref="AR569" ca="1">SUM(IF(lsc_start_date=AO569,lsc_amount,0))</f>
        <v>0</v>
      </c>
      <c r="AS569" s="24">
        <f t="shared" ca="1" si="495"/>
        <v>0</v>
      </c>
      <c r="AT569" s="24">
        <f t="shared" ca="1" si="496"/>
        <v>0</v>
      </c>
      <c r="AU569" s="24">
        <f t="shared" ca="1" si="497"/>
        <v>0</v>
      </c>
      <c r="AV569" s="25">
        <f t="shared" ca="1" si="498"/>
        <v>0</v>
      </c>
      <c r="AW569" s="23">
        <f t="array" aca="1" ref="AW569" ca="1">SUM(IF(rcs_start_date&lt;=AO569,1,0)*IF(rcs_end_date&gt;=AO569,1,0)*rcs_amount*(1+rcs_escalation/100)^(INT((AP569-rcs_months_since_start)/12))*IF(MOD((AP569-rcs_months_since_start),rcs_frequency)=0,1,0)*IF(rcs_frequency=13,0,1))+SUM(IF(rcs_start_date=AO569,rcs_amount,0)*IF(rcs_frequency=13,1,0))</f>
        <v>0</v>
      </c>
      <c r="AX569" s="24">
        <f t="shared" ca="1" si="499"/>
        <v>0</v>
      </c>
      <c r="AY569" s="24">
        <f t="shared" ca="1" si="500"/>
        <v>0</v>
      </c>
      <c r="AZ569" s="24">
        <f t="shared" ca="1" si="501"/>
        <v>0</v>
      </c>
      <c r="BA569" s="25">
        <f t="shared" ca="1" si="502"/>
        <v>0</v>
      </c>
      <c r="BB569" s="23">
        <f t="array" aca="1" ref="BB569" ca="1">SUM(IF(w_start_date&lt;=AO569,1,0)*IF(w_end_date&gt;=AO569,1,0)*w_amount*(1+w_escalation/100)^(INT((AP569-w_months_since_start)/12))*IF(MOD(AP569-w_months_since_start,w_frequency)=0,1,0)*IF(w_frequency=13,0,1))+SUM(IF(w_start_date=AO569,w_amount,0)*IF(w_frequency=13,1,0))</f>
        <v>0</v>
      </c>
      <c r="BC569" s="25">
        <f t="shared" ca="1" si="503"/>
        <v>0</v>
      </c>
      <c r="BD569" s="24" t="b">
        <f t="shared" ca="1" si="504"/>
        <v>1</v>
      </c>
      <c r="BE569" s="24" t="b">
        <f t="shared" ca="1" si="505"/>
        <v>1</v>
      </c>
      <c r="BF569" s="23">
        <f t="array" aca="1" ref="BF569" ca="1">SUM(IF(BD569,1,0)*IF(ap_start_date&lt;=AO569,1,0)*IF(ap_end_date&gt;=AO569,1,0)*ap_amount*(1+ap_escalation/100)^(INT((AP569-ap_months_since_start)/12))*IF(MOD(AP569-ap_months_since_start,ap_frequency)=0,1,0))</f>
        <v>138113.11479741803</v>
      </c>
      <c r="BG569" s="24">
        <f t="shared" ca="1" si="506"/>
        <v>1657357.3775690163</v>
      </c>
      <c r="BH569" s="24">
        <f t="shared" ca="1" si="507"/>
        <v>2268.8138299418847</v>
      </c>
      <c r="BI569">
        <f t="shared" ca="1" si="508"/>
        <v>0</v>
      </c>
      <c r="BJ569" s="24">
        <f t="shared" ca="1" si="509"/>
        <v>15881.696809593192</v>
      </c>
      <c r="BK569">
        <f t="shared" ca="1" si="510"/>
        <v>1</v>
      </c>
      <c r="BL569" s="25">
        <f t="shared" ca="1" si="511"/>
        <v>1323.4747341327661</v>
      </c>
      <c r="BM569" s="32">
        <f t="shared" ca="1" si="490"/>
        <v>83009.284455843517</v>
      </c>
      <c r="BN569" s="23">
        <f t="shared" ca="1" si="512"/>
        <v>0</v>
      </c>
      <c r="BO569" s="24">
        <f t="shared" ca="1" si="513"/>
        <v>0</v>
      </c>
      <c r="BP569" s="25">
        <f t="shared" ca="1" si="514"/>
        <v>0</v>
      </c>
      <c r="BQ569" s="34">
        <f t="shared" ca="1" si="515"/>
        <v>62731</v>
      </c>
      <c r="BR569" s="23">
        <f t="shared" ca="1" si="516"/>
        <v>83009.284455843517</v>
      </c>
      <c r="BS569" s="24">
        <f t="shared" ca="1" si="517"/>
        <v>0</v>
      </c>
      <c r="BT569" s="24">
        <f t="shared" ca="1" si="522"/>
        <v>0</v>
      </c>
      <c r="BU569" s="24">
        <f t="shared" ca="1" si="518"/>
        <v>0</v>
      </c>
      <c r="BV569" s="24">
        <f t="shared" ca="1" si="523"/>
        <v>0</v>
      </c>
      <c r="BW569" s="24">
        <f t="shared" ca="1" si="519"/>
        <v>-1323.4747341327661</v>
      </c>
      <c r="BX569" s="25">
        <f t="shared" ca="1" si="524"/>
        <v>-16018.074695753992</v>
      </c>
      <c r="BY569" s="23">
        <f t="shared" ca="1" si="491"/>
        <v>13225.089295916347</v>
      </c>
      <c r="BZ569" s="24">
        <f t="shared" ca="1" si="492"/>
        <v>0</v>
      </c>
      <c r="CA569" s="24">
        <f t="shared" ca="1" si="525"/>
        <v>0</v>
      </c>
      <c r="CB569" s="24">
        <f t="shared" ca="1" si="493"/>
        <v>0</v>
      </c>
      <c r="CC569" s="24">
        <f t="shared" ca="1" si="526"/>
        <v>0</v>
      </c>
      <c r="CD569" s="24">
        <f t="shared" ca="1" si="494"/>
        <v>-211.54708363673043</v>
      </c>
      <c r="CE569" s="25">
        <f t="shared" ca="1" si="527"/>
        <v>-2607.3727135920408</v>
      </c>
      <c r="CF569" s="23">
        <f t="shared" ca="1" si="528"/>
        <v>1652045.3346921925</v>
      </c>
      <c r="CG569" s="25">
        <f t="array" aca="1" ref="CG569" ca="1">SUM(BF558:BF569/(1+inflation/100)^(AP558:AP569/12))</f>
        <v>267980.53702225379</v>
      </c>
      <c r="CH569" s="32">
        <f ca="1">IFERROR(IF(MOD(AP569-ap_months_since_start,12)=0,ap_drawdown/100*(AQ569+AV569+BA569-BC569),CH568),0)</f>
        <v>13948.133957022557</v>
      </c>
    </row>
    <row r="570" spans="40:86" x14ac:dyDescent="0.25">
      <c r="AN570" s="32">
        <f t="shared" ca="1" si="489"/>
        <v>101.75</v>
      </c>
      <c r="AO570" s="53">
        <f t="shared" ca="1" si="520"/>
        <v>62732</v>
      </c>
      <c r="AP570" s="22">
        <v>563</v>
      </c>
      <c r="AQ570" s="32">
        <f t="shared" ca="1" si="521"/>
        <v>83009.284455843517</v>
      </c>
      <c r="AR570" s="23">
        <f t="array" aca="1" ref="AR570" ca="1">SUM(IF(lsc_start_date=AO570,lsc_amount,0))</f>
        <v>0</v>
      </c>
      <c r="AS570" s="24">
        <f t="shared" ca="1" si="495"/>
        <v>0</v>
      </c>
      <c r="AT570" s="24">
        <f t="shared" ca="1" si="496"/>
        <v>0</v>
      </c>
      <c r="AU570" s="24">
        <f t="shared" ca="1" si="497"/>
        <v>0</v>
      </c>
      <c r="AV570" s="25">
        <f t="shared" ca="1" si="498"/>
        <v>0</v>
      </c>
      <c r="AW570" s="23">
        <f t="array" aca="1" ref="AW570" ca="1">SUM(IF(rcs_start_date&lt;=AO570,1,0)*IF(rcs_end_date&gt;=AO570,1,0)*rcs_amount*(1+rcs_escalation/100)^(INT((AP570-rcs_months_since_start)/12))*IF(MOD((AP570-rcs_months_since_start),rcs_frequency)=0,1,0)*IF(rcs_frequency=13,0,1))+SUM(IF(rcs_start_date=AO570,rcs_amount,0)*IF(rcs_frequency=13,1,0))</f>
        <v>0</v>
      </c>
      <c r="AX570" s="24">
        <f t="shared" ca="1" si="499"/>
        <v>0</v>
      </c>
      <c r="AY570" s="24">
        <f t="shared" ca="1" si="500"/>
        <v>0</v>
      </c>
      <c r="AZ570" s="24">
        <f t="shared" ca="1" si="501"/>
        <v>0</v>
      </c>
      <c r="BA570" s="25">
        <f t="shared" ca="1" si="502"/>
        <v>0</v>
      </c>
      <c r="BB570" s="23">
        <f t="array" aca="1" ref="BB570" ca="1">SUM(IF(w_start_date&lt;=AO570,1,0)*IF(w_end_date&gt;=AO570,1,0)*w_amount*(1+w_escalation/100)^(INT((AP570-w_months_since_start)/12))*IF(MOD(AP570-w_months_since_start,w_frequency)=0,1,0)*IF(w_frequency=13,0,1))+SUM(IF(w_start_date=AO570,w_amount,0)*IF(w_frequency=13,1,0))</f>
        <v>0</v>
      </c>
      <c r="BC570" s="25">
        <f t="shared" ca="1" si="503"/>
        <v>0</v>
      </c>
      <c r="BD570" s="24" t="b">
        <f t="shared" ca="1" si="504"/>
        <v>1</v>
      </c>
      <c r="BE570" s="24" t="b">
        <f t="shared" ca="1" si="505"/>
        <v>1</v>
      </c>
      <c r="BF570" s="23">
        <f t="array" aca="1" ref="BF570" ca="1">SUM(IF(BD570,1,0)*IF(ap_start_date&lt;=AO570,1,0)*IF(ap_end_date&gt;=AO570,1,0)*ap_amount*(1+ap_escalation/100)^(INT((AP570-ap_months_since_start)/12))*IF(MOD(AP570-ap_months_since_start,ap_frequency)=0,1,0))</f>
        <v>138113.11479741803</v>
      </c>
      <c r="BG570" s="24">
        <f t="shared" ca="1" si="506"/>
        <v>1657357.3775690163</v>
      </c>
      <c r="BH570" s="24">
        <f t="shared" ca="1" si="507"/>
        <v>2268.8138299418847</v>
      </c>
      <c r="BI570">
        <f t="shared" ca="1" si="508"/>
        <v>0</v>
      </c>
      <c r="BJ570" s="24">
        <f t="shared" ca="1" si="509"/>
        <v>15881.696809593192</v>
      </c>
      <c r="BK570">
        <f t="shared" ca="1" si="510"/>
        <v>1</v>
      </c>
      <c r="BL570" s="25">
        <f t="shared" ca="1" si="511"/>
        <v>1323.4747341327661</v>
      </c>
      <c r="BM570" s="32">
        <f t="shared" ca="1" si="490"/>
        <v>82274.545762715556</v>
      </c>
      <c r="BN570" s="23">
        <f t="shared" ca="1" si="512"/>
        <v>0</v>
      </c>
      <c r="BO570" s="24">
        <f t="shared" ca="1" si="513"/>
        <v>0</v>
      </c>
      <c r="BP570" s="25">
        <f t="shared" ca="1" si="514"/>
        <v>0</v>
      </c>
      <c r="BQ570" s="34">
        <f t="shared" ca="1" si="515"/>
        <v>62762</v>
      </c>
      <c r="BR570" s="23">
        <f t="shared" ca="1" si="516"/>
        <v>82274.545762715556</v>
      </c>
      <c r="BS570" s="24">
        <f t="shared" ca="1" si="517"/>
        <v>0</v>
      </c>
      <c r="BT570" s="24">
        <f t="shared" ca="1" si="522"/>
        <v>0</v>
      </c>
      <c r="BU570" s="24">
        <f t="shared" ca="1" si="518"/>
        <v>0</v>
      </c>
      <c r="BV570" s="24">
        <f t="shared" ca="1" si="523"/>
        <v>0</v>
      </c>
      <c r="BW570" s="24">
        <f t="shared" ca="1" si="519"/>
        <v>-1323.4747341327661</v>
      </c>
      <c r="BX570" s="25">
        <f t="shared" ca="1" si="524"/>
        <v>-15881.69680959319</v>
      </c>
      <c r="BY570" s="23">
        <f t="shared" ca="1" si="491"/>
        <v>13065.258028935652</v>
      </c>
      <c r="BZ570" s="24">
        <f t="shared" ca="1" si="492"/>
        <v>0</v>
      </c>
      <c r="CA570" s="24">
        <f t="shared" ca="1" si="525"/>
        <v>0</v>
      </c>
      <c r="CB570" s="24">
        <f t="shared" ca="1" si="493"/>
        <v>0</v>
      </c>
      <c r="CC570" s="24">
        <f t="shared" ca="1" si="526"/>
        <v>0</v>
      </c>
      <c r="CD570" s="24">
        <f t="shared" ca="1" si="494"/>
        <v>-210.85679336394799</v>
      </c>
      <c r="CE570" s="25">
        <f t="shared" ca="1" si="527"/>
        <v>-2576.3415224446753</v>
      </c>
      <c r="CF570" s="23">
        <f t="shared" ca="1" si="528"/>
        <v>1657357.3775690163</v>
      </c>
      <c r="CG570" s="25">
        <f t="array" aca="1" ref="CG570" ca="1">SUM(BF559:BF570/(1+inflation/100)^(AP559:AP570/12))</f>
        <v>267980.53702225385</v>
      </c>
      <c r="CH570" s="32">
        <f ca="1">IFERROR(IF(MOD(AP570-ap_months_since_start,12)=0,ap_drawdown/100*(AQ570+AV570+BA570-BC570),CH569),0)</f>
        <v>13948.133957022557</v>
      </c>
    </row>
    <row r="571" spans="40:86" x14ac:dyDescent="0.25">
      <c r="AN571" s="32">
        <f t="shared" ca="1" si="489"/>
        <v>101.83333333333333</v>
      </c>
      <c r="AO571" s="53">
        <f t="shared" ca="1" si="520"/>
        <v>62763</v>
      </c>
      <c r="AP571" s="22">
        <v>564</v>
      </c>
      <c r="AQ571" s="32">
        <f t="shared" ca="1" si="521"/>
        <v>82274.545762715556</v>
      </c>
      <c r="AR571" s="23">
        <f t="array" aca="1" ref="AR571" ca="1">SUM(IF(lsc_start_date=AO571,lsc_amount,0))</f>
        <v>0</v>
      </c>
      <c r="AS571" s="24">
        <f t="shared" ca="1" si="495"/>
        <v>0</v>
      </c>
      <c r="AT571" s="24">
        <f t="shared" ca="1" si="496"/>
        <v>0</v>
      </c>
      <c r="AU571" s="24">
        <f t="shared" ca="1" si="497"/>
        <v>0</v>
      </c>
      <c r="AV571" s="25">
        <f t="shared" ca="1" si="498"/>
        <v>0</v>
      </c>
      <c r="AW571" s="23">
        <f t="array" aca="1" ref="AW571" ca="1">SUM(IF(rcs_start_date&lt;=AO571,1,0)*IF(rcs_end_date&gt;=AO571,1,0)*rcs_amount*(1+rcs_escalation/100)^(INT((AP571-rcs_months_since_start)/12))*IF(MOD((AP571-rcs_months_since_start),rcs_frequency)=0,1,0)*IF(rcs_frequency=13,0,1))+SUM(IF(rcs_start_date=AO571,rcs_amount,0)*IF(rcs_frequency=13,1,0))</f>
        <v>0</v>
      </c>
      <c r="AX571" s="24">
        <f t="shared" ca="1" si="499"/>
        <v>0</v>
      </c>
      <c r="AY571" s="24">
        <f t="shared" ca="1" si="500"/>
        <v>0</v>
      </c>
      <c r="AZ571" s="24">
        <f t="shared" ca="1" si="501"/>
        <v>0</v>
      </c>
      <c r="BA571" s="25">
        <f t="shared" ca="1" si="502"/>
        <v>0</v>
      </c>
      <c r="BB571" s="23">
        <f t="array" aca="1" ref="BB571" ca="1">SUM(IF(w_start_date&lt;=AO571,1,0)*IF(w_end_date&gt;=AO571,1,0)*w_amount*(1+w_escalation/100)^(INT((AP571-w_months_since_start)/12))*IF(MOD(AP571-w_months_since_start,w_frequency)=0,1,0)*IF(w_frequency=13,0,1))+SUM(IF(w_start_date=AO571,w_amount,0)*IF(w_frequency=13,1,0))</f>
        <v>0</v>
      </c>
      <c r="BC571" s="25">
        <f t="shared" ca="1" si="503"/>
        <v>0</v>
      </c>
      <c r="BD571" s="24" t="b">
        <f t="shared" ca="1" si="504"/>
        <v>1</v>
      </c>
      <c r="BE571" s="24" t="b">
        <f t="shared" ca="1" si="505"/>
        <v>1</v>
      </c>
      <c r="BF571" s="23">
        <f t="array" aca="1" ref="BF571" ca="1">SUM(IF(BD571,1,0)*IF(ap_start_date&lt;=AO571,1,0)*IF(ap_end_date&gt;=AO571,1,0)*ap_amount*(1+ap_escalation/100)^(INT((AP571-ap_months_since_start)/12))*IF(MOD(AP571-ap_months_since_start,ap_frequency)=0,1,0))</f>
        <v>143637.63938931475</v>
      </c>
      <c r="BG571" s="24">
        <f t="shared" ca="1" si="506"/>
        <v>1723651.6726717765</v>
      </c>
      <c r="BH571" s="24">
        <f t="shared" ca="1" si="507"/>
        <v>2056.8636440678888</v>
      </c>
      <c r="BI571">
        <f t="shared" ca="1" si="508"/>
        <v>0</v>
      </c>
      <c r="BJ571" s="24">
        <f t="shared" ca="1" si="509"/>
        <v>14398.045508475221</v>
      </c>
      <c r="BK571">
        <f t="shared" ca="1" si="510"/>
        <v>1</v>
      </c>
      <c r="BL571" s="25">
        <f t="shared" ca="1" si="511"/>
        <v>1199.8371257062688</v>
      </c>
      <c r="BM571" s="32">
        <f t="shared" ca="1" si="490"/>
        <v>81659.040274917788</v>
      </c>
      <c r="BN571" s="23">
        <f t="shared" ca="1" si="512"/>
        <v>0</v>
      </c>
      <c r="BO571" s="24">
        <f t="shared" ca="1" si="513"/>
        <v>0</v>
      </c>
      <c r="BP571" s="25">
        <f t="shared" ca="1" si="514"/>
        <v>0</v>
      </c>
      <c r="BQ571" s="34">
        <f t="shared" ca="1" si="515"/>
        <v>62792</v>
      </c>
      <c r="BR571" s="23">
        <f t="shared" ca="1" si="516"/>
        <v>81659.040274917788</v>
      </c>
      <c r="BS571" s="24">
        <f t="shared" ca="1" si="517"/>
        <v>0</v>
      </c>
      <c r="BT571" s="24">
        <f t="shared" ca="1" si="522"/>
        <v>0</v>
      </c>
      <c r="BU571" s="24">
        <f t="shared" ca="1" si="518"/>
        <v>0</v>
      </c>
      <c r="BV571" s="24">
        <f t="shared" ca="1" si="523"/>
        <v>0</v>
      </c>
      <c r="BW571" s="24">
        <f t="shared" ca="1" si="519"/>
        <v>-1199.8371257062688</v>
      </c>
      <c r="BX571" s="25">
        <f t="shared" ca="1" si="524"/>
        <v>-15758.059201166692</v>
      </c>
      <c r="BY571" s="23">
        <f t="shared" ca="1" si="491"/>
        <v>12925.20156085308</v>
      </c>
      <c r="BZ571" s="24">
        <f t="shared" ca="1" si="492"/>
        <v>0</v>
      </c>
      <c r="CA571" s="24">
        <f t="shared" ca="1" si="525"/>
        <v>0</v>
      </c>
      <c r="CB571" s="24">
        <f t="shared" ca="1" si="493"/>
        <v>0</v>
      </c>
      <c r="CC571" s="24">
        <f t="shared" ca="1" si="526"/>
        <v>0</v>
      </c>
      <c r="CD571" s="24">
        <f t="shared" ca="1" si="494"/>
        <v>-190.53501292197831</v>
      </c>
      <c r="CE571" s="25">
        <f t="shared" ca="1" si="527"/>
        <v>-2548.3010295968002</v>
      </c>
      <c r="CF571" s="23">
        <f t="shared" ca="1" si="528"/>
        <v>1662881.902160913</v>
      </c>
      <c r="CG571" s="25">
        <f t="array" aca="1" ref="CG571" ca="1">SUM(BF560:BF571/(1+inflation/100)^(AP560:AP571/12))</f>
        <v>267980.53702225379</v>
      </c>
      <c r="CH571" s="32">
        <f ca="1">IFERROR(IF(MOD(AP571-ap_months_since_start,12)=0,ap_drawdown/100*(AQ571+AV571+BA571-BC571),CH570),0)</f>
        <v>12645.114050421385</v>
      </c>
    </row>
    <row r="572" spans="40:86" x14ac:dyDescent="0.25">
      <c r="AN572" s="32">
        <f t="shared" ca="1" si="489"/>
        <v>101.91666666666667</v>
      </c>
      <c r="AO572" s="53">
        <f t="shared" ca="1" si="520"/>
        <v>62793</v>
      </c>
      <c r="AP572" s="22">
        <v>565</v>
      </c>
      <c r="AQ572" s="32">
        <f t="shared" ca="1" si="521"/>
        <v>81659.040274917788</v>
      </c>
      <c r="AR572" s="23">
        <f t="array" aca="1" ref="AR572" ca="1">SUM(IF(lsc_start_date=AO572,lsc_amount,0))</f>
        <v>0</v>
      </c>
      <c r="AS572" s="24">
        <f t="shared" ca="1" si="495"/>
        <v>0</v>
      </c>
      <c r="AT572" s="24">
        <f t="shared" ca="1" si="496"/>
        <v>0</v>
      </c>
      <c r="AU572" s="24">
        <f t="shared" ca="1" si="497"/>
        <v>0</v>
      </c>
      <c r="AV572" s="25">
        <f t="shared" ca="1" si="498"/>
        <v>0</v>
      </c>
      <c r="AW572" s="23">
        <f t="array" aca="1" ref="AW572" ca="1">SUM(IF(rcs_start_date&lt;=AO572,1,0)*IF(rcs_end_date&gt;=AO572,1,0)*rcs_amount*(1+rcs_escalation/100)^(INT((AP572-rcs_months_since_start)/12))*IF(MOD((AP572-rcs_months_since_start),rcs_frequency)=0,1,0)*IF(rcs_frequency=13,0,1))+SUM(IF(rcs_start_date=AO572,rcs_amount,0)*IF(rcs_frequency=13,1,0))</f>
        <v>0</v>
      </c>
      <c r="AX572" s="24">
        <f t="shared" ca="1" si="499"/>
        <v>0</v>
      </c>
      <c r="AY572" s="24">
        <f t="shared" ca="1" si="500"/>
        <v>0</v>
      </c>
      <c r="AZ572" s="24">
        <f t="shared" ca="1" si="501"/>
        <v>0</v>
      </c>
      <c r="BA572" s="25">
        <f t="shared" ca="1" si="502"/>
        <v>0</v>
      </c>
      <c r="BB572" s="23">
        <f t="array" aca="1" ref="BB572" ca="1">SUM(IF(w_start_date&lt;=AO572,1,0)*IF(w_end_date&gt;=AO572,1,0)*w_amount*(1+w_escalation/100)^(INT((AP572-w_months_since_start)/12))*IF(MOD(AP572-w_months_since_start,w_frequency)=0,1,0)*IF(w_frequency=13,0,1))+SUM(IF(w_start_date=AO572,w_amount,0)*IF(w_frequency=13,1,0))</f>
        <v>0</v>
      </c>
      <c r="BC572" s="25">
        <f t="shared" ca="1" si="503"/>
        <v>0</v>
      </c>
      <c r="BD572" s="24" t="b">
        <f t="shared" ca="1" si="504"/>
        <v>1</v>
      </c>
      <c r="BE572" s="24" t="b">
        <f t="shared" ca="1" si="505"/>
        <v>1</v>
      </c>
      <c r="BF572" s="23">
        <f t="array" aca="1" ref="BF572" ca="1">SUM(IF(BD572,1,0)*IF(ap_start_date&lt;=AO572,1,0)*IF(ap_end_date&gt;=AO572,1,0)*ap_amount*(1+ap_escalation/100)^(INT((AP572-ap_months_since_start)/12))*IF(MOD(AP572-ap_months_since_start,ap_frequency)=0,1,0))</f>
        <v>143637.63938931475</v>
      </c>
      <c r="BG572" s="24">
        <f t="shared" ca="1" si="506"/>
        <v>1723651.6726717765</v>
      </c>
      <c r="BH572" s="24">
        <f t="shared" ca="1" si="507"/>
        <v>2056.8636440678888</v>
      </c>
      <c r="BI572">
        <f t="shared" ca="1" si="508"/>
        <v>0</v>
      </c>
      <c r="BJ572" s="24">
        <f t="shared" ca="1" si="509"/>
        <v>14398.045508475221</v>
      </c>
      <c r="BK572">
        <f t="shared" ca="1" si="510"/>
        <v>1</v>
      </c>
      <c r="BL572" s="25">
        <f t="shared" ca="1" si="511"/>
        <v>1199.8371257062688</v>
      </c>
      <c r="BM572" s="32">
        <f t="shared" ca="1" si="490"/>
        <v>81039.098640066615</v>
      </c>
      <c r="BN572" s="23">
        <f t="shared" ca="1" si="512"/>
        <v>0</v>
      </c>
      <c r="BO572" s="24">
        <f t="shared" ca="1" si="513"/>
        <v>0</v>
      </c>
      <c r="BP572" s="25">
        <f t="shared" ca="1" si="514"/>
        <v>0</v>
      </c>
      <c r="BQ572" s="34">
        <f t="shared" ca="1" si="515"/>
        <v>62823</v>
      </c>
      <c r="BR572" s="23">
        <f t="shared" ca="1" si="516"/>
        <v>81039.098640066615</v>
      </c>
      <c r="BS572" s="24">
        <f t="shared" ca="1" si="517"/>
        <v>0</v>
      </c>
      <c r="BT572" s="24">
        <f t="shared" ca="1" si="522"/>
        <v>0</v>
      </c>
      <c r="BU572" s="24">
        <f t="shared" ca="1" si="518"/>
        <v>0</v>
      </c>
      <c r="BV572" s="24">
        <f t="shared" ca="1" si="523"/>
        <v>0</v>
      </c>
      <c r="BW572" s="24">
        <f t="shared" ca="1" si="519"/>
        <v>-1199.8371257062688</v>
      </c>
      <c r="BX572" s="25">
        <f t="shared" ca="1" si="524"/>
        <v>-15634.421592740195</v>
      </c>
      <c r="BY572" s="23">
        <f t="shared" ca="1" si="491"/>
        <v>12785.220130963866</v>
      </c>
      <c r="BZ572" s="24">
        <f t="shared" ca="1" si="492"/>
        <v>0</v>
      </c>
      <c r="CA572" s="24">
        <f t="shared" ca="1" si="525"/>
        <v>0</v>
      </c>
      <c r="CB572" s="24">
        <f t="shared" ca="1" si="493"/>
        <v>0</v>
      </c>
      <c r="CC572" s="24">
        <f t="shared" ca="1" si="526"/>
        <v>0</v>
      </c>
      <c r="CD572" s="24">
        <f t="shared" ca="1" si="494"/>
        <v>-189.91328624164083</v>
      </c>
      <c r="CE572" s="25">
        <f t="shared" ca="1" si="527"/>
        <v>-2520.3520344860922</v>
      </c>
      <c r="CF572" s="23">
        <f t="shared" ca="1" si="528"/>
        <v>1668406.4267528097</v>
      </c>
      <c r="CG572" s="25">
        <f t="array" aca="1" ref="CG572" ca="1">SUM(BF561:BF572/(1+inflation/100)^(AP561:AP572/12))</f>
        <v>267980.53702225385</v>
      </c>
      <c r="CH572" s="32">
        <f ca="1">IFERROR(IF(MOD(AP572-ap_months_since_start,12)=0,ap_drawdown/100*(AQ572+AV572+BA572-BC572),CH571),0)</f>
        <v>12645.114050421385</v>
      </c>
    </row>
    <row r="573" spans="40:86" x14ac:dyDescent="0.25">
      <c r="AN573" s="32">
        <f t="shared" ca="1" si="489"/>
        <v>102</v>
      </c>
      <c r="AO573" s="53">
        <f t="shared" ca="1" si="520"/>
        <v>62824</v>
      </c>
      <c r="AP573" s="22">
        <v>566</v>
      </c>
      <c r="AQ573" s="32">
        <f t="shared" ca="1" si="521"/>
        <v>81039.098640066615</v>
      </c>
      <c r="AR573" s="23">
        <f t="array" aca="1" ref="AR573" ca="1">SUM(IF(lsc_start_date=AO573,lsc_amount,0))</f>
        <v>0</v>
      </c>
      <c r="AS573" s="24">
        <f t="shared" ca="1" si="495"/>
        <v>0</v>
      </c>
      <c r="AT573" s="24">
        <f t="shared" ca="1" si="496"/>
        <v>0</v>
      </c>
      <c r="AU573" s="24">
        <f t="shared" ca="1" si="497"/>
        <v>0</v>
      </c>
      <c r="AV573" s="25">
        <f t="shared" ca="1" si="498"/>
        <v>0</v>
      </c>
      <c r="AW573" s="23">
        <f t="array" aca="1" ref="AW573" ca="1">SUM(IF(rcs_start_date&lt;=AO573,1,0)*IF(rcs_end_date&gt;=AO573,1,0)*rcs_amount*(1+rcs_escalation/100)^(INT((AP573-rcs_months_since_start)/12))*IF(MOD((AP573-rcs_months_since_start),rcs_frequency)=0,1,0)*IF(rcs_frequency=13,0,1))+SUM(IF(rcs_start_date=AO573,rcs_amount,0)*IF(rcs_frequency=13,1,0))</f>
        <v>0</v>
      </c>
      <c r="AX573" s="24">
        <f t="shared" ca="1" si="499"/>
        <v>0</v>
      </c>
      <c r="AY573" s="24">
        <f t="shared" ca="1" si="500"/>
        <v>0</v>
      </c>
      <c r="AZ573" s="24">
        <f t="shared" ca="1" si="501"/>
        <v>0</v>
      </c>
      <c r="BA573" s="25">
        <f t="shared" ca="1" si="502"/>
        <v>0</v>
      </c>
      <c r="BB573" s="23">
        <f t="array" aca="1" ref="BB573" ca="1">SUM(IF(w_start_date&lt;=AO573,1,0)*IF(w_end_date&gt;=AO573,1,0)*w_amount*(1+w_escalation/100)^(INT((AP573-w_months_since_start)/12))*IF(MOD(AP573-w_months_since_start,w_frequency)=0,1,0)*IF(w_frequency=13,0,1))+SUM(IF(w_start_date=AO573,w_amount,0)*IF(w_frequency=13,1,0))</f>
        <v>0</v>
      </c>
      <c r="BC573" s="25">
        <f t="shared" ca="1" si="503"/>
        <v>0</v>
      </c>
      <c r="BD573" s="24" t="b">
        <f t="shared" ca="1" si="504"/>
        <v>1</v>
      </c>
      <c r="BE573" s="24" t="b">
        <f t="shared" ca="1" si="505"/>
        <v>1</v>
      </c>
      <c r="BF573" s="23">
        <f t="array" aca="1" ref="BF573" ca="1">SUM(IF(BD573,1,0)*IF(ap_start_date&lt;=AO573,1,0)*IF(ap_end_date&gt;=AO573,1,0)*ap_amount*(1+ap_escalation/100)^(INT((AP573-ap_months_since_start)/12))*IF(MOD(AP573-ap_months_since_start,ap_frequency)=0,1,0))</f>
        <v>143637.63938931475</v>
      </c>
      <c r="BG573" s="24">
        <f t="shared" ca="1" si="506"/>
        <v>1723651.6726717765</v>
      </c>
      <c r="BH573" s="24">
        <f t="shared" ca="1" si="507"/>
        <v>2056.8636440678888</v>
      </c>
      <c r="BI573">
        <f t="shared" ca="1" si="508"/>
        <v>0</v>
      </c>
      <c r="BJ573" s="24">
        <f t="shared" ca="1" si="509"/>
        <v>14398.045508475221</v>
      </c>
      <c r="BK573">
        <f t="shared" ca="1" si="510"/>
        <v>1</v>
      </c>
      <c r="BL573" s="25">
        <f t="shared" ca="1" si="511"/>
        <v>1199.8371257062688</v>
      </c>
      <c r="BM573" s="32">
        <f t="shared" ca="1" si="490"/>
        <v>80414.688885415933</v>
      </c>
      <c r="BN573" s="23">
        <f t="shared" ca="1" si="512"/>
        <v>0</v>
      </c>
      <c r="BO573" s="24">
        <f t="shared" ca="1" si="513"/>
        <v>0</v>
      </c>
      <c r="BP573" s="25">
        <f t="shared" ca="1" si="514"/>
        <v>0</v>
      </c>
      <c r="BQ573" s="34">
        <f t="shared" ca="1" si="515"/>
        <v>62854</v>
      </c>
      <c r="BR573" s="23">
        <f t="shared" ca="1" si="516"/>
        <v>80414.688885415933</v>
      </c>
      <c r="BS573" s="24">
        <f t="shared" ca="1" si="517"/>
        <v>0</v>
      </c>
      <c r="BT573" s="24">
        <f t="shared" ca="1" si="522"/>
        <v>0</v>
      </c>
      <c r="BU573" s="24">
        <f t="shared" ca="1" si="518"/>
        <v>0</v>
      </c>
      <c r="BV573" s="24">
        <f t="shared" ca="1" si="523"/>
        <v>0</v>
      </c>
      <c r="BW573" s="24">
        <f t="shared" ca="1" si="519"/>
        <v>-1199.8371257062688</v>
      </c>
      <c r="BX573" s="25">
        <f t="shared" ca="1" si="524"/>
        <v>-15510.783984313697</v>
      </c>
      <c r="BY573" s="23">
        <f t="shared" ca="1" si="491"/>
        <v>12645.311996789875</v>
      </c>
      <c r="BZ573" s="24">
        <f t="shared" ca="1" si="492"/>
        <v>0</v>
      </c>
      <c r="CA573" s="24">
        <f t="shared" ca="1" si="525"/>
        <v>0</v>
      </c>
      <c r="CB573" s="24">
        <f t="shared" ca="1" si="493"/>
        <v>0</v>
      </c>
      <c r="CC573" s="24">
        <f t="shared" ca="1" si="526"/>
        <v>0</v>
      </c>
      <c r="CD573" s="24">
        <f t="shared" ca="1" si="494"/>
        <v>-189.29358829113701</v>
      </c>
      <c r="CE573" s="25">
        <f t="shared" ca="1" si="527"/>
        <v>-2492.4942385501836</v>
      </c>
      <c r="CF573" s="23">
        <f t="shared" ca="1" si="528"/>
        <v>1673930.9513447064</v>
      </c>
      <c r="CG573" s="25">
        <f t="array" aca="1" ref="CG573" ca="1">SUM(BF562:BF573/(1+inflation/100)^(AP562:AP573/12))</f>
        <v>267980.53702225379</v>
      </c>
      <c r="CH573" s="32">
        <f ca="1">IFERROR(IF(MOD(AP573-ap_months_since_start,12)=0,ap_drawdown/100*(AQ573+AV573+BA573-BC573),CH572),0)</f>
        <v>12645.114050421385</v>
      </c>
    </row>
    <row r="574" spans="40:86" x14ac:dyDescent="0.25">
      <c r="AN574" s="32">
        <f t="shared" ca="1" si="489"/>
        <v>102.08333333333333</v>
      </c>
      <c r="AO574" s="53">
        <f t="shared" ca="1" si="520"/>
        <v>62855</v>
      </c>
      <c r="AP574" s="22">
        <v>567</v>
      </c>
      <c r="AQ574" s="32">
        <f t="shared" ca="1" si="521"/>
        <v>80414.688885415933</v>
      </c>
      <c r="AR574" s="23">
        <f t="array" aca="1" ref="AR574" ca="1">SUM(IF(lsc_start_date=AO574,lsc_amount,0))</f>
        <v>0</v>
      </c>
      <c r="AS574" s="24">
        <f t="shared" ca="1" si="495"/>
        <v>0</v>
      </c>
      <c r="AT574" s="24">
        <f t="shared" ca="1" si="496"/>
        <v>0</v>
      </c>
      <c r="AU574" s="24">
        <f t="shared" ca="1" si="497"/>
        <v>0</v>
      </c>
      <c r="AV574" s="25">
        <f t="shared" ca="1" si="498"/>
        <v>0</v>
      </c>
      <c r="AW574" s="23">
        <f t="array" aca="1" ref="AW574" ca="1">SUM(IF(rcs_start_date&lt;=AO574,1,0)*IF(rcs_end_date&gt;=AO574,1,0)*rcs_amount*(1+rcs_escalation/100)^(INT((AP574-rcs_months_since_start)/12))*IF(MOD((AP574-rcs_months_since_start),rcs_frequency)=0,1,0)*IF(rcs_frequency=13,0,1))+SUM(IF(rcs_start_date=AO574,rcs_amount,0)*IF(rcs_frequency=13,1,0))</f>
        <v>0</v>
      </c>
      <c r="AX574" s="24">
        <f t="shared" ca="1" si="499"/>
        <v>0</v>
      </c>
      <c r="AY574" s="24">
        <f t="shared" ca="1" si="500"/>
        <v>0</v>
      </c>
      <c r="AZ574" s="24">
        <f t="shared" ca="1" si="501"/>
        <v>0</v>
      </c>
      <c r="BA574" s="25">
        <f t="shared" ca="1" si="502"/>
        <v>0</v>
      </c>
      <c r="BB574" s="23">
        <f t="array" aca="1" ref="BB574" ca="1">SUM(IF(w_start_date&lt;=AO574,1,0)*IF(w_end_date&gt;=AO574,1,0)*w_amount*(1+w_escalation/100)^(INT((AP574-w_months_since_start)/12))*IF(MOD(AP574-w_months_since_start,w_frequency)=0,1,0)*IF(w_frequency=13,0,1))+SUM(IF(w_start_date=AO574,w_amount,0)*IF(w_frequency=13,1,0))</f>
        <v>0</v>
      </c>
      <c r="BC574" s="25">
        <f t="shared" ca="1" si="503"/>
        <v>0</v>
      </c>
      <c r="BD574" s="24" t="b">
        <f t="shared" ca="1" si="504"/>
        <v>1</v>
      </c>
      <c r="BE574" s="24" t="b">
        <f t="shared" ca="1" si="505"/>
        <v>1</v>
      </c>
      <c r="BF574" s="23">
        <f t="array" aca="1" ref="BF574" ca="1">SUM(IF(BD574,1,0)*IF(ap_start_date&lt;=AO574,1,0)*IF(ap_end_date&gt;=AO574,1,0)*ap_amount*(1+ap_escalation/100)^(INT((AP574-ap_months_since_start)/12))*IF(MOD(AP574-ap_months_since_start,ap_frequency)=0,1,0))</f>
        <v>143637.63938931475</v>
      </c>
      <c r="BG574" s="24">
        <f t="shared" ca="1" si="506"/>
        <v>1723651.6726717765</v>
      </c>
      <c r="BH574" s="24">
        <f t="shared" ca="1" si="507"/>
        <v>2056.8636440678888</v>
      </c>
      <c r="BI574">
        <f t="shared" ca="1" si="508"/>
        <v>0</v>
      </c>
      <c r="BJ574" s="24">
        <f t="shared" ca="1" si="509"/>
        <v>14398.045508475221</v>
      </c>
      <c r="BK574">
        <f t="shared" ca="1" si="510"/>
        <v>1</v>
      </c>
      <c r="BL574" s="25">
        <f t="shared" ca="1" si="511"/>
        <v>1199.8371257062688</v>
      </c>
      <c r="BM574" s="32">
        <f t="shared" ca="1" si="490"/>
        <v>79785.778807781739</v>
      </c>
      <c r="BN574" s="23">
        <f t="shared" ca="1" si="512"/>
        <v>0</v>
      </c>
      <c r="BO574" s="24">
        <f t="shared" ca="1" si="513"/>
        <v>0</v>
      </c>
      <c r="BP574" s="25">
        <f t="shared" ca="1" si="514"/>
        <v>0</v>
      </c>
      <c r="BQ574" s="34">
        <f t="shared" ca="1" si="515"/>
        <v>62883</v>
      </c>
      <c r="BR574" s="23">
        <f t="shared" ca="1" si="516"/>
        <v>79785.778807781739</v>
      </c>
      <c r="BS574" s="24">
        <f t="shared" ca="1" si="517"/>
        <v>0</v>
      </c>
      <c r="BT574" s="24">
        <f t="shared" ca="1" si="522"/>
        <v>0</v>
      </c>
      <c r="BU574" s="24">
        <f t="shared" ca="1" si="518"/>
        <v>0</v>
      </c>
      <c r="BV574" s="24">
        <f t="shared" ca="1" si="523"/>
        <v>0</v>
      </c>
      <c r="BW574" s="24">
        <f t="shared" ca="1" si="519"/>
        <v>-1199.8371257062688</v>
      </c>
      <c r="BX574" s="25">
        <f t="shared" ca="1" si="524"/>
        <v>-15387.1463758872</v>
      </c>
      <c r="BY574" s="23">
        <f t="shared" ca="1" si="491"/>
        <v>12505.475415666981</v>
      </c>
      <c r="BZ574" s="24">
        <f t="shared" ca="1" si="492"/>
        <v>0</v>
      </c>
      <c r="CA574" s="24">
        <f t="shared" ca="1" si="525"/>
        <v>0</v>
      </c>
      <c r="CB574" s="24">
        <f t="shared" ca="1" si="493"/>
        <v>0</v>
      </c>
      <c r="CC574" s="24">
        <f t="shared" ca="1" si="526"/>
        <v>0</v>
      </c>
      <c r="CD574" s="24">
        <f t="shared" ca="1" si="494"/>
        <v>-188.67591245060481</v>
      </c>
      <c r="CE574" s="25">
        <f t="shared" ca="1" si="527"/>
        <v>-2464.7273442009341</v>
      </c>
      <c r="CF574" s="23">
        <f t="shared" ca="1" si="528"/>
        <v>1679455.475936603</v>
      </c>
      <c r="CG574" s="25">
        <f t="array" aca="1" ref="CG574" ca="1">SUM(BF563:BF574/(1+inflation/100)^(AP563:AP574/12))</f>
        <v>267980.53702225379</v>
      </c>
      <c r="CH574" s="32">
        <f ca="1">IFERROR(IF(MOD(AP574-ap_months_since_start,12)=0,ap_drawdown/100*(AQ574+AV574+BA574-BC574),CH573),0)</f>
        <v>12645.114050421385</v>
      </c>
    </row>
    <row r="575" spans="40:86" x14ac:dyDescent="0.25">
      <c r="AN575" s="32">
        <f t="shared" ca="1" si="489"/>
        <v>102.16666666666667</v>
      </c>
      <c r="AO575" s="53">
        <f t="shared" ca="1" si="520"/>
        <v>62884</v>
      </c>
      <c r="AP575" s="22">
        <v>568</v>
      </c>
      <c r="AQ575" s="32">
        <f t="shared" ca="1" si="521"/>
        <v>79785.778807781739</v>
      </c>
      <c r="AR575" s="23">
        <f t="array" aca="1" ref="AR575" ca="1">SUM(IF(lsc_start_date=AO575,lsc_amount,0))</f>
        <v>0</v>
      </c>
      <c r="AS575" s="24">
        <f t="shared" ca="1" si="495"/>
        <v>0</v>
      </c>
      <c r="AT575" s="24">
        <f t="shared" ca="1" si="496"/>
        <v>0</v>
      </c>
      <c r="AU575" s="24">
        <f t="shared" ca="1" si="497"/>
        <v>0</v>
      </c>
      <c r="AV575" s="25">
        <f t="shared" ca="1" si="498"/>
        <v>0</v>
      </c>
      <c r="AW575" s="23">
        <f t="array" aca="1" ref="AW575" ca="1">SUM(IF(rcs_start_date&lt;=AO575,1,0)*IF(rcs_end_date&gt;=AO575,1,0)*rcs_amount*(1+rcs_escalation/100)^(INT((AP575-rcs_months_since_start)/12))*IF(MOD((AP575-rcs_months_since_start),rcs_frequency)=0,1,0)*IF(rcs_frequency=13,0,1))+SUM(IF(rcs_start_date=AO575,rcs_amount,0)*IF(rcs_frequency=13,1,0))</f>
        <v>0</v>
      </c>
      <c r="AX575" s="24">
        <f t="shared" ca="1" si="499"/>
        <v>0</v>
      </c>
      <c r="AY575" s="24">
        <f t="shared" ca="1" si="500"/>
        <v>0</v>
      </c>
      <c r="AZ575" s="24">
        <f t="shared" ca="1" si="501"/>
        <v>0</v>
      </c>
      <c r="BA575" s="25">
        <f t="shared" ca="1" si="502"/>
        <v>0</v>
      </c>
      <c r="BB575" s="23">
        <f t="array" aca="1" ref="BB575" ca="1">SUM(IF(w_start_date&lt;=AO575,1,0)*IF(w_end_date&gt;=AO575,1,0)*w_amount*(1+w_escalation/100)^(INT((AP575-w_months_since_start)/12))*IF(MOD(AP575-w_months_since_start,w_frequency)=0,1,0)*IF(w_frequency=13,0,1))+SUM(IF(w_start_date=AO575,w_amount,0)*IF(w_frequency=13,1,0))</f>
        <v>0</v>
      </c>
      <c r="BC575" s="25">
        <f t="shared" ca="1" si="503"/>
        <v>0</v>
      </c>
      <c r="BD575" s="24" t="b">
        <f t="shared" ca="1" si="504"/>
        <v>1</v>
      </c>
      <c r="BE575" s="24" t="b">
        <f t="shared" ca="1" si="505"/>
        <v>1</v>
      </c>
      <c r="BF575" s="23">
        <f t="array" aca="1" ref="BF575" ca="1">SUM(IF(BD575,1,0)*IF(ap_start_date&lt;=AO575,1,0)*IF(ap_end_date&gt;=AO575,1,0)*ap_amount*(1+ap_escalation/100)^(INT((AP575-ap_months_since_start)/12))*IF(MOD(AP575-ap_months_since_start,ap_frequency)=0,1,0))</f>
        <v>143637.63938931475</v>
      </c>
      <c r="BG575" s="24">
        <f t="shared" ca="1" si="506"/>
        <v>1723651.6726717765</v>
      </c>
      <c r="BH575" s="24">
        <f t="shared" ca="1" si="507"/>
        <v>2056.8636440678888</v>
      </c>
      <c r="BI575">
        <f t="shared" ca="1" si="508"/>
        <v>0</v>
      </c>
      <c r="BJ575" s="24">
        <f t="shared" ca="1" si="509"/>
        <v>14398.045508475221</v>
      </c>
      <c r="BK575">
        <f t="shared" ca="1" si="510"/>
        <v>1</v>
      </c>
      <c r="BL575" s="25">
        <f t="shared" ca="1" si="511"/>
        <v>1199.8371257062688</v>
      </c>
      <c r="BM575" s="32">
        <f t="shared" ca="1" si="490"/>
        <v>79152.335971881257</v>
      </c>
      <c r="BN575" s="23">
        <f t="shared" ca="1" si="512"/>
        <v>0</v>
      </c>
      <c r="BO575" s="24">
        <f t="shared" ca="1" si="513"/>
        <v>0</v>
      </c>
      <c r="BP575" s="25">
        <f t="shared" ca="1" si="514"/>
        <v>0</v>
      </c>
      <c r="BQ575" s="34">
        <f t="shared" ca="1" si="515"/>
        <v>62914</v>
      </c>
      <c r="BR575" s="23">
        <f t="shared" ca="1" si="516"/>
        <v>79152.335971881257</v>
      </c>
      <c r="BS575" s="24">
        <f t="shared" ca="1" si="517"/>
        <v>0</v>
      </c>
      <c r="BT575" s="24">
        <f t="shared" ca="1" si="522"/>
        <v>0</v>
      </c>
      <c r="BU575" s="24">
        <f t="shared" ca="1" si="518"/>
        <v>0</v>
      </c>
      <c r="BV575" s="24">
        <f t="shared" ca="1" si="523"/>
        <v>0</v>
      </c>
      <c r="BW575" s="24">
        <f t="shared" ca="1" si="519"/>
        <v>-1199.8371257062688</v>
      </c>
      <c r="BX575" s="25">
        <f t="shared" ca="1" si="524"/>
        <v>-15263.508767460702</v>
      </c>
      <c r="BY575" s="23">
        <f t="shared" ca="1" si="491"/>
        <v>12365.708644722643</v>
      </c>
      <c r="BZ575" s="24">
        <f t="shared" ca="1" si="492"/>
        <v>0</v>
      </c>
      <c r="CA575" s="24">
        <f t="shared" ca="1" si="525"/>
        <v>0</v>
      </c>
      <c r="CB575" s="24">
        <f t="shared" ca="1" si="493"/>
        <v>0</v>
      </c>
      <c r="CC575" s="24">
        <f t="shared" ca="1" si="526"/>
        <v>0</v>
      </c>
      <c r="CD575" s="24">
        <f t="shared" ca="1" si="494"/>
        <v>-188.06025212178341</v>
      </c>
      <c r="CE575" s="25">
        <f t="shared" ca="1" si="527"/>
        <v>-2437.051054821251</v>
      </c>
      <c r="CF575" s="23">
        <f t="shared" ca="1" si="528"/>
        <v>1684980.0005284997</v>
      </c>
      <c r="CG575" s="25">
        <f t="array" aca="1" ref="CG575" ca="1">SUM(BF564:BF575/(1+inflation/100)^(AP564:AP575/12))</f>
        <v>267980.53702225385</v>
      </c>
      <c r="CH575" s="32">
        <f ca="1">IFERROR(IF(MOD(AP575-ap_months_since_start,12)=0,ap_drawdown/100*(AQ575+AV575+BA575-BC575),CH574),0)</f>
        <v>12645.114050421385</v>
      </c>
    </row>
    <row r="576" spans="40:86" x14ac:dyDescent="0.25">
      <c r="AN576" s="32">
        <f t="shared" ca="1" si="489"/>
        <v>102.25</v>
      </c>
      <c r="AO576" s="53">
        <f t="shared" ca="1" si="520"/>
        <v>62915</v>
      </c>
      <c r="AP576" s="22">
        <v>569</v>
      </c>
      <c r="AQ576" s="32">
        <f t="shared" ca="1" si="521"/>
        <v>79152.335971881257</v>
      </c>
      <c r="AR576" s="23">
        <f t="array" aca="1" ref="AR576" ca="1">SUM(IF(lsc_start_date=AO576,lsc_amount,0))</f>
        <v>0</v>
      </c>
      <c r="AS576" s="24">
        <f t="shared" ca="1" si="495"/>
        <v>0</v>
      </c>
      <c r="AT576" s="24">
        <f t="shared" ca="1" si="496"/>
        <v>0</v>
      </c>
      <c r="AU576" s="24">
        <f t="shared" ca="1" si="497"/>
        <v>0</v>
      </c>
      <c r="AV576" s="25">
        <f t="shared" ca="1" si="498"/>
        <v>0</v>
      </c>
      <c r="AW576" s="23">
        <f t="array" aca="1" ref="AW576" ca="1">SUM(IF(rcs_start_date&lt;=AO576,1,0)*IF(rcs_end_date&gt;=AO576,1,0)*rcs_amount*(1+rcs_escalation/100)^(INT((AP576-rcs_months_since_start)/12))*IF(MOD((AP576-rcs_months_since_start),rcs_frequency)=0,1,0)*IF(rcs_frequency=13,0,1))+SUM(IF(rcs_start_date=AO576,rcs_amount,0)*IF(rcs_frequency=13,1,0))</f>
        <v>0</v>
      </c>
      <c r="AX576" s="24">
        <f t="shared" ca="1" si="499"/>
        <v>0</v>
      </c>
      <c r="AY576" s="24">
        <f t="shared" ca="1" si="500"/>
        <v>0</v>
      </c>
      <c r="AZ576" s="24">
        <f t="shared" ca="1" si="501"/>
        <v>0</v>
      </c>
      <c r="BA576" s="25">
        <f t="shared" ca="1" si="502"/>
        <v>0</v>
      </c>
      <c r="BB576" s="23">
        <f t="array" aca="1" ref="BB576" ca="1">SUM(IF(w_start_date&lt;=AO576,1,0)*IF(w_end_date&gt;=AO576,1,0)*w_amount*(1+w_escalation/100)^(INT((AP576-w_months_since_start)/12))*IF(MOD(AP576-w_months_since_start,w_frequency)=0,1,0)*IF(w_frequency=13,0,1))+SUM(IF(w_start_date=AO576,w_amount,0)*IF(w_frequency=13,1,0))</f>
        <v>0</v>
      </c>
      <c r="BC576" s="25">
        <f t="shared" ca="1" si="503"/>
        <v>0</v>
      </c>
      <c r="BD576" s="24" t="b">
        <f t="shared" ca="1" si="504"/>
        <v>1</v>
      </c>
      <c r="BE576" s="24" t="b">
        <f t="shared" ca="1" si="505"/>
        <v>1</v>
      </c>
      <c r="BF576" s="23">
        <f t="array" aca="1" ref="BF576" ca="1">SUM(IF(BD576,1,0)*IF(ap_start_date&lt;=AO576,1,0)*IF(ap_end_date&gt;=AO576,1,0)*ap_amount*(1+ap_escalation/100)^(INT((AP576-ap_months_since_start)/12))*IF(MOD(AP576-ap_months_since_start,ap_frequency)=0,1,0))</f>
        <v>143637.63938931475</v>
      </c>
      <c r="BG576" s="24">
        <f t="shared" ca="1" si="506"/>
        <v>1723651.6726717765</v>
      </c>
      <c r="BH576" s="24">
        <f t="shared" ca="1" si="507"/>
        <v>2056.8636440678888</v>
      </c>
      <c r="BI576">
        <f t="shared" ca="1" si="508"/>
        <v>0</v>
      </c>
      <c r="BJ576" s="24">
        <f t="shared" ca="1" si="509"/>
        <v>14398.045508475221</v>
      </c>
      <c r="BK576">
        <f t="shared" ca="1" si="510"/>
        <v>1</v>
      </c>
      <c r="BL576" s="25">
        <f t="shared" ca="1" si="511"/>
        <v>1199.8371257062688</v>
      </c>
      <c r="BM576" s="32">
        <f t="shared" ca="1" si="490"/>
        <v>78514.327708660145</v>
      </c>
      <c r="BN576" s="23">
        <f t="shared" ca="1" si="512"/>
        <v>0</v>
      </c>
      <c r="BO576" s="24">
        <f t="shared" ca="1" si="513"/>
        <v>0</v>
      </c>
      <c r="BP576" s="25">
        <f t="shared" ca="1" si="514"/>
        <v>0</v>
      </c>
      <c r="BQ576" s="34">
        <f t="shared" ca="1" si="515"/>
        <v>62944</v>
      </c>
      <c r="BR576" s="23">
        <f t="shared" ca="1" si="516"/>
        <v>78514.327708660145</v>
      </c>
      <c r="BS576" s="24">
        <f t="shared" ca="1" si="517"/>
        <v>0</v>
      </c>
      <c r="BT576" s="24">
        <f t="shared" ca="1" si="522"/>
        <v>0</v>
      </c>
      <c r="BU576" s="24">
        <f t="shared" ca="1" si="518"/>
        <v>0</v>
      </c>
      <c r="BV576" s="24">
        <f t="shared" ca="1" si="523"/>
        <v>0</v>
      </c>
      <c r="BW576" s="24">
        <f t="shared" ca="1" si="519"/>
        <v>-1199.8371257062688</v>
      </c>
      <c r="BX576" s="25">
        <f t="shared" ca="1" si="524"/>
        <v>-15139.871159034205</v>
      </c>
      <c r="BY576" s="23">
        <f t="shared" ca="1" si="491"/>
        <v>12226.009940853475</v>
      </c>
      <c r="BZ576" s="24">
        <f t="shared" ca="1" si="492"/>
        <v>0</v>
      </c>
      <c r="CA576" s="24">
        <f t="shared" ca="1" si="525"/>
        <v>0</v>
      </c>
      <c r="CB576" s="24">
        <f t="shared" ca="1" si="493"/>
        <v>0</v>
      </c>
      <c r="CC576" s="24">
        <f t="shared" ca="1" si="526"/>
        <v>0</v>
      </c>
      <c r="CD576" s="24">
        <f t="shared" ca="1" si="494"/>
        <v>-187.44660072794235</v>
      </c>
      <c r="CE576" s="25">
        <f t="shared" ca="1" si="527"/>
        <v>-2409.4650747619189</v>
      </c>
      <c r="CF576" s="23">
        <f t="shared" ca="1" si="528"/>
        <v>1690504.5251203964</v>
      </c>
      <c r="CG576" s="25">
        <f t="array" aca="1" ref="CG576" ca="1">SUM(BF565:BF576/(1+inflation/100)^(AP565:AP576/12))</f>
        <v>267980.53702225385</v>
      </c>
      <c r="CH576" s="32">
        <f ca="1">IFERROR(IF(MOD(AP576-ap_months_since_start,12)=0,ap_drawdown/100*(AQ576+AV576+BA576-BC576),CH575),0)</f>
        <v>12645.114050421385</v>
      </c>
    </row>
    <row r="577" spans="40:86" x14ac:dyDescent="0.25">
      <c r="AN577" s="32">
        <f t="shared" ca="1" si="489"/>
        <v>102.33333333333333</v>
      </c>
      <c r="AO577" s="53">
        <f t="shared" ca="1" si="520"/>
        <v>62945</v>
      </c>
      <c r="AP577" s="22">
        <v>570</v>
      </c>
      <c r="AQ577" s="32">
        <f t="shared" ca="1" si="521"/>
        <v>78514.327708660145</v>
      </c>
      <c r="AR577" s="23">
        <f t="array" aca="1" ref="AR577" ca="1">SUM(IF(lsc_start_date=AO577,lsc_amount,0))</f>
        <v>0</v>
      </c>
      <c r="AS577" s="24">
        <f t="shared" ca="1" si="495"/>
        <v>0</v>
      </c>
      <c r="AT577" s="24">
        <f t="shared" ca="1" si="496"/>
        <v>0</v>
      </c>
      <c r="AU577" s="24">
        <f t="shared" ca="1" si="497"/>
        <v>0</v>
      </c>
      <c r="AV577" s="25">
        <f t="shared" ca="1" si="498"/>
        <v>0</v>
      </c>
      <c r="AW577" s="23">
        <f t="array" aca="1" ref="AW577" ca="1">SUM(IF(rcs_start_date&lt;=AO577,1,0)*IF(rcs_end_date&gt;=AO577,1,0)*rcs_amount*(1+rcs_escalation/100)^(INT((AP577-rcs_months_since_start)/12))*IF(MOD((AP577-rcs_months_since_start),rcs_frequency)=0,1,0)*IF(rcs_frequency=13,0,1))+SUM(IF(rcs_start_date=AO577,rcs_amount,0)*IF(rcs_frequency=13,1,0))</f>
        <v>0</v>
      </c>
      <c r="AX577" s="24">
        <f t="shared" ca="1" si="499"/>
        <v>0</v>
      </c>
      <c r="AY577" s="24">
        <f t="shared" ca="1" si="500"/>
        <v>0</v>
      </c>
      <c r="AZ577" s="24">
        <f t="shared" ca="1" si="501"/>
        <v>0</v>
      </c>
      <c r="BA577" s="25">
        <f t="shared" ca="1" si="502"/>
        <v>0</v>
      </c>
      <c r="BB577" s="23">
        <f t="array" aca="1" ref="BB577" ca="1">SUM(IF(w_start_date&lt;=AO577,1,0)*IF(w_end_date&gt;=AO577,1,0)*w_amount*(1+w_escalation/100)^(INT((AP577-w_months_since_start)/12))*IF(MOD(AP577-w_months_since_start,w_frequency)=0,1,0)*IF(w_frequency=13,0,1))+SUM(IF(w_start_date=AO577,w_amount,0)*IF(w_frequency=13,1,0))</f>
        <v>0</v>
      </c>
      <c r="BC577" s="25">
        <f t="shared" ca="1" si="503"/>
        <v>0</v>
      </c>
      <c r="BD577" s="24" t="b">
        <f t="shared" ca="1" si="504"/>
        <v>1</v>
      </c>
      <c r="BE577" s="24" t="b">
        <f t="shared" ca="1" si="505"/>
        <v>1</v>
      </c>
      <c r="BF577" s="23">
        <f t="array" aca="1" ref="BF577" ca="1">SUM(IF(BD577,1,0)*IF(ap_start_date&lt;=AO577,1,0)*IF(ap_end_date&gt;=AO577,1,0)*ap_amount*(1+ap_escalation/100)^(INT((AP577-ap_months_since_start)/12))*IF(MOD(AP577-ap_months_since_start,ap_frequency)=0,1,0))</f>
        <v>143637.63938931475</v>
      </c>
      <c r="BG577" s="24">
        <f t="shared" ca="1" si="506"/>
        <v>1723651.6726717765</v>
      </c>
      <c r="BH577" s="24">
        <f t="shared" ca="1" si="507"/>
        <v>2056.8636440678888</v>
      </c>
      <c r="BI577">
        <f t="shared" ca="1" si="508"/>
        <v>0</v>
      </c>
      <c r="BJ577" s="24">
        <f t="shared" ca="1" si="509"/>
        <v>14398.045508475221</v>
      </c>
      <c r="BK577">
        <f t="shared" ca="1" si="510"/>
        <v>1</v>
      </c>
      <c r="BL577" s="25">
        <f t="shared" ca="1" si="511"/>
        <v>1199.8371257062688</v>
      </c>
      <c r="BM577" s="32">
        <f t="shared" ca="1" si="490"/>
        <v>77871.721113607637</v>
      </c>
      <c r="BN577" s="23">
        <f t="shared" ca="1" si="512"/>
        <v>0</v>
      </c>
      <c r="BO577" s="24">
        <f t="shared" ca="1" si="513"/>
        <v>0</v>
      </c>
      <c r="BP577" s="25">
        <f t="shared" ca="1" si="514"/>
        <v>0</v>
      </c>
      <c r="BQ577" s="34">
        <f t="shared" ca="1" si="515"/>
        <v>62975</v>
      </c>
      <c r="BR577" s="23">
        <f t="shared" ca="1" si="516"/>
        <v>77871.721113607637</v>
      </c>
      <c r="BS577" s="24">
        <f t="shared" ca="1" si="517"/>
        <v>0</v>
      </c>
      <c r="BT577" s="24">
        <f t="shared" ca="1" si="522"/>
        <v>0</v>
      </c>
      <c r="BU577" s="24">
        <f t="shared" ca="1" si="518"/>
        <v>0</v>
      </c>
      <c r="BV577" s="24">
        <f t="shared" ca="1" si="523"/>
        <v>0</v>
      </c>
      <c r="BW577" s="24">
        <f t="shared" ca="1" si="519"/>
        <v>-1199.8371257062688</v>
      </c>
      <c r="BX577" s="25">
        <f t="shared" ca="1" si="524"/>
        <v>-15016.233550607709</v>
      </c>
      <c r="BY577" s="23">
        <f t="shared" ca="1" si="491"/>
        <v>12086.377560702791</v>
      </c>
      <c r="BZ577" s="24">
        <f t="shared" ca="1" si="492"/>
        <v>0</v>
      </c>
      <c r="CA577" s="24">
        <f t="shared" ca="1" si="525"/>
        <v>0</v>
      </c>
      <c r="CB577" s="24">
        <f t="shared" ca="1" si="493"/>
        <v>0</v>
      </c>
      <c r="CC577" s="24">
        <f t="shared" ca="1" si="526"/>
        <v>0</v>
      </c>
      <c r="CD577" s="24">
        <f t="shared" ca="1" si="494"/>
        <v>-186.83495171381165</v>
      </c>
      <c r="CE577" s="25">
        <f t="shared" ca="1" si="527"/>
        <v>-2381.969109338444</v>
      </c>
      <c r="CF577" s="23">
        <f t="shared" ca="1" si="528"/>
        <v>1696029.0497122931</v>
      </c>
      <c r="CG577" s="25">
        <f t="array" aca="1" ref="CG577" ca="1">SUM(BF566:BF577/(1+inflation/100)^(AP566:AP577/12))</f>
        <v>267980.53702225379</v>
      </c>
      <c r="CH577" s="32">
        <f ca="1">IFERROR(IF(MOD(AP577-ap_months_since_start,12)=0,ap_drawdown/100*(AQ577+AV577+BA577-BC577),CH576),0)</f>
        <v>12645.114050421385</v>
      </c>
    </row>
    <row r="578" spans="40:86" x14ac:dyDescent="0.25">
      <c r="AN578" s="32">
        <f t="shared" ca="1" si="489"/>
        <v>102.41666666666667</v>
      </c>
      <c r="AO578" s="53">
        <f t="shared" ca="1" si="520"/>
        <v>62976</v>
      </c>
      <c r="AP578" s="22">
        <v>571</v>
      </c>
      <c r="AQ578" s="32">
        <f t="shared" ca="1" si="521"/>
        <v>77871.721113607637</v>
      </c>
      <c r="AR578" s="23">
        <f t="array" aca="1" ref="AR578" ca="1">SUM(IF(lsc_start_date=AO578,lsc_amount,0))</f>
        <v>0</v>
      </c>
      <c r="AS578" s="24">
        <f t="shared" ca="1" si="495"/>
        <v>0</v>
      </c>
      <c r="AT578" s="24">
        <f t="shared" ca="1" si="496"/>
        <v>0</v>
      </c>
      <c r="AU578" s="24">
        <f t="shared" ca="1" si="497"/>
        <v>0</v>
      </c>
      <c r="AV578" s="25">
        <f t="shared" ca="1" si="498"/>
        <v>0</v>
      </c>
      <c r="AW578" s="23">
        <f t="array" aca="1" ref="AW578" ca="1">SUM(IF(rcs_start_date&lt;=AO578,1,0)*IF(rcs_end_date&gt;=AO578,1,0)*rcs_amount*(1+rcs_escalation/100)^(INT((AP578-rcs_months_since_start)/12))*IF(MOD((AP578-rcs_months_since_start),rcs_frequency)=0,1,0)*IF(rcs_frequency=13,0,1))+SUM(IF(rcs_start_date=AO578,rcs_amount,0)*IF(rcs_frequency=13,1,0))</f>
        <v>0</v>
      </c>
      <c r="AX578" s="24">
        <f t="shared" ca="1" si="499"/>
        <v>0</v>
      </c>
      <c r="AY578" s="24">
        <f t="shared" ca="1" si="500"/>
        <v>0</v>
      </c>
      <c r="AZ578" s="24">
        <f t="shared" ca="1" si="501"/>
        <v>0</v>
      </c>
      <c r="BA578" s="25">
        <f t="shared" ca="1" si="502"/>
        <v>0</v>
      </c>
      <c r="BB578" s="23">
        <f t="array" aca="1" ref="BB578" ca="1">SUM(IF(w_start_date&lt;=AO578,1,0)*IF(w_end_date&gt;=AO578,1,0)*w_amount*(1+w_escalation/100)^(INT((AP578-w_months_since_start)/12))*IF(MOD(AP578-w_months_since_start,w_frequency)=0,1,0)*IF(w_frequency=13,0,1))+SUM(IF(w_start_date=AO578,w_amount,0)*IF(w_frequency=13,1,0))</f>
        <v>0</v>
      </c>
      <c r="BC578" s="25">
        <f t="shared" ca="1" si="503"/>
        <v>0</v>
      </c>
      <c r="BD578" s="24" t="b">
        <f t="shared" ca="1" si="504"/>
        <v>1</v>
      </c>
      <c r="BE578" s="24" t="b">
        <f t="shared" ca="1" si="505"/>
        <v>1</v>
      </c>
      <c r="BF578" s="23">
        <f t="array" aca="1" ref="BF578" ca="1">SUM(IF(BD578,1,0)*IF(ap_start_date&lt;=AO578,1,0)*IF(ap_end_date&gt;=AO578,1,0)*ap_amount*(1+ap_escalation/100)^(INT((AP578-ap_months_since_start)/12))*IF(MOD(AP578-ap_months_since_start,ap_frequency)=0,1,0))</f>
        <v>143637.63938931475</v>
      </c>
      <c r="BG578" s="24">
        <f t="shared" ca="1" si="506"/>
        <v>1723651.6726717765</v>
      </c>
      <c r="BH578" s="24">
        <f t="shared" ca="1" si="507"/>
        <v>2056.8636440678888</v>
      </c>
      <c r="BI578">
        <f t="shared" ca="1" si="508"/>
        <v>0</v>
      </c>
      <c r="BJ578" s="24">
        <f t="shared" ca="1" si="509"/>
        <v>14398.045508475221</v>
      </c>
      <c r="BK578">
        <f t="shared" ca="1" si="510"/>
        <v>1</v>
      </c>
      <c r="BL578" s="25">
        <f t="shared" ca="1" si="511"/>
        <v>1199.8371257062688</v>
      </c>
      <c r="BM578" s="32">
        <f t="shared" ca="1" si="490"/>
        <v>77224.483045059504</v>
      </c>
      <c r="BN578" s="23">
        <f t="shared" ca="1" si="512"/>
        <v>0</v>
      </c>
      <c r="BO578" s="24">
        <f t="shared" ca="1" si="513"/>
        <v>0</v>
      </c>
      <c r="BP578" s="25">
        <f t="shared" ca="1" si="514"/>
        <v>0</v>
      </c>
      <c r="BQ578" s="34">
        <f t="shared" ca="1" si="515"/>
        <v>63005</v>
      </c>
      <c r="BR578" s="23">
        <f t="shared" ca="1" si="516"/>
        <v>77224.483045059504</v>
      </c>
      <c r="BS578" s="24">
        <f t="shared" ca="1" si="517"/>
        <v>0</v>
      </c>
      <c r="BT578" s="24">
        <f t="shared" ca="1" si="522"/>
        <v>0</v>
      </c>
      <c r="BU578" s="24">
        <f t="shared" ca="1" si="518"/>
        <v>0</v>
      </c>
      <c r="BV578" s="24">
        <f t="shared" ca="1" si="523"/>
        <v>0</v>
      </c>
      <c r="BW578" s="24">
        <f t="shared" ca="1" si="519"/>
        <v>-1199.8371257062688</v>
      </c>
      <c r="BX578" s="25">
        <f t="shared" ca="1" si="524"/>
        <v>-14892.595942181211</v>
      </c>
      <c r="BY578" s="23">
        <f t="shared" ca="1" si="491"/>
        <v>11946.809760638142</v>
      </c>
      <c r="BZ578" s="24">
        <f t="shared" ca="1" si="492"/>
        <v>0</v>
      </c>
      <c r="CA578" s="24">
        <f t="shared" ca="1" si="525"/>
        <v>0</v>
      </c>
      <c r="CB578" s="24">
        <f t="shared" ca="1" si="493"/>
        <v>0</v>
      </c>
      <c r="CC578" s="24">
        <f t="shared" ca="1" si="526"/>
        <v>0</v>
      </c>
      <c r="CD578" s="24">
        <f t="shared" ca="1" si="494"/>
        <v>-186.22529854551135</v>
      </c>
      <c r="CE578" s="25">
        <f t="shared" ca="1" si="527"/>
        <v>-2354.5628648279035</v>
      </c>
      <c r="CF578" s="23">
        <f t="shared" ca="1" si="528"/>
        <v>1701553.5743041898</v>
      </c>
      <c r="CG578" s="25">
        <f t="array" aca="1" ref="CG578" ca="1">SUM(BF567:BF578/(1+inflation/100)^(AP567:AP578/12))</f>
        <v>267980.53702225385</v>
      </c>
      <c r="CH578" s="32">
        <f ca="1">IFERROR(IF(MOD(AP578-ap_months_since_start,12)=0,ap_drawdown/100*(AQ578+AV578+BA578-BC578),CH577),0)</f>
        <v>12645.114050421385</v>
      </c>
    </row>
    <row r="579" spans="40:86" x14ac:dyDescent="0.25">
      <c r="AN579" s="32">
        <f t="shared" ca="1" si="489"/>
        <v>102.5</v>
      </c>
      <c r="AO579" s="53">
        <f t="shared" ca="1" si="520"/>
        <v>63006</v>
      </c>
      <c r="AP579" s="22">
        <v>572</v>
      </c>
      <c r="AQ579" s="32">
        <f t="shared" ca="1" si="521"/>
        <v>77224.483045059504</v>
      </c>
      <c r="AR579" s="23">
        <f t="array" aca="1" ref="AR579" ca="1">SUM(IF(lsc_start_date=AO579,lsc_amount,0))</f>
        <v>0</v>
      </c>
      <c r="AS579" s="24">
        <f t="shared" ca="1" si="495"/>
        <v>0</v>
      </c>
      <c r="AT579" s="24">
        <f t="shared" ca="1" si="496"/>
        <v>0</v>
      </c>
      <c r="AU579" s="24">
        <f t="shared" ca="1" si="497"/>
        <v>0</v>
      </c>
      <c r="AV579" s="25">
        <f t="shared" ca="1" si="498"/>
        <v>0</v>
      </c>
      <c r="AW579" s="23">
        <f t="array" aca="1" ref="AW579" ca="1">SUM(IF(rcs_start_date&lt;=AO579,1,0)*IF(rcs_end_date&gt;=AO579,1,0)*rcs_amount*(1+rcs_escalation/100)^(INT((AP579-rcs_months_since_start)/12))*IF(MOD((AP579-rcs_months_since_start),rcs_frequency)=0,1,0)*IF(rcs_frequency=13,0,1))+SUM(IF(rcs_start_date=AO579,rcs_amount,0)*IF(rcs_frequency=13,1,0))</f>
        <v>0</v>
      </c>
      <c r="AX579" s="24">
        <f t="shared" ca="1" si="499"/>
        <v>0</v>
      </c>
      <c r="AY579" s="24">
        <f t="shared" ca="1" si="500"/>
        <v>0</v>
      </c>
      <c r="AZ579" s="24">
        <f t="shared" ca="1" si="501"/>
        <v>0</v>
      </c>
      <c r="BA579" s="25">
        <f t="shared" ca="1" si="502"/>
        <v>0</v>
      </c>
      <c r="BB579" s="23">
        <f t="array" aca="1" ref="BB579" ca="1">SUM(IF(w_start_date&lt;=AO579,1,0)*IF(w_end_date&gt;=AO579,1,0)*w_amount*(1+w_escalation/100)^(INT((AP579-w_months_since_start)/12))*IF(MOD(AP579-w_months_since_start,w_frequency)=0,1,0)*IF(w_frequency=13,0,1))+SUM(IF(w_start_date=AO579,w_amount,0)*IF(w_frequency=13,1,0))</f>
        <v>0</v>
      </c>
      <c r="BC579" s="25">
        <f t="shared" ca="1" si="503"/>
        <v>0</v>
      </c>
      <c r="BD579" s="24" t="b">
        <f t="shared" ca="1" si="504"/>
        <v>1</v>
      </c>
      <c r="BE579" s="24" t="b">
        <f t="shared" ca="1" si="505"/>
        <v>1</v>
      </c>
      <c r="BF579" s="23">
        <f t="array" aca="1" ref="BF579" ca="1">SUM(IF(BD579,1,0)*IF(ap_start_date&lt;=AO579,1,0)*IF(ap_end_date&gt;=AO579,1,0)*ap_amount*(1+ap_escalation/100)^(INT((AP579-ap_months_since_start)/12))*IF(MOD(AP579-ap_months_since_start,ap_frequency)=0,1,0))</f>
        <v>143637.63938931475</v>
      </c>
      <c r="BG579" s="24">
        <f t="shared" ca="1" si="506"/>
        <v>1723651.6726717765</v>
      </c>
      <c r="BH579" s="24">
        <f t="shared" ca="1" si="507"/>
        <v>2056.8636440678888</v>
      </c>
      <c r="BI579">
        <f t="shared" ca="1" si="508"/>
        <v>0</v>
      </c>
      <c r="BJ579" s="24">
        <f t="shared" ca="1" si="509"/>
        <v>14398.045508475221</v>
      </c>
      <c r="BK579">
        <f t="shared" ca="1" si="510"/>
        <v>1</v>
      </c>
      <c r="BL579" s="25">
        <f t="shared" ca="1" si="511"/>
        <v>1199.8371257062688</v>
      </c>
      <c r="BM579" s="32">
        <f t="shared" ca="1" si="490"/>
        <v>76572.580122488827</v>
      </c>
      <c r="BN579" s="23">
        <f t="shared" ca="1" si="512"/>
        <v>0</v>
      </c>
      <c r="BO579" s="24">
        <f t="shared" ca="1" si="513"/>
        <v>0</v>
      </c>
      <c r="BP579" s="25">
        <f t="shared" ca="1" si="514"/>
        <v>0</v>
      </c>
      <c r="BQ579" s="34">
        <f t="shared" ca="1" si="515"/>
        <v>63036</v>
      </c>
      <c r="BR579" s="23">
        <f t="shared" ca="1" si="516"/>
        <v>76572.580122488827</v>
      </c>
      <c r="BS579" s="24">
        <f t="shared" ca="1" si="517"/>
        <v>0</v>
      </c>
      <c r="BT579" s="24">
        <f t="shared" ca="1" si="522"/>
        <v>0</v>
      </c>
      <c r="BU579" s="24">
        <f t="shared" ca="1" si="518"/>
        <v>0</v>
      </c>
      <c r="BV579" s="24">
        <f t="shared" ca="1" si="523"/>
        <v>0</v>
      </c>
      <c r="BW579" s="24">
        <f t="shared" ca="1" si="519"/>
        <v>-1199.8371257062688</v>
      </c>
      <c r="BX579" s="25">
        <f t="shared" ca="1" si="524"/>
        <v>-14768.958333754714</v>
      </c>
      <c r="BY579" s="23">
        <f t="shared" ca="1" si="491"/>
        <v>11807.304796728826</v>
      </c>
      <c r="BZ579" s="24">
        <f t="shared" ca="1" si="492"/>
        <v>0</v>
      </c>
      <c r="CA579" s="24">
        <f t="shared" ca="1" si="525"/>
        <v>0</v>
      </c>
      <c r="CB579" s="24">
        <f t="shared" ca="1" si="493"/>
        <v>0</v>
      </c>
      <c r="CC579" s="24">
        <f t="shared" ca="1" si="526"/>
        <v>0</v>
      </c>
      <c r="CD579" s="24">
        <f t="shared" ca="1" si="494"/>
        <v>-185.61763471048198</v>
      </c>
      <c r="CE579" s="25">
        <f t="shared" ca="1" si="527"/>
        <v>-2327.2460484658104</v>
      </c>
      <c r="CF579" s="23">
        <f t="shared" ca="1" si="528"/>
        <v>1707078.0988960864</v>
      </c>
      <c r="CG579" s="25">
        <f t="array" aca="1" ref="CG579" ca="1">SUM(BF568:BF579/(1+inflation/100)^(AP568:AP579/12))</f>
        <v>267980.53702225385</v>
      </c>
      <c r="CH579" s="32">
        <f ca="1">IFERROR(IF(MOD(AP579-ap_months_since_start,12)=0,ap_drawdown/100*(AQ579+AV579+BA579-BC579),CH578),0)</f>
        <v>12645.114050421385</v>
      </c>
    </row>
    <row r="580" spans="40:86" x14ac:dyDescent="0.25">
      <c r="AN580" s="32">
        <f t="shared" ca="1" si="489"/>
        <v>102.58333333333333</v>
      </c>
      <c r="AO580" s="53">
        <f t="shared" ca="1" si="520"/>
        <v>63037</v>
      </c>
      <c r="AP580" s="22">
        <v>573</v>
      </c>
      <c r="AQ580" s="32">
        <f t="shared" ca="1" si="521"/>
        <v>76572.580122488827</v>
      </c>
      <c r="AR580" s="23">
        <f t="array" aca="1" ref="AR580" ca="1">SUM(IF(lsc_start_date=AO580,lsc_amount,0))</f>
        <v>0</v>
      </c>
      <c r="AS580" s="24">
        <f t="shared" ca="1" si="495"/>
        <v>0</v>
      </c>
      <c r="AT580" s="24">
        <f t="shared" ca="1" si="496"/>
        <v>0</v>
      </c>
      <c r="AU580" s="24">
        <f t="shared" ca="1" si="497"/>
        <v>0</v>
      </c>
      <c r="AV580" s="25">
        <f t="shared" ca="1" si="498"/>
        <v>0</v>
      </c>
      <c r="AW580" s="23">
        <f t="array" aca="1" ref="AW580" ca="1">SUM(IF(rcs_start_date&lt;=AO580,1,0)*IF(rcs_end_date&gt;=AO580,1,0)*rcs_amount*(1+rcs_escalation/100)^(INT((AP580-rcs_months_since_start)/12))*IF(MOD((AP580-rcs_months_since_start),rcs_frequency)=0,1,0)*IF(rcs_frequency=13,0,1))+SUM(IF(rcs_start_date=AO580,rcs_amount,0)*IF(rcs_frequency=13,1,0))</f>
        <v>0</v>
      </c>
      <c r="AX580" s="24">
        <f t="shared" ca="1" si="499"/>
        <v>0</v>
      </c>
      <c r="AY580" s="24">
        <f t="shared" ca="1" si="500"/>
        <v>0</v>
      </c>
      <c r="AZ580" s="24">
        <f t="shared" ca="1" si="501"/>
        <v>0</v>
      </c>
      <c r="BA580" s="25">
        <f t="shared" ca="1" si="502"/>
        <v>0</v>
      </c>
      <c r="BB580" s="23">
        <f t="array" aca="1" ref="BB580" ca="1">SUM(IF(w_start_date&lt;=AO580,1,0)*IF(w_end_date&gt;=AO580,1,0)*w_amount*(1+w_escalation/100)^(INT((AP580-w_months_since_start)/12))*IF(MOD(AP580-w_months_since_start,w_frequency)=0,1,0)*IF(w_frequency=13,0,1))+SUM(IF(w_start_date=AO580,w_amount,0)*IF(w_frequency=13,1,0))</f>
        <v>0</v>
      </c>
      <c r="BC580" s="25">
        <f t="shared" ca="1" si="503"/>
        <v>0</v>
      </c>
      <c r="BD580" s="24" t="b">
        <f t="shared" ca="1" si="504"/>
        <v>1</v>
      </c>
      <c r="BE580" s="24" t="b">
        <f t="shared" ca="1" si="505"/>
        <v>1</v>
      </c>
      <c r="BF580" s="23">
        <f t="array" aca="1" ref="BF580" ca="1">SUM(IF(BD580,1,0)*IF(ap_start_date&lt;=AO580,1,0)*IF(ap_end_date&gt;=AO580,1,0)*ap_amount*(1+ap_escalation/100)^(INT((AP580-ap_months_since_start)/12))*IF(MOD(AP580-ap_months_since_start,ap_frequency)=0,1,0))</f>
        <v>143637.63938931475</v>
      </c>
      <c r="BG580" s="24">
        <f t="shared" ca="1" si="506"/>
        <v>1723651.6726717765</v>
      </c>
      <c r="BH580" s="24">
        <f t="shared" ca="1" si="507"/>
        <v>2056.8636440678888</v>
      </c>
      <c r="BI580">
        <f t="shared" ca="1" si="508"/>
        <v>0</v>
      </c>
      <c r="BJ580" s="24">
        <f t="shared" ca="1" si="509"/>
        <v>14398.045508475221</v>
      </c>
      <c r="BK580">
        <f t="shared" ca="1" si="510"/>
        <v>1</v>
      </c>
      <c r="BL580" s="25">
        <f t="shared" ca="1" si="511"/>
        <v>1199.8371257062688</v>
      </c>
      <c r="BM580" s="32">
        <f t="shared" ca="1" si="490"/>
        <v>75915.978724784451</v>
      </c>
      <c r="BN580" s="23">
        <f t="shared" ca="1" si="512"/>
        <v>0</v>
      </c>
      <c r="BO580" s="24">
        <f t="shared" ca="1" si="513"/>
        <v>0</v>
      </c>
      <c r="BP580" s="25">
        <f t="shared" ca="1" si="514"/>
        <v>0</v>
      </c>
      <c r="BQ580" s="34">
        <f t="shared" ca="1" si="515"/>
        <v>63067</v>
      </c>
      <c r="BR580" s="23">
        <f t="shared" ca="1" si="516"/>
        <v>75915.978724784451</v>
      </c>
      <c r="BS580" s="24">
        <f t="shared" ca="1" si="517"/>
        <v>0</v>
      </c>
      <c r="BT580" s="24">
        <f t="shared" ca="1" si="522"/>
        <v>0</v>
      </c>
      <c r="BU580" s="24">
        <f t="shared" ca="1" si="518"/>
        <v>0</v>
      </c>
      <c r="BV580" s="24">
        <f t="shared" ca="1" si="523"/>
        <v>0</v>
      </c>
      <c r="BW580" s="24">
        <f t="shared" ca="1" si="519"/>
        <v>-1199.8371257062688</v>
      </c>
      <c r="BX580" s="25">
        <f t="shared" ca="1" si="524"/>
        <v>-14645.320725328218</v>
      </c>
      <c r="BY580" s="23">
        <f t="shared" ca="1" si="491"/>
        <v>11667.860924723384</v>
      </c>
      <c r="BZ580" s="24">
        <f t="shared" ca="1" si="492"/>
        <v>0</v>
      </c>
      <c r="CA580" s="24">
        <f t="shared" ca="1" si="525"/>
        <v>0</v>
      </c>
      <c r="CB580" s="24">
        <f t="shared" ca="1" si="493"/>
        <v>0</v>
      </c>
      <c r="CC580" s="24">
        <f t="shared" ca="1" si="526"/>
        <v>0</v>
      </c>
      <c r="CD580" s="24">
        <f t="shared" ca="1" si="494"/>
        <v>-185.011953717415</v>
      </c>
      <c r="CE580" s="25">
        <f t="shared" ca="1" si="527"/>
        <v>-2300.0183684429849</v>
      </c>
      <c r="CF580" s="23">
        <f t="shared" ca="1" si="528"/>
        <v>1712602.6234879831</v>
      </c>
      <c r="CG580" s="25">
        <f t="array" aca="1" ref="CG580" ca="1">SUM(BF569:BF580/(1+inflation/100)^(AP569:AP580/12))</f>
        <v>267980.53702225385</v>
      </c>
      <c r="CH580" s="32">
        <f ca="1">IFERROR(IF(MOD(AP580-ap_months_since_start,12)=0,ap_drawdown/100*(AQ580+AV580+BA580-BC580),CH579),0)</f>
        <v>12645.114050421385</v>
      </c>
    </row>
    <row r="581" spans="40:86" x14ac:dyDescent="0.25">
      <c r="AN581" s="32">
        <f t="shared" ca="1" si="489"/>
        <v>102.66666666666667</v>
      </c>
      <c r="AO581" s="53">
        <f t="shared" ca="1" si="520"/>
        <v>63068</v>
      </c>
      <c r="AP581" s="22">
        <v>574</v>
      </c>
      <c r="AQ581" s="32">
        <f t="shared" ca="1" si="521"/>
        <v>75915.978724784451</v>
      </c>
      <c r="AR581" s="23">
        <f t="array" aca="1" ref="AR581" ca="1">SUM(IF(lsc_start_date=AO581,lsc_amount,0))</f>
        <v>0</v>
      </c>
      <c r="AS581" s="24">
        <f t="shared" ca="1" si="495"/>
        <v>0</v>
      </c>
      <c r="AT581" s="24">
        <f t="shared" ca="1" si="496"/>
        <v>0</v>
      </c>
      <c r="AU581" s="24">
        <f t="shared" ca="1" si="497"/>
        <v>0</v>
      </c>
      <c r="AV581" s="25">
        <f t="shared" ca="1" si="498"/>
        <v>0</v>
      </c>
      <c r="AW581" s="23">
        <f t="array" aca="1" ref="AW581" ca="1">SUM(IF(rcs_start_date&lt;=AO581,1,0)*IF(rcs_end_date&gt;=AO581,1,0)*rcs_amount*(1+rcs_escalation/100)^(INT((AP581-rcs_months_since_start)/12))*IF(MOD((AP581-rcs_months_since_start),rcs_frequency)=0,1,0)*IF(rcs_frequency=13,0,1))+SUM(IF(rcs_start_date=AO581,rcs_amount,0)*IF(rcs_frequency=13,1,0))</f>
        <v>0</v>
      </c>
      <c r="AX581" s="24">
        <f t="shared" ca="1" si="499"/>
        <v>0</v>
      </c>
      <c r="AY581" s="24">
        <f t="shared" ca="1" si="500"/>
        <v>0</v>
      </c>
      <c r="AZ581" s="24">
        <f t="shared" ca="1" si="501"/>
        <v>0</v>
      </c>
      <c r="BA581" s="25">
        <f t="shared" ca="1" si="502"/>
        <v>0</v>
      </c>
      <c r="BB581" s="23">
        <f t="array" aca="1" ref="BB581" ca="1">SUM(IF(w_start_date&lt;=AO581,1,0)*IF(w_end_date&gt;=AO581,1,0)*w_amount*(1+w_escalation/100)^(INT((AP581-w_months_since_start)/12))*IF(MOD(AP581-w_months_since_start,w_frequency)=0,1,0)*IF(w_frequency=13,0,1))+SUM(IF(w_start_date=AO581,w_amount,0)*IF(w_frequency=13,1,0))</f>
        <v>0</v>
      </c>
      <c r="BC581" s="25">
        <f t="shared" ca="1" si="503"/>
        <v>0</v>
      </c>
      <c r="BD581" s="24" t="b">
        <f t="shared" ca="1" si="504"/>
        <v>1</v>
      </c>
      <c r="BE581" s="24" t="b">
        <f t="shared" ca="1" si="505"/>
        <v>1</v>
      </c>
      <c r="BF581" s="23">
        <f t="array" aca="1" ref="BF581" ca="1">SUM(IF(BD581,1,0)*IF(ap_start_date&lt;=AO581,1,0)*IF(ap_end_date&gt;=AO581,1,0)*ap_amount*(1+ap_escalation/100)^(INT((AP581-ap_months_since_start)/12))*IF(MOD(AP581-ap_months_since_start,ap_frequency)=0,1,0))</f>
        <v>143637.63938931475</v>
      </c>
      <c r="BG581" s="24">
        <f t="shared" ca="1" si="506"/>
        <v>1723651.6726717765</v>
      </c>
      <c r="BH581" s="24">
        <f t="shared" ca="1" si="507"/>
        <v>2056.8636440678888</v>
      </c>
      <c r="BI581">
        <f t="shared" ca="1" si="508"/>
        <v>0</v>
      </c>
      <c r="BJ581" s="24">
        <f t="shared" ca="1" si="509"/>
        <v>14398.045508475221</v>
      </c>
      <c r="BK581">
        <f t="shared" ca="1" si="510"/>
        <v>1</v>
      </c>
      <c r="BL581" s="25">
        <f t="shared" ca="1" si="511"/>
        <v>1199.8371257062688</v>
      </c>
      <c r="BM581" s="32">
        <f t="shared" ca="1" si="490"/>
        <v>75254.644988516986</v>
      </c>
      <c r="BN581" s="23">
        <f t="shared" ca="1" si="512"/>
        <v>0</v>
      </c>
      <c r="BO581" s="24">
        <f t="shared" ca="1" si="513"/>
        <v>0</v>
      </c>
      <c r="BP581" s="25">
        <f t="shared" ca="1" si="514"/>
        <v>0</v>
      </c>
      <c r="BQ581" s="34">
        <f t="shared" ca="1" si="515"/>
        <v>63097</v>
      </c>
      <c r="BR581" s="23">
        <f t="shared" ca="1" si="516"/>
        <v>75254.644988516986</v>
      </c>
      <c r="BS581" s="24">
        <f t="shared" ca="1" si="517"/>
        <v>0</v>
      </c>
      <c r="BT581" s="24">
        <f t="shared" ca="1" si="522"/>
        <v>0</v>
      </c>
      <c r="BU581" s="24">
        <f t="shared" ca="1" si="518"/>
        <v>0</v>
      </c>
      <c r="BV581" s="24">
        <f t="shared" ca="1" si="523"/>
        <v>0</v>
      </c>
      <c r="BW581" s="24">
        <f t="shared" ca="1" si="519"/>
        <v>-1199.8371257062688</v>
      </c>
      <c r="BX581" s="25">
        <f t="shared" ca="1" si="524"/>
        <v>-14521.68311690172</v>
      </c>
      <c r="BY581" s="23">
        <f t="shared" ca="1" si="491"/>
        <v>11528.47640002709</v>
      </c>
      <c r="BZ581" s="24">
        <f t="shared" ca="1" si="492"/>
        <v>0</v>
      </c>
      <c r="CA581" s="24">
        <f t="shared" ca="1" si="525"/>
        <v>0</v>
      </c>
      <c r="CB581" s="24">
        <f t="shared" ca="1" si="493"/>
        <v>0</v>
      </c>
      <c r="CC581" s="24">
        <f t="shared" ca="1" si="526"/>
        <v>0</v>
      </c>
      <c r="CD581" s="24">
        <f t="shared" ca="1" si="494"/>
        <v>-184.40824909618314</v>
      </c>
      <c r="CE581" s="25">
        <f t="shared" ca="1" si="527"/>
        <v>-2272.8795339024377</v>
      </c>
      <c r="CF581" s="23">
        <f t="shared" ca="1" si="528"/>
        <v>1718127.1480798798</v>
      </c>
      <c r="CG581" s="25">
        <f t="array" aca="1" ref="CG581" ca="1">SUM(BF570:BF581/(1+inflation/100)^(AP570:AP581/12))</f>
        <v>267980.53702225379</v>
      </c>
      <c r="CH581" s="32">
        <f ca="1">IFERROR(IF(MOD(AP581-ap_months_since_start,12)=0,ap_drawdown/100*(AQ581+AV581+BA581-BC581),CH580),0)</f>
        <v>12645.114050421385</v>
      </c>
    </row>
    <row r="582" spans="40:86" x14ac:dyDescent="0.25">
      <c r="AN582" s="32">
        <f t="shared" ca="1" si="489"/>
        <v>102.75</v>
      </c>
      <c r="AO582" s="53">
        <f t="shared" ca="1" si="520"/>
        <v>63098</v>
      </c>
      <c r="AP582" s="22">
        <v>575</v>
      </c>
      <c r="AQ582" s="32">
        <f t="shared" ca="1" si="521"/>
        <v>75254.644988516986</v>
      </c>
      <c r="AR582" s="23">
        <f t="array" aca="1" ref="AR582" ca="1">SUM(IF(lsc_start_date=AO582,lsc_amount,0))</f>
        <v>0</v>
      </c>
      <c r="AS582" s="24">
        <f t="shared" ca="1" si="495"/>
        <v>0</v>
      </c>
      <c r="AT582" s="24">
        <f t="shared" ca="1" si="496"/>
        <v>0</v>
      </c>
      <c r="AU582" s="24">
        <f t="shared" ca="1" si="497"/>
        <v>0</v>
      </c>
      <c r="AV582" s="25">
        <f t="shared" ca="1" si="498"/>
        <v>0</v>
      </c>
      <c r="AW582" s="23">
        <f t="array" aca="1" ref="AW582" ca="1">SUM(IF(rcs_start_date&lt;=AO582,1,0)*IF(rcs_end_date&gt;=AO582,1,0)*rcs_amount*(1+rcs_escalation/100)^(INT((AP582-rcs_months_since_start)/12))*IF(MOD((AP582-rcs_months_since_start),rcs_frequency)=0,1,0)*IF(rcs_frequency=13,0,1))+SUM(IF(rcs_start_date=AO582,rcs_amount,0)*IF(rcs_frequency=13,1,0))</f>
        <v>0</v>
      </c>
      <c r="AX582" s="24">
        <f t="shared" ca="1" si="499"/>
        <v>0</v>
      </c>
      <c r="AY582" s="24">
        <f t="shared" ca="1" si="500"/>
        <v>0</v>
      </c>
      <c r="AZ582" s="24">
        <f t="shared" ca="1" si="501"/>
        <v>0</v>
      </c>
      <c r="BA582" s="25">
        <f t="shared" ca="1" si="502"/>
        <v>0</v>
      </c>
      <c r="BB582" s="23">
        <f t="array" aca="1" ref="BB582" ca="1">SUM(IF(w_start_date&lt;=AO582,1,0)*IF(w_end_date&gt;=AO582,1,0)*w_amount*(1+w_escalation/100)^(INT((AP582-w_months_since_start)/12))*IF(MOD(AP582-w_months_since_start,w_frequency)=0,1,0)*IF(w_frequency=13,0,1))+SUM(IF(w_start_date=AO582,w_amount,0)*IF(w_frequency=13,1,0))</f>
        <v>0</v>
      </c>
      <c r="BC582" s="25">
        <f t="shared" ca="1" si="503"/>
        <v>0</v>
      </c>
      <c r="BD582" s="24" t="b">
        <f t="shared" ca="1" si="504"/>
        <v>1</v>
      </c>
      <c r="BE582" s="24" t="b">
        <f t="shared" ca="1" si="505"/>
        <v>1</v>
      </c>
      <c r="BF582" s="23">
        <f t="array" aca="1" ref="BF582" ca="1">SUM(IF(BD582,1,0)*IF(ap_start_date&lt;=AO582,1,0)*IF(ap_end_date&gt;=AO582,1,0)*ap_amount*(1+ap_escalation/100)^(INT((AP582-ap_months_since_start)/12))*IF(MOD(AP582-ap_months_since_start,ap_frequency)=0,1,0))</f>
        <v>143637.63938931475</v>
      </c>
      <c r="BG582" s="24">
        <f t="shared" ca="1" si="506"/>
        <v>1723651.6726717765</v>
      </c>
      <c r="BH582" s="24">
        <f t="shared" ca="1" si="507"/>
        <v>2056.8636440678888</v>
      </c>
      <c r="BI582">
        <f t="shared" ca="1" si="508"/>
        <v>0</v>
      </c>
      <c r="BJ582" s="24">
        <f t="shared" ca="1" si="509"/>
        <v>14398.045508475221</v>
      </c>
      <c r="BK582">
        <f t="shared" ca="1" si="510"/>
        <v>1</v>
      </c>
      <c r="BL582" s="25">
        <f t="shared" ca="1" si="511"/>
        <v>1199.8371257062688</v>
      </c>
      <c r="BM582" s="32">
        <f t="shared" ca="1" si="490"/>
        <v>74588.544806192382</v>
      </c>
      <c r="BN582" s="23">
        <f t="shared" ca="1" si="512"/>
        <v>0</v>
      </c>
      <c r="BO582" s="24">
        <f t="shared" ca="1" si="513"/>
        <v>0</v>
      </c>
      <c r="BP582" s="25">
        <f t="shared" ca="1" si="514"/>
        <v>0</v>
      </c>
      <c r="BQ582" s="34">
        <f t="shared" ca="1" si="515"/>
        <v>63128</v>
      </c>
      <c r="BR582" s="23">
        <f t="shared" ca="1" si="516"/>
        <v>74588.544806192382</v>
      </c>
      <c r="BS582" s="24">
        <f t="shared" ca="1" si="517"/>
        <v>0</v>
      </c>
      <c r="BT582" s="24">
        <f t="shared" ca="1" si="522"/>
        <v>0</v>
      </c>
      <c r="BU582" s="24">
        <f t="shared" ca="1" si="518"/>
        <v>0</v>
      </c>
      <c r="BV582" s="24">
        <f t="shared" ca="1" si="523"/>
        <v>0</v>
      </c>
      <c r="BW582" s="24">
        <f t="shared" ca="1" si="519"/>
        <v>-1199.8371257062688</v>
      </c>
      <c r="BX582" s="25">
        <f t="shared" ca="1" si="524"/>
        <v>-14398.045508475223</v>
      </c>
      <c r="BY582" s="23">
        <f t="shared" ca="1" si="491"/>
        <v>11389.149477679404</v>
      </c>
      <c r="BZ582" s="24">
        <f t="shared" ca="1" si="492"/>
        <v>0</v>
      </c>
      <c r="CA582" s="24">
        <f t="shared" ca="1" si="525"/>
        <v>0</v>
      </c>
      <c r="CB582" s="24">
        <f t="shared" ca="1" si="493"/>
        <v>0</v>
      </c>
      <c r="CC582" s="24">
        <f t="shared" ca="1" si="526"/>
        <v>0</v>
      </c>
      <c r="CD582" s="24">
        <f t="shared" ca="1" si="494"/>
        <v>-183.80651439777185</v>
      </c>
      <c r="CE582" s="25">
        <f t="shared" ca="1" si="527"/>
        <v>-2245.8292549362618</v>
      </c>
      <c r="CF582" s="23">
        <f t="shared" ca="1" si="528"/>
        <v>1723651.6726717765</v>
      </c>
      <c r="CG582" s="25">
        <f t="array" aca="1" ref="CG582" ca="1">SUM(BF571:BF582/(1+inflation/100)^(AP571:AP582/12))</f>
        <v>267980.53702225379</v>
      </c>
      <c r="CH582" s="32">
        <f ca="1">IFERROR(IF(MOD(AP582-ap_months_since_start,12)=0,ap_drawdown/100*(AQ582+AV582+BA582-BC582),CH581),0)</f>
        <v>12645.114050421385</v>
      </c>
    </row>
    <row r="583" spans="40:86" x14ac:dyDescent="0.25">
      <c r="AN583" s="32">
        <f t="shared" ca="1" si="489"/>
        <v>102.83333333333333</v>
      </c>
      <c r="AO583" s="53">
        <f t="shared" ca="1" si="520"/>
        <v>63129</v>
      </c>
      <c r="AP583" s="22">
        <v>576</v>
      </c>
      <c r="AQ583" s="32">
        <f t="shared" ca="1" si="521"/>
        <v>74588.544806192382</v>
      </c>
      <c r="AR583" s="23">
        <f t="array" aca="1" ref="AR583" ca="1">SUM(IF(lsc_start_date=AO583,lsc_amount,0))</f>
        <v>0</v>
      </c>
      <c r="AS583" s="24">
        <f t="shared" ca="1" si="495"/>
        <v>0</v>
      </c>
      <c r="AT583" s="24">
        <f t="shared" ca="1" si="496"/>
        <v>0</v>
      </c>
      <c r="AU583" s="24">
        <f t="shared" ca="1" si="497"/>
        <v>0</v>
      </c>
      <c r="AV583" s="25">
        <f t="shared" ca="1" si="498"/>
        <v>0</v>
      </c>
      <c r="AW583" s="23">
        <f t="array" aca="1" ref="AW583" ca="1">SUM(IF(rcs_start_date&lt;=AO583,1,0)*IF(rcs_end_date&gt;=AO583,1,0)*rcs_amount*(1+rcs_escalation/100)^(INT((AP583-rcs_months_since_start)/12))*IF(MOD((AP583-rcs_months_since_start),rcs_frequency)=0,1,0)*IF(rcs_frequency=13,0,1))+SUM(IF(rcs_start_date=AO583,rcs_amount,0)*IF(rcs_frequency=13,1,0))</f>
        <v>0</v>
      </c>
      <c r="AX583" s="24">
        <f t="shared" ca="1" si="499"/>
        <v>0</v>
      </c>
      <c r="AY583" s="24">
        <f t="shared" ca="1" si="500"/>
        <v>0</v>
      </c>
      <c r="AZ583" s="24">
        <f t="shared" ca="1" si="501"/>
        <v>0</v>
      </c>
      <c r="BA583" s="25">
        <f t="shared" ca="1" si="502"/>
        <v>0</v>
      </c>
      <c r="BB583" s="23">
        <f t="array" aca="1" ref="BB583" ca="1">SUM(IF(w_start_date&lt;=AO583,1,0)*IF(w_end_date&gt;=AO583,1,0)*w_amount*(1+w_escalation/100)^(INT((AP583-w_months_since_start)/12))*IF(MOD(AP583-w_months_since_start,w_frequency)=0,1,0)*IF(w_frequency=13,0,1))+SUM(IF(w_start_date=AO583,w_amount,0)*IF(w_frequency=13,1,0))</f>
        <v>0</v>
      </c>
      <c r="BC583" s="25">
        <f t="shared" ca="1" si="503"/>
        <v>0</v>
      </c>
      <c r="BD583" s="24" t="b">
        <f t="shared" ca="1" si="504"/>
        <v>1</v>
      </c>
      <c r="BE583" s="24" t="b">
        <f t="shared" ca="1" si="505"/>
        <v>1</v>
      </c>
      <c r="BF583" s="23">
        <f t="array" aca="1" ref="BF583" ca="1">SUM(IF(BD583,1,0)*IF(ap_start_date&lt;=AO583,1,0)*IF(ap_end_date&gt;=AO583,1,0)*ap_amount*(1+ap_escalation/100)^(INT((AP583-ap_months_since_start)/12))*IF(MOD(AP583-ap_months_since_start,ap_frequency)=0,1,0))</f>
        <v>149383.14496488735</v>
      </c>
      <c r="BG583" s="24">
        <f t="shared" ca="1" si="506"/>
        <v>1792597.7395786478</v>
      </c>
      <c r="BH583" s="24">
        <f t="shared" ca="1" si="507"/>
        <v>1864.7136201548096</v>
      </c>
      <c r="BI583">
        <f t="shared" ca="1" si="508"/>
        <v>0</v>
      </c>
      <c r="BJ583" s="24">
        <f t="shared" ca="1" si="509"/>
        <v>13052.995341083666</v>
      </c>
      <c r="BK583">
        <f t="shared" ca="1" si="510"/>
        <v>1</v>
      </c>
      <c r="BL583" s="25">
        <f t="shared" ca="1" si="511"/>
        <v>1087.7496117569724</v>
      </c>
      <c r="BM583" s="32">
        <f t="shared" ca="1" si="490"/>
        <v>74030.539189394854</v>
      </c>
      <c r="BN583" s="23">
        <f t="shared" ca="1" si="512"/>
        <v>0</v>
      </c>
      <c r="BO583" s="24">
        <f t="shared" ca="1" si="513"/>
        <v>0</v>
      </c>
      <c r="BP583" s="25">
        <f t="shared" ca="1" si="514"/>
        <v>0</v>
      </c>
      <c r="BQ583" s="34">
        <f t="shared" ca="1" si="515"/>
        <v>63158</v>
      </c>
      <c r="BR583" s="23">
        <f t="shared" ca="1" si="516"/>
        <v>74030.539189394854</v>
      </c>
      <c r="BS583" s="24">
        <f t="shared" ca="1" si="517"/>
        <v>0</v>
      </c>
      <c r="BT583" s="24">
        <f t="shared" ca="1" si="522"/>
        <v>0</v>
      </c>
      <c r="BU583" s="24">
        <f t="shared" ca="1" si="518"/>
        <v>0</v>
      </c>
      <c r="BV583" s="24">
        <f t="shared" ca="1" si="523"/>
        <v>0</v>
      </c>
      <c r="BW583" s="24">
        <f t="shared" ca="1" si="519"/>
        <v>-1087.7496117569724</v>
      </c>
      <c r="BX583" s="25">
        <f t="shared" ca="1" si="524"/>
        <v>-14285.957994525927</v>
      </c>
      <c r="BY583" s="23">
        <f t="shared" ca="1" si="491"/>
        <v>11267.060495833384</v>
      </c>
      <c r="BZ583" s="24">
        <f t="shared" ca="1" si="492"/>
        <v>0</v>
      </c>
      <c r="CA583" s="24">
        <f t="shared" ca="1" si="525"/>
        <v>0</v>
      </c>
      <c r="CB583" s="24">
        <f t="shared" ca="1" si="493"/>
        <v>0</v>
      </c>
      <c r="CC583" s="24">
        <f t="shared" ca="1" si="526"/>
        <v>0</v>
      </c>
      <c r="CD583" s="24">
        <f t="shared" ca="1" si="494"/>
        <v>-166.091763216158</v>
      </c>
      <c r="CE583" s="25">
        <f t="shared" ca="1" si="527"/>
        <v>-2221.3860052304417</v>
      </c>
      <c r="CF583" s="23">
        <f t="shared" ca="1" si="528"/>
        <v>1729397.1782473491</v>
      </c>
      <c r="CG583" s="25">
        <f t="array" aca="1" ref="CG583" ca="1">SUM(BF572:BF583/(1+inflation/100)^(AP572:AP583/12))</f>
        <v>267980.53702225379</v>
      </c>
      <c r="CH583" s="32">
        <f ca="1">IFERROR(IF(MOD(AP583-ap_months_since_start,12)=0,ap_drawdown/100*(AQ583+AV583+BA583-BC583),CH582),0)</f>
        <v>11463.820883915358</v>
      </c>
    </row>
    <row r="584" spans="40:86" x14ac:dyDescent="0.25">
      <c r="AN584" s="32">
        <f t="shared" ref="AN584:AN647" ca="1" si="529">IF(AND(Date_of_birth&lt;&gt;"",Date_of_birth&lt;&gt;"Please enter date of birth"),YEARFRAC(Date_of_birth,AO584),AP584/12)</f>
        <v>102.91666666666667</v>
      </c>
      <c r="AO584" s="53">
        <f t="shared" ca="1" si="520"/>
        <v>63159</v>
      </c>
      <c r="AP584" s="22">
        <v>577</v>
      </c>
      <c r="AQ584" s="32">
        <f t="shared" ca="1" si="521"/>
        <v>74030.539189394854</v>
      </c>
      <c r="AR584" s="23">
        <f t="array" aca="1" ref="AR584" ca="1">SUM(IF(lsc_start_date=AO584,lsc_amount,0))</f>
        <v>0</v>
      </c>
      <c r="AS584" s="24">
        <f t="shared" ca="1" si="495"/>
        <v>0</v>
      </c>
      <c r="AT584" s="24">
        <f t="shared" ca="1" si="496"/>
        <v>0</v>
      </c>
      <c r="AU584" s="24">
        <f t="shared" ca="1" si="497"/>
        <v>0</v>
      </c>
      <c r="AV584" s="25">
        <f t="shared" ca="1" si="498"/>
        <v>0</v>
      </c>
      <c r="AW584" s="23">
        <f t="array" aca="1" ref="AW584" ca="1">SUM(IF(rcs_start_date&lt;=AO584,1,0)*IF(rcs_end_date&gt;=AO584,1,0)*rcs_amount*(1+rcs_escalation/100)^(INT((AP584-rcs_months_since_start)/12))*IF(MOD((AP584-rcs_months_since_start),rcs_frequency)=0,1,0)*IF(rcs_frequency=13,0,1))+SUM(IF(rcs_start_date=AO584,rcs_amount,0)*IF(rcs_frequency=13,1,0))</f>
        <v>0</v>
      </c>
      <c r="AX584" s="24">
        <f t="shared" ca="1" si="499"/>
        <v>0</v>
      </c>
      <c r="AY584" s="24">
        <f t="shared" ca="1" si="500"/>
        <v>0</v>
      </c>
      <c r="AZ584" s="24">
        <f t="shared" ca="1" si="501"/>
        <v>0</v>
      </c>
      <c r="BA584" s="25">
        <f t="shared" ca="1" si="502"/>
        <v>0</v>
      </c>
      <c r="BB584" s="23">
        <f t="array" aca="1" ref="BB584" ca="1">SUM(IF(w_start_date&lt;=AO584,1,0)*IF(w_end_date&gt;=AO584,1,0)*w_amount*(1+w_escalation/100)^(INT((AP584-w_months_since_start)/12))*IF(MOD(AP584-w_months_since_start,w_frequency)=0,1,0)*IF(w_frequency=13,0,1))+SUM(IF(w_start_date=AO584,w_amount,0)*IF(w_frequency=13,1,0))</f>
        <v>0</v>
      </c>
      <c r="BC584" s="25">
        <f t="shared" ca="1" si="503"/>
        <v>0</v>
      </c>
      <c r="BD584" s="24" t="b">
        <f t="shared" ca="1" si="504"/>
        <v>1</v>
      </c>
      <c r="BE584" s="24" t="b">
        <f t="shared" ca="1" si="505"/>
        <v>1</v>
      </c>
      <c r="BF584" s="23">
        <f t="array" aca="1" ref="BF584" ca="1">SUM(IF(BD584,1,0)*IF(ap_start_date&lt;=AO584,1,0)*IF(ap_end_date&gt;=AO584,1,0)*ap_amount*(1+ap_escalation/100)^(INT((AP584-ap_months_since_start)/12))*IF(MOD(AP584-ap_months_since_start,ap_frequency)=0,1,0))</f>
        <v>149383.14496488735</v>
      </c>
      <c r="BG584" s="24">
        <f t="shared" ca="1" si="506"/>
        <v>1792597.7395786478</v>
      </c>
      <c r="BH584" s="24">
        <f t="shared" ca="1" si="507"/>
        <v>1864.7136201548096</v>
      </c>
      <c r="BI584">
        <f t="shared" ca="1" si="508"/>
        <v>0</v>
      </c>
      <c r="BJ584" s="24">
        <f t="shared" ca="1" si="509"/>
        <v>13052.995341083666</v>
      </c>
      <c r="BK584">
        <f t="shared" ca="1" si="510"/>
        <v>1</v>
      </c>
      <c r="BL584" s="25">
        <f t="shared" ca="1" si="511"/>
        <v>1087.7496117569724</v>
      </c>
      <c r="BM584" s="32">
        <f t="shared" ref="BM584:BM647" ca="1" si="530">(AQ584+AV584+BA584-BC584-BL584)*(1+NomRetn/100)^(1/12)</f>
        <v>73468.511845704852</v>
      </c>
      <c r="BN584" s="23">
        <f t="shared" ca="1" si="512"/>
        <v>0</v>
      </c>
      <c r="BO584" s="24">
        <f t="shared" ca="1" si="513"/>
        <v>0</v>
      </c>
      <c r="BP584" s="25">
        <f t="shared" ca="1" si="514"/>
        <v>0</v>
      </c>
      <c r="BQ584" s="34">
        <f t="shared" ca="1" si="515"/>
        <v>63189</v>
      </c>
      <c r="BR584" s="23">
        <f t="shared" ca="1" si="516"/>
        <v>73468.511845704852</v>
      </c>
      <c r="BS584" s="24">
        <f t="shared" ca="1" si="517"/>
        <v>0</v>
      </c>
      <c r="BT584" s="24">
        <f t="shared" ca="1" si="522"/>
        <v>0</v>
      </c>
      <c r="BU584" s="24">
        <f t="shared" ca="1" si="518"/>
        <v>0</v>
      </c>
      <c r="BV584" s="24">
        <f t="shared" ca="1" si="523"/>
        <v>0</v>
      </c>
      <c r="BW584" s="24">
        <f t="shared" ca="1" si="519"/>
        <v>-1087.7496117569724</v>
      </c>
      <c r="BX584" s="25">
        <f t="shared" ca="1" si="524"/>
        <v>-14173.87048057663</v>
      </c>
      <c r="BY584" s="23">
        <f t="shared" ref="BY584:BY647" ca="1" si="531">BR584*(1+inflation/100)^(-$AP584/12)</f>
        <v>11145.036925722738</v>
      </c>
      <c r="BZ584" s="24">
        <f t="shared" ref="BZ584:BZ647" ca="1" si="532">BS584*(1+inflation/100)^(-(AP584-1)/12)</f>
        <v>0</v>
      </c>
      <c r="CA584" s="24">
        <f t="shared" ca="1" si="525"/>
        <v>0</v>
      </c>
      <c r="CB584" s="24">
        <f t="shared" ref="CB584:CB647" ca="1" si="533">BU584*(1+inflation/100)^(-($AP584-1)/12)</f>
        <v>0</v>
      </c>
      <c r="CC584" s="24">
        <f t="shared" ca="1" si="526"/>
        <v>0</v>
      </c>
      <c r="CD584" s="24">
        <f t="shared" ref="CD584:CD647" ca="1" si="534">BW584*(1+inflation/100)^(-($AP584-1)/12)</f>
        <v>-165.54979626219938</v>
      </c>
      <c r="CE584" s="25">
        <f t="shared" ca="1" si="527"/>
        <v>-2197.0225152510002</v>
      </c>
      <c r="CF584" s="23">
        <f t="shared" ca="1" si="528"/>
        <v>1735142.6838229217</v>
      </c>
      <c r="CG584" s="25">
        <f t="array" aca="1" ref="CG584" ca="1">SUM(BF573:BF584/(1+inflation/100)^(AP573:AP584/12))</f>
        <v>267980.53702225379</v>
      </c>
      <c r="CH584" s="32">
        <f ca="1">IFERROR(IF(MOD(AP584-ap_months_since_start,12)=0,ap_drawdown/100*(AQ584+AV584+BA584-BC584),CH583),0)</f>
        <v>11463.820883915358</v>
      </c>
    </row>
    <row r="585" spans="40:86" x14ac:dyDescent="0.25">
      <c r="AN585" s="32">
        <f t="shared" ca="1" si="529"/>
        <v>103</v>
      </c>
      <c r="AO585" s="53">
        <f t="shared" ca="1" si="520"/>
        <v>63190</v>
      </c>
      <c r="AP585" s="22">
        <v>578</v>
      </c>
      <c r="AQ585" s="32">
        <f t="shared" ca="1" si="521"/>
        <v>73468.511845704852</v>
      </c>
      <c r="AR585" s="23">
        <f t="array" aca="1" ref="AR585" ca="1">SUM(IF(lsc_start_date=AO585,lsc_amount,0))</f>
        <v>0</v>
      </c>
      <c r="AS585" s="24">
        <f t="shared" ref="AS585:AS648" ca="1" si="535">AR585*$D$34/100</f>
        <v>0</v>
      </c>
      <c r="AT585" s="24">
        <f t="shared" ref="AT585:AT648" ca="1" si="536">AR585*$D$33/100</f>
        <v>0</v>
      </c>
      <c r="AU585" s="24">
        <f t="shared" ref="AU585:AU648" ca="1" si="537">AR585*$D$35/100</f>
        <v>0</v>
      </c>
      <c r="AV585" s="25">
        <f t="shared" ref="AV585:AV648" ca="1" si="538">AR585-AS585-AT585-AU585</f>
        <v>0</v>
      </c>
      <c r="AW585" s="23">
        <f t="array" aca="1" ref="AW585" ca="1">SUM(IF(rcs_start_date&lt;=AO585,1,0)*IF(rcs_end_date&gt;=AO585,1,0)*rcs_amount*(1+rcs_escalation/100)^(INT((AP585-rcs_months_since_start)/12))*IF(MOD((AP585-rcs_months_since_start),rcs_frequency)=0,1,0)*IF(rcs_frequency=13,0,1))+SUM(IF(rcs_start_date=AO585,rcs_amount,0)*IF(rcs_frequency=13,1,0))</f>
        <v>0</v>
      </c>
      <c r="AX585" s="24">
        <f t="shared" ref="AX585:AX648" ca="1" si="539">AW585*$D$34/100</f>
        <v>0</v>
      </c>
      <c r="AY585" s="24">
        <f t="shared" ref="AY585:AY648" ca="1" si="540">AW585*$D$33/100</f>
        <v>0</v>
      </c>
      <c r="AZ585" s="24">
        <f t="shared" ref="AZ585:AZ648" ca="1" si="541">AW585*$D$35/100</f>
        <v>0</v>
      </c>
      <c r="BA585" s="25">
        <f t="shared" ref="BA585:BA648" ca="1" si="542">AW585-AX585-AY585-AZ585</f>
        <v>0</v>
      </c>
      <c r="BB585" s="23">
        <f t="array" aca="1" ref="BB585" ca="1">SUM(IF(w_start_date&lt;=AO585,1,0)*IF(w_end_date&gt;=AO585,1,0)*w_amount*(1+w_escalation/100)^(INT((AP585-w_months_since_start)/12))*IF(MOD(AP585-w_months_since_start,w_frequency)=0,1,0)*IF(w_frequency=13,0,1))+SUM(IF(w_start_date=AO585,w_amount,0)*IF(w_frequency=13,1,0))</f>
        <v>0</v>
      </c>
      <c r="BC585" s="25">
        <f t="shared" ref="BC585:BC648" ca="1" si="543">IF(BB585&gt;AQ585+AV585+BA585,AQ585+AV585+BA585,BB585)</f>
        <v>0</v>
      </c>
      <c r="BD585" s="24" t="b">
        <f t="shared" ref="BD585:BD648" ca="1" si="544">AND($DV$11&lt;=AO585,$DV$11&lt;&gt;0)</f>
        <v>1</v>
      </c>
      <c r="BE585" s="24" t="b">
        <f t="shared" ref="BE585:BE648" ca="1" si="545">$DW$11&lt;&gt;""</f>
        <v>1</v>
      </c>
      <c r="BF585" s="23">
        <f t="array" aca="1" ref="BF585" ca="1">SUM(IF(BD585,1,0)*IF(ap_start_date&lt;=AO585,1,0)*IF(ap_end_date&gt;=AO585,1,0)*ap_amount*(1+ap_escalation/100)^(INT((AP585-ap_months_since_start)/12))*IF(MOD(AP585-ap_months_since_start,ap_frequency)=0,1,0))</f>
        <v>149383.14496488735</v>
      </c>
      <c r="BG585" s="24">
        <f t="shared" ref="BG585:BG648" ca="1" si="546">IF(MOD(YEAR(AO585)*12+MONTH(AO585)-YEAR(Earliest_annuity_payment)*12-MONTH(Earliest_annuity_payment),12)=0,SUM(BF585:BF596),BG584)</f>
        <v>1792597.7395786478</v>
      </c>
      <c r="BH585" s="24">
        <f t="shared" ref="BH585:BH648" ca="1" si="547">IF(AO585&gt;=Earliest_annuity_payment,IF(MOD(YEAR(AO585)*12+MONTH(AO585)-YEAR(Earliest_annuity_payment)*12-MONTH(Earliest_annuity_payment),12)=0,(AQ585+AV585+BA585-BC585)*Annuity_min,BH584),0)</f>
        <v>1864.7136201548096</v>
      </c>
      <c r="BI585">
        <f t="shared" ref="BI585:BI648" ca="1" si="548">IF(AND(BH585&gt;BG585,BD585),1,0)</f>
        <v>0</v>
      </c>
      <c r="BJ585" s="24">
        <f t="shared" ref="BJ585:BJ648" ca="1" si="549">IF(AO585&gt;=Earliest_annuity_payment,IF(MOD(YEAR(AO585)*12+MONTH(AO585)-YEAR(Earliest_annuity_payment)*12-MONTH(Earliest_annuity_payment),12)=0,(AQ585+AV585+BA585-BC585)*Annuity_cap,BJ584),0)</f>
        <v>13052.995341083666</v>
      </c>
      <c r="BK585">
        <f t="shared" ref="BK585:BK648" ca="1" si="550">IF(BJ585&lt;BG585,1,0)</f>
        <v>1</v>
      </c>
      <c r="BL585" s="25">
        <f t="shared" ref="BL585:BL648" ca="1" si="551">IF(BJ585&lt;BG585,BF585/BG585*BJ585,IF(AND(BH585&gt;BG585,BG585&lt;&gt;0),BF585/BG585*BH585,BF585))</f>
        <v>1087.7496117569724</v>
      </c>
      <c r="BM585" s="32">
        <f t="shared" ca="1" si="530"/>
        <v>72902.433789236369</v>
      </c>
      <c r="BN585" s="23">
        <f t="shared" ref="BN585:BN648" ca="1" si="552">BM585*$E$34/1200</f>
        <v>0</v>
      </c>
      <c r="BO585" s="24">
        <f t="shared" ref="BO585:BO648" ca="1" si="553">BM585*$E$33/1200</f>
        <v>0</v>
      </c>
      <c r="BP585" s="25">
        <f t="shared" ref="BP585:BP648" ca="1" si="554">BM585*$E$35/1200</f>
        <v>0</v>
      </c>
      <c r="BQ585" s="34">
        <f t="shared" ref="BQ585:BQ648" ca="1" si="555">EOMONTH(AO585,0)</f>
        <v>63220</v>
      </c>
      <c r="BR585" s="23">
        <f t="shared" ref="BR585:BR648" ca="1" si="556">BM585-BN585-BO585-BP585</f>
        <v>72902.433789236369</v>
      </c>
      <c r="BS585" s="24">
        <f t="shared" ref="BS585:BS648" ca="1" si="557">AV585+BA585</f>
        <v>0</v>
      </c>
      <c r="BT585" s="24">
        <f t="shared" ca="1" si="522"/>
        <v>0</v>
      </c>
      <c r="BU585" s="24">
        <f t="shared" ref="BU585:BU648" ca="1" si="558">-BC585</f>
        <v>0</v>
      </c>
      <c r="BV585" s="24">
        <f t="shared" ca="1" si="523"/>
        <v>0</v>
      </c>
      <c r="BW585" s="24">
        <f t="shared" ref="BW585:BW648" ca="1" si="559">-BL585</f>
        <v>-1087.7496117569724</v>
      </c>
      <c r="BX585" s="25">
        <f t="shared" ca="1" si="524"/>
        <v>-14061.782966627334</v>
      </c>
      <c r="BY585" s="23">
        <f t="shared" ca="1" si="531"/>
        <v>11023.077248407386</v>
      </c>
      <c r="BZ585" s="24">
        <f t="shared" ca="1" si="532"/>
        <v>0</v>
      </c>
      <c r="CA585" s="24">
        <f t="shared" ca="1" si="525"/>
        <v>0</v>
      </c>
      <c r="CB585" s="24">
        <f t="shared" ca="1" si="533"/>
        <v>0</v>
      </c>
      <c r="CC585" s="24">
        <f t="shared" ca="1" si="526"/>
        <v>0</v>
      </c>
      <c r="CD585" s="24">
        <f t="shared" ca="1" si="534"/>
        <v>-165.00959777751058</v>
      </c>
      <c r="CE585" s="25">
        <f t="shared" ca="1" si="527"/>
        <v>-2172.7385247373736</v>
      </c>
      <c r="CF585" s="23">
        <f t="shared" ca="1" si="528"/>
        <v>1740888.1893984943</v>
      </c>
      <c r="CG585" s="25">
        <f t="array" aca="1" ref="CG585" ca="1">SUM(BF574:BF585/(1+inflation/100)^(AP574:AP585/12))</f>
        <v>267980.53702225385</v>
      </c>
      <c r="CH585" s="32">
        <f ca="1">IFERROR(IF(MOD(AP585-ap_months_since_start,12)=0,ap_drawdown/100*(AQ585+AV585+BA585-BC585),CH584),0)</f>
        <v>11463.820883915358</v>
      </c>
    </row>
    <row r="586" spans="40:86" x14ac:dyDescent="0.25">
      <c r="AN586" s="32">
        <f t="shared" ca="1" si="529"/>
        <v>103.08333333333333</v>
      </c>
      <c r="AO586" s="53">
        <f t="shared" ref="AO586:AO649" ca="1" si="560">DATE(YEAR(AO585),MONTH(AO585)+1,1)</f>
        <v>63221</v>
      </c>
      <c r="AP586" s="22">
        <v>579</v>
      </c>
      <c r="AQ586" s="32">
        <f t="shared" ref="AQ586:AQ649" ca="1" si="561">IF(BR585&lt;0,0,BR585)</f>
        <v>72902.433789236369</v>
      </c>
      <c r="AR586" s="23">
        <f t="array" aca="1" ref="AR586" ca="1">SUM(IF(lsc_start_date=AO586,lsc_amount,0))</f>
        <v>0</v>
      </c>
      <c r="AS586" s="24">
        <f t="shared" ca="1" si="535"/>
        <v>0</v>
      </c>
      <c r="AT586" s="24">
        <f t="shared" ca="1" si="536"/>
        <v>0</v>
      </c>
      <c r="AU586" s="24">
        <f t="shared" ca="1" si="537"/>
        <v>0</v>
      </c>
      <c r="AV586" s="25">
        <f t="shared" ca="1" si="538"/>
        <v>0</v>
      </c>
      <c r="AW586" s="23">
        <f t="array" aca="1" ref="AW586" ca="1">SUM(IF(rcs_start_date&lt;=AO586,1,0)*IF(rcs_end_date&gt;=AO586,1,0)*rcs_amount*(1+rcs_escalation/100)^(INT((AP586-rcs_months_since_start)/12))*IF(MOD((AP586-rcs_months_since_start),rcs_frequency)=0,1,0)*IF(rcs_frequency=13,0,1))+SUM(IF(rcs_start_date=AO586,rcs_amount,0)*IF(rcs_frequency=13,1,0))</f>
        <v>0</v>
      </c>
      <c r="AX586" s="24">
        <f t="shared" ca="1" si="539"/>
        <v>0</v>
      </c>
      <c r="AY586" s="24">
        <f t="shared" ca="1" si="540"/>
        <v>0</v>
      </c>
      <c r="AZ586" s="24">
        <f t="shared" ca="1" si="541"/>
        <v>0</v>
      </c>
      <c r="BA586" s="25">
        <f t="shared" ca="1" si="542"/>
        <v>0</v>
      </c>
      <c r="BB586" s="23">
        <f t="array" aca="1" ref="BB586" ca="1">SUM(IF(w_start_date&lt;=AO586,1,0)*IF(w_end_date&gt;=AO586,1,0)*w_amount*(1+w_escalation/100)^(INT((AP586-w_months_since_start)/12))*IF(MOD(AP586-w_months_since_start,w_frequency)=0,1,0)*IF(w_frequency=13,0,1))+SUM(IF(w_start_date=AO586,w_amount,0)*IF(w_frequency=13,1,0))</f>
        <v>0</v>
      </c>
      <c r="BC586" s="25">
        <f t="shared" ca="1" si="543"/>
        <v>0</v>
      </c>
      <c r="BD586" s="24" t="b">
        <f t="shared" ca="1" si="544"/>
        <v>1</v>
      </c>
      <c r="BE586" s="24" t="b">
        <f t="shared" ca="1" si="545"/>
        <v>1</v>
      </c>
      <c r="BF586" s="23">
        <f t="array" aca="1" ref="BF586" ca="1">SUM(IF(BD586,1,0)*IF(ap_start_date&lt;=AO586,1,0)*IF(ap_end_date&gt;=AO586,1,0)*ap_amount*(1+ap_escalation/100)^(INT((AP586-ap_months_since_start)/12))*IF(MOD(AP586-ap_months_since_start,ap_frequency)=0,1,0))</f>
        <v>149383.14496488735</v>
      </c>
      <c r="BG586" s="24">
        <f t="shared" ca="1" si="546"/>
        <v>1792597.7395786478</v>
      </c>
      <c r="BH586" s="24">
        <f t="shared" ca="1" si="547"/>
        <v>1864.7136201548096</v>
      </c>
      <c r="BI586">
        <f t="shared" ca="1" si="548"/>
        <v>0</v>
      </c>
      <c r="BJ586" s="24">
        <f t="shared" ca="1" si="549"/>
        <v>13052.995341083666</v>
      </c>
      <c r="BK586">
        <f t="shared" ca="1" si="550"/>
        <v>1</v>
      </c>
      <c r="BL586" s="25">
        <f t="shared" ca="1" si="551"/>
        <v>1087.7496117569724</v>
      </c>
      <c r="BM586" s="32">
        <f t="shared" ca="1" si="530"/>
        <v>72332.275825192744</v>
      </c>
      <c r="BN586" s="23">
        <f t="shared" ca="1" si="552"/>
        <v>0</v>
      </c>
      <c r="BO586" s="24">
        <f t="shared" ca="1" si="553"/>
        <v>0</v>
      </c>
      <c r="BP586" s="25">
        <f t="shared" ca="1" si="554"/>
        <v>0</v>
      </c>
      <c r="BQ586" s="34">
        <f t="shared" ca="1" si="555"/>
        <v>63248</v>
      </c>
      <c r="BR586" s="23">
        <f t="shared" ca="1" si="556"/>
        <v>72332.275825192744</v>
      </c>
      <c r="BS586" s="24">
        <f t="shared" ca="1" si="557"/>
        <v>0</v>
      </c>
      <c r="BT586" s="24">
        <f t="shared" ca="1" si="522"/>
        <v>0</v>
      </c>
      <c r="BU586" s="24">
        <f t="shared" ca="1" si="558"/>
        <v>0</v>
      </c>
      <c r="BV586" s="24">
        <f t="shared" ca="1" si="523"/>
        <v>0</v>
      </c>
      <c r="BW586" s="24">
        <f t="shared" ca="1" si="559"/>
        <v>-1087.7496117569724</v>
      </c>
      <c r="BX586" s="25">
        <f t="shared" ca="1" si="524"/>
        <v>-13949.695452678037</v>
      </c>
      <c r="BY586" s="23">
        <f t="shared" ca="1" si="531"/>
        <v>10901.17994478513</v>
      </c>
      <c r="BZ586" s="24">
        <f t="shared" ca="1" si="532"/>
        <v>0</v>
      </c>
      <c r="CA586" s="24">
        <f t="shared" ca="1" si="525"/>
        <v>0</v>
      </c>
      <c r="CB586" s="24">
        <f t="shared" ca="1" si="533"/>
        <v>0</v>
      </c>
      <c r="CC586" s="24">
        <f t="shared" ca="1" si="526"/>
        <v>0</v>
      </c>
      <c r="CD586" s="24">
        <f t="shared" ca="1" si="534"/>
        <v>-164.47116199147464</v>
      </c>
      <c r="CE586" s="25">
        <f t="shared" ca="1" si="527"/>
        <v>-2148.5337742782435</v>
      </c>
      <c r="CF586" s="23">
        <f t="shared" ca="1" si="528"/>
        <v>1746633.6949740669</v>
      </c>
      <c r="CG586" s="25">
        <f t="array" aca="1" ref="CG586" ca="1">SUM(BF575:BF586/(1+inflation/100)^(AP575:AP586/12))</f>
        <v>267980.53702225379</v>
      </c>
      <c r="CH586" s="32">
        <f ca="1">IFERROR(IF(MOD(AP586-ap_months_since_start,12)=0,ap_drawdown/100*(AQ586+AV586+BA586-BC586),CH585),0)</f>
        <v>11463.820883915358</v>
      </c>
    </row>
    <row r="587" spans="40:86" x14ac:dyDescent="0.25">
      <c r="AN587" s="32">
        <f t="shared" ca="1" si="529"/>
        <v>103.16666666666667</v>
      </c>
      <c r="AO587" s="53">
        <f t="shared" ca="1" si="560"/>
        <v>63249</v>
      </c>
      <c r="AP587" s="22">
        <v>580</v>
      </c>
      <c r="AQ587" s="32">
        <f t="shared" ca="1" si="561"/>
        <v>72332.275825192744</v>
      </c>
      <c r="AR587" s="23">
        <f t="array" aca="1" ref="AR587" ca="1">SUM(IF(lsc_start_date=AO587,lsc_amount,0))</f>
        <v>0</v>
      </c>
      <c r="AS587" s="24">
        <f t="shared" ca="1" si="535"/>
        <v>0</v>
      </c>
      <c r="AT587" s="24">
        <f t="shared" ca="1" si="536"/>
        <v>0</v>
      </c>
      <c r="AU587" s="24">
        <f t="shared" ca="1" si="537"/>
        <v>0</v>
      </c>
      <c r="AV587" s="25">
        <f t="shared" ca="1" si="538"/>
        <v>0</v>
      </c>
      <c r="AW587" s="23">
        <f t="array" aca="1" ref="AW587" ca="1">SUM(IF(rcs_start_date&lt;=AO587,1,0)*IF(rcs_end_date&gt;=AO587,1,0)*rcs_amount*(1+rcs_escalation/100)^(INT((AP587-rcs_months_since_start)/12))*IF(MOD((AP587-rcs_months_since_start),rcs_frequency)=0,1,0)*IF(rcs_frequency=13,0,1))+SUM(IF(rcs_start_date=AO587,rcs_amount,0)*IF(rcs_frequency=13,1,0))</f>
        <v>0</v>
      </c>
      <c r="AX587" s="24">
        <f t="shared" ca="1" si="539"/>
        <v>0</v>
      </c>
      <c r="AY587" s="24">
        <f t="shared" ca="1" si="540"/>
        <v>0</v>
      </c>
      <c r="AZ587" s="24">
        <f t="shared" ca="1" si="541"/>
        <v>0</v>
      </c>
      <c r="BA587" s="25">
        <f t="shared" ca="1" si="542"/>
        <v>0</v>
      </c>
      <c r="BB587" s="23">
        <f t="array" aca="1" ref="BB587" ca="1">SUM(IF(w_start_date&lt;=AO587,1,0)*IF(w_end_date&gt;=AO587,1,0)*w_amount*(1+w_escalation/100)^(INT((AP587-w_months_since_start)/12))*IF(MOD(AP587-w_months_since_start,w_frequency)=0,1,0)*IF(w_frequency=13,0,1))+SUM(IF(w_start_date=AO587,w_amount,0)*IF(w_frequency=13,1,0))</f>
        <v>0</v>
      </c>
      <c r="BC587" s="25">
        <f t="shared" ca="1" si="543"/>
        <v>0</v>
      </c>
      <c r="BD587" s="24" t="b">
        <f t="shared" ca="1" si="544"/>
        <v>1</v>
      </c>
      <c r="BE587" s="24" t="b">
        <f t="shared" ca="1" si="545"/>
        <v>1</v>
      </c>
      <c r="BF587" s="23">
        <f t="array" aca="1" ref="BF587" ca="1">SUM(IF(BD587,1,0)*IF(ap_start_date&lt;=AO587,1,0)*IF(ap_end_date&gt;=AO587,1,0)*ap_amount*(1+ap_escalation/100)^(INT((AP587-ap_months_since_start)/12))*IF(MOD(AP587-ap_months_since_start,ap_frequency)=0,1,0))</f>
        <v>149383.14496488735</v>
      </c>
      <c r="BG587" s="24">
        <f t="shared" ca="1" si="546"/>
        <v>1792597.7395786478</v>
      </c>
      <c r="BH587" s="24">
        <f t="shared" ca="1" si="547"/>
        <v>1864.7136201548096</v>
      </c>
      <c r="BI587">
        <f t="shared" ca="1" si="548"/>
        <v>0</v>
      </c>
      <c r="BJ587" s="24">
        <f t="shared" ca="1" si="549"/>
        <v>13052.995341083666</v>
      </c>
      <c r="BK587">
        <f t="shared" ca="1" si="550"/>
        <v>1</v>
      </c>
      <c r="BL587" s="25">
        <f t="shared" ca="1" si="551"/>
        <v>1087.7496117569724</v>
      </c>
      <c r="BM587" s="32">
        <f t="shared" ca="1" si="530"/>
        <v>71758.008548360987</v>
      </c>
      <c r="BN587" s="23">
        <f t="shared" ca="1" si="552"/>
        <v>0</v>
      </c>
      <c r="BO587" s="24">
        <f t="shared" ca="1" si="553"/>
        <v>0</v>
      </c>
      <c r="BP587" s="25">
        <f t="shared" ca="1" si="554"/>
        <v>0</v>
      </c>
      <c r="BQ587" s="34">
        <f t="shared" ca="1" si="555"/>
        <v>63279</v>
      </c>
      <c r="BR587" s="23">
        <f t="shared" ca="1" si="556"/>
        <v>71758.008548360987</v>
      </c>
      <c r="BS587" s="24">
        <f t="shared" ca="1" si="557"/>
        <v>0</v>
      </c>
      <c r="BT587" s="24">
        <f t="shared" ca="1" si="522"/>
        <v>0</v>
      </c>
      <c r="BU587" s="24">
        <f t="shared" ca="1" si="558"/>
        <v>0</v>
      </c>
      <c r="BV587" s="24">
        <f t="shared" ca="1" si="523"/>
        <v>0</v>
      </c>
      <c r="BW587" s="24">
        <f t="shared" ca="1" si="559"/>
        <v>-1087.7496117569724</v>
      </c>
      <c r="BX587" s="25">
        <f t="shared" ca="1" si="524"/>
        <v>-13837.607938728741</v>
      </c>
      <c r="BY587" s="23">
        <f t="shared" ca="1" si="531"/>
        <v>10779.343495572093</v>
      </c>
      <c r="BZ587" s="24">
        <f t="shared" ca="1" si="532"/>
        <v>0</v>
      </c>
      <c r="CA587" s="24">
        <f t="shared" ca="1" si="525"/>
        <v>0</v>
      </c>
      <c r="CB587" s="24">
        <f t="shared" ca="1" si="533"/>
        <v>0</v>
      </c>
      <c r="CC587" s="24">
        <f t="shared" ca="1" si="526"/>
        <v>0</v>
      </c>
      <c r="CD587" s="24">
        <f t="shared" ca="1" si="534"/>
        <v>-163.93448315230472</v>
      </c>
      <c r="CE587" s="25">
        <f t="shared" ca="1" si="527"/>
        <v>-2124.408005308765</v>
      </c>
      <c r="CF587" s="23">
        <f t="shared" ca="1" si="528"/>
        <v>1752379.2005496395</v>
      </c>
      <c r="CG587" s="25">
        <f t="array" aca="1" ref="CG587" ca="1">SUM(BF576:BF587/(1+inflation/100)^(AP576:AP587/12))</f>
        <v>267980.53702225385</v>
      </c>
      <c r="CH587" s="32">
        <f ca="1">IFERROR(IF(MOD(AP587-ap_months_since_start,12)=0,ap_drawdown/100*(AQ587+AV587+BA587-BC587),CH586),0)</f>
        <v>11463.820883915358</v>
      </c>
    </row>
    <row r="588" spans="40:86" x14ac:dyDescent="0.25">
      <c r="AN588" s="32">
        <f t="shared" ca="1" si="529"/>
        <v>103.25</v>
      </c>
      <c r="AO588" s="53">
        <f t="shared" ca="1" si="560"/>
        <v>63280</v>
      </c>
      <c r="AP588" s="22">
        <v>581</v>
      </c>
      <c r="AQ588" s="32">
        <f t="shared" ca="1" si="561"/>
        <v>71758.008548360987</v>
      </c>
      <c r="AR588" s="23">
        <f t="array" aca="1" ref="AR588" ca="1">SUM(IF(lsc_start_date=AO588,lsc_amount,0))</f>
        <v>0</v>
      </c>
      <c r="AS588" s="24">
        <f t="shared" ca="1" si="535"/>
        <v>0</v>
      </c>
      <c r="AT588" s="24">
        <f t="shared" ca="1" si="536"/>
        <v>0</v>
      </c>
      <c r="AU588" s="24">
        <f t="shared" ca="1" si="537"/>
        <v>0</v>
      </c>
      <c r="AV588" s="25">
        <f t="shared" ca="1" si="538"/>
        <v>0</v>
      </c>
      <c r="AW588" s="23">
        <f t="array" aca="1" ref="AW588" ca="1">SUM(IF(rcs_start_date&lt;=AO588,1,0)*IF(rcs_end_date&gt;=AO588,1,0)*rcs_amount*(1+rcs_escalation/100)^(INT((AP588-rcs_months_since_start)/12))*IF(MOD((AP588-rcs_months_since_start),rcs_frequency)=0,1,0)*IF(rcs_frequency=13,0,1))+SUM(IF(rcs_start_date=AO588,rcs_amount,0)*IF(rcs_frequency=13,1,0))</f>
        <v>0</v>
      </c>
      <c r="AX588" s="24">
        <f t="shared" ca="1" si="539"/>
        <v>0</v>
      </c>
      <c r="AY588" s="24">
        <f t="shared" ca="1" si="540"/>
        <v>0</v>
      </c>
      <c r="AZ588" s="24">
        <f t="shared" ca="1" si="541"/>
        <v>0</v>
      </c>
      <c r="BA588" s="25">
        <f t="shared" ca="1" si="542"/>
        <v>0</v>
      </c>
      <c r="BB588" s="23">
        <f t="array" aca="1" ref="BB588" ca="1">SUM(IF(w_start_date&lt;=AO588,1,0)*IF(w_end_date&gt;=AO588,1,0)*w_amount*(1+w_escalation/100)^(INT((AP588-w_months_since_start)/12))*IF(MOD(AP588-w_months_since_start,w_frequency)=0,1,0)*IF(w_frequency=13,0,1))+SUM(IF(w_start_date=AO588,w_amount,0)*IF(w_frequency=13,1,0))</f>
        <v>0</v>
      </c>
      <c r="BC588" s="25">
        <f t="shared" ca="1" si="543"/>
        <v>0</v>
      </c>
      <c r="BD588" s="24" t="b">
        <f t="shared" ca="1" si="544"/>
        <v>1</v>
      </c>
      <c r="BE588" s="24" t="b">
        <f t="shared" ca="1" si="545"/>
        <v>1</v>
      </c>
      <c r="BF588" s="23">
        <f t="array" aca="1" ref="BF588" ca="1">SUM(IF(BD588,1,0)*IF(ap_start_date&lt;=AO588,1,0)*IF(ap_end_date&gt;=AO588,1,0)*ap_amount*(1+ap_escalation/100)^(INT((AP588-ap_months_since_start)/12))*IF(MOD(AP588-ap_months_since_start,ap_frequency)=0,1,0))</f>
        <v>149383.14496488735</v>
      </c>
      <c r="BG588" s="24">
        <f t="shared" ca="1" si="546"/>
        <v>1792597.7395786478</v>
      </c>
      <c r="BH588" s="24">
        <f t="shared" ca="1" si="547"/>
        <v>1864.7136201548096</v>
      </c>
      <c r="BI588">
        <f t="shared" ca="1" si="548"/>
        <v>0</v>
      </c>
      <c r="BJ588" s="24">
        <f t="shared" ca="1" si="549"/>
        <v>13052.995341083666</v>
      </c>
      <c r="BK588">
        <f t="shared" ca="1" si="550"/>
        <v>1</v>
      </c>
      <c r="BL588" s="25">
        <f t="shared" ca="1" si="551"/>
        <v>1087.7496117569724</v>
      </c>
      <c r="BM588" s="32">
        <f t="shared" ca="1" si="530"/>
        <v>71179.602341595222</v>
      </c>
      <c r="BN588" s="23">
        <f t="shared" ca="1" si="552"/>
        <v>0</v>
      </c>
      <c r="BO588" s="24">
        <f t="shared" ca="1" si="553"/>
        <v>0</v>
      </c>
      <c r="BP588" s="25">
        <f t="shared" ca="1" si="554"/>
        <v>0</v>
      </c>
      <c r="BQ588" s="34">
        <f t="shared" ca="1" si="555"/>
        <v>63309</v>
      </c>
      <c r="BR588" s="23">
        <f t="shared" ca="1" si="556"/>
        <v>71179.602341595222</v>
      </c>
      <c r="BS588" s="24">
        <f t="shared" ca="1" si="557"/>
        <v>0</v>
      </c>
      <c r="BT588" s="24">
        <f t="shared" ca="1" si="522"/>
        <v>0</v>
      </c>
      <c r="BU588" s="24">
        <f t="shared" ca="1" si="558"/>
        <v>0</v>
      </c>
      <c r="BV588" s="24">
        <f t="shared" ca="1" si="523"/>
        <v>0</v>
      </c>
      <c r="BW588" s="24">
        <f t="shared" ca="1" si="559"/>
        <v>-1087.7496117569724</v>
      </c>
      <c r="BX588" s="25">
        <f t="shared" ca="1" si="524"/>
        <v>-13725.520424779445</v>
      </c>
      <c r="BY588" s="23">
        <f t="shared" ca="1" si="531"/>
        <v>10657.566381283166</v>
      </c>
      <c r="BZ588" s="24">
        <f t="shared" ca="1" si="532"/>
        <v>0</v>
      </c>
      <c r="CA588" s="24">
        <f t="shared" ca="1" si="525"/>
        <v>0</v>
      </c>
      <c r="CB588" s="24">
        <f t="shared" ca="1" si="533"/>
        <v>0</v>
      </c>
      <c r="CC588" s="24">
        <f t="shared" ca="1" si="526"/>
        <v>0</v>
      </c>
      <c r="CD588" s="24">
        <f t="shared" ca="1" si="534"/>
        <v>-163.39955552698243</v>
      </c>
      <c r="CE588" s="25">
        <f t="shared" ca="1" si="527"/>
        <v>-2100.3609601078047</v>
      </c>
      <c r="CF588" s="23">
        <f t="shared" ca="1" si="528"/>
        <v>1758124.7061252121</v>
      </c>
      <c r="CG588" s="25">
        <f t="array" aca="1" ref="CG588" ca="1">SUM(BF577:BF588/(1+inflation/100)^(AP577:AP588/12))</f>
        <v>267980.53702225385</v>
      </c>
      <c r="CH588" s="32">
        <f ca="1">IFERROR(IF(MOD(AP588-ap_months_since_start,12)=0,ap_drawdown/100*(AQ588+AV588+BA588-BC588),CH587),0)</f>
        <v>11463.820883915358</v>
      </c>
    </row>
    <row r="589" spans="40:86" x14ac:dyDescent="0.25">
      <c r="AN589" s="32">
        <f t="shared" ca="1" si="529"/>
        <v>103.33333333333333</v>
      </c>
      <c r="AO589" s="53">
        <f t="shared" ca="1" si="560"/>
        <v>63310</v>
      </c>
      <c r="AP589" s="22">
        <v>582</v>
      </c>
      <c r="AQ589" s="32">
        <f t="shared" ca="1" si="561"/>
        <v>71179.602341595222</v>
      </c>
      <c r="AR589" s="23">
        <f t="array" aca="1" ref="AR589" ca="1">SUM(IF(lsc_start_date=AO589,lsc_amount,0))</f>
        <v>0</v>
      </c>
      <c r="AS589" s="24">
        <f t="shared" ca="1" si="535"/>
        <v>0</v>
      </c>
      <c r="AT589" s="24">
        <f t="shared" ca="1" si="536"/>
        <v>0</v>
      </c>
      <c r="AU589" s="24">
        <f t="shared" ca="1" si="537"/>
        <v>0</v>
      </c>
      <c r="AV589" s="25">
        <f t="shared" ca="1" si="538"/>
        <v>0</v>
      </c>
      <c r="AW589" s="23">
        <f t="array" aca="1" ref="AW589" ca="1">SUM(IF(rcs_start_date&lt;=AO589,1,0)*IF(rcs_end_date&gt;=AO589,1,0)*rcs_amount*(1+rcs_escalation/100)^(INT((AP589-rcs_months_since_start)/12))*IF(MOD((AP589-rcs_months_since_start),rcs_frequency)=0,1,0)*IF(rcs_frequency=13,0,1))+SUM(IF(rcs_start_date=AO589,rcs_amount,0)*IF(rcs_frequency=13,1,0))</f>
        <v>0</v>
      </c>
      <c r="AX589" s="24">
        <f t="shared" ca="1" si="539"/>
        <v>0</v>
      </c>
      <c r="AY589" s="24">
        <f t="shared" ca="1" si="540"/>
        <v>0</v>
      </c>
      <c r="AZ589" s="24">
        <f t="shared" ca="1" si="541"/>
        <v>0</v>
      </c>
      <c r="BA589" s="25">
        <f t="shared" ca="1" si="542"/>
        <v>0</v>
      </c>
      <c r="BB589" s="23">
        <f t="array" aca="1" ref="BB589" ca="1">SUM(IF(w_start_date&lt;=AO589,1,0)*IF(w_end_date&gt;=AO589,1,0)*w_amount*(1+w_escalation/100)^(INT((AP589-w_months_since_start)/12))*IF(MOD(AP589-w_months_since_start,w_frequency)=0,1,0)*IF(w_frequency=13,0,1))+SUM(IF(w_start_date=AO589,w_amount,0)*IF(w_frequency=13,1,0))</f>
        <v>0</v>
      </c>
      <c r="BC589" s="25">
        <f t="shared" ca="1" si="543"/>
        <v>0</v>
      </c>
      <c r="BD589" s="24" t="b">
        <f t="shared" ca="1" si="544"/>
        <v>1</v>
      </c>
      <c r="BE589" s="24" t="b">
        <f t="shared" ca="1" si="545"/>
        <v>1</v>
      </c>
      <c r="BF589" s="23">
        <f t="array" aca="1" ref="BF589" ca="1">SUM(IF(BD589,1,0)*IF(ap_start_date&lt;=AO589,1,0)*IF(ap_end_date&gt;=AO589,1,0)*ap_amount*(1+ap_escalation/100)^(INT((AP589-ap_months_since_start)/12))*IF(MOD(AP589-ap_months_since_start,ap_frequency)=0,1,0))</f>
        <v>149383.14496488735</v>
      </c>
      <c r="BG589" s="24">
        <f t="shared" ca="1" si="546"/>
        <v>1792597.7395786478</v>
      </c>
      <c r="BH589" s="24">
        <f t="shared" ca="1" si="547"/>
        <v>1864.7136201548096</v>
      </c>
      <c r="BI589">
        <f t="shared" ca="1" si="548"/>
        <v>0</v>
      </c>
      <c r="BJ589" s="24">
        <f t="shared" ca="1" si="549"/>
        <v>13052.995341083666</v>
      </c>
      <c r="BK589">
        <f t="shared" ca="1" si="550"/>
        <v>1</v>
      </c>
      <c r="BL589" s="25">
        <f t="shared" ca="1" si="551"/>
        <v>1087.7496117569724</v>
      </c>
      <c r="BM589" s="32">
        <f t="shared" ca="1" si="530"/>
        <v>70597.027374289231</v>
      </c>
      <c r="BN589" s="23">
        <f t="shared" ca="1" si="552"/>
        <v>0</v>
      </c>
      <c r="BO589" s="24">
        <f t="shared" ca="1" si="553"/>
        <v>0</v>
      </c>
      <c r="BP589" s="25">
        <f t="shared" ca="1" si="554"/>
        <v>0</v>
      </c>
      <c r="BQ589" s="34">
        <f t="shared" ca="1" si="555"/>
        <v>63340</v>
      </c>
      <c r="BR589" s="23">
        <f t="shared" ca="1" si="556"/>
        <v>70597.027374289231</v>
      </c>
      <c r="BS589" s="24">
        <f t="shared" ca="1" si="557"/>
        <v>0</v>
      </c>
      <c r="BT589" s="24">
        <f t="shared" ca="1" si="522"/>
        <v>0</v>
      </c>
      <c r="BU589" s="24">
        <f t="shared" ca="1" si="558"/>
        <v>0</v>
      </c>
      <c r="BV589" s="24">
        <f t="shared" ca="1" si="523"/>
        <v>0</v>
      </c>
      <c r="BW589" s="24">
        <f t="shared" ca="1" si="559"/>
        <v>-1087.7496117569724</v>
      </c>
      <c r="BX589" s="25">
        <f t="shared" ca="1" si="524"/>
        <v>-13613.432910830148</v>
      </c>
      <c r="BY589" s="23">
        <f t="shared" ca="1" si="531"/>
        <v>10535.847082212436</v>
      </c>
      <c r="BZ589" s="24">
        <f t="shared" ca="1" si="532"/>
        <v>0</v>
      </c>
      <c r="CA589" s="24">
        <f t="shared" ca="1" si="525"/>
        <v>0</v>
      </c>
      <c r="CB589" s="24">
        <f t="shared" ca="1" si="533"/>
        <v>0</v>
      </c>
      <c r="CC589" s="24">
        <f t="shared" ca="1" si="526"/>
        <v>0</v>
      </c>
      <c r="CD589" s="24">
        <f t="shared" ca="1" si="534"/>
        <v>-162.86637340119646</v>
      </c>
      <c r="CE589" s="25">
        <f t="shared" ca="1" si="527"/>
        <v>-2076.3923817951895</v>
      </c>
      <c r="CF589" s="23">
        <f t="shared" ca="1" si="528"/>
        <v>1763870.2117007847</v>
      </c>
      <c r="CG589" s="25">
        <f t="array" aca="1" ref="CG589" ca="1">SUM(BF578:BF589/(1+inflation/100)^(AP578:AP589/12))</f>
        <v>267980.53702225379</v>
      </c>
      <c r="CH589" s="32">
        <f ca="1">IFERROR(IF(MOD(AP589-ap_months_since_start,12)=0,ap_drawdown/100*(AQ589+AV589+BA589-BC589),CH588),0)</f>
        <v>11463.820883915358</v>
      </c>
    </row>
    <row r="590" spans="40:86" x14ac:dyDescent="0.25">
      <c r="AN590" s="32">
        <f t="shared" ca="1" si="529"/>
        <v>103.41666666666667</v>
      </c>
      <c r="AO590" s="53">
        <f t="shared" ca="1" si="560"/>
        <v>63341</v>
      </c>
      <c r="AP590" s="22">
        <v>583</v>
      </c>
      <c r="AQ590" s="32">
        <f t="shared" ca="1" si="561"/>
        <v>70597.027374289231</v>
      </c>
      <c r="AR590" s="23">
        <f t="array" aca="1" ref="AR590" ca="1">SUM(IF(lsc_start_date=AO590,lsc_amount,0))</f>
        <v>0</v>
      </c>
      <c r="AS590" s="24">
        <f t="shared" ca="1" si="535"/>
        <v>0</v>
      </c>
      <c r="AT590" s="24">
        <f t="shared" ca="1" si="536"/>
        <v>0</v>
      </c>
      <c r="AU590" s="24">
        <f t="shared" ca="1" si="537"/>
        <v>0</v>
      </c>
      <c r="AV590" s="25">
        <f t="shared" ca="1" si="538"/>
        <v>0</v>
      </c>
      <c r="AW590" s="23">
        <f t="array" aca="1" ref="AW590" ca="1">SUM(IF(rcs_start_date&lt;=AO590,1,0)*IF(rcs_end_date&gt;=AO590,1,0)*rcs_amount*(1+rcs_escalation/100)^(INT((AP590-rcs_months_since_start)/12))*IF(MOD((AP590-rcs_months_since_start),rcs_frequency)=0,1,0)*IF(rcs_frequency=13,0,1))+SUM(IF(rcs_start_date=AO590,rcs_amount,0)*IF(rcs_frequency=13,1,0))</f>
        <v>0</v>
      </c>
      <c r="AX590" s="24">
        <f t="shared" ca="1" si="539"/>
        <v>0</v>
      </c>
      <c r="AY590" s="24">
        <f t="shared" ca="1" si="540"/>
        <v>0</v>
      </c>
      <c r="AZ590" s="24">
        <f t="shared" ca="1" si="541"/>
        <v>0</v>
      </c>
      <c r="BA590" s="25">
        <f t="shared" ca="1" si="542"/>
        <v>0</v>
      </c>
      <c r="BB590" s="23">
        <f t="array" aca="1" ref="BB590" ca="1">SUM(IF(w_start_date&lt;=AO590,1,0)*IF(w_end_date&gt;=AO590,1,0)*w_amount*(1+w_escalation/100)^(INT((AP590-w_months_since_start)/12))*IF(MOD(AP590-w_months_since_start,w_frequency)=0,1,0)*IF(w_frequency=13,0,1))+SUM(IF(w_start_date=AO590,w_amount,0)*IF(w_frequency=13,1,0))</f>
        <v>0</v>
      </c>
      <c r="BC590" s="25">
        <f t="shared" ca="1" si="543"/>
        <v>0</v>
      </c>
      <c r="BD590" s="24" t="b">
        <f t="shared" ca="1" si="544"/>
        <v>1</v>
      </c>
      <c r="BE590" s="24" t="b">
        <f t="shared" ca="1" si="545"/>
        <v>1</v>
      </c>
      <c r="BF590" s="23">
        <f t="array" aca="1" ref="BF590" ca="1">SUM(IF(BD590,1,0)*IF(ap_start_date&lt;=AO590,1,0)*IF(ap_end_date&gt;=AO590,1,0)*ap_amount*(1+ap_escalation/100)^(INT((AP590-ap_months_since_start)/12))*IF(MOD(AP590-ap_months_since_start,ap_frequency)=0,1,0))</f>
        <v>149383.14496488735</v>
      </c>
      <c r="BG590" s="24">
        <f t="shared" ca="1" si="546"/>
        <v>1792597.7395786478</v>
      </c>
      <c r="BH590" s="24">
        <f t="shared" ca="1" si="547"/>
        <v>1864.7136201548096</v>
      </c>
      <c r="BI590">
        <f t="shared" ca="1" si="548"/>
        <v>0</v>
      </c>
      <c r="BJ590" s="24">
        <f t="shared" ca="1" si="549"/>
        <v>13052.995341083666</v>
      </c>
      <c r="BK590">
        <f t="shared" ca="1" si="550"/>
        <v>1</v>
      </c>
      <c r="BL590" s="25">
        <f t="shared" ca="1" si="551"/>
        <v>1087.7496117569724</v>
      </c>
      <c r="BM590" s="32">
        <f t="shared" ca="1" si="530"/>
        <v>70010.253600837983</v>
      </c>
      <c r="BN590" s="23">
        <f t="shared" ca="1" si="552"/>
        <v>0</v>
      </c>
      <c r="BO590" s="24">
        <f t="shared" ca="1" si="553"/>
        <v>0</v>
      </c>
      <c r="BP590" s="25">
        <f t="shared" ca="1" si="554"/>
        <v>0</v>
      </c>
      <c r="BQ590" s="34">
        <f t="shared" ca="1" si="555"/>
        <v>63370</v>
      </c>
      <c r="BR590" s="23">
        <f t="shared" ca="1" si="556"/>
        <v>70010.253600837983</v>
      </c>
      <c r="BS590" s="24">
        <f t="shared" ca="1" si="557"/>
        <v>0</v>
      </c>
      <c r="BT590" s="24">
        <f t="shared" ca="1" si="522"/>
        <v>0</v>
      </c>
      <c r="BU590" s="24">
        <f t="shared" ca="1" si="558"/>
        <v>0</v>
      </c>
      <c r="BV590" s="24">
        <f t="shared" ca="1" si="523"/>
        <v>0</v>
      </c>
      <c r="BW590" s="24">
        <f t="shared" ca="1" si="559"/>
        <v>-1087.7496117569724</v>
      </c>
      <c r="BX590" s="25">
        <f t="shared" ca="1" si="524"/>
        <v>-13501.345396880852</v>
      </c>
      <c r="BY590" s="23">
        <f t="shared" ca="1" si="531"/>
        <v>10414.1840784136</v>
      </c>
      <c r="BZ590" s="24">
        <f t="shared" ca="1" si="532"/>
        <v>0</v>
      </c>
      <c r="CA590" s="24">
        <f t="shared" ca="1" si="525"/>
        <v>0</v>
      </c>
      <c r="CB590" s="24">
        <f t="shared" ca="1" si="533"/>
        <v>0</v>
      </c>
      <c r="CC590" s="24">
        <f t="shared" ca="1" si="526"/>
        <v>0</v>
      </c>
      <c r="CD590" s="24">
        <f t="shared" ca="1" si="534"/>
        <v>-162.33493107928174</v>
      </c>
      <c r="CE590" s="25">
        <f t="shared" ca="1" si="527"/>
        <v>-2052.5020143289598</v>
      </c>
      <c r="CF590" s="23">
        <f t="shared" ca="1" si="528"/>
        <v>1769615.7172763573</v>
      </c>
      <c r="CG590" s="25">
        <f t="array" aca="1" ref="CG590" ca="1">SUM(BF579:BF590/(1+inflation/100)^(AP579:AP590/12))</f>
        <v>267980.53702225385</v>
      </c>
      <c r="CH590" s="32">
        <f ca="1">IFERROR(IF(MOD(AP590-ap_months_since_start,12)=0,ap_drawdown/100*(AQ590+AV590+BA590-BC590),CH589),0)</f>
        <v>11463.820883915358</v>
      </c>
    </row>
    <row r="591" spans="40:86" x14ac:dyDescent="0.25">
      <c r="AN591" s="32">
        <f t="shared" ca="1" si="529"/>
        <v>103.5</v>
      </c>
      <c r="AO591" s="53">
        <f t="shared" ca="1" si="560"/>
        <v>63371</v>
      </c>
      <c r="AP591" s="22">
        <v>584</v>
      </c>
      <c r="AQ591" s="32">
        <f t="shared" ca="1" si="561"/>
        <v>70010.253600837983</v>
      </c>
      <c r="AR591" s="23">
        <f t="array" aca="1" ref="AR591" ca="1">SUM(IF(lsc_start_date=AO591,lsc_amount,0))</f>
        <v>0</v>
      </c>
      <c r="AS591" s="24">
        <f t="shared" ca="1" si="535"/>
        <v>0</v>
      </c>
      <c r="AT591" s="24">
        <f t="shared" ca="1" si="536"/>
        <v>0</v>
      </c>
      <c r="AU591" s="24">
        <f t="shared" ca="1" si="537"/>
        <v>0</v>
      </c>
      <c r="AV591" s="25">
        <f t="shared" ca="1" si="538"/>
        <v>0</v>
      </c>
      <c r="AW591" s="23">
        <f t="array" aca="1" ref="AW591" ca="1">SUM(IF(rcs_start_date&lt;=AO591,1,0)*IF(rcs_end_date&gt;=AO591,1,0)*rcs_amount*(1+rcs_escalation/100)^(INT((AP591-rcs_months_since_start)/12))*IF(MOD((AP591-rcs_months_since_start),rcs_frequency)=0,1,0)*IF(rcs_frequency=13,0,1))+SUM(IF(rcs_start_date=AO591,rcs_amount,0)*IF(rcs_frequency=13,1,0))</f>
        <v>0</v>
      </c>
      <c r="AX591" s="24">
        <f t="shared" ca="1" si="539"/>
        <v>0</v>
      </c>
      <c r="AY591" s="24">
        <f t="shared" ca="1" si="540"/>
        <v>0</v>
      </c>
      <c r="AZ591" s="24">
        <f t="shared" ca="1" si="541"/>
        <v>0</v>
      </c>
      <c r="BA591" s="25">
        <f t="shared" ca="1" si="542"/>
        <v>0</v>
      </c>
      <c r="BB591" s="23">
        <f t="array" aca="1" ref="BB591" ca="1">SUM(IF(w_start_date&lt;=AO591,1,0)*IF(w_end_date&gt;=AO591,1,0)*w_amount*(1+w_escalation/100)^(INT((AP591-w_months_since_start)/12))*IF(MOD(AP591-w_months_since_start,w_frequency)=0,1,0)*IF(w_frequency=13,0,1))+SUM(IF(w_start_date=AO591,w_amount,0)*IF(w_frequency=13,1,0))</f>
        <v>0</v>
      </c>
      <c r="BC591" s="25">
        <f t="shared" ca="1" si="543"/>
        <v>0</v>
      </c>
      <c r="BD591" s="24" t="b">
        <f t="shared" ca="1" si="544"/>
        <v>1</v>
      </c>
      <c r="BE591" s="24" t="b">
        <f t="shared" ca="1" si="545"/>
        <v>1</v>
      </c>
      <c r="BF591" s="23">
        <f t="array" aca="1" ref="BF591" ca="1">SUM(IF(BD591,1,0)*IF(ap_start_date&lt;=AO591,1,0)*IF(ap_end_date&gt;=AO591,1,0)*ap_amount*(1+ap_escalation/100)^(INT((AP591-ap_months_since_start)/12))*IF(MOD(AP591-ap_months_since_start,ap_frequency)=0,1,0))</f>
        <v>149383.14496488735</v>
      </c>
      <c r="BG591" s="24">
        <f t="shared" ca="1" si="546"/>
        <v>1792597.7395786478</v>
      </c>
      <c r="BH591" s="24">
        <f t="shared" ca="1" si="547"/>
        <v>1864.7136201548096</v>
      </c>
      <c r="BI591">
        <f t="shared" ca="1" si="548"/>
        <v>0</v>
      </c>
      <c r="BJ591" s="24">
        <f t="shared" ca="1" si="549"/>
        <v>13052.995341083666</v>
      </c>
      <c r="BK591">
        <f t="shared" ca="1" si="550"/>
        <v>1</v>
      </c>
      <c r="BL591" s="25">
        <f t="shared" ca="1" si="551"/>
        <v>1087.7496117569724</v>
      </c>
      <c r="BM591" s="32">
        <f t="shared" ca="1" si="530"/>
        <v>69419.250759088041</v>
      </c>
      <c r="BN591" s="23">
        <f t="shared" ca="1" si="552"/>
        <v>0</v>
      </c>
      <c r="BO591" s="24">
        <f t="shared" ca="1" si="553"/>
        <v>0</v>
      </c>
      <c r="BP591" s="25">
        <f t="shared" ca="1" si="554"/>
        <v>0</v>
      </c>
      <c r="BQ591" s="34">
        <f t="shared" ca="1" si="555"/>
        <v>63401</v>
      </c>
      <c r="BR591" s="23">
        <f t="shared" ca="1" si="556"/>
        <v>69419.250759088041</v>
      </c>
      <c r="BS591" s="24">
        <f t="shared" ca="1" si="557"/>
        <v>0</v>
      </c>
      <c r="BT591" s="24">
        <f t="shared" ca="1" si="522"/>
        <v>0</v>
      </c>
      <c r="BU591" s="24">
        <f t="shared" ca="1" si="558"/>
        <v>0</v>
      </c>
      <c r="BV591" s="24">
        <f t="shared" ca="1" si="523"/>
        <v>0</v>
      </c>
      <c r="BW591" s="24">
        <f t="shared" ca="1" si="559"/>
        <v>-1087.7496117569724</v>
      </c>
      <c r="BX591" s="25">
        <f t="shared" ca="1" si="524"/>
        <v>-13389.257882931555</v>
      </c>
      <c r="BY591" s="23">
        <f t="shared" ca="1" si="531"/>
        <v>10292.575849680368</v>
      </c>
      <c r="BZ591" s="24">
        <f t="shared" ca="1" si="532"/>
        <v>0</v>
      </c>
      <c r="CA591" s="24">
        <f t="shared" ca="1" si="525"/>
        <v>0</v>
      </c>
      <c r="CB591" s="24">
        <f t="shared" ca="1" si="533"/>
        <v>0</v>
      </c>
      <c r="CC591" s="24">
        <f t="shared" ca="1" si="526"/>
        <v>0</v>
      </c>
      <c r="CD591" s="24">
        <f t="shared" ca="1" si="534"/>
        <v>-161.80522288415833</v>
      </c>
      <c r="CE591" s="25">
        <f t="shared" ca="1" si="527"/>
        <v>-2028.689602502636</v>
      </c>
      <c r="CF591" s="23">
        <f t="shared" ca="1" si="528"/>
        <v>1775361.22285193</v>
      </c>
      <c r="CG591" s="25">
        <f t="array" aca="1" ref="CG591" ca="1">SUM(BF580:BF591/(1+inflation/100)^(AP580:AP591/12))</f>
        <v>267980.53702225385</v>
      </c>
      <c r="CH591" s="32">
        <f ca="1">IFERROR(IF(MOD(AP591-ap_months_since_start,12)=0,ap_drawdown/100*(AQ591+AV591+BA591-BC591),CH590),0)</f>
        <v>11463.820883915358</v>
      </c>
    </row>
    <row r="592" spans="40:86" x14ac:dyDescent="0.25">
      <c r="AN592" s="32">
        <f t="shared" ca="1" si="529"/>
        <v>103.58333333333333</v>
      </c>
      <c r="AO592" s="53">
        <f t="shared" ca="1" si="560"/>
        <v>63402</v>
      </c>
      <c r="AP592" s="22">
        <v>585</v>
      </c>
      <c r="AQ592" s="32">
        <f t="shared" ca="1" si="561"/>
        <v>69419.250759088041</v>
      </c>
      <c r="AR592" s="23">
        <f t="array" aca="1" ref="AR592" ca="1">SUM(IF(lsc_start_date=AO592,lsc_amount,0))</f>
        <v>0</v>
      </c>
      <c r="AS592" s="24">
        <f t="shared" ca="1" si="535"/>
        <v>0</v>
      </c>
      <c r="AT592" s="24">
        <f t="shared" ca="1" si="536"/>
        <v>0</v>
      </c>
      <c r="AU592" s="24">
        <f t="shared" ca="1" si="537"/>
        <v>0</v>
      </c>
      <c r="AV592" s="25">
        <f t="shared" ca="1" si="538"/>
        <v>0</v>
      </c>
      <c r="AW592" s="23">
        <f t="array" aca="1" ref="AW592" ca="1">SUM(IF(rcs_start_date&lt;=AO592,1,0)*IF(rcs_end_date&gt;=AO592,1,0)*rcs_amount*(1+rcs_escalation/100)^(INT((AP592-rcs_months_since_start)/12))*IF(MOD((AP592-rcs_months_since_start),rcs_frequency)=0,1,0)*IF(rcs_frequency=13,0,1))+SUM(IF(rcs_start_date=AO592,rcs_amount,0)*IF(rcs_frequency=13,1,0))</f>
        <v>0</v>
      </c>
      <c r="AX592" s="24">
        <f t="shared" ca="1" si="539"/>
        <v>0</v>
      </c>
      <c r="AY592" s="24">
        <f t="shared" ca="1" si="540"/>
        <v>0</v>
      </c>
      <c r="AZ592" s="24">
        <f t="shared" ca="1" si="541"/>
        <v>0</v>
      </c>
      <c r="BA592" s="25">
        <f t="shared" ca="1" si="542"/>
        <v>0</v>
      </c>
      <c r="BB592" s="23">
        <f t="array" aca="1" ref="BB592" ca="1">SUM(IF(w_start_date&lt;=AO592,1,0)*IF(w_end_date&gt;=AO592,1,0)*w_amount*(1+w_escalation/100)^(INT((AP592-w_months_since_start)/12))*IF(MOD(AP592-w_months_since_start,w_frequency)=0,1,0)*IF(w_frequency=13,0,1))+SUM(IF(w_start_date=AO592,w_amount,0)*IF(w_frequency=13,1,0))</f>
        <v>0</v>
      </c>
      <c r="BC592" s="25">
        <f t="shared" ca="1" si="543"/>
        <v>0</v>
      </c>
      <c r="BD592" s="24" t="b">
        <f t="shared" ca="1" si="544"/>
        <v>1</v>
      </c>
      <c r="BE592" s="24" t="b">
        <f t="shared" ca="1" si="545"/>
        <v>1</v>
      </c>
      <c r="BF592" s="23">
        <f t="array" aca="1" ref="BF592" ca="1">SUM(IF(BD592,1,0)*IF(ap_start_date&lt;=AO592,1,0)*IF(ap_end_date&gt;=AO592,1,0)*ap_amount*(1+ap_escalation/100)^(INT((AP592-ap_months_since_start)/12))*IF(MOD(AP592-ap_months_since_start,ap_frequency)=0,1,0))</f>
        <v>149383.14496488735</v>
      </c>
      <c r="BG592" s="24">
        <f t="shared" ca="1" si="546"/>
        <v>1792597.7395786478</v>
      </c>
      <c r="BH592" s="24">
        <f t="shared" ca="1" si="547"/>
        <v>1864.7136201548096</v>
      </c>
      <c r="BI592">
        <f t="shared" ca="1" si="548"/>
        <v>0</v>
      </c>
      <c r="BJ592" s="24">
        <f t="shared" ca="1" si="549"/>
        <v>13052.995341083666</v>
      </c>
      <c r="BK592">
        <f t="shared" ca="1" si="550"/>
        <v>1</v>
      </c>
      <c r="BL592" s="25">
        <f t="shared" ca="1" si="551"/>
        <v>1087.7496117569724</v>
      </c>
      <c r="BM592" s="32">
        <f t="shared" ca="1" si="530"/>
        <v>68823.98836877686</v>
      </c>
      <c r="BN592" s="23">
        <f t="shared" ca="1" si="552"/>
        <v>0</v>
      </c>
      <c r="BO592" s="24">
        <f t="shared" ca="1" si="553"/>
        <v>0</v>
      </c>
      <c r="BP592" s="25">
        <f t="shared" ca="1" si="554"/>
        <v>0</v>
      </c>
      <c r="BQ592" s="34">
        <f t="shared" ca="1" si="555"/>
        <v>63432</v>
      </c>
      <c r="BR592" s="23">
        <f t="shared" ca="1" si="556"/>
        <v>68823.98836877686</v>
      </c>
      <c r="BS592" s="24">
        <f t="shared" ca="1" si="557"/>
        <v>0</v>
      </c>
      <c r="BT592" s="24">
        <f t="shared" ca="1" si="522"/>
        <v>0</v>
      </c>
      <c r="BU592" s="24">
        <f t="shared" ca="1" si="558"/>
        <v>0</v>
      </c>
      <c r="BV592" s="24">
        <f t="shared" ca="1" si="523"/>
        <v>0</v>
      </c>
      <c r="BW592" s="24">
        <f t="shared" ca="1" si="559"/>
        <v>-1087.7496117569724</v>
      </c>
      <c r="BX592" s="25">
        <f t="shared" ca="1" si="524"/>
        <v>-13277.170368982259</v>
      </c>
      <c r="BY592" s="23">
        <f t="shared" ca="1" si="531"/>
        <v>10171.020875526847</v>
      </c>
      <c r="BZ592" s="24">
        <f t="shared" ca="1" si="532"/>
        <v>0</v>
      </c>
      <c r="CA592" s="24">
        <f t="shared" ca="1" si="525"/>
        <v>0</v>
      </c>
      <c r="CB592" s="24">
        <f t="shared" ca="1" si="533"/>
        <v>0</v>
      </c>
      <c r="CC592" s="24">
        <f t="shared" ca="1" si="526"/>
        <v>0</v>
      </c>
      <c r="CD592" s="24">
        <f t="shared" ca="1" si="534"/>
        <v>-161.27724315727099</v>
      </c>
      <c r="CE592" s="25">
        <f t="shared" ca="1" si="527"/>
        <v>-2004.9548919424919</v>
      </c>
      <c r="CF592" s="23">
        <f t="shared" ca="1" si="528"/>
        <v>1781106.7284275026</v>
      </c>
      <c r="CG592" s="25">
        <f t="array" aca="1" ref="CG592" ca="1">SUM(BF581:BF592/(1+inflation/100)^(AP581:AP592/12))</f>
        <v>267980.53702225385</v>
      </c>
      <c r="CH592" s="32">
        <f ca="1">IFERROR(IF(MOD(AP592-ap_months_since_start,12)=0,ap_drawdown/100*(AQ592+AV592+BA592-BC592),CH591),0)</f>
        <v>11463.820883915358</v>
      </c>
    </row>
    <row r="593" spans="40:86" x14ac:dyDescent="0.25">
      <c r="AN593" s="32">
        <f t="shared" ca="1" si="529"/>
        <v>103.66666666666667</v>
      </c>
      <c r="AO593" s="53">
        <f t="shared" ca="1" si="560"/>
        <v>63433</v>
      </c>
      <c r="AP593" s="22">
        <v>586</v>
      </c>
      <c r="AQ593" s="32">
        <f t="shared" ca="1" si="561"/>
        <v>68823.98836877686</v>
      </c>
      <c r="AR593" s="23">
        <f t="array" aca="1" ref="AR593" ca="1">SUM(IF(lsc_start_date=AO593,lsc_amount,0))</f>
        <v>0</v>
      </c>
      <c r="AS593" s="24">
        <f t="shared" ca="1" si="535"/>
        <v>0</v>
      </c>
      <c r="AT593" s="24">
        <f t="shared" ca="1" si="536"/>
        <v>0</v>
      </c>
      <c r="AU593" s="24">
        <f t="shared" ca="1" si="537"/>
        <v>0</v>
      </c>
      <c r="AV593" s="25">
        <f t="shared" ca="1" si="538"/>
        <v>0</v>
      </c>
      <c r="AW593" s="23">
        <f t="array" aca="1" ref="AW593" ca="1">SUM(IF(rcs_start_date&lt;=AO593,1,0)*IF(rcs_end_date&gt;=AO593,1,0)*rcs_amount*(1+rcs_escalation/100)^(INT((AP593-rcs_months_since_start)/12))*IF(MOD((AP593-rcs_months_since_start),rcs_frequency)=0,1,0)*IF(rcs_frequency=13,0,1))+SUM(IF(rcs_start_date=AO593,rcs_amount,0)*IF(rcs_frequency=13,1,0))</f>
        <v>0</v>
      </c>
      <c r="AX593" s="24">
        <f t="shared" ca="1" si="539"/>
        <v>0</v>
      </c>
      <c r="AY593" s="24">
        <f t="shared" ca="1" si="540"/>
        <v>0</v>
      </c>
      <c r="AZ593" s="24">
        <f t="shared" ca="1" si="541"/>
        <v>0</v>
      </c>
      <c r="BA593" s="25">
        <f t="shared" ca="1" si="542"/>
        <v>0</v>
      </c>
      <c r="BB593" s="23">
        <f t="array" aca="1" ref="BB593" ca="1">SUM(IF(w_start_date&lt;=AO593,1,0)*IF(w_end_date&gt;=AO593,1,0)*w_amount*(1+w_escalation/100)^(INT((AP593-w_months_since_start)/12))*IF(MOD(AP593-w_months_since_start,w_frequency)=0,1,0)*IF(w_frequency=13,0,1))+SUM(IF(w_start_date=AO593,w_amount,0)*IF(w_frequency=13,1,0))</f>
        <v>0</v>
      </c>
      <c r="BC593" s="25">
        <f t="shared" ca="1" si="543"/>
        <v>0</v>
      </c>
      <c r="BD593" s="24" t="b">
        <f t="shared" ca="1" si="544"/>
        <v>1</v>
      </c>
      <c r="BE593" s="24" t="b">
        <f t="shared" ca="1" si="545"/>
        <v>1</v>
      </c>
      <c r="BF593" s="23">
        <f t="array" aca="1" ref="BF593" ca="1">SUM(IF(BD593,1,0)*IF(ap_start_date&lt;=AO593,1,0)*IF(ap_end_date&gt;=AO593,1,0)*ap_amount*(1+ap_escalation/100)^(INT((AP593-ap_months_since_start)/12))*IF(MOD(AP593-ap_months_since_start,ap_frequency)=0,1,0))</f>
        <v>149383.14496488735</v>
      </c>
      <c r="BG593" s="24">
        <f t="shared" ca="1" si="546"/>
        <v>1792597.7395786478</v>
      </c>
      <c r="BH593" s="24">
        <f t="shared" ca="1" si="547"/>
        <v>1864.7136201548096</v>
      </c>
      <c r="BI593">
        <f t="shared" ca="1" si="548"/>
        <v>0</v>
      </c>
      <c r="BJ593" s="24">
        <f t="shared" ca="1" si="549"/>
        <v>13052.995341083666</v>
      </c>
      <c r="BK593">
        <f t="shared" ca="1" si="550"/>
        <v>1</v>
      </c>
      <c r="BL593" s="25">
        <f t="shared" ca="1" si="551"/>
        <v>1087.7496117569724</v>
      </c>
      <c r="BM593" s="32">
        <f t="shared" ca="1" si="530"/>
        <v>68224.435729960765</v>
      </c>
      <c r="BN593" s="23">
        <f t="shared" ca="1" si="552"/>
        <v>0</v>
      </c>
      <c r="BO593" s="24">
        <f t="shared" ca="1" si="553"/>
        <v>0</v>
      </c>
      <c r="BP593" s="25">
        <f t="shared" ca="1" si="554"/>
        <v>0</v>
      </c>
      <c r="BQ593" s="34">
        <f t="shared" ca="1" si="555"/>
        <v>63462</v>
      </c>
      <c r="BR593" s="23">
        <f t="shared" ca="1" si="556"/>
        <v>68224.435729960765</v>
      </c>
      <c r="BS593" s="24">
        <f t="shared" ca="1" si="557"/>
        <v>0</v>
      </c>
      <c r="BT593" s="24">
        <f t="shared" ca="1" si="522"/>
        <v>0</v>
      </c>
      <c r="BU593" s="24">
        <f t="shared" ca="1" si="558"/>
        <v>0</v>
      </c>
      <c r="BV593" s="24">
        <f t="shared" ca="1" si="523"/>
        <v>0</v>
      </c>
      <c r="BW593" s="24">
        <f t="shared" ca="1" si="559"/>
        <v>-1087.7496117569724</v>
      </c>
      <c r="BX593" s="25">
        <f t="shared" ca="1" si="524"/>
        <v>-13165.082855032962</v>
      </c>
      <c r="BY593" s="23">
        <f t="shared" ca="1" si="531"/>
        <v>10049.517635167907</v>
      </c>
      <c r="BZ593" s="24">
        <f t="shared" ca="1" si="532"/>
        <v>0</v>
      </c>
      <c r="CA593" s="24">
        <f t="shared" ca="1" si="525"/>
        <v>0</v>
      </c>
      <c r="CB593" s="24">
        <f t="shared" ca="1" si="533"/>
        <v>0</v>
      </c>
      <c r="CC593" s="24">
        <f t="shared" ca="1" si="526"/>
        <v>0</v>
      </c>
      <c r="CD593" s="24">
        <f t="shared" ca="1" si="534"/>
        <v>-160.75098625852871</v>
      </c>
      <c r="CE593" s="25">
        <f t="shared" ca="1" si="527"/>
        <v>-1981.2976291048376</v>
      </c>
      <c r="CF593" s="23">
        <f t="shared" ca="1" si="528"/>
        <v>1786852.2340030752</v>
      </c>
      <c r="CG593" s="25">
        <f t="array" aca="1" ref="CG593" ca="1">SUM(BF582:BF593/(1+inflation/100)^(AP582:AP593/12))</f>
        <v>267980.53702225379</v>
      </c>
      <c r="CH593" s="32">
        <f ca="1">IFERROR(IF(MOD(AP593-ap_months_since_start,12)=0,ap_drawdown/100*(AQ593+AV593+BA593-BC593),CH592),0)</f>
        <v>11463.820883915358</v>
      </c>
    </row>
    <row r="594" spans="40:86" x14ac:dyDescent="0.25">
      <c r="AN594" s="32">
        <f t="shared" ca="1" si="529"/>
        <v>103.75</v>
      </c>
      <c r="AO594" s="53">
        <f t="shared" ca="1" si="560"/>
        <v>63463</v>
      </c>
      <c r="AP594" s="22">
        <v>587</v>
      </c>
      <c r="AQ594" s="32">
        <f t="shared" ca="1" si="561"/>
        <v>68224.435729960765</v>
      </c>
      <c r="AR594" s="23">
        <f t="array" aca="1" ref="AR594" ca="1">SUM(IF(lsc_start_date=AO594,lsc_amount,0))</f>
        <v>0</v>
      </c>
      <c r="AS594" s="24">
        <f t="shared" ca="1" si="535"/>
        <v>0</v>
      </c>
      <c r="AT594" s="24">
        <f t="shared" ca="1" si="536"/>
        <v>0</v>
      </c>
      <c r="AU594" s="24">
        <f t="shared" ca="1" si="537"/>
        <v>0</v>
      </c>
      <c r="AV594" s="25">
        <f t="shared" ca="1" si="538"/>
        <v>0</v>
      </c>
      <c r="AW594" s="23">
        <f t="array" aca="1" ref="AW594" ca="1">SUM(IF(rcs_start_date&lt;=AO594,1,0)*IF(rcs_end_date&gt;=AO594,1,0)*rcs_amount*(1+rcs_escalation/100)^(INT((AP594-rcs_months_since_start)/12))*IF(MOD((AP594-rcs_months_since_start),rcs_frequency)=0,1,0)*IF(rcs_frequency=13,0,1))+SUM(IF(rcs_start_date=AO594,rcs_amount,0)*IF(rcs_frequency=13,1,0))</f>
        <v>0</v>
      </c>
      <c r="AX594" s="24">
        <f t="shared" ca="1" si="539"/>
        <v>0</v>
      </c>
      <c r="AY594" s="24">
        <f t="shared" ca="1" si="540"/>
        <v>0</v>
      </c>
      <c r="AZ594" s="24">
        <f t="shared" ca="1" si="541"/>
        <v>0</v>
      </c>
      <c r="BA594" s="25">
        <f t="shared" ca="1" si="542"/>
        <v>0</v>
      </c>
      <c r="BB594" s="23">
        <f t="array" aca="1" ref="BB594" ca="1">SUM(IF(w_start_date&lt;=AO594,1,0)*IF(w_end_date&gt;=AO594,1,0)*w_amount*(1+w_escalation/100)^(INT((AP594-w_months_since_start)/12))*IF(MOD(AP594-w_months_since_start,w_frequency)=0,1,0)*IF(w_frequency=13,0,1))+SUM(IF(w_start_date=AO594,w_amount,0)*IF(w_frequency=13,1,0))</f>
        <v>0</v>
      </c>
      <c r="BC594" s="25">
        <f t="shared" ca="1" si="543"/>
        <v>0</v>
      </c>
      <c r="BD594" s="24" t="b">
        <f t="shared" ca="1" si="544"/>
        <v>1</v>
      </c>
      <c r="BE594" s="24" t="b">
        <f t="shared" ca="1" si="545"/>
        <v>1</v>
      </c>
      <c r="BF594" s="23">
        <f t="array" aca="1" ref="BF594" ca="1">SUM(IF(BD594,1,0)*IF(ap_start_date&lt;=AO594,1,0)*IF(ap_end_date&gt;=AO594,1,0)*ap_amount*(1+ap_escalation/100)^(INT((AP594-ap_months_since_start)/12))*IF(MOD(AP594-ap_months_since_start,ap_frequency)=0,1,0))</f>
        <v>149383.14496488735</v>
      </c>
      <c r="BG594" s="24">
        <f t="shared" ca="1" si="546"/>
        <v>1792597.7395786478</v>
      </c>
      <c r="BH594" s="24">
        <f t="shared" ca="1" si="547"/>
        <v>1864.7136201548096</v>
      </c>
      <c r="BI594">
        <f t="shared" ca="1" si="548"/>
        <v>0</v>
      </c>
      <c r="BJ594" s="24">
        <f t="shared" ca="1" si="549"/>
        <v>13052.995341083666</v>
      </c>
      <c r="BK594">
        <f t="shared" ca="1" si="550"/>
        <v>1</v>
      </c>
      <c r="BL594" s="25">
        <f t="shared" ca="1" si="551"/>
        <v>1087.7496117569724</v>
      </c>
      <c r="BM594" s="32">
        <f t="shared" ca="1" si="530"/>
        <v>67620.561921431683</v>
      </c>
      <c r="BN594" s="23">
        <f t="shared" ca="1" si="552"/>
        <v>0</v>
      </c>
      <c r="BO594" s="24">
        <f t="shared" ca="1" si="553"/>
        <v>0</v>
      </c>
      <c r="BP594" s="25">
        <f t="shared" ca="1" si="554"/>
        <v>0</v>
      </c>
      <c r="BQ594" s="34">
        <f t="shared" ca="1" si="555"/>
        <v>63493</v>
      </c>
      <c r="BR594" s="23">
        <f t="shared" ca="1" si="556"/>
        <v>67620.561921431683</v>
      </c>
      <c r="BS594" s="24">
        <f t="shared" ca="1" si="557"/>
        <v>0</v>
      </c>
      <c r="BT594" s="24">
        <f t="shared" ca="1" si="522"/>
        <v>0</v>
      </c>
      <c r="BU594" s="24">
        <f t="shared" ca="1" si="558"/>
        <v>0</v>
      </c>
      <c r="BV594" s="24">
        <f t="shared" ca="1" si="523"/>
        <v>0</v>
      </c>
      <c r="BW594" s="24">
        <f t="shared" ca="1" si="559"/>
        <v>-1087.7496117569724</v>
      </c>
      <c r="BX594" s="25">
        <f t="shared" ca="1" si="524"/>
        <v>-13052.995341083666</v>
      </c>
      <c r="BY594" s="23">
        <f t="shared" ca="1" si="531"/>
        <v>9928.0646074995275</v>
      </c>
      <c r="BZ594" s="24">
        <f t="shared" ca="1" si="532"/>
        <v>0</v>
      </c>
      <c r="CA594" s="24">
        <f t="shared" ca="1" si="525"/>
        <v>0</v>
      </c>
      <c r="CB594" s="24">
        <f t="shared" ca="1" si="533"/>
        <v>0</v>
      </c>
      <c r="CC594" s="24">
        <f t="shared" ca="1" si="526"/>
        <v>0</v>
      </c>
      <c r="CD594" s="24">
        <f t="shared" ca="1" si="534"/>
        <v>-160.22644656624448</v>
      </c>
      <c r="CE594" s="25">
        <f t="shared" ca="1" si="527"/>
        <v>-1957.7175612733104</v>
      </c>
      <c r="CF594" s="23">
        <f t="shared" ca="1" si="528"/>
        <v>1792597.7395786478</v>
      </c>
      <c r="CG594" s="25">
        <f t="array" aca="1" ref="CG594" ca="1">SUM(BF583:BF594/(1+inflation/100)^(AP583:AP594/12))</f>
        <v>267980.53702225385</v>
      </c>
      <c r="CH594" s="32">
        <f ca="1">IFERROR(IF(MOD(AP594-ap_months_since_start,12)=0,ap_drawdown/100*(AQ594+AV594+BA594-BC594),CH593),0)</f>
        <v>11463.820883915358</v>
      </c>
    </row>
    <row r="595" spans="40:86" x14ac:dyDescent="0.25">
      <c r="AN595" s="32">
        <f t="shared" ca="1" si="529"/>
        <v>103.83333333333333</v>
      </c>
      <c r="AO595" s="53">
        <f t="shared" ca="1" si="560"/>
        <v>63494</v>
      </c>
      <c r="AP595" s="22">
        <v>588</v>
      </c>
      <c r="AQ595" s="32">
        <f t="shared" ca="1" si="561"/>
        <v>67620.561921431683</v>
      </c>
      <c r="AR595" s="23">
        <f t="array" aca="1" ref="AR595" ca="1">SUM(IF(lsc_start_date=AO595,lsc_amount,0))</f>
        <v>0</v>
      </c>
      <c r="AS595" s="24">
        <f t="shared" ca="1" si="535"/>
        <v>0</v>
      </c>
      <c r="AT595" s="24">
        <f t="shared" ca="1" si="536"/>
        <v>0</v>
      </c>
      <c r="AU595" s="24">
        <f t="shared" ca="1" si="537"/>
        <v>0</v>
      </c>
      <c r="AV595" s="25">
        <f t="shared" ca="1" si="538"/>
        <v>0</v>
      </c>
      <c r="AW595" s="23">
        <f t="array" aca="1" ref="AW595" ca="1">SUM(IF(rcs_start_date&lt;=AO595,1,0)*IF(rcs_end_date&gt;=AO595,1,0)*rcs_amount*(1+rcs_escalation/100)^(INT((AP595-rcs_months_since_start)/12))*IF(MOD((AP595-rcs_months_since_start),rcs_frequency)=0,1,0)*IF(rcs_frequency=13,0,1))+SUM(IF(rcs_start_date=AO595,rcs_amount,0)*IF(rcs_frequency=13,1,0))</f>
        <v>0</v>
      </c>
      <c r="AX595" s="24">
        <f t="shared" ca="1" si="539"/>
        <v>0</v>
      </c>
      <c r="AY595" s="24">
        <f t="shared" ca="1" si="540"/>
        <v>0</v>
      </c>
      <c r="AZ595" s="24">
        <f t="shared" ca="1" si="541"/>
        <v>0</v>
      </c>
      <c r="BA595" s="25">
        <f t="shared" ca="1" si="542"/>
        <v>0</v>
      </c>
      <c r="BB595" s="23">
        <f t="array" aca="1" ref="BB595" ca="1">SUM(IF(w_start_date&lt;=AO595,1,0)*IF(w_end_date&gt;=AO595,1,0)*w_amount*(1+w_escalation/100)^(INT((AP595-w_months_since_start)/12))*IF(MOD(AP595-w_months_since_start,w_frequency)=0,1,0)*IF(w_frequency=13,0,1))+SUM(IF(w_start_date=AO595,w_amount,0)*IF(w_frequency=13,1,0))</f>
        <v>0</v>
      </c>
      <c r="BC595" s="25">
        <f t="shared" ca="1" si="543"/>
        <v>0</v>
      </c>
      <c r="BD595" s="24" t="b">
        <f t="shared" ca="1" si="544"/>
        <v>1</v>
      </c>
      <c r="BE595" s="24" t="b">
        <f t="shared" ca="1" si="545"/>
        <v>1</v>
      </c>
      <c r="BF595" s="23">
        <f t="array" aca="1" ref="BF595" ca="1">SUM(IF(BD595,1,0)*IF(ap_start_date&lt;=AO595,1,0)*IF(ap_end_date&gt;=AO595,1,0)*ap_amount*(1+ap_escalation/100)^(INT((AP595-ap_months_since_start)/12))*IF(MOD(AP595-ap_months_since_start,ap_frequency)=0,1,0))</f>
        <v>155358.47076348282</v>
      </c>
      <c r="BG595" s="24">
        <f t="shared" ca="1" si="546"/>
        <v>1864301.649161794</v>
      </c>
      <c r="BH595" s="24">
        <f t="shared" ca="1" si="547"/>
        <v>1690.5140480357923</v>
      </c>
      <c r="BI595">
        <f t="shared" ca="1" si="548"/>
        <v>0</v>
      </c>
      <c r="BJ595" s="24">
        <f t="shared" ca="1" si="549"/>
        <v>11833.598336250543</v>
      </c>
      <c r="BK595">
        <f t="shared" ca="1" si="550"/>
        <v>1</v>
      </c>
      <c r="BL595" s="25">
        <f t="shared" ca="1" si="551"/>
        <v>986.13319468754526</v>
      </c>
      <c r="BM595" s="32">
        <f t="shared" ca="1" si="530"/>
        <v>67114.68459856385</v>
      </c>
      <c r="BN595" s="23">
        <f t="shared" ca="1" si="552"/>
        <v>0</v>
      </c>
      <c r="BO595" s="24">
        <f t="shared" ca="1" si="553"/>
        <v>0</v>
      </c>
      <c r="BP595" s="25">
        <f t="shared" ca="1" si="554"/>
        <v>0</v>
      </c>
      <c r="BQ595" s="34">
        <f t="shared" ca="1" si="555"/>
        <v>63523</v>
      </c>
      <c r="BR595" s="23">
        <f t="shared" ca="1" si="556"/>
        <v>67114.68459856385</v>
      </c>
      <c r="BS595" s="24">
        <f t="shared" ca="1" si="557"/>
        <v>0</v>
      </c>
      <c r="BT595" s="24">
        <f t="shared" ca="1" si="522"/>
        <v>0</v>
      </c>
      <c r="BU595" s="24">
        <f t="shared" ca="1" si="558"/>
        <v>0</v>
      </c>
      <c r="BV595" s="24">
        <f t="shared" ca="1" si="523"/>
        <v>0</v>
      </c>
      <c r="BW595" s="24">
        <f t="shared" ca="1" si="559"/>
        <v>-986.13319468754526</v>
      </c>
      <c r="BX595" s="25">
        <f t="shared" ca="1" si="524"/>
        <v>-12951.37892401424</v>
      </c>
      <c r="BY595" s="23">
        <f t="shared" ca="1" si="531"/>
        <v>9821.6381090145787</v>
      </c>
      <c r="BZ595" s="24">
        <f t="shared" ca="1" si="532"/>
        <v>0</v>
      </c>
      <c r="CA595" s="24">
        <f t="shared" ca="1" si="525"/>
        <v>0</v>
      </c>
      <c r="CB595" s="24">
        <f t="shared" ca="1" si="533"/>
        <v>0</v>
      </c>
      <c r="CC595" s="24">
        <f t="shared" ca="1" si="526"/>
        <v>0</v>
      </c>
      <c r="CD595" s="24">
        <f t="shared" ca="1" si="534"/>
        <v>-144.78427552603475</v>
      </c>
      <c r="CE595" s="25">
        <f t="shared" ca="1" si="527"/>
        <v>-1936.4100735831871</v>
      </c>
      <c r="CF595" s="23">
        <f t="shared" ca="1" si="528"/>
        <v>1798573.0653772433</v>
      </c>
      <c r="CG595" s="25">
        <f t="array" aca="1" ref="CG595" ca="1">SUM(BF584:BF595/(1+inflation/100)^(AP584:AP595/12))</f>
        <v>267980.53702225379</v>
      </c>
      <c r="CH595" s="32">
        <f ca="1">IFERROR(IF(MOD(AP595-ap_months_since_start,12)=0,ap_drawdown/100*(AQ595+AV595+BA595-BC595),CH594),0)</f>
        <v>10392.882874323665</v>
      </c>
    </row>
    <row r="596" spans="40:86" x14ac:dyDescent="0.25">
      <c r="AN596" s="32">
        <f t="shared" ca="1" si="529"/>
        <v>103.91666666666667</v>
      </c>
      <c r="AO596" s="53">
        <f t="shared" ca="1" si="560"/>
        <v>63524</v>
      </c>
      <c r="AP596" s="22">
        <v>589</v>
      </c>
      <c r="AQ596" s="32">
        <f t="shared" ca="1" si="561"/>
        <v>67114.68459856385</v>
      </c>
      <c r="AR596" s="23">
        <f t="array" aca="1" ref="AR596" ca="1">SUM(IF(lsc_start_date=AO596,lsc_amount,0))</f>
        <v>0</v>
      </c>
      <c r="AS596" s="24">
        <f t="shared" ca="1" si="535"/>
        <v>0</v>
      </c>
      <c r="AT596" s="24">
        <f t="shared" ca="1" si="536"/>
        <v>0</v>
      </c>
      <c r="AU596" s="24">
        <f t="shared" ca="1" si="537"/>
        <v>0</v>
      </c>
      <c r="AV596" s="25">
        <f t="shared" ca="1" si="538"/>
        <v>0</v>
      </c>
      <c r="AW596" s="23">
        <f t="array" aca="1" ref="AW596" ca="1">SUM(IF(rcs_start_date&lt;=AO596,1,0)*IF(rcs_end_date&gt;=AO596,1,0)*rcs_amount*(1+rcs_escalation/100)^(INT((AP596-rcs_months_since_start)/12))*IF(MOD((AP596-rcs_months_since_start),rcs_frequency)=0,1,0)*IF(rcs_frequency=13,0,1))+SUM(IF(rcs_start_date=AO596,rcs_amount,0)*IF(rcs_frequency=13,1,0))</f>
        <v>0</v>
      </c>
      <c r="AX596" s="24">
        <f t="shared" ca="1" si="539"/>
        <v>0</v>
      </c>
      <c r="AY596" s="24">
        <f t="shared" ca="1" si="540"/>
        <v>0</v>
      </c>
      <c r="AZ596" s="24">
        <f t="shared" ca="1" si="541"/>
        <v>0</v>
      </c>
      <c r="BA596" s="25">
        <f t="shared" ca="1" si="542"/>
        <v>0</v>
      </c>
      <c r="BB596" s="23">
        <f t="array" aca="1" ref="BB596" ca="1">SUM(IF(w_start_date&lt;=AO596,1,0)*IF(w_end_date&gt;=AO596,1,0)*w_amount*(1+w_escalation/100)^(INT((AP596-w_months_since_start)/12))*IF(MOD(AP596-w_months_since_start,w_frequency)=0,1,0)*IF(w_frequency=13,0,1))+SUM(IF(w_start_date=AO596,w_amount,0)*IF(w_frequency=13,1,0))</f>
        <v>0</v>
      </c>
      <c r="BC596" s="25">
        <f t="shared" ca="1" si="543"/>
        <v>0</v>
      </c>
      <c r="BD596" s="24" t="b">
        <f t="shared" ca="1" si="544"/>
        <v>1</v>
      </c>
      <c r="BE596" s="24" t="b">
        <f t="shared" ca="1" si="545"/>
        <v>1</v>
      </c>
      <c r="BF596" s="23">
        <f t="array" aca="1" ref="BF596" ca="1">SUM(IF(BD596,1,0)*IF(ap_start_date&lt;=AO596,1,0)*IF(ap_end_date&gt;=AO596,1,0)*ap_amount*(1+ap_escalation/100)^(INT((AP596-ap_months_since_start)/12))*IF(MOD(AP596-ap_months_since_start,ap_frequency)=0,1,0))</f>
        <v>155358.47076348282</v>
      </c>
      <c r="BG596" s="24">
        <f t="shared" ca="1" si="546"/>
        <v>1864301.649161794</v>
      </c>
      <c r="BH596" s="24">
        <f t="shared" ca="1" si="547"/>
        <v>1690.5140480357923</v>
      </c>
      <c r="BI596">
        <f t="shared" ca="1" si="548"/>
        <v>0</v>
      </c>
      <c r="BJ596" s="24">
        <f t="shared" ca="1" si="549"/>
        <v>11833.598336250543</v>
      </c>
      <c r="BK596">
        <f t="shared" ca="1" si="550"/>
        <v>1</v>
      </c>
      <c r="BL596" s="25">
        <f t="shared" ca="1" si="551"/>
        <v>986.13319468754526</v>
      </c>
      <c r="BM596" s="32">
        <f t="shared" ca="1" si="530"/>
        <v>66605.161254271807</v>
      </c>
      <c r="BN596" s="23">
        <f t="shared" ca="1" si="552"/>
        <v>0</v>
      </c>
      <c r="BO596" s="24">
        <f t="shared" ca="1" si="553"/>
        <v>0</v>
      </c>
      <c r="BP596" s="25">
        <f t="shared" ca="1" si="554"/>
        <v>0</v>
      </c>
      <c r="BQ596" s="34">
        <f t="shared" ca="1" si="555"/>
        <v>63554</v>
      </c>
      <c r="BR596" s="23">
        <f t="shared" ca="1" si="556"/>
        <v>66605.161254271807</v>
      </c>
      <c r="BS596" s="24">
        <f t="shared" ca="1" si="557"/>
        <v>0</v>
      </c>
      <c r="BT596" s="24">
        <f t="shared" ref="BT596:BT659" ca="1" si="562">SUM(BS585:BS596)</f>
        <v>0</v>
      </c>
      <c r="BU596" s="24">
        <f t="shared" ca="1" si="558"/>
        <v>0</v>
      </c>
      <c r="BV596" s="24">
        <f t="shared" ref="BV596:BV659" ca="1" si="563">SUM(BU585:BU596)</f>
        <v>0</v>
      </c>
      <c r="BW596" s="24">
        <f t="shared" ca="1" si="559"/>
        <v>-986.13319468754526</v>
      </c>
      <c r="BX596" s="25">
        <f t="shared" ref="BX596:BX659" ca="1" si="564">SUM(BW585:BW596)</f>
        <v>-12849.762506944813</v>
      </c>
      <c r="BY596" s="23">
        <f t="shared" ca="1" si="531"/>
        <v>9715.2686307606928</v>
      </c>
      <c r="BZ596" s="24">
        <f t="shared" ca="1" si="532"/>
        <v>0</v>
      </c>
      <c r="CA596" s="24">
        <f t="shared" ref="CA596:CA659" ca="1" si="565">SUM(BZ585:BZ596)</f>
        <v>0</v>
      </c>
      <c r="CB596" s="24">
        <f t="shared" ca="1" si="533"/>
        <v>0</v>
      </c>
      <c r="CC596" s="24">
        <f t="shared" ref="CC596:CC659" ca="1" si="566">SUM(CB585:CB596)</f>
        <v>0</v>
      </c>
      <c r="CD596" s="24">
        <f t="shared" ca="1" si="534"/>
        <v>-144.31183612706332</v>
      </c>
      <c r="CE596" s="25">
        <f t="shared" ref="CE596:CE659" ca="1" si="567">SUM(CD585:CD596)</f>
        <v>-1915.172113448051</v>
      </c>
      <c r="CF596" s="23">
        <f t="shared" ref="CF596:CF659" ca="1" si="568">SUM(BF585:BF596)</f>
        <v>1804548.3911758389</v>
      </c>
      <c r="CG596" s="25">
        <f t="array" aca="1" ref="CG596" ca="1">SUM(BF585:BF596/(1+inflation/100)^(AP585:AP596/12))</f>
        <v>267980.53702225379</v>
      </c>
      <c r="CH596" s="32">
        <f ca="1">IFERROR(IF(MOD(AP596-ap_months_since_start,12)=0,ap_drawdown/100*(AQ596+AV596+BA596-BC596),CH595),0)</f>
        <v>10392.882874323665</v>
      </c>
    </row>
    <row r="597" spans="40:86" x14ac:dyDescent="0.25">
      <c r="AN597" s="32">
        <f t="shared" ca="1" si="529"/>
        <v>104</v>
      </c>
      <c r="AO597" s="53">
        <f t="shared" ca="1" si="560"/>
        <v>63555</v>
      </c>
      <c r="AP597" s="22">
        <v>590</v>
      </c>
      <c r="AQ597" s="32">
        <f t="shared" ca="1" si="561"/>
        <v>66605.161254271807</v>
      </c>
      <c r="AR597" s="23">
        <f t="array" aca="1" ref="AR597" ca="1">SUM(IF(lsc_start_date=AO597,lsc_amount,0))</f>
        <v>0</v>
      </c>
      <c r="AS597" s="24">
        <f t="shared" ca="1" si="535"/>
        <v>0</v>
      </c>
      <c r="AT597" s="24">
        <f t="shared" ca="1" si="536"/>
        <v>0</v>
      </c>
      <c r="AU597" s="24">
        <f t="shared" ca="1" si="537"/>
        <v>0</v>
      </c>
      <c r="AV597" s="25">
        <f t="shared" ca="1" si="538"/>
        <v>0</v>
      </c>
      <c r="AW597" s="23">
        <f t="array" aca="1" ref="AW597" ca="1">SUM(IF(rcs_start_date&lt;=AO597,1,0)*IF(rcs_end_date&gt;=AO597,1,0)*rcs_amount*(1+rcs_escalation/100)^(INT((AP597-rcs_months_since_start)/12))*IF(MOD((AP597-rcs_months_since_start),rcs_frequency)=0,1,0)*IF(rcs_frequency=13,0,1))+SUM(IF(rcs_start_date=AO597,rcs_amount,0)*IF(rcs_frequency=13,1,0))</f>
        <v>0</v>
      </c>
      <c r="AX597" s="24">
        <f t="shared" ca="1" si="539"/>
        <v>0</v>
      </c>
      <c r="AY597" s="24">
        <f t="shared" ca="1" si="540"/>
        <v>0</v>
      </c>
      <c r="AZ597" s="24">
        <f t="shared" ca="1" si="541"/>
        <v>0</v>
      </c>
      <c r="BA597" s="25">
        <f t="shared" ca="1" si="542"/>
        <v>0</v>
      </c>
      <c r="BB597" s="23">
        <f t="array" aca="1" ref="BB597" ca="1">SUM(IF(w_start_date&lt;=AO597,1,0)*IF(w_end_date&gt;=AO597,1,0)*w_amount*(1+w_escalation/100)^(INT((AP597-w_months_since_start)/12))*IF(MOD(AP597-w_months_since_start,w_frequency)=0,1,0)*IF(w_frequency=13,0,1))+SUM(IF(w_start_date=AO597,w_amount,0)*IF(w_frequency=13,1,0))</f>
        <v>0</v>
      </c>
      <c r="BC597" s="25">
        <f t="shared" ca="1" si="543"/>
        <v>0</v>
      </c>
      <c r="BD597" s="24" t="b">
        <f t="shared" ca="1" si="544"/>
        <v>1</v>
      </c>
      <c r="BE597" s="24" t="b">
        <f t="shared" ca="1" si="545"/>
        <v>1</v>
      </c>
      <c r="BF597" s="23">
        <f t="array" aca="1" ref="BF597" ca="1">SUM(IF(BD597,1,0)*IF(ap_start_date&lt;=AO597,1,0)*IF(ap_end_date&gt;=AO597,1,0)*ap_amount*(1+ap_escalation/100)^(INT((AP597-ap_months_since_start)/12))*IF(MOD(AP597-ap_months_since_start,ap_frequency)=0,1,0))</f>
        <v>155358.47076348282</v>
      </c>
      <c r="BG597" s="24">
        <f t="shared" ca="1" si="546"/>
        <v>1864301.649161794</v>
      </c>
      <c r="BH597" s="24">
        <f t="shared" ca="1" si="547"/>
        <v>1690.5140480357923</v>
      </c>
      <c r="BI597">
        <f t="shared" ca="1" si="548"/>
        <v>0</v>
      </c>
      <c r="BJ597" s="24">
        <f t="shared" ca="1" si="549"/>
        <v>11833.598336250543</v>
      </c>
      <c r="BK597">
        <f t="shared" ca="1" si="550"/>
        <v>1</v>
      </c>
      <c r="BL597" s="25">
        <f t="shared" ca="1" si="551"/>
        <v>986.13319468754526</v>
      </c>
      <c r="BM597" s="32">
        <f t="shared" ca="1" si="530"/>
        <v>66091.965610500338</v>
      </c>
      <c r="BN597" s="23">
        <f t="shared" ca="1" si="552"/>
        <v>0</v>
      </c>
      <c r="BO597" s="24">
        <f t="shared" ca="1" si="553"/>
        <v>0</v>
      </c>
      <c r="BP597" s="25">
        <f t="shared" ca="1" si="554"/>
        <v>0</v>
      </c>
      <c r="BQ597" s="34">
        <f t="shared" ca="1" si="555"/>
        <v>63585</v>
      </c>
      <c r="BR597" s="23">
        <f t="shared" ca="1" si="556"/>
        <v>66091.965610500338</v>
      </c>
      <c r="BS597" s="24">
        <f t="shared" ca="1" si="557"/>
        <v>0</v>
      </c>
      <c r="BT597" s="24">
        <f t="shared" ca="1" si="562"/>
        <v>0</v>
      </c>
      <c r="BU597" s="24">
        <f t="shared" ca="1" si="558"/>
        <v>0</v>
      </c>
      <c r="BV597" s="24">
        <f t="shared" ca="1" si="563"/>
        <v>0</v>
      </c>
      <c r="BW597" s="24">
        <f t="shared" ca="1" si="559"/>
        <v>-986.13319468754526</v>
      </c>
      <c r="BX597" s="25">
        <f t="shared" ca="1" si="564"/>
        <v>-12748.146089875387</v>
      </c>
      <c r="BY597" s="23">
        <f t="shared" ca="1" si="531"/>
        <v>9608.9548486587373</v>
      </c>
      <c r="BZ597" s="24">
        <f t="shared" ca="1" si="532"/>
        <v>0</v>
      </c>
      <c r="CA597" s="24">
        <f t="shared" ca="1" si="565"/>
        <v>0</v>
      </c>
      <c r="CB597" s="24">
        <f t="shared" ca="1" si="533"/>
        <v>0</v>
      </c>
      <c r="CC597" s="24">
        <f t="shared" ca="1" si="566"/>
        <v>0</v>
      </c>
      <c r="CD597" s="24">
        <f t="shared" ca="1" si="534"/>
        <v>-143.84093832496015</v>
      </c>
      <c r="CE597" s="25">
        <f t="shared" ca="1" si="567"/>
        <v>-1894.0034539955006</v>
      </c>
      <c r="CF597" s="23">
        <f t="shared" ca="1" si="568"/>
        <v>1810523.7169744344</v>
      </c>
      <c r="CG597" s="25">
        <f t="array" aca="1" ref="CG597" ca="1">SUM(BF586:BF597/(1+inflation/100)^(AP586:AP597/12))</f>
        <v>267980.53702225379</v>
      </c>
      <c r="CH597" s="32">
        <f ca="1">IFERROR(IF(MOD(AP597-ap_months_since_start,12)=0,ap_drawdown/100*(AQ597+AV597+BA597-BC597),CH596),0)</f>
        <v>10392.882874323665</v>
      </c>
    </row>
    <row r="598" spans="40:86" x14ac:dyDescent="0.25">
      <c r="AN598" s="32">
        <f t="shared" ca="1" si="529"/>
        <v>104.08333333333333</v>
      </c>
      <c r="AO598" s="53">
        <f t="shared" ca="1" si="560"/>
        <v>63586</v>
      </c>
      <c r="AP598" s="22">
        <v>591</v>
      </c>
      <c r="AQ598" s="32">
        <f t="shared" ca="1" si="561"/>
        <v>66091.965610500338</v>
      </c>
      <c r="AR598" s="23">
        <f t="array" aca="1" ref="AR598" ca="1">SUM(IF(lsc_start_date=AO598,lsc_amount,0))</f>
        <v>0</v>
      </c>
      <c r="AS598" s="24">
        <f t="shared" ca="1" si="535"/>
        <v>0</v>
      </c>
      <c r="AT598" s="24">
        <f t="shared" ca="1" si="536"/>
        <v>0</v>
      </c>
      <c r="AU598" s="24">
        <f t="shared" ca="1" si="537"/>
        <v>0</v>
      </c>
      <c r="AV598" s="25">
        <f t="shared" ca="1" si="538"/>
        <v>0</v>
      </c>
      <c r="AW598" s="23">
        <f t="array" aca="1" ref="AW598" ca="1">SUM(IF(rcs_start_date&lt;=AO598,1,0)*IF(rcs_end_date&gt;=AO598,1,0)*rcs_amount*(1+rcs_escalation/100)^(INT((AP598-rcs_months_since_start)/12))*IF(MOD((AP598-rcs_months_since_start),rcs_frequency)=0,1,0)*IF(rcs_frequency=13,0,1))+SUM(IF(rcs_start_date=AO598,rcs_amount,0)*IF(rcs_frequency=13,1,0))</f>
        <v>0</v>
      </c>
      <c r="AX598" s="24">
        <f t="shared" ca="1" si="539"/>
        <v>0</v>
      </c>
      <c r="AY598" s="24">
        <f t="shared" ca="1" si="540"/>
        <v>0</v>
      </c>
      <c r="AZ598" s="24">
        <f t="shared" ca="1" si="541"/>
        <v>0</v>
      </c>
      <c r="BA598" s="25">
        <f t="shared" ca="1" si="542"/>
        <v>0</v>
      </c>
      <c r="BB598" s="23">
        <f t="array" aca="1" ref="BB598" ca="1">SUM(IF(w_start_date&lt;=AO598,1,0)*IF(w_end_date&gt;=AO598,1,0)*w_amount*(1+w_escalation/100)^(INT((AP598-w_months_since_start)/12))*IF(MOD(AP598-w_months_since_start,w_frequency)=0,1,0)*IF(w_frequency=13,0,1))+SUM(IF(w_start_date=AO598,w_amount,0)*IF(w_frequency=13,1,0))</f>
        <v>0</v>
      </c>
      <c r="BC598" s="25">
        <f t="shared" ca="1" si="543"/>
        <v>0</v>
      </c>
      <c r="BD598" s="24" t="b">
        <f t="shared" ca="1" si="544"/>
        <v>1</v>
      </c>
      <c r="BE598" s="24" t="b">
        <f t="shared" ca="1" si="545"/>
        <v>1</v>
      </c>
      <c r="BF598" s="23">
        <f t="array" aca="1" ref="BF598" ca="1">SUM(IF(BD598,1,0)*IF(ap_start_date&lt;=AO598,1,0)*IF(ap_end_date&gt;=AO598,1,0)*ap_amount*(1+ap_escalation/100)^(INT((AP598-ap_months_since_start)/12))*IF(MOD(AP598-ap_months_since_start,ap_frequency)=0,1,0))</f>
        <v>155358.47076348282</v>
      </c>
      <c r="BG598" s="24">
        <f t="shared" ca="1" si="546"/>
        <v>1864301.649161794</v>
      </c>
      <c r="BH598" s="24">
        <f t="shared" ca="1" si="547"/>
        <v>1690.5140480357923</v>
      </c>
      <c r="BI598">
        <f t="shared" ca="1" si="548"/>
        <v>0</v>
      </c>
      <c r="BJ598" s="24">
        <f t="shared" ca="1" si="549"/>
        <v>11833.598336250543</v>
      </c>
      <c r="BK598">
        <f t="shared" ca="1" si="550"/>
        <v>1</v>
      </c>
      <c r="BL598" s="25">
        <f t="shared" ca="1" si="551"/>
        <v>986.13319468754526</v>
      </c>
      <c r="BM598" s="32">
        <f t="shared" ca="1" si="530"/>
        <v>65575.071199799771</v>
      </c>
      <c r="BN598" s="23">
        <f t="shared" ca="1" si="552"/>
        <v>0</v>
      </c>
      <c r="BO598" s="24">
        <f t="shared" ca="1" si="553"/>
        <v>0</v>
      </c>
      <c r="BP598" s="25">
        <f t="shared" ca="1" si="554"/>
        <v>0</v>
      </c>
      <c r="BQ598" s="34">
        <f t="shared" ca="1" si="555"/>
        <v>63613</v>
      </c>
      <c r="BR598" s="23">
        <f t="shared" ca="1" si="556"/>
        <v>65575.071199799771</v>
      </c>
      <c r="BS598" s="24">
        <f t="shared" ca="1" si="557"/>
        <v>0</v>
      </c>
      <c r="BT598" s="24">
        <f t="shared" ca="1" si="562"/>
        <v>0</v>
      </c>
      <c r="BU598" s="24">
        <f t="shared" ca="1" si="558"/>
        <v>0</v>
      </c>
      <c r="BV598" s="24">
        <f t="shared" ca="1" si="563"/>
        <v>0</v>
      </c>
      <c r="BW598" s="24">
        <f t="shared" ca="1" si="559"/>
        <v>-986.13319468754526</v>
      </c>
      <c r="BX598" s="25">
        <f t="shared" ca="1" si="564"/>
        <v>-12646.52967280596</v>
      </c>
      <c r="BY598" s="23">
        <f t="shared" ca="1" si="531"/>
        <v>9502.6954384882483</v>
      </c>
      <c r="BZ598" s="24">
        <f t="shared" ca="1" si="532"/>
        <v>0</v>
      </c>
      <c r="CA598" s="24">
        <f t="shared" ca="1" si="565"/>
        <v>0</v>
      </c>
      <c r="CB598" s="24">
        <f t="shared" ca="1" si="533"/>
        <v>0</v>
      </c>
      <c r="CC598" s="24">
        <f t="shared" ca="1" si="566"/>
        <v>0</v>
      </c>
      <c r="CD598" s="24">
        <f t="shared" ca="1" si="534"/>
        <v>-143.371577089406</v>
      </c>
      <c r="CE598" s="25">
        <f t="shared" ca="1" si="567"/>
        <v>-1872.9038690934319</v>
      </c>
      <c r="CF598" s="23">
        <f t="shared" ca="1" si="568"/>
        <v>1816499.04277303</v>
      </c>
      <c r="CG598" s="25">
        <f t="array" aca="1" ref="CG598" ca="1">SUM(BF587:BF598/(1+inflation/100)^(AP587:AP598/12))</f>
        <v>267980.53702225379</v>
      </c>
      <c r="CH598" s="32">
        <f ca="1">IFERROR(IF(MOD(AP598-ap_months_since_start,12)=0,ap_drawdown/100*(AQ598+AV598+BA598-BC598),CH597),0)</f>
        <v>10392.882874323665</v>
      </c>
    </row>
    <row r="599" spans="40:86" x14ac:dyDescent="0.25">
      <c r="AN599" s="32">
        <f t="shared" ca="1" si="529"/>
        <v>104.16666666666667</v>
      </c>
      <c r="AO599" s="53">
        <f t="shared" ca="1" si="560"/>
        <v>63614</v>
      </c>
      <c r="AP599" s="22">
        <v>592</v>
      </c>
      <c r="AQ599" s="32">
        <f t="shared" ca="1" si="561"/>
        <v>65575.071199799771</v>
      </c>
      <c r="AR599" s="23">
        <f t="array" aca="1" ref="AR599" ca="1">SUM(IF(lsc_start_date=AO599,lsc_amount,0))</f>
        <v>0</v>
      </c>
      <c r="AS599" s="24">
        <f t="shared" ca="1" si="535"/>
        <v>0</v>
      </c>
      <c r="AT599" s="24">
        <f t="shared" ca="1" si="536"/>
        <v>0</v>
      </c>
      <c r="AU599" s="24">
        <f t="shared" ca="1" si="537"/>
        <v>0</v>
      </c>
      <c r="AV599" s="25">
        <f t="shared" ca="1" si="538"/>
        <v>0</v>
      </c>
      <c r="AW599" s="23">
        <f t="array" aca="1" ref="AW599" ca="1">SUM(IF(rcs_start_date&lt;=AO599,1,0)*IF(rcs_end_date&gt;=AO599,1,0)*rcs_amount*(1+rcs_escalation/100)^(INT((AP599-rcs_months_since_start)/12))*IF(MOD((AP599-rcs_months_since_start),rcs_frequency)=0,1,0)*IF(rcs_frequency=13,0,1))+SUM(IF(rcs_start_date=AO599,rcs_amount,0)*IF(rcs_frequency=13,1,0))</f>
        <v>0</v>
      </c>
      <c r="AX599" s="24">
        <f t="shared" ca="1" si="539"/>
        <v>0</v>
      </c>
      <c r="AY599" s="24">
        <f t="shared" ca="1" si="540"/>
        <v>0</v>
      </c>
      <c r="AZ599" s="24">
        <f t="shared" ca="1" si="541"/>
        <v>0</v>
      </c>
      <c r="BA599" s="25">
        <f t="shared" ca="1" si="542"/>
        <v>0</v>
      </c>
      <c r="BB599" s="23">
        <f t="array" aca="1" ref="BB599" ca="1">SUM(IF(w_start_date&lt;=AO599,1,0)*IF(w_end_date&gt;=AO599,1,0)*w_amount*(1+w_escalation/100)^(INT((AP599-w_months_since_start)/12))*IF(MOD(AP599-w_months_since_start,w_frequency)=0,1,0)*IF(w_frequency=13,0,1))+SUM(IF(w_start_date=AO599,w_amount,0)*IF(w_frequency=13,1,0))</f>
        <v>0</v>
      </c>
      <c r="BC599" s="25">
        <f t="shared" ca="1" si="543"/>
        <v>0</v>
      </c>
      <c r="BD599" s="24" t="b">
        <f t="shared" ca="1" si="544"/>
        <v>1</v>
      </c>
      <c r="BE599" s="24" t="b">
        <f t="shared" ca="1" si="545"/>
        <v>1</v>
      </c>
      <c r="BF599" s="23">
        <f t="array" aca="1" ref="BF599" ca="1">SUM(IF(BD599,1,0)*IF(ap_start_date&lt;=AO599,1,0)*IF(ap_end_date&gt;=AO599,1,0)*ap_amount*(1+ap_escalation/100)^(INT((AP599-ap_months_since_start)/12))*IF(MOD(AP599-ap_months_since_start,ap_frequency)=0,1,0))</f>
        <v>155358.47076348282</v>
      </c>
      <c r="BG599" s="24">
        <f t="shared" ca="1" si="546"/>
        <v>1864301.649161794</v>
      </c>
      <c r="BH599" s="24">
        <f t="shared" ca="1" si="547"/>
        <v>1690.5140480357923</v>
      </c>
      <c r="BI599">
        <f t="shared" ca="1" si="548"/>
        <v>0</v>
      </c>
      <c r="BJ599" s="24">
        <f t="shared" ca="1" si="549"/>
        <v>11833.598336250543</v>
      </c>
      <c r="BK599">
        <f t="shared" ca="1" si="550"/>
        <v>1</v>
      </c>
      <c r="BL599" s="25">
        <f t="shared" ca="1" si="551"/>
        <v>986.13319468754526</v>
      </c>
      <c r="BM599" s="32">
        <f t="shared" ca="1" si="530"/>
        <v>65054.45136396098</v>
      </c>
      <c r="BN599" s="23">
        <f t="shared" ca="1" si="552"/>
        <v>0</v>
      </c>
      <c r="BO599" s="24">
        <f t="shared" ca="1" si="553"/>
        <v>0</v>
      </c>
      <c r="BP599" s="25">
        <f t="shared" ca="1" si="554"/>
        <v>0</v>
      </c>
      <c r="BQ599" s="34">
        <f t="shared" ca="1" si="555"/>
        <v>63644</v>
      </c>
      <c r="BR599" s="23">
        <f t="shared" ca="1" si="556"/>
        <v>65054.45136396098</v>
      </c>
      <c r="BS599" s="24">
        <f t="shared" ca="1" si="557"/>
        <v>0</v>
      </c>
      <c r="BT599" s="24">
        <f t="shared" ca="1" si="562"/>
        <v>0</v>
      </c>
      <c r="BU599" s="24">
        <f t="shared" ca="1" si="558"/>
        <v>0</v>
      </c>
      <c r="BV599" s="24">
        <f t="shared" ca="1" si="563"/>
        <v>0</v>
      </c>
      <c r="BW599" s="24">
        <f t="shared" ca="1" si="559"/>
        <v>-986.13319468754526</v>
      </c>
      <c r="BX599" s="25">
        <f t="shared" ca="1" si="564"/>
        <v>-12544.913255736534</v>
      </c>
      <c r="BY599" s="23">
        <f t="shared" ca="1" si="531"/>
        <v>9396.489075870395</v>
      </c>
      <c r="BZ599" s="24">
        <f t="shared" ca="1" si="532"/>
        <v>0</v>
      </c>
      <c r="CA599" s="24">
        <f t="shared" ca="1" si="565"/>
        <v>0</v>
      </c>
      <c r="CB599" s="24">
        <f t="shared" ca="1" si="533"/>
        <v>0</v>
      </c>
      <c r="CC599" s="24">
        <f t="shared" ca="1" si="566"/>
        <v>0</v>
      </c>
      <c r="CD599" s="24">
        <f t="shared" ca="1" si="534"/>
        <v>-142.90374740649605</v>
      </c>
      <c r="CE599" s="25">
        <f t="shared" ca="1" si="567"/>
        <v>-1851.8731333476233</v>
      </c>
      <c r="CF599" s="23">
        <f t="shared" ca="1" si="568"/>
        <v>1822474.3685716256</v>
      </c>
      <c r="CG599" s="25">
        <f t="array" aca="1" ref="CG599" ca="1">SUM(BF588:BF599/(1+inflation/100)^(AP588:AP599/12))</f>
        <v>267980.53702225385</v>
      </c>
      <c r="CH599" s="32">
        <f ca="1">IFERROR(IF(MOD(AP599-ap_months_since_start,12)=0,ap_drawdown/100*(AQ599+AV599+BA599-BC599),CH598),0)</f>
        <v>10392.882874323665</v>
      </c>
    </row>
    <row r="600" spans="40:86" x14ac:dyDescent="0.25">
      <c r="AN600" s="32">
        <f t="shared" ca="1" si="529"/>
        <v>104.25</v>
      </c>
      <c r="AO600" s="53">
        <f t="shared" ca="1" si="560"/>
        <v>63645</v>
      </c>
      <c r="AP600" s="22">
        <v>593</v>
      </c>
      <c r="AQ600" s="32">
        <f t="shared" ca="1" si="561"/>
        <v>65054.45136396098</v>
      </c>
      <c r="AR600" s="23">
        <f t="array" aca="1" ref="AR600" ca="1">SUM(IF(lsc_start_date=AO600,lsc_amount,0))</f>
        <v>0</v>
      </c>
      <c r="AS600" s="24">
        <f t="shared" ca="1" si="535"/>
        <v>0</v>
      </c>
      <c r="AT600" s="24">
        <f t="shared" ca="1" si="536"/>
        <v>0</v>
      </c>
      <c r="AU600" s="24">
        <f t="shared" ca="1" si="537"/>
        <v>0</v>
      </c>
      <c r="AV600" s="25">
        <f t="shared" ca="1" si="538"/>
        <v>0</v>
      </c>
      <c r="AW600" s="23">
        <f t="array" aca="1" ref="AW600" ca="1">SUM(IF(rcs_start_date&lt;=AO600,1,0)*IF(rcs_end_date&gt;=AO600,1,0)*rcs_amount*(1+rcs_escalation/100)^(INT((AP600-rcs_months_since_start)/12))*IF(MOD((AP600-rcs_months_since_start),rcs_frequency)=0,1,0)*IF(rcs_frequency=13,0,1))+SUM(IF(rcs_start_date=AO600,rcs_amount,0)*IF(rcs_frequency=13,1,0))</f>
        <v>0</v>
      </c>
      <c r="AX600" s="24">
        <f t="shared" ca="1" si="539"/>
        <v>0</v>
      </c>
      <c r="AY600" s="24">
        <f t="shared" ca="1" si="540"/>
        <v>0</v>
      </c>
      <c r="AZ600" s="24">
        <f t="shared" ca="1" si="541"/>
        <v>0</v>
      </c>
      <c r="BA600" s="25">
        <f t="shared" ca="1" si="542"/>
        <v>0</v>
      </c>
      <c r="BB600" s="23">
        <f t="array" aca="1" ref="BB600" ca="1">SUM(IF(w_start_date&lt;=AO600,1,0)*IF(w_end_date&gt;=AO600,1,0)*w_amount*(1+w_escalation/100)^(INT((AP600-w_months_since_start)/12))*IF(MOD(AP600-w_months_since_start,w_frequency)=0,1,0)*IF(w_frequency=13,0,1))+SUM(IF(w_start_date=AO600,w_amount,0)*IF(w_frequency=13,1,0))</f>
        <v>0</v>
      </c>
      <c r="BC600" s="25">
        <f t="shared" ca="1" si="543"/>
        <v>0</v>
      </c>
      <c r="BD600" s="24" t="b">
        <f t="shared" ca="1" si="544"/>
        <v>1</v>
      </c>
      <c r="BE600" s="24" t="b">
        <f t="shared" ca="1" si="545"/>
        <v>1</v>
      </c>
      <c r="BF600" s="23">
        <f t="array" aca="1" ref="BF600" ca="1">SUM(IF(BD600,1,0)*IF(ap_start_date&lt;=AO600,1,0)*IF(ap_end_date&gt;=AO600,1,0)*ap_amount*(1+ap_escalation/100)^(INT((AP600-ap_months_since_start)/12))*IF(MOD(AP600-ap_months_since_start,ap_frequency)=0,1,0))</f>
        <v>155358.47076348282</v>
      </c>
      <c r="BG600" s="24">
        <f t="shared" ca="1" si="546"/>
        <v>1864301.649161794</v>
      </c>
      <c r="BH600" s="24">
        <f t="shared" ca="1" si="547"/>
        <v>1690.5140480357923</v>
      </c>
      <c r="BI600">
        <f t="shared" ca="1" si="548"/>
        <v>0</v>
      </c>
      <c r="BJ600" s="24">
        <f t="shared" ca="1" si="549"/>
        <v>11833.598336250543</v>
      </c>
      <c r="BK600">
        <f t="shared" ca="1" si="550"/>
        <v>1</v>
      </c>
      <c r="BL600" s="25">
        <f t="shared" ca="1" si="551"/>
        <v>986.13319468754526</v>
      </c>
      <c r="BM600" s="32">
        <f t="shared" ca="1" si="530"/>
        <v>64530.079252640506</v>
      </c>
      <c r="BN600" s="23">
        <f t="shared" ca="1" si="552"/>
        <v>0</v>
      </c>
      <c r="BO600" s="24">
        <f t="shared" ca="1" si="553"/>
        <v>0</v>
      </c>
      <c r="BP600" s="25">
        <f t="shared" ca="1" si="554"/>
        <v>0</v>
      </c>
      <c r="BQ600" s="34">
        <f t="shared" ca="1" si="555"/>
        <v>63674</v>
      </c>
      <c r="BR600" s="23">
        <f t="shared" ca="1" si="556"/>
        <v>64530.079252640506</v>
      </c>
      <c r="BS600" s="24">
        <f t="shared" ca="1" si="557"/>
        <v>0</v>
      </c>
      <c r="BT600" s="24">
        <f t="shared" ca="1" si="562"/>
        <v>0</v>
      </c>
      <c r="BU600" s="24">
        <f t="shared" ca="1" si="558"/>
        <v>0</v>
      </c>
      <c r="BV600" s="24">
        <f t="shared" ca="1" si="563"/>
        <v>0</v>
      </c>
      <c r="BW600" s="24">
        <f t="shared" ca="1" si="559"/>
        <v>-986.13319468754526</v>
      </c>
      <c r="BX600" s="25">
        <f t="shared" ca="1" si="564"/>
        <v>-12443.296838667105</v>
      </c>
      <c r="BY600" s="23">
        <f t="shared" ca="1" si="531"/>
        <v>9290.3344362509251</v>
      </c>
      <c r="BZ600" s="24">
        <f t="shared" ca="1" si="532"/>
        <v>0</v>
      </c>
      <c r="CA600" s="24">
        <f t="shared" ca="1" si="565"/>
        <v>0</v>
      </c>
      <c r="CB600" s="24">
        <f t="shared" ca="1" si="533"/>
        <v>0</v>
      </c>
      <c r="CC600" s="24">
        <f t="shared" ca="1" si="566"/>
        <v>0</v>
      </c>
      <c r="CD600" s="24">
        <f t="shared" ca="1" si="534"/>
        <v>-142.4374442786862</v>
      </c>
      <c r="CE600" s="25">
        <f t="shared" ca="1" si="567"/>
        <v>-1830.9110220993271</v>
      </c>
      <c r="CF600" s="23">
        <f t="shared" ca="1" si="568"/>
        <v>1828449.6943702211</v>
      </c>
      <c r="CG600" s="25">
        <f t="array" aca="1" ref="CG600" ca="1">SUM(BF589:BF600/(1+inflation/100)^(AP589:AP600/12))</f>
        <v>267980.53702225385</v>
      </c>
      <c r="CH600" s="32">
        <f ca="1">IFERROR(IF(MOD(AP600-ap_months_since_start,12)=0,ap_drawdown/100*(AQ600+AV600+BA600-BC600),CH599),0)</f>
        <v>10392.882874323665</v>
      </c>
    </row>
    <row r="601" spans="40:86" x14ac:dyDescent="0.25">
      <c r="AN601" s="32">
        <f t="shared" ca="1" si="529"/>
        <v>104.33333333333333</v>
      </c>
      <c r="AO601" s="53">
        <f t="shared" ca="1" si="560"/>
        <v>63675</v>
      </c>
      <c r="AP601" s="22">
        <v>594</v>
      </c>
      <c r="AQ601" s="32">
        <f t="shared" ca="1" si="561"/>
        <v>64530.079252640506</v>
      </c>
      <c r="AR601" s="23">
        <f t="array" aca="1" ref="AR601" ca="1">SUM(IF(lsc_start_date=AO601,lsc_amount,0))</f>
        <v>0</v>
      </c>
      <c r="AS601" s="24">
        <f t="shared" ca="1" si="535"/>
        <v>0</v>
      </c>
      <c r="AT601" s="24">
        <f t="shared" ca="1" si="536"/>
        <v>0</v>
      </c>
      <c r="AU601" s="24">
        <f t="shared" ca="1" si="537"/>
        <v>0</v>
      </c>
      <c r="AV601" s="25">
        <f t="shared" ca="1" si="538"/>
        <v>0</v>
      </c>
      <c r="AW601" s="23">
        <f t="array" aca="1" ref="AW601" ca="1">SUM(IF(rcs_start_date&lt;=AO601,1,0)*IF(rcs_end_date&gt;=AO601,1,0)*rcs_amount*(1+rcs_escalation/100)^(INT((AP601-rcs_months_since_start)/12))*IF(MOD((AP601-rcs_months_since_start),rcs_frequency)=0,1,0)*IF(rcs_frequency=13,0,1))+SUM(IF(rcs_start_date=AO601,rcs_amount,0)*IF(rcs_frequency=13,1,0))</f>
        <v>0</v>
      </c>
      <c r="AX601" s="24">
        <f t="shared" ca="1" si="539"/>
        <v>0</v>
      </c>
      <c r="AY601" s="24">
        <f t="shared" ca="1" si="540"/>
        <v>0</v>
      </c>
      <c r="AZ601" s="24">
        <f t="shared" ca="1" si="541"/>
        <v>0</v>
      </c>
      <c r="BA601" s="25">
        <f t="shared" ca="1" si="542"/>
        <v>0</v>
      </c>
      <c r="BB601" s="23">
        <f t="array" aca="1" ref="BB601" ca="1">SUM(IF(w_start_date&lt;=AO601,1,0)*IF(w_end_date&gt;=AO601,1,0)*w_amount*(1+w_escalation/100)^(INT((AP601-w_months_since_start)/12))*IF(MOD(AP601-w_months_since_start,w_frequency)=0,1,0)*IF(w_frequency=13,0,1))+SUM(IF(w_start_date=AO601,w_amount,0)*IF(w_frequency=13,1,0))</f>
        <v>0</v>
      </c>
      <c r="BC601" s="25">
        <f t="shared" ca="1" si="543"/>
        <v>0</v>
      </c>
      <c r="BD601" s="24" t="b">
        <f t="shared" ca="1" si="544"/>
        <v>1</v>
      </c>
      <c r="BE601" s="24" t="b">
        <f t="shared" ca="1" si="545"/>
        <v>1</v>
      </c>
      <c r="BF601" s="23">
        <f t="array" aca="1" ref="BF601" ca="1">SUM(IF(BD601,1,0)*IF(ap_start_date&lt;=AO601,1,0)*IF(ap_end_date&gt;=AO601,1,0)*ap_amount*(1+ap_escalation/100)^(INT((AP601-ap_months_since_start)/12))*IF(MOD(AP601-ap_months_since_start,ap_frequency)=0,1,0))</f>
        <v>155358.47076348282</v>
      </c>
      <c r="BG601" s="24">
        <f t="shared" ca="1" si="546"/>
        <v>1864301.649161794</v>
      </c>
      <c r="BH601" s="24">
        <f t="shared" ca="1" si="547"/>
        <v>1690.5140480357923</v>
      </c>
      <c r="BI601">
        <f t="shared" ca="1" si="548"/>
        <v>0</v>
      </c>
      <c r="BJ601" s="24">
        <f t="shared" ca="1" si="549"/>
        <v>11833.598336250543</v>
      </c>
      <c r="BK601">
        <f t="shared" ca="1" si="550"/>
        <v>1</v>
      </c>
      <c r="BL601" s="25">
        <f t="shared" ca="1" si="551"/>
        <v>986.13319468754526</v>
      </c>
      <c r="BM601" s="32">
        <f t="shared" ca="1" si="530"/>
        <v>64001.927821975783</v>
      </c>
      <c r="BN601" s="23">
        <f t="shared" ca="1" si="552"/>
        <v>0</v>
      </c>
      <c r="BO601" s="24">
        <f t="shared" ca="1" si="553"/>
        <v>0</v>
      </c>
      <c r="BP601" s="25">
        <f t="shared" ca="1" si="554"/>
        <v>0</v>
      </c>
      <c r="BQ601" s="34">
        <f t="shared" ca="1" si="555"/>
        <v>63705</v>
      </c>
      <c r="BR601" s="23">
        <f t="shared" ca="1" si="556"/>
        <v>64001.927821975783</v>
      </c>
      <c r="BS601" s="24">
        <f t="shared" ca="1" si="557"/>
        <v>0</v>
      </c>
      <c r="BT601" s="24">
        <f t="shared" ca="1" si="562"/>
        <v>0</v>
      </c>
      <c r="BU601" s="24">
        <f t="shared" ca="1" si="558"/>
        <v>0</v>
      </c>
      <c r="BV601" s="24">
        <f t="shared" ca="1" si="563"/>
        <v>0</v>
      </c>
      <c r="BW601" s="24">
        <f t="shared" ca="1" si="559"/>
        <v>-986.13319468754526</v>
      </c>
      <c r="BX601" s="25">
        <f t="shared" ca="1" si="564"/>
        <v>-12341.680421597679</v>
      </c>
      <c r="BY601" s="23">
        <f t="shared" ca="1" si="531"/>
        <v>9184.2301948831137</v>
      </c>
      <c r="BZ601" s="24">
        <f t="shared" ca="1" si="532"/>
        <v>0</v>
      </c>
      <c r="CA601" s="24">
        <f t="shared" ca="1" si="565"/>
        <v>0</v>
      </c>
      <c r="CB601" s="24">
        <f t="shared" ca="1" si="533"/>
        <v>0</v>
      </c>
      <c r="CC601" s="24">
        <f t="shared" ca="1" si="566"/>
        <v>0</v>
      </c>
      <c r="CD601" s="24">
        <f t="shared" ca="1" si="534"/>
        <v>-141.97266272473948</v>
      </c>
      <c r="CE601" s="25">
        <f t="shared" ca="1" si="567"/>
        <v>-1810.0173114228699</v>
      </c>
      <c r="CF601" s="23">
        <f t="shared" ca="1" si="568"/>
        <v>1834425.0201688167</v>
      </c>
      <c r="CG601" s="25">
        <f t="array" aca="1" ref="CG601" ca="1">SUM(BF590:BF601/(1+inflation/100)^(AP590:AP601/12))</f>
        <v>267980.53702225379</v>
      </c>
      <c r="CH601" s="32">
        <f ca="1">IFERROR(IF(MOD(AP601-ap_months_since_start,12)=0,ap_drawdown/100*(AQ601+AV601+BA601-BC601),CH600),0)</f>
        <v>10392.882874323665</v>
      </c>
    </row>
    <row r="602" spans="40:86" x14ac:dyDescent="0.25">
      <c r="AN602" s="32">
        <f t="shared" ca="1" si="529"/>
        <v>104.41666666666667</v>
      </c>
      <c r="AO602" s="53">
        <f t="shared" ca="1" si="560"/>
        <v>63706</v>
      </c>
      <c r="AP602" s="22">
        <v>595</v>
      </c>
      <c r="AQ602" s="32">
        <f t="shared" ca="1" si="561"/>
        <v>64001.927821975783</v>
      </c>
      <c r="AR602" s="23">
        <f t="array" aca="1" ref="AR602" ca="1">SUM(IF(lsc_start_date=AO602,lsc_amount,0))</f>
        <v>0</v>
      </c>
      <c r="AS602" s="24">
        <f t="shared" ca="1" si="535"/>
        <v>0</v>
      </c>
      <c r="AT602" s="24">
        <f t="shared" ca="1" si="536"/>
        <v>0</v>
      </c>
      <c r="AU602" s="24">
        <f t="shared" ca="1" si="537"/>
        <v>0</v>
      </c>
      <c r="AV602" s="25">
        <f t="shared" ca="1" si="538"/>
        <v>0</v>
      </c>
      <c r="AW602" s="23">
        <f t="array" aca="1" ref="AW602" ca="1">SUM(IF(rcs_start_date&lt;=AO602,1,0)*IF(rcs_end_date&gt;=AO602,1,0)*rcs_amount*(1+rcs_escalation/100)^(INT((AP602-rcs_months_since_start)/12))*IF(MOD((AP602-rcs_months_since_start),rcs_frequency)=0,1,0)*IF(rcs_frequency=13,0,1))+SUM(IF(rcs_start_date=AO602,rcs_amount,0)*IF(rcs_frequency=13,1,0))</f>
        <v>0</v>
      </c>
      <c r="AX602" s="24">
        <f t="shared" ca="1" si="539"/>
        <v>0</v>
      </c>
      <c r="AY602" s="24">
        <f t="shared" ca="1" si="540"/>
        <v>0</v>
      </c>
      <c r="AZ602" s="24">
        <f t="shared" ca="1" si="541"/>
        <v>0</v>
      </c>
      <c r="BA602" s="25">
        <f t="shared" ca="1" si="542"/>
        <v>0</v>
      </c>
      <c r="BB602" s="23">
        <f t="array" aca="1" ref="BB602" ca="1">SUM(IF(w_start_date&lt;=AO602,1,0)*IF(w_end_date&gt;=AO602,1,0)*w_amount*(1+w_escalation/100)^(INT((AP602-w_months_since_start)/12))*IF(MOD(AP602-w_months_since_start,w_frequency)=0,1,0)*IF(w_frequency=13,0,1))+SUM(IF(w_start_date=AO602,w_amount,0)*IF(w_frequency=13,1,0))</f>
        <v>0</v>
      </c>
      <c r="BC602" s="25">
        <f t="shared" ca="1" si="543"/>
        <v>0</v>
      </c>
      <c r="BD602" s="24" t="b">
        <f t="shared" ca="1" si="544"/>
        <v>1</v>
      </c>
      <c r="BE602" s="24" t="b">
        <f t="shared" ca="1" si="545"/>
        <v>1</v>
      </c>
      <c r="BF602" s="23">
        <f t="array" aca="1" ref="BF602" ca="1">SUM(IF(BD602,1,0)*IF(ap_start_date&lt;=AO602,1,0)*IF(ap_end_date&gt;=AO602,1,0)*ap_amount*(1+ap_escalation/100)^(INT((AP602-ap_months_since_start)/12))*IF(MOD(AP602-ap_months_since_start,ap_frequency)=0,1,0))</f>
        <v>155358.47076348282</v>
      </c>
      <c r="BG602" s="24">
        <f t="shared" ca="1" si="546"/>
        <v>1864301.649161794</v>
      </c>
      <c r="BH602" s="24">
        <f t="shared" ca="1" si="547"/>
        <v>1690.5140480357923</v>
      </c>
      <c r="BI602">
        <f t="shared" ca="1" si="548"/>
        <v>0</v>
      </c>
      <c r="BJ602" s="24">
        <f t="shared" ca="1" si="549"/>
        <v>11833.598336250543</v>
      </c>
      <c r="BK602">
        <f t="shared" ca="1" si="550"/>
        <v>1</v>
      </c>
      <c r="BL602" s="25">
        <f t="shared" ca="1" si="551"/>
        <v>986.13319468754526</v>
      </c>
      <c r="BM602" s="32">
        <f t="shared" ca="1" si="530"/>
        <v>63469.969833190378</v>
      </c>
      <c r="BN602" s="23">
        <f t="shared" ca="1" si="552"/>
        <v>0</v>
      </c>
      <c r="BO602" s="24">
        <f t="shared" ca="1" si="553"/>
        <v>0</v>
      </c>
      <c r="BP602" s="25">
        <f t="shared" ca="1" si="554"/>
        <v>0</v>
      </c>
      <c r="BQ602" s="34">
        <f t="shared" ca="1" si="555"/>
        <v>63735</v>
      </c>
      <c r="BR602" s="23">
        <f t="shared" ca="1" si="556"/>
        <v>63469.969833190378</v>
      </c>
      <c r="BS602" s="24">
        <f t="shared" ca="1" si="557"/>
        <v>0</v>
      </c>
      <c r="BT602" s="24">
        <f t="shared" ca="1" si="562"/>
        <v>0</v>
      </c>
      <c r="BU602" s="24">
        <f t="shared" ca="1" si="558"/>
        <v>0</v>
      </c>
      <c r="BV602" s="24">
        <f t="shared" ca="1" si="563"/>
        <v>0</v>
      </c>
      <c r="BW602" s="24">
        <f t="shared" ca="1" si="559"/>
        <v>-986.13319468754526</v>
      </c>
      <c r="BX602" s="25">
        <f t="shared" ca="1" si="564"/>
        <v>-12240.064004528253</v>
      </c>
      <c r="BY602" s="23">
        <f t="shared" ca="1" si="531"/>
        <v>9078.1750268106862</v>
      </c>
      <c r="BZ602" s="24">
        <f t="shared" ca="1" si="532"/>
        <v>0</v>
      </c>
      <c r="CA602" s="24">
        <f t="shared" ca="1" si="565"/>
        <v>0</v>
      </c>
      <c r="CB602" s="24">
        <f t="shared" ca="1" si="533"/>
        <v>0</v>
      </c>
      <c r="CC602" s="24">
        <f t="shared" ca="1" si="566"/>
        <v>0</v>
      </c>
      <c r="CD602" s="24">
        <f t="shared" ca="1" si="534"/>
        <v>-141.50939777967315</v>
      </c>
      <c r="CE602" s="25">
        <f t="shared" ca="1" si="567"/>
        <v>-1789.1917781232614</v>
      </c>
      <c r="CF602" s="23">
        <f t="shared" ca="1" si="568"/>
        <v>1840400.3459674122</v>
      </c>
      <c r="CG602" s="25">
        <f t="array" aca="1" ref="CG602" ca="1">SUM(BF591:BF602/(1+inflation/100)^(AP591:AP602/12))</f>
        <v>267980.53702225379</v>
      </c>
      <c r="CH602" s="32">
        <f ca="1">IFERROR(IF(MOD(AP602-ap_months_since_start,12)=0,ap_drawdown/100*(AQ602+AV602+BA602-BC602),CH601),0)</f>
        <v>10392.882874323665</v>
      </c>
    </row>
    <row r="603" spans="40:86" x14ac:dyDescent="0.25">
      <c r="AN603" s="32">
        <f t="shared" ca="1" si="529"/>
        <v>104.5</v>
      </c>
      <c r="AO603" s="53">
        <f t="shared" ca="1" si="560"/>
        <v>63736</v>
      </c>
      <c r="AP603" s="22">
        <v>596</v>
      </c>
      <c r="AQ603" s="32">
        <f t="shared" ca="1" si="561"/>
        <v>63469.969833190378</v>
      </c>
      <c r="AR603" s="23">
        <f t="array" aca="1" ref="AR603" ca="1">SUM(IF(lsc_start_date=AO603,lsc_amount,0))</f>
        <v>0</v>
      </c>
      <c r="AS603" s="24">
        <f t="shared" ca="1" si="535"/>
        <v>0</v>
      </c>
      <c r="AT603" s="24">
        <f t="shared" ca="1" si="536"/>
        <v>0</v>
      </c>
      <c r="AU603" s="24">
        <f t="shared" ca="1" si="537"/>
        <v>0</v>
      </c>
      <c r="AV603" s="25">
        <f t="shared" ca="1" si="538"/>
        <v>0</v>
      </c>
      <c r="AW603" s="23">
        <f t="array" aca="1" ref="AW603" ca="1">SUM(IF(rcs_start_date&lt;=AO603,1,0)*IF(rcs_end_date&gt;=AO603,1,0)*rcs_amount*(1+rcs_escalation/100)^(INT((AP603-rcs_months_since_start)/12))*IF(MOD((AP603-rcs_months_since_start),rcs_frequency)=0,1,0)*IF(rcs_frequency=13,0,1))+SUM(IF(rcs_start_date=AO603,rcs_amount,0)*IF(rcs_frequency=13,1,0))</f>
        <v>0</v>
      </c>
      <c r="AX603" s="24">
        <f t="shared" ca="1" si="539"/>
        <v>0</v>
      </c>
      <c r="AY603" s="24">
        <f t="shared" ca="1" si="540"/>
        <v>0</v>
      </c>
      <c r="AZ603" s="24">
        <f t="shared" ca="1" si="541"/>
        <v>0</v>
      </c>
      <c r="BA603" s="25">
        <f t="shared" ca="1" si="542"/>
        <v>0</v>
      </c>
      <c r="BB603" s="23">
        <f t="array" aca="1" ref="BB603" ca="1">SUM(IF(w_start_date&lt;=AO603,1,0)*IF(w_end_date&gt;=AO603,1,0)*w_amount*(1+w_escalation/100)^(INT((AP603-w_months_since_start)/12))*IF(MOD(AP603-w_months_since_start,w_frequency)=0,1,0)*IF(w_frequency=13,0,1))+SUM(IF(w_start_date=AO603,w_amount,0)*IF(w_frequency=13,1,0))</f>
        <v>0</v>
      </c>
      <c r="BC603" s="25">
        <f t="shared" ca="1" si="543"/>
        <v>0</v>
      </c>
      <c r="BD603" s="24" t="b">
        <f t="shared" ca="1" si="544"/>
        <v>1</v>
      </c>
      <c r="BE603" s="24" t="b">
        <f t="shared" ca="1" si="545"/>
        <v>1</v>
      </c>
      <c r="BF603" s="23">
        <f t="array" aca="1" ref="BF603" ca="1">SUM(IF(BD603,1,0)*IF(ap_start_date&lt;=AO603,1,0)*IF(ap_end_date&gt;=AO603,1,0)*ap_amount*(1+ap_escalation/100)^(INT((AP603-ap_months_since_start)/12))*IF(MOD(AP603-ap_months_since_start,ap_frequency)=0,1,0))</f>
        <v>155358.47076348282</v>
      </c>
      <c r="BG603" s="24">
        <f t="shared" ca="1" si="546"/>
        <v>1864301.649161794</v>
      </c>
      <c r="BH603" s="24">
        <f t="shared" ca="1" si="547"/>
        <v>1690.5140480357923</v>
      </c>
      <c r="BI603">
        <f t="shared" ca="1" si="548"/>
        <v>0</v>
      </c>
      <c r="BJ603" s="24">
        <f t="shared" ca="1" si="549"/>
        <v>11833.598336250543</v>
      </c>
      <c r="BK603">
        <f t="shared" ca="1" si="550"/>
        <v>1</v>
      </c>
      <c r="BL603" s="25">
        <f t="shared" ca="1" si="551"/>
        <v>986.13319468754526</v>
      </c>
      <c r="BM603" s="32">
        <f t="shared" ca="1" si="530"/>
        <v>62934.177851189197</v>
      </c>
      <c r="BN603" s="23">
        <f t="shared" ca="1" si="552"/>
        <v>0</v>
      </c>
      <c r="BO603" s="24">
        <f t="shared" ca="1" si="553"/>
        <v>0</v>
      </c>
      <c r="BP603" s="25">
        <f t="shared" ca="1" si="554"/>
        <v>0</v>
      </c>
      <c r="BQ603" s="34">
        <f t="shared" ca="1" si="555"/>
        <v>63766</v>
      </c>
      <c r="BR603" s="23">
        <f t="shared" ca="1" si="556"/>
        <v>62934.177851189197</v>
      </c>
      <c r="BS603" s="24">
        <f t="shared" ca="1" si="557"/>
        <v>0</v>
      </c>
      <c r="BT603" s="24">
        <f t="shared" ca="1" si="562"/>
        <v>0</v>
      </c>
      <c r="BU603" s="24">
        <f t="shared" ca="1" si="558"/>
        <v>0</v>
      </c>
      <c r="BV603" s="24">
        <f t="shared" ca="1" si="563"/>
        <v>0</v>
      </c>
      <c r="BW603" s="24">
        <f t="shared" ca="1" si="559"/>
        <v>-986.13319468754526</v>
      </c>
      <c r="BX603" s="25">
        <f t="shared" ca="1" si="564"/>
        <v>-12138.447587458824</v>
      </c>
      <c r="BY603" s="23">
        <f t="shared" ca="1" si="531"/>
        <v>8972.1676068507295</v>
      </c>
      <c r="BZ603" s="24">
        <f t="shared" ca="1" si="532"/>
        <v>0</v>
      </c>
      <c r="CA603" s="24">
        <f t="shared" ca="1" si="565"/>
        <v>0</v>
      </c>
      <c r="CB603" s="24">
        <f t="shared" ca="1" si="533"/>
        <v>0</v>
      </c>
      <c r="CC603" s="24">
        <f t="shared" ca="1" si="566"/>
        <v>0</v>
      </c>
      <c r="CD603" s="24">
        <f t="shared" ca="1" si="534"/>
        <v>-141.04764449470542</v>
      </c>
      <c r="CE603" s="25">
        <f t="shared" ca="1" si="567"/>
        <v>-1768.4341997338088</v>
      </c>
      <c r="CF603" s="23">
        <f t="shared" ca="1" si="568"/>
        <v>1846375.6717660076</v>
      </c>
      <c r="CG603" s="25">
        <f t="array" aca="1" ref="CG603" ca="1">SUM(BF592:BF603/(1+inflation/100)^(AP592:AP603/12))</f>
        <v>267980.53702225379</v>
      </c>
      <c r="CH603" s="32">
        <f ca="1">IFERROR(IF(MOD(AP603-ap_months_since_start,12)=0,ap_drawdown/100*(AQ603+AV603+BA603-BC603),CH602),0)</f>
        <v>10392.882874323665</v>
      </c>
    </row>
    <row r="604" spans="40:86" x14ac:dyDescent="0.25">
      <c r="AN604" s="32">
        <f t="shared" ca="1" si="529"/>
        <v>104.58333333333333</v>
      </c>
      <c r="AO604" s="53">
        <f t="shared" ca="1" si="560"/>
        <v>63767</v>
      </c>
      <c r="AP604" s="22">
        <v>597</v>
      </c>
      <c r="AQ604" s="32">
        <f t="shared" ca="1" si="561"/>
        <v>62934.177851189197</v>
      </c>
      <c r="AR604" s="23">
        <f t="array" aca="1" ref="AR604" ca="1">SUM(IF(lsc_start_date=AO604,lsc_amount,0))</f>
        <v>0</v>
      </c>
      <c r="AS604" s="24">
        <f t="shared" ca="1" si="535"/>
        <v>0</v>
      </c>
      <c r="AT604" s="24">
        <f t="shared" ca="1" si="536"/>
        <v>0</v>
      </c>
      <c r="AU604" s="24">
        <f t="shared" ca="1" si="537"/>
        <v>0</v>
      </c>
      <c r="AV604" s="25">
        <f t="shared" ca="1" si="538"/>
        <v>0</v>
      </c>
      <c r="AW604" s="23">
        <f t="array" aca="1" ref="AW604" ca="1">SUM(IF(rcs_start_date&lt;=AO604,1,0)*IF(rcs_end_date&gt;=AO604,1,0)*rcs_amount*(1+rcs_escalation/100)^(INT((AP604-rcs_months_since_start)/12))*IF(MOD((AP604-rcs_months_since_start),rcs_frequency)=0,1,0)*IF(rcs_frequency=13,0,1))+SUM(IF(rcs_start_date=AO604,rcs_amount,0)*IF(rcs_frequency=13,1,0))</f>
        <v>0</v>
      </c>
      <c r="AX604" s="24">
        <f t="shared" ca="1" si="539"/>
        <v>0</v>
      </c>
      <c r="AY604" s="24">
        <f t="shared" ca="1" si="540"/>
        <v>0</v>
      </c>
      <c r="AZ604" s="24">
        <f t="shared" ca="1" si="541"/>
        <v>0</v>
      </c>
      <c r="BA604" s="25">
        <f t="shared" ca="1" si="542"/>
        <v>0</v>
      </c>
      <c r="BB604" s="23">
        <f t="array" aca="1" ref="BB604" ca="1">SUM(IF(w_start_date&lt;=AO604,1,0)*IF(w_end_date&gt;=AO604,1,0)*w_amount*(1+w_escalation/100)^(INT((AP604-w_months_since_start)/12))*IF(MOD(AP604-w_months_since_start,w_frequency)=0,1,0)*IF(w_frequency=13,0,1))+SUM(IF(w_start_date=AO604,w_amount,0)*IF(w_frequency=13,1,0))</f>
        <v>0</v>
      </c>
      <c r="BC604" s="25">
        <f t="shared" ca="1" si="543"/>
        <v>0</v>
      </c>
      <c r="BD604" s="24" t="b">
        <f t="shared" ca="1" si="544"/>
        <v>1</v>
      </c>
      <c r="BE604" s="24" t="b">
        <f t="shared" ca="1" si="545"/>
        <v>1</v>
      </c>
      <c r="BF604" s="23">
        <f t="array" aca="1" ref="BF604" ca="1">SUM(IF(BD604,1,0)*IF(ap_start_date&lt;=AO604,1,0)*IF(ap_end_date&gt;=AO604,1,0)*ap_amount*(1+ap_escalation/100)^(INT((AP604-ap_months_since_start)/12))*IF(MOD(AP604-ap_months_since_start,ap_frequency)=0,1,0))</f>
        <v>155358.47076348282</v>
      </c>
      <c r="BG604" s="24">
        <f t="shared" ca="1" si="546"/>
        <v>1864301.649161794</v>
      </c>
      <c r="BH604" s="24">
        <f t="shared" ca="1" si="547"/>
        <v>1690.5140480357923</v>
      </c>
      <c r="BI604">
        <f t="shared" ca="1" si="548"/>
        <v>0</v>
      </c>
      <c r="BJ604" s="24">
        <f t="shared" ca="1" si="549"/>
        <v>11833.598336250543</v>
      </c>
      <c r="BK604">
        <f t="shared" ca="1" si="550"/>
        <v>1</v>
      </c>
      <c r="BL604" s="25">
        <f t="shared" ca="1" si="551"/>
        <v>986.13319468754526</v>
      </c>
      <c r="BM604" s="32">
        <f t="shared" ca="1" si="530"/>
        <v>62394.52424314354</v>
      </c>
      <c r="BN604" s="23">
        <f t="shared" ca="1" si="552"/>
        <v>0</v>
      </c>
      <c r="BO604" s="24">
        <f t="shared" ca="1" si="553"/>
        <v>0</v>
      </c>
      <c r="BP604" s="25">
        <f t="shared" ca="1" si="554"/>
        <v>0</v>
      </c>
      <c r="BQ604" s="34">
        <f t="shared" ca="1" si="555"/>
        <v>63797</v>
      </c>
      <c r="BR604" s="23">
        <f t="shared" ca="1" si="556"/>
        <v>62394.52424314354</v>
      </c>
      <c r="BS604" s="24">
        <f t="shared" ca="1" si="557"/>
        <v>0</v>
      </c>
      <c r="BT604" s="24">
        <f t="shared" ca="1" si="562"/>
        <v>0</v>
      </c>
      <c r="BU604" s="24">
        <f t="shared" ca="1" si="558"/>
        <v>0</v>
      </c>
      <c r="BV604" s="24">
        <f t="shared" ca="1" si="563"/>
        <v>0</v>
      </c>
      <c r="BW604" s="24">
        <f t="shared" ca="1" si="559"/>
        <v>-986.13319468754526</v>
      </c>
      <c r="BX604" s="25">
        <f t="shared" ca="1" si="564"/>
        <v>-12036.831170389398</v>
      </c>
      <c r="BY604" s="23">
        <f t="shared" ca="1" si="531"/>
        <v>8866.2066095765931</v>
      </c>
      <c r="BZ604" s="24">
        <f t="shared" ca="1" si="532"/>
        <v>0</v>
      </c>
      <c r="CA604" s="24">
        <f t="shared" ca="1" si="565"/>
        <v>0</v>
      </c>
      <c r="CB604" s="24">
        <f t="shared" ca="1" si="533"/>
        <v>0</v>
      </c>
      <c r="CC604" s="24">
        <f t="shared" ca="1" si="566"/>
        <v>0</v>
      </c>
      <c r="CD604" s="24">
        <f t="shared" ca="1" si="534"/>
        <v>-140.58739793720261</v>
      </c>
      <c r="CE604" s="25">
        <f t="shared" ca="1" si="567"/>
        <v>-1747.7443545137403</v>
      </c>
      <c r="CF604" s="23">
        <f t="shared" ca="1" si="568"/>
        <v>1852350.9975646031</v>
      </c>
      <c r="CG604" s="25">
        <f t="array" aca="1" ref="CG604" ca="1">SUM(BF593:BF604/(1+inflation/100)^(AP593:AP604/12))</f>
        <v>267980.53702225379</v>
      </c>
      <c r="CH604" s="32">
        <f ca="1">IFERROR(IF(MOD(AP604-ap_months_since_start,12)=0,ap_drawdown/100*(AQ604+AV604+BA604-BC604),CH603),0)</f>
        <v>10392.882874323665</v>
      </c>
    </row>
    <row r="605" spans="40:86" x14ac:dyDescent="0.25">
      <c r="AN605" s="32">
        <f t="shared" ca="1" si="529"/>
        <v>104.66666666666667</v>
      </c>
      <c r="AO605" s="53">
        <f t="shared" ca="1" si="560"/>
        <v>63798</v>
      </c>
      <c r="AP605" s="22">
        <v>598</v>
      </c>
      <c r="AQ605" s="32">
        <f t="shared" ca="1" si="561"/>
        <v>62394.52424314354</v>
      </c>
      <c r="AR605" s="23">
        <f t="array" aca="1" ref="AR605" ca="1">SUM(IF(lsc_start_date=AO605,lsc_amount,0))</f>
        <v>0</v>
      </c>
      <c r="AS605" s="24">
        <f t="shared" ca="1" si="535"/>
        <v>0</v>
      </c>
      <c r="AT605" s="24">
        <f t="shared" ca="1" si="536"/>
        <v>0</v>
      </c>
      <c r="AU605" s="24">
        <f t="shared" ca="1" si="537"/>
        <v>0</v>
      </c>
      <c r="AV605" s="25">
        <f t="shared" ca="1" si="538"/>
        <v>0</v>
      </c>
      <c r="AW605" s="23">
        <f t="array" aca="1" ref="AW605" ca="1">SUM(IF(rcs_start_date&lt;=AO605,1,0)*IF(rcs_end_date&gt;=AO605,1,0)*rcs_amount*(1+rcs_escalation/100)^(INT((AP605-rcs_months_since_start)/12))*IF(MOD((AP605-rcs_months_since_start),rcs_frequency)=0,1,0)*IF(rcs_frequency=13,0,1))+SUM(IF(rcs_start_date=AO605,rcs_amount,0)*IF(rcs_frequency=13,1,0))</f>
        <v>0</v>
      </c>
      <c r="AX605" s="24">
        <f t="shared" ca="1" si="539"/>
        <v>0</v>
      </c>
      <c r="AY605" s="24">
        <f t="shared" ca="1" si="540"/>
        <v>0</v>
      </c>
      <c r="AZ605" s="24">
        <f t="shared" ca="1" si="541"/>
        <v>0</v>
      </c>
      <c r="BA605" s="25">
        <f t="shared" ca="1" si="542"/>
        <v>0</v>
      </c>
      <c r="BB605" s="23">
        <f t="array" aca="1" ref="BB605" ca="1">SUM(IF(w_start_date&lt;=AO605,1,0)*IF(w_end_date&gt;=AO605,1,0)*w_amount*(1+w_escalation/100)^(INT((AP605-w_months_since_start)/12))*IF(MOD(AP605-w_months_since_start,w_frequency)=0,1,0)*IF(w_frequency=13,0,1))+SUM(IF(w_start_date=AO605,w_amount,0)*IF(w_frequency=13,1,0))</f>
        <v>0</v>
      </c>
      <c r="BC605" s="25">
        <f t="shared" ca="1" si="543"/>
        <v>0</v>
      </c>
      <c r="BD605" s="24" t="b">
        <f t="shared" ca="1" si="544"/>
        <v>1</v>
      </c>
      <c r="BE605" s="24" t="b">
        <f t="shared" ca="1" si="545"/>
        <v>1</v>
      </c>
      <c r="BF605" s="23">
        <f t="array" aca="1" ref="BF605" ca="1">SUM(IF(BD605,1,0)*IF(ap_start_date&lt;=AO605,1,0)*IF(ap_end_date&gt;=AO605,1,0)*ap_amount*(1+ap_escalation/100)^(INT((AP605-ap_months_since_start)/12))*IF(MOD(AP605-ap_months_since_start,ap_frequency)=0,1,0))</f>
        <v>155358.47076348282</v>
      </c>
      <c r="BG605" s="24">
        <f t="shared" ca="1" si="546"/>
        <v>1864301.649161794</v>
      </c>
      <c r="BH605" s="24">
        <f t="shared" ca="1" si="547"/>
        <v>1690.5140480357923</v>
      </c>
      <c r="BI605">
        <f t="shared" ca="1" si="548"/>
        <v>0</v>
      </c>
      <c r="BJ605" s="24">
        <f t="shared" ca="1" si="549"/>
        <v>11833.598336250543</v>
      </c>
      <c r="BK605">
        <f t="shared" ca="1" si="550"/>
        <v>1</v>
      </c>
      <c r="BL605" s="25">
        <f t="shared" ca="1" si="551"/>
        <v>986.13319468754526</v>
      </c>
      <c r="BM605" s="32">
        <f t="shared" ca="1" si="530"/>
        <v>61850.981177065973</v>
      </c>
      <c r="BN605" s="23">
        <f t="shared" ca="1" si="552"/>
        <v>0</v>
      </c>
      <c r="BO605" s="24">
        <f t="shared" ca="1" si="553"/>
        <v>0</v>
      </c>
      <c r="BP605" s="25">
        <f t="shared" ca="1" si="554"/>
        <v>0</v>
      </c>
      <c r="BQ605" s="34">
        <f t="shared" ca="1" si="555"/>
        <v>63827</v>
      </c>
      <c r="BR605" s="23">
        <f t="shared" ca="1" si="556"/>
        <v>61850.981177065973</v>
      </c>
      <c r="BS605" s="24">
        <f t="shared" ca="1" si="557"/>
        <v>0</v>
      </c>
      <c r="BT605" s="24">
        <f t="shared" ca="1" si="562"/>
        <v>0</v>
      </c>
      <c r="BU605" s="24">
        <f t="shared" ca="1" si="558"/>
        <v>0</v>
      </c>
      <c r="BV605" s="24">
        <f t="shared" ca="1" si="563"/>
        <v>0</v>
      </c>
      <c r="BW605" s="24">
        <f t="shared" ca="1" si="559"/>
        <v>-986.13319468754526</v>
      </c>
      <c r="BX605" s="25">
        <f t="shared" ca="1" si="564"/>
        <v>-11935.21475331997</v>
      </c>
      <c r="BY605" s="23">
        <f t="shared" ca="1" si="531"/>
        <v>8760.2907093007889</v>
      </c>
      <c r="BZ605" s="24">
        <f t="shared" ca="1" si="532"/>
        <v>0</v>
      </c>
      <c r="CA605" s="24">
        <f t="shared" ca="1" si="565"/>
        <v>0</v>
      </c>
      <c r="CB605" s="24">
        <f t="shared" ca="1" si="533"/>
        <v>0</v>
      </c>
      <c r="CC605" s="24">
        <f t="shared" ca="1" si="566"/>
        <v>0</v>
      </c>
      <c r="CD605" s="24">
        <f t="shared" ca="1" si="534"/>
        <v>-140.12865319062647</v>
      </c>
      <c r="CE605" s="25">
        <f t="shared" ca="1" si="567"/>
        <v>-1727.1220214458378</v>
      </c>
      <c r="CF605" s="23">
        <f t="shared" ca="1" si="568"/>
        <v>1858326.3233631987</v>
      </c>
      <c r="CG605" s="25">
        <f t="array" aca="1" ref="CG605" ca="1">SUM(BF594:BF605/(1+inflation/100)^(AP594:AP605/12))</f>
        <v>267980.53702225379</v>
      </c>
      <c r="CH605" s="32">
        <f ca="1">IFERROR(IF(MOD(AP605-ap_months_since_start,12)=0,ap_drawdown/100*(AQ605+AV605+BA605-BC605),CH604),0)</f>
        <v>10392.882874323665</v>
      </c>
    </row>
    <row r="606" spans="40:86" x14ac:dyDescent="0.25">
      <c r="AN606" s="32">
        <f t="shared" ca="1" si="529"/>
        <v>104.75</v>
      </c>
      <c r="AO606" s="53">
        <f t="shared" ca="1" si="560"/>
        <v>63828</v>
      </c>
      <c r="AP606" s="22">
        <v>599</v>
      </c>
      <c r="AQ606" s="32">
        <f t="shared" ca="1" si="561"/>
        <v>61850.981177065973</v>
      </c>
      <c r="AR606" s="23">
        <f t="array" aca="1" ref="AR606" ca="1">SUM(IF(lsc_start_date=AO606,lsc_amount,0))</f>
        <v>0</v>
      </c>
      <c r="AS606" s="24">
        <f t="shared" ca="1" si="535"/>
        <v>0</v>
      </c>
      <c r="AT606" s="24">
        <f t="shared" ca="1" si="536"/>
        <v>0</v>
      </c>
      <c r="AU606" s="24">
        <f t="shared" ca="1" si="537"/>
        <v>0</v>
      </c>
      <c r="AV606" s="25">
        <f t="shared" ca="1" si="538"/>
        <v>0</v>
      </c>
      <c r="AW606" s="23">
        <f t="array" aca="1" ref="AW606" ca="1">SUM(IF(rcs_start_date&lt;=AO606,1,0)*IF(rcs_end_date&gt;=AO606,1,0)*rcs_amount*(1+rcs_escalation/100)^(INT((AP606-rcs_months_since_start)/12))*IF(MOD((AP606-rcs_months_since_start),rcs_frequency)=0,1,0)*IF(rcs_frequency=13,0,1))+SUM(IF(rcs_start_date=AO606,rcs_amount,0)*IF(rcs_frequency=13,1,0))</f>
        <v>0</v>
      </c>
      <c r="AX606" s="24">
        <f t="shared" ca="1" si="539"/>
        <v>0</v>
      </c>
      <c r="AY606" s="24">
        <f t="shared" ca="1" si="540"/>
        <v>0</v>
      </c>
      <c r="AZ606" s="24">
        <f t="shared" ca="1" si="541"/>
        <v>0</v>
      </c>
      <c r="BA606" s="25">
        <f t="shared" ca="1" si="542"/>
        <v>0</v>
      </c>
      <c r="BB606" s="23">
        <f t="array" aca="1" ref="BB606" ca="1">SUM(IF(w_start_date&lt;=AO606,1,0)*IF(w_end_date&gt;=AO606,1,0)*w_amount*(1+w_escalation/100)^(INT((AP606-w_months_since_start)/12))*IF(MOD(AP606-w_months_since_start,w_frequency)=0,1,0)*IF(w_frequency=13,0,1))+SUM(IF(w_start_date=AO606,w_amount,0)*IF(w_frequency=13,1,0))</f>
        <v>0</v>
      </c>
      <c r="BC606" s="25">
        <f t="shared" ca="1" si="543"/>
        <v>0</v>
      </c>
      <c r="BD606" s="24" t="b">
        <f t="shared" ca="1" si="544"/>
        <v>1</v>
      </c>
      <c r="BE606" s="24" t="b">
        <f t="shared" ca="1" si="545"/>
        <v>1</v>
      </c>
      <c r="BF606" s="23">
        <f t="array" aca="1" ref="BF606" ca="1">SUM(IF(BD606,1,0)*IF(ap_start_date&lt;=AO606,1,0)*IF(ap_end_date&gt;=AO606,1,0)*ap_amount*(1+ap_escalation/100)^(INT((AP606-ap_months_since_start)/12))*IF(MOD(AP606-ap_months_since_start,ap_frequency)=0,1,0))</f>
        <v>155358.47076348282</v>
      </c>
      <c r="BG606" s="24">
        <f t="shared" ca="1" si="546"/>
        <v>1864301.649161794</v>
      </c>
      <c r="BH606" s="24">
        <f t="shared" ca="1" si="547"/>
        <v>1690.5140480357923</v>
      </c>
      <c r="BI606">
        <f t="shared" ca="1" si="548"/>
        <v>0</v>
      </c>
      <c r="BJ606" s="24">
        <f t="shared" ca="1" si="549"/>
        <v>11833.598336250543</v>
      </c>
      <c r="BK606">
        <f t="shared" ca="1" si="550"/>
        <v>1</v>
      </c>
      <c r="BL606" s="25">
        <f t="shared" ca="1" si="551"/>
        <v>986.13319468754526</v>
      </c>
      <c r="BM606" s="32">
        <f t="shared" ca="1" si="530"/>
        <v>61303.52062037494</v>
      </c>
      <c r="BN606" s="23">
        <f t="shared" ca="1" si="552"/>
        <v>0</v>
      </c>
      <c r="BO606" s="24">
        <f t="shared" ca="1" si="553"/>
        <v>0</v>
      </c>
      <c r="BP606" s="25">
        <f t="shared" ca="1" si="554"/>
        <v>0</v>
      </c>
      <c r="BQ606" s="34">
        <f t="shared" ca="1" si="555"/>
        <v>63858</v>
      </c>
      <c r="BR606" s="23">
        <f t="shared" ca="1" si="556"/>
        <v>61303.52062037494</v>
      </c>
      <c r="BS606" s="24">
        <f t="shared" ca="1" si="557"/>
        <v>0</v>
      </c>
      <c r="BT606" s="24">
        <f t="shared" ca="1" si="562"/>
        <v>0</v>
      </c>
      <c r="BU606" s="24">
        <f t="shared" ca="1" si="558"/>
        <v>0</v>
      </c>
      <c r="BV606" s="24">
        <f t="shared" ca="1" si="563"/>
        <v>0</v>
      </c>
      <c r="BW606" s="24">
        <f t="shared" ca="1" si="559"/>
        <v>-986.13319468754526</v>
      </c>
      <c r="BX606" s="25">
        <f t="shared" ca="1" si="564"/>
        <v>-11833.598336250543</v>
      </c>
      <c r="BY606" s="23">
        <f t="shared" ca="1" si="531"/>
        <v>8654.4185800578434</v>
      </c>
      <c r="BZ606" s="24">
        <f t="shared" ca="1" si="532"/>
        <v>0</v>
      </c>
      <c r="CA606" s="24">
        <f t="shared" ca="1" si="565"/>
        <v>0</v>
      </c>
      <c r="CB606" s="24">
        <f t="shared" ca="1" si="533"/>
        <v>0</v>
      </c>
      <c r="CC606" s="24">
        <f t="shared" ca="1" si="566"/>
        <v>0</v>
      </c>
      <c r="CD606" s="24">
        <f t="shared" ca="1" si="534"/>
        <v>-139.67140535448186</v>
      </c>
      <c r="CE606" s="25">
        <f t="shared" ca="1" si="567"/>
        <v>-1706.5669802340753</v>
      </c>
      <c r="CF606" s="23">
        <f t="shared" ca="1" si="568"/>
        <v>1864301.649161794</v>
      </c>
      <c r="CG606" s="25">
        <f t="array" aca="1" ref="CG606" ca="1">SUM(BF595:BF606/(1+inflation/100)^(AP595:AP606/12))</f>
        <v>267980.53702225379</v>
      </c>
      <c r="CH606" s="32">
        <f ca="1">IFERROR(IF(MOD(AP606-ap_months_since_start,12)=0,ap_drawdown/100*(AQ606+AV606+BA606-BC606),CH605),0)</f>
        <v>10392.882874323665</v>
      </c>
    </row>
    <row r="607" spans="40:86" x14ac:dyDescent="0.25">
      <c r="AN607" s="32">
        <f t="shared" ca="1" si="529"/>
        <v>104.83333333333333</v>
      </c>
      <c r="AO607" s="53">
        <f t="shared" ca="1" si="560"/>
        <v>63859</v>
      </c>
      <c r="AP607" s="22">
        <v>600</v>
      </c>
      <c r="AQ607" s="32">
        <f t="shared" ca="1" si="561"/>
        <v>61303.52062037494</v>
      </c>
      <c r="AR607" s="23">
        <f t="array" aca="1" ref="AR607" ca="1">SUM(IF(lsc_start_date=AO607,lsc_amount,0))</f>
        <v>0</v>
      </c>
      <c r="AS607" s="24">
        <f t="shared" ca="1" si="535"/>
        <v>0</v>
      </c>
      <c r="AT607" s="24">
        <f t="shared" ca="1" si="536"/>
        <v>0</v>
      </c>
      <c r="AU607" s="24">
        <f t="shared" ca="1" si="537"/>
        <v>0</v>
      </c>
      <c r="AV607" s="25">
        <f t="shared" ca="1" si="538"/>
        <v>0</v>
      </c>
      <c r="AW607" s="23">
        <f t="array" aca="1" ref="AW607" ca="1">SUM(IF(rcs_start_date&lt;=AO607,1,0)*IF(rcs_end_date&gt;=AO607,1,0)*rcs_amount*(1+rcs_escalation/100)^(INT((AP607-rcs_months_since_start)/12))*IF(MOD((AP607-rcs_months_since_start),rcs_frequency)=0,1,0)*IF(rcs_frequency=13,0,1))+SUM(IF(rcs_start_date=AO607,rcs_amount,0)*IF(rcs_frequency=13,1,0))</f>
        <v>0</v>
      </c>
      <c r="AX607" s="24">
        <f t="shared" ca="1" si="539"/>
        <v>0</v>
      </c>
      <c r="AY607" s="24">
        <f t="shared" ca="1" si="540"/>
        <v>0</v>
      </c>
      <c r="AZ607" s="24">
        <f t="shared" ca="1" si="541"/>
        <v>0</v>
      </c>
      <c r="BA607" s="25">
        <f t="shared" ca="1" si="542"/>
        <v>0</v>
      </c>
      <c r="BB607" s="23">
        <f t="array" aca="1" ref="BB607" ca="1">SUM(IF(w_start_date&lt;=AO607,1,0)*IF(w_end_date&gt;=AO607,1,0)*w_amount*(1+w_escalation/100)^(INT((AP607-w_months_since_start)/12))*IF(MOD(AP607-w_months_since_start,w_frequency)=0,1,0)*IF(w_frequency=13,0,1))+SUM(IF(w_start_date=AO607,w_amount,0)*IF(w_frequency=13,1,0))</f>
        <v>0</v>
      </c>
      <c r="BC607" s="25">
        <f t="shared" ca="1" si="543"/>
        <v>0</v>
      </c>
      <c r="BD607" s="24" t="b">
        <f t="shared" ca="1" si="544"/>
        <v>1</v>
      </c>
      <c r="BE607" s="24" t="b">
        <f t="shared" ca="1" si="545"/>
        <v>1</v>
      </c>
      <c r="BF607" s="23">
        <f t="array" aca="1" ref="BF607" ca="1">SUM(IF(BD607,1,0)*IF(ap_start_date&lt;=AO607,1,0)*IF(ap_end_date&gt;=AO607,1,0)*ap_amount*(1+ap_escalation/100)^(INT((AP607-ap_months_since_start)/12))*IF(MOD(AP607-ap_months_since_start,ap_frequency)=0,1,0))</f>
        <v>161572.80959402214</v>
      </c>
      <c r="BG607" s="24">
        <f t="shared" ca="1" si="546"/>
        <v>1938873.7151282656</v>
      </c>
      <c r="BH607" s="24">
        <f t="shared" ca="1" si="547"/>
        <v>1532.5880155093737</v>
      </c>
      <c r="BI607">
        <f t="shared" ca="1" si="548"/>
        <v>0</v>
      </c>
      <c r="BJ607" s="24">
        <f t="shared" ca="1" si="549"/>
        <v>10728.116108565613</v>
      </c>
      <c r="BK607">
        <f t="shared" ca="1" si="550"/>
        <v>1</v>
      </c>
      <c r="BL607" s="25">
        <f t="shared" ca="1" si="551"/>
        <v>894.00967571380124</v>
      </c>
      <c r="BM607" s="32">
        <f t="shared" ca="1" si="530"/>
        <v>60844.90182140901</v>
      </c>
      <c r="BN607" s="23">
        <f t="shared" ca="1" si="552"/>
        <v>0</v>
      </c>
      <c r="BO607" s="24">
        <f t="shared" ca="1" si="553"/>
        <v>0</v>
      </c>
      <c r="BP607" s="25">
        <f t="shared" ca="1" si="554"/>
        <v>0</v>
      </c>
      <c r="BQ607" s="34">
        <f t="shared" ca="1" si="555"/>
        <v>63888</v>
      </c>
      <c r="BR607" s="23">
        <f t="shared" ca="1" si="556"/>
        <v>60844.90182140901</v>
      </c>
      <c r="BS607" s="24">
        <f t="shared" ca="1" si="557"/>
        <v>0</v>
      </c>
      <c r="BT607" s="24">
        <f t="shared" ca="1" si="562"/>
        <v>0</v>
      </c>
      <c r="BU607" s="24">
        <f t="shared" ca="1" si="558"/>
        <v>0</v>
      </c>
      <c r="BV607" s="24">
        <f t="shared" ca="1" si="563"/>
        <v>0</v>
      </c>
      <c r="BW607" s="24">
        <f t="shared" ca="1" si="559"/>
        <v>-894.00967571380124</v>
      </c>
      <c r="BX607" s="25">
        <f t="shared" ca="1" si="564"/>
        <v>-11741.4748172768</v>
      </c>
      <c r="BY607" s="23">
        <f t="shared" ca="1" si="531"/>
        <v>8561.6452649846433</v>
      </c>
      <c r="BZ607" s="24">
        <f t="shared" ca="1" si="532"/>
        <v>0</v>
      </c>
      <c r="CA607" s="24">
        <f t="shared" ca="1" si="565"/>
        <v>0</v>
      </c>
      <c r="CB607" s="24">
        <f t="shared" ca="1" si="533"/>
        <v>0</v>
      </c>
      <c r="CC607" s="24">
        <f t="shared" ca="1" si="566"/>
        <v>0</v>
      </c>
      <c r="CD607" s="24">
        <f t="shared" ca="1" si="534"/>
        <v>-126.21027095917688</v>
      </c>
      <c r="CE607" s="25">
        <f t="shared" ca="1" si="567"/>
        <v>-1687.9929756672173</v>
      </c>
      <c r="CF607" s="23">
        <f t="shared" ca="1" si="568"/>
        <v>1870515.9879923332</v>
      </c>
      <c r="CG607" s="25">
        <f t="array" aca="1" ref="CG607" ca="1">SUM(BF596:BF607/(1+inflation/100)^(AP596:AP607/12))</f>
        <v>267980.53702225379</v>
      </c>
      <c r="CH607" s="32">
        <f ca="1">IFERROR(IF(MOD(AP607-ap_months_since_start,12)=0,ap_drawdown/100*(AQ607+AV607+BA607-BC607),CH606),0)</f>
        <v>9421.9907597264901</v>
      </c>
    </row>
    <row r="608" spans="40:86" x14ac:dyDescent="0.25">
      <c r="AN608" s="32">
        <f t="shared" ca="1" si="529"/>
        <v>104.91666666666667</v>
      </c>
      <c r="AO608" s="53">
        <f t="shared" ca="1" si="560"/>
        <v>63889</v>
      </c>
      <c r="AP608" s="22">
        <v>601</v>
      </c>
      <c r="AQ608" s="32">
        <f t="shared" ca="1" si="561"/>
        <v>60844.90182140901</v>
      </c>
      <c r="AR608" s="23">
        <f t="array" aca="1" ref="AR608" ca="1">SUM(IF(lsc_start_date=AO608,lsc_amount,0))</f>
        <v>0</v>
      </c>
      <c r="AS608" s="24">
        <f t="shared" ca="1" si="535"/>
        <v>0</v>
      </c>
      <c r="AT608" s="24">
        <f t="shared" ca="1" si="536"/>
        <v>0</v>
      </c>
      <c r="AU608" s="24">
        <f t="shared" ca="1" si="537"/>
        <v>0</v>
      </c>
      <c r="AV608" s="25">
        <f t="shared" ca="1" si="538"/>
        <v>0</v>
      </c>
      <c r="AW608" s="23">
        <f t="array" aca="1" ref="AW608" ca="1">SUM(IF(rcs_start_date&lt;=AO608,1,0)*IF(rcs_end_date&gt;=AO608,1,0)*rcs_amount*(1+rcs_escalation/100)^(INT((AP608-rcs_months_since_start)/12))*IF(MOD((AP608-rcs_months_since_start),rcs_frequency)=0,1,0)*IF(rcs_frequency=13,0,1))+SUM(IF(rcs_start_date=AO608,rcs_amount,0)*IF(rcs_frequency=13,1,0))</f>
        <v>0</v>
      </c>
      <c r="AX608" s="24">
        <f t="shared" ca="1" si="539"/>
        <v>0</v>
      </c>
      <c r="AY608" s="24">
        <f t="shared" ca="1" si="540"/>
        <v>0</v>
      </c>
      <c r="AZ608" s="24">
        <f t="shared" ca="1" si="541"/>
        <v>0</v>
      </c>
      <c r="BA608" s="25">
        <f t="shared" ca="1" si="542"/>
        <v>0</v>
      </c>
      <c r="BB608" s="23">
        <f t="array" aca="1" ref="BB608" ca="1">SUM(IF(w_start_date&lt;=AO608,1,0)*IF(w_end_date&gt;=AO608,1,0)*w_amount*(1+w_escalation/100)^(INT((AP608-w_months_since_start)/12))*IF(MOD(AP608-w_months_since_start,w_frequency)=0,1,0)*IF(w_frequency=13,0,1))+SUM(IF(w_start_date=AO608,w_amount,0)*IF(w_frequency=13,1,0))</f>
        <v>0</v>
      </c>
      <c r="BC608" s="25">
        <f t="shared" ca="1" si="543"/>
        <v>0</v>
      </c>
      <c r="BD608" s="24" t="b">
        <f t="shared" ca="1" si="544"/>
        <v>1</v>
      </c>
      <c r="BE608" s="24" t="b">
        <f t="shared" ca="1" si="545"/>
        <v>1</v>
      </c>
      <c r="BF608" s="23">
        <f t="array" aca="1" ref="BF608" ca="1">SUM(IF(BD608,1,0)*IF(ap_start_date&lt;=AO608,1,0)*IF(ap_end_date&gt;=AO608,1,0)*ap_amount*(1+ap_escalation/100)^(INT((AP608-ap_months_since_start)/12))*IF(MOD(AP608-ap_months_since_start,ap_frequency)=0,1,0))</f>
        <v>161572.80959402214</v>
      </c>
      <c r="BG608" s="24">
        <f t="shared" ca="1" si="546"/>
        <v>1938873.7151282656</v>
      </c>
      <c r="BH608" s="24">
        <f t="shared" ca="1" si="547"/>
        <v>1532.5880155093737</v>
      </c>
      <c r="BI608">
        <f t="shared" ca="1" si="548"/>
        <v>0</v>
      </c>
      <c r="BJ608" s="24">
        <f t="shared" ca="1" si="549"/>
        <v>10728.116108565613</v>
      </c>
      <c r="BK608">
        <f t="shared" ca="1" si="550"/>
        <v>1</v>
      </c>
      <c r="BL608" s="25">
        <f t="shared" ca="1" si="551"/>
        <v>894.00967571380124</v>
      </c>
      <c r="BM608" s="32">
        <f t="shared" ca="1" si="530"/>
        <v>60382.977608480076</v>
      </c>
      <c r="BN608" s="23">
        <f t="shared" ca="1" si="552"/>
        <v>0</v>
      </c>
      <c r="BO608" s="24">
        <f t="shared" ca="1" si="553"/>
        <v>0</v>
      </c>
      <c r="BP608" s="25">
        <f t="shared" ca="1" si="554"/>
        <v>0</v>
      </c>
      <c r="BQ608" s="34">
        <f t="shared" ca="1" si="555"/>
        <v>63919</v>
      </c>
      <c r="BR608" s="23">
        <f t="shared" ca="1" si="556"/>
        <v>60382.977608480076</v>
      </c>
      <c r="BS608" s="24">
        <f t="shared" ca="1" si="557"/>
        <v>0</v>
      </c>
      <c r="BT608" s="24">
        <f t="shared" ca="1" si="562"/>
        <v>0</v>
      </c>
      <c r="BU608" s="24">
        <f t="shared" ca="1" si="558"/>
        <v>0</v>
      </c>
      <c r="BV608" s="24">
        <f t="shared" ca="1" si="563"/>
        <v>0</v>
      </c>
      <c r="BW608" s="24">
        <f t="shared" ca="1" si="559"/>
        <v>-894.00967571380124</v>
      </c>
      <c r="BX608" s="25">
        <f t="shared" ca="1" si="564"/>
        <v>-11649.351298303056</v>
      </c>
      <c r="BY608" s="23">
        <f t="shared" ca="1" si="531"/>
        <v>8468.921655162836</v>
      </c>
      <c r="BZ608" s="24">
        <f t="shared" ca="1" si="532"/>
        <v>0</v>
      </c>
      <c r="CA608" s="24">
        <f t="shared" ca="1" si="565"/>
        <v>0</v>
      </c>
      <c r="CB608" s="24">
        <f t="shared" ca="1" si="533"/>
        <v>0</v>
      </c>
      <c r="CC608" s="24">
        <f t="shared" ca="1" si="566"/>
        <v>0</v>
      </c>
      <c r="CD608" s="24">
        <f t="shared" ca="1" si="534"/>
        <v>-125.79843960291021</v>
      </c>
      <c r="CE608" s="25">
        <f t="shared" ca="1" si="567"/>
        <v>-1669.4795791430643</v>
      </c>
      <c r="CF608" s="23">
        <f t="shared" ca="1" si="568"/>
        <v>1876730.3268228725</v>
      </c>
      <c r="CG608" s="25">
        <f t="array" aca="1" ref="CG608" ca="1">SUM(BF597:BF608/(1+inflation/100)^(AP597:AP608/12))</f>
        <v>267980.53702225379</v>
      </c>
      <c r="CH608" s="32">
        <f ca="1">IFERROR(IF(MOD(AP608-ap_months_since_start,12)=0,ap_drawdown/100*(AQ608+AV608+BA608-BC608),CH607),0)</f>
        <v>9421.9907597264901</v>
      </c>
    </row>
    <row r="609" spans="40:86" x14ac:dyDescent="0.25">
      <c r="AN609" s="32">
        <f t="shared" ca="1" si="529"/>
        <v>105</v>
      </c>
      <c r="AO609" s="53">
        <f t="shared" ca="1" si="560"/>
        <v>63920</v>
      </c>
      <c r="AP609" s="22">
        <v>602</v>
      </c>
      <c r="AQ609" s="32">
        <f t="shared" ca="1" si="561"/>
        <v>60382.977608480076</v>
      </c>
      <c r="AR609" s="23">
        <f t="array" aca="1" ref="AR609" ca="1">SUM(IF(lsc_start_date=AO609,lsc_amount,0))</f>
        <v>0</v>
      </c>
      <c r="AS609" s="24">
        <f t="shared" ca="1" si="535"/>
        <v>0</v>
      </c>
      <c r="AT609" s="24">
        <f t="shared" ca="1" si="536"/>
        <v>0</v>
      </c>
      <c r="AU609" s="24">
        <f t="shared" ca="1" si="537"/>
        <v>0</v>
      </c>
      <c r="AV609" s="25">
        <f t="shared" ca="1" si="538"/>
        <v>0</v>
      </c>
      <c r="AW609" s="23">
        <f t="array" aca="1" ref="AW609" ca="1">SUM(IF(rcs_start_date&lt;=AO609,1,0)*IF(rcs_end_date&gt;=AO609,1,0)*rcs_amount*(1+rcs_escalation/100)^(INT((AP609-rcs_months_since_start)/12))*IF(MOD((AP609-rcs_months_since_start),rcs_frequency)=0,1,0)*IF(rcs_frequency=13,0,1))+SUM(IF(rcs_start_date=AO609,rcs_amount,0)*IF(rcs_frequency=13,1,0))</f>
        <v>0</v>
      </c>
      <c r="AX609" s="24">
        <f t="shared" ca="1" si="539"/>
        <v>0</v>
      </c>
      <c r="AY609" s="24">
        <f t="shared" ca="1" si="540"/>
        <v>0</v>
      </c>
      <c r="AZ609" s="24">
        <f t="shared" ca="1" si="541"/>
        <v>0</v>
      </c>
      <c r="BA609" s="25">
        <f t="shared" ca="1" si="542"/>
        <v>0</v>
      </c>
      <c r="BB609" s="23">
        <f t="array" aca="1" ref="BB609" ca="1">SUM(IF(w_start_date&lt;=AO609,1,0)*IF(w_end_date&gt;=AO609,1,0)*w_amount*(1+w_escalation/100)^(INT((AP609-w_months_since_start)/12))*IF(MOD(AP609-w_months_since_start,w_frequency)=0,1,0)*IF(w_frequency=13,0,1))+SUM(IF(w_start_date=AO609,w_amount,0)*IF(w_frequency=13,1,0))</f>
        <v>0</v>
      </c>
      <c r="BC609" s="25">
        <f t="shared" ca="1" si="543"/>
        <v>0</v>
      </c>
      <c r="BD609" s="24" t="b">
        <f t="shared" ca="1" si="544"/>
        <v>1</v>
      </c>
      <c r="BE609" s="24" t="b">
        <f t="shared" ca="1" si="545"/>
        <v>1</v>
      </c>
      <c r="BF609" s="23">
        <f t="array" aca="1" ref="BF609" ca="1">SUM(IF(BD609,1,0)*IF(ap_start_date&lt;=AO609,1,0)*IF(ap_end_date&gt;=AO609,1,0)*ap_amount*(1+ap_escalation/100)^(INT((AP609-ap_months_since_start)/12))*IF(MOD(AP609-ap_months_since_start,ap_frequency)=0,1,0))</f>
        <v>161572.80959402214</v>
      </c>
      <c r="BG609" s="24">
        <f t="shared" ca="1" si="546"/>
        <v>1938873.7151282656</v>
      </c>
      <c r="BH609" s="24">
        <f t="shared" ca="1" si="547"/>
        <v>1532.5880155093737</v>
      </c>
      <c r="BI609">
        <f t="shared" ca="1" si="548"/>
        <v>0</v>
      </c>
      <c r="BJ609" s="24">
        <f t="shared" ca="1" si="549"/>
        <v>10728.116108565613</v>
      </c>
      <c r="BK609">
        <f t="shared" ca="1" si="550"/>
        <v>1</v>
      </c>
      <c r="BL609" s="25">
        <f t="shared" ca="1" si="551"/>
        <v>894.00967571380124</v>
      </c>
      <c r="BM609" s="32">
        <f t="shared" ca="1" si="530"/>
        <v>59917.724158401012</v>
      </c>
      <c r="BN609" s="23">
        <f t="shared" ca="1" si="552"/>
        <v>0</v>
      </c>
      <c r="BO609" s="24">
        <f t="shared" ca="1" si="553"/>
        <v>0</v>
      </c>
      <c r="BP609" s="25">
        <f t="shared" ca="1" si="554"/>
        <v>0</v>
      </c>
      <c r="BQ609" s="34">
        <f t="shared" ca="1" si="555"/>
        <v>63950</v>
      </c>
      <c r="BR609" s="23">
        <f t="shared" ca="1" si="556"/>
        <v>59917.724158401012</v>
      </c>
      <c r="BS609" s="24">
        <f t="shared" ca="1" si="557"/>
        <v>0</v>
      </c>
      <c r="BT609" s="24">
        <f t="shared" ca="1" si="562"/>
        <v>0</v>
      </c>
      <c r="BU609" s="24">
        <f t="shared" ca="1" si="558"/>
        <v>0</v>
      </c>
      <c r="BV609" s="24">
        <f t="shared" ca="1" si="563"/>
        <v>0</v>
      </c>
      <c r="BW609" s="24">
        <f t="shared" ca="1" si="559"/>
        <v>-894.00967571380124</v>
      </c>
      <c r="BX609" s="25">
        <f t="shared" ca="1" si="564"/>
        <v>-11557.227779329312</v>
      </c>
      <c r="BY609" s="23">
        <f t="shared" ca="1" si="531"/>
        <v>8376.2465963760133</v>
      </c>
      <c r="BZ609" s="24">
        <f t="shared" ca="1" si="532"/>
        <v>0</v>
      </c>
      <c r="CA609" s="24">
        <f t="shared" ca="1" si="565"/>
        <v>0</v>
      </c>
      <c r="CB609" s="24">
        <f t="shared" ca="1" si="533"/>
        <v>0</v>
      </c>
      <c r="CC609" s="24">
        <f t="shared" ca="1" si="566"/>
        <v>0</v>
      </c>
      <c r="CD609" s="24">
        <f t="shared" ca="1" si="534"/>
        <v>-125.38795207599064</v>
      </c>
      <c r="CE609" s="25">
        <f t="shared" ca="1" si="567"/>
        <v>-1651.0265928940948</v>
      </c>
      <c r="CF609" s="23">
        <f t="shared" ca="1" si="568"/>
        <v>1882944.6656534118</v>
      </c>
      <c r="CG609" s="25">
        <f t="array" aca="1" ref="CG609" ca="1">SUM(BF598:BF609/(1+inflation/100)^(AP598:AP609/12))</f>
        <v>267980.53702225379</v>
      </c>
      <c r="CH609" s="32">
        <f ca="1">IFERROR(IF(MOD(AP609-ap_months_since_start,12)=0,ap_drawdown/100*(AQ609+AV609+BA609-BC609),CH608),0)</f>
        <v>9421.9907597264901</v>
      </c>
    </row>
    <row r="610" spans="40:86" x14ac:dyDescent="0.25">
      <c r="AN610" s="32">
        <f t="shared" ca="1" si="529"/>
        <v>105.08333333333333</v>
      </c>
      <c r="AO610" s="53">
        <f t="shared" ca="1" si="560"/>
        <v>63951</v>
      </c>
      <c r="AP610" s="22">
        <v>603</v>
      </c>
      <c r="AQ610" s="32">
        <f t="shared" ca="1" si="561"/>
        <v>59917.724158401012</v>
      </c>
      <c r="AR610" s="23">
        <f t="array" aca="1" ref="AR610" ca="1">SUM(IF(lsc_start_date=AO610,lsc_amount,0))</f>
        <v>0</v>
      </c>
      <c r="AS610" s="24">
        <f t="shared" ca="1" si="535"/>
        <v>0</v>
      </c>
      <c r="AT610" s="24">
        <f t="shared" ca="1" si="536"/>
        <v>0</v>
      </c>
      <c r="AU610" s="24">
        <f t="shared" ca="1" si="537"/>
        <v>0</v>
      </c>
      <c r="AV610" s="25">
        <f t="shared" ca="1" si="538"/>
        <v>0</v>
      </c>
      <c r="AW610" s="23">
        <f t="array" aca="1" ref="AW610" ca="1">SUM(IF(rcs_start_date&lt;=AO610,1,0)*IF(rcs_end_date&gt;=AO610,1,0)*rcs_amount*(1+rcs_escalation/100)^(INT((AP610-rcs_months_since_start)/12))*IF(MOD((AP610-rcs_months_since_start),rcs_frequency)=0,1,0)*IF(rcs_frequency=13,0,1))+SUM(IF(rcs_start_date=AO610,rcs_amount,0)*IF(rcs_frequency=13,1,0))</f>
        <v>0</v>
      </c>
      <c r="AX610" s="24">
        <f t="shared" ca="1" si="539"/>
        <v>0</v>
      </c>
      <c r="AY610" s="24">
        <f t="shared" ca="1" si="540"/>
        <v>0</v>
      </c>
      <c r="AZ610" s="24">
        <f t="shared" ca="1" si="541"/>
        <v>0</v>
      </c>
      <c r="BA610" s="25">
        <f t="shared" ca="1" si="542"/>
        <v>0</v>
      </c>
      <c r="BB610" s="23">
        <f t="array" aca="1" ref="BB610" ca="1">SUM(IF(w_start_date&lt;=AO610,1,0)*IF(w_end_date&gt;=AO610,1,0)*w_amount*(1+w_escalation/100)^(INT((AP610-w_months_since_start)/12))*IF(MOD(AP610-w_months_since_start,w_frequency)=0,1,0)*IF(w_frequency=13,0,1))+SUM(IF(w_start_date=AO610,w_amount,0)*IF(w_frequency=13,1,0))</f>
        <v>0</v>
      </c>
      <c r="BC610" s="25">
        <f t="shared" ca="1" si="543"/>
        <v>0</v>
      </c>
      <c r="BD610" s="24" t="b">
        <f t="shared" ca="1" si="544"/>
        <v>1</v>
      </c>
      <c r="BE610" s="24" t="b">
        <f t="shared" ca="1" si="545"/>
        <v>1</v>
      </c>
      <c r="BF610" s="23">
        <f t="array" aca="1" ref="BF610" ca="1">SUM(IF(BD610,1,0)*IF(ap_start_date&lt;=AO610,1,0)*IF(ap_end_date&gt;=AO610,1,0)*ap_amount*(1+ap_escalation/100)^(INT((AP610-ap_months_since_start)/12))*IF(MOD(AP610-ap_months_since_start,ap_frequency)=0,1,0))</f>
        <v>161572.80959402214</v>
      </c>
      <c r="BG610" s="24">
        <f t="shared" ca="1" si="546"/>
        <v>1938873.7151282656</v>
      </c>
      <c r="BH610" s="24">
        <f t="shared" ca="1" si="547"/>
        <v>1532.5880155093737</v>
      </c>
      <c r="BI610">
        <f t="shared" ca="1" si="548"/>
        <v>0</v>
      </c>
      <c r="BJ610" s="24">
        <f t="shared" ca="1" si="549"/>
        <v>10728.116108565613</v>
      </c>
      <c r="BK610">
        <f t="shared" ca="1" si="550"/>
        <v>1</v>
      </c>
      <c r="BL610" s="25">
        <f t="shared" ca="1" si="551"/>
        <v>894.00967571380124</v>
      </c>
      <c r="BM610" s="32">
        <f t="shared" ca="1" si="530"/>
        <v>59449.117476283274</v>
      </c>
      <c r="BN610" s="23">
        <f t="shared" ca="1" si="552"/>
        <v>0</v>
      </c>
      <c r="BO610" s="24">
        <f t="shared" ca="1" si="553"/>
        <v>0</v>
      </c>
      <c r="BP610" s="25">
        <f t="shared" ca="1" si="554"/>
        <v>0</v>
      </c>
      <c r="BQ610" s="34">
        <f t="shared" ca="1" si="555"/>
        <v>63978</v>
      </c>
      <c r="BR610" s="23">
        <f t="shared" ca="1" si="556"/>
        <v>59449.117476283274</v>
      </c>
      <c r="BS610" s="24">
        <f t="shared" ca="1" si="557"/>
        <v>0</v>
      </c>
      <c r="BT610" s="24">
        <f t="shared" ca="1" si="562"/>
        <v>0</v>
      </c>
      <c r="BU610" s="24">
        <f t="shared" ca="1" si="558"/>
        <v>0</v>
      </c>
      <c r="BV610" s="24">
        <f t="shared" ca="1" si="563"/>
        <v>0</v>
      </c>
      <c r="BW610" s="24">
        <f t="shared" ca="1" si="559"/>
        <v>-894.00967571380124</v>
      </c>
      <c r="BX610" s="25">
        <f t="shared" ca="1" si="564"/>
        <v>-11465.104260355569</v>
      </c>
      <c r="BY610" s="23">
        <f t="shared" ca="1" si="531"/>
        <v>8283.6189342845701</v>
      </c>
      <c r="BZ610" s="24">
        <f t="shared" ca="1" si="532"/>
        <v>0</v>
      </c>
      <c r="CA610" s="24">
        <f t="shared" ca="1" si="565"/>
        <v>0</v>
      </c>
      <c r="CB610" s="24">
        <f t="shared" ca="1" si="533"/>
        <v>0</v>
      </c>
      <c r="CC610" s="24">
        <f t="shared" ca="1" si="566"/>
        <v>0</v>
      </c>
      <c r="CD610" s="24">
        <f t="shared" ca="1" si="534"/>
        <v>-124.97880399342576</v>
      </c>
      <c r="CE610" s="25">
        <f t="shared" ca="1" si="567"/>
        <v>-1632.6338197981147</v>
      </c>
      <c r="CF610" s="23">
        <f t="shared" ca="1" si="568"/>
        <v>1889159.004483951</v>
      </c>
      <c r="CG610" s="25">
        <f t="array" aca="1" ref="CG610" ca="1">SUM(BF599:BF610/(1+inflation/100)^(AP599:AP610/12))</f>
        <v>267980.53702225379</v>
      </c>
      <c r="CH610" s="32">
        <f ca="1">IFERROR(IF(MOD(AP610-ap_months_since_start,12)=0,ap_drawdown/100*(AQ610+AV610+BA610-BC610),CH609),0)</f>
        <v>9421.9907597264901</v>
      </c>
    </row>
    <row r="611" spans="40:86" x14ac:dyDescent="0.25">
      <c r="AN611" s="32">
        <f t="shared" ca="1" si="529"/>
        <v>105.16666666666667</v>
      </c>
      <c r="AO611" s="53">
        <f t="shared" ca="1" si="560"/>
        <v>63979</v>
      </c>
      <c r="AP611" s="22">
        <v>604</v>
      </c>
      <c r="AQ611" s="32">
        <f t="shared" ca="1" si="561"/>
        <v>59449.117476283274</v>
      </c>
      <c r="AR611" s="23">
        <f t="array" aca="1" ref="AR611" ca="1">SUM(IF(lsc_start_date=AO611,lsc_amount,0))</f>
        <v>0</v>
      </c>
      <c r="AS611" s="24">
        <f t="shared" ca="1" si="535"/>
        <v>0</v>
      </c>
      <c r="AT611" s="24">
        <f t="shared" ca="1" si="536"/>
        <v>0</v>
      </c>
      <c r="AU611" s="24">
        <f t="shared" ca="1" si="537"/>
        <v>0</v>
      </c>
      <c r="AV611" s="25">
        <f t="shared" ca="1" si="538"/>
        <v>0</v>
      </c>
      <c r="AW611" s="23">
        <f t="array" aca="1" ref="AW611" ca="1">SUM(IF(rcs_start_date&lt;=AO611,1,0)*IF(rcs_end_date&gt;=AO611,1,0)*rcs_amount*(1+rcs_escalation/100)^(INT((AP611-rcs_months_since_start)/12))*IF(MOD((AP611-rcs_months_since_start),rcs_frequency)=0,1,0)*IF(rcs_frequency=13,0,1))+SUM(IF(rcs_start_date=AO611,rcs_amount,0)*IF(rcs_frequency=13,1,0))</f>
        <v>0</v>
      </c>
      <c r="AX611" s="24">
        <f t="shared" ca="1" si="539"/>
        <v>0</v>
      </c>
      <c r="AY611" s="24">
        <f t="shared" ca="1" si="540"/>
        <v>0</v>
      </c>
      <c r="AZ611" s="24">
        <f t="shared" ca="1" si="541"/>
        <v>0</v>
      </c>
      <c r="BA611" s="25">
        <f t="shared" ca="1" si="542"/>
        <v>0</v>
      </c>
      <c r="BB611" s="23">
        <f t="array" aca="1" ref="BB611" ca="1">SUM(IF(w_start_date&lt;=AO611,1,0)*IF(w_end_date&gt;=AO611,1,0)*w_amount*(1+w_escalation/100)^(INT((AP611-w_months_since_start)/12))*IF(MOD(AP611-w_months_since_start,w_frequency)=0,1,0)*IF(w_frequency=13,0,1))+SUM(IF(w_start_date=AO611,w_amount,0)*IF(w_frequency=13,1,0))</f>
        <v>0</v>
      </c>
      <c r="BC611" s="25">
        <f t="shared" ca="1" si="543"/>
        <v>0</v>
      </c>
      <c r="BD611" s="24" t="b">
        <f t="shared" ca="1" si="544"/>
        <v>1</v>
      </c>
      <c r="BE611" s="24" t="b">
        <f t="shared" ca="1" si="545"/>
        <v>1</v>
      </c>
      <c r="BF611" s="23">
        <f t="array" aca="1" ref="BF611" ca="1">SUM(IF(BD611,1,0)*IF(ap_start_date&lt;=AO611,1,0)*IF(ap_end_date&gt;=AO611,1,0)*ap_amount*(1+ap_escalation/100)^(INT((AP611-ap_months_since_start)/12))*IF(MOD(AP611-ap_months_since_start,ap_frequency)=0,1,0))</f>
        <v>161572.80959402214</v>
      </c>
      <c r="BG611" s="24">
        <f t="shared" ca="1" si="546"/>
        <v>1938873.7151282656</v>
      </c>
      <c r="BH611" s="24">
        <f t="shared" ca="1" si="547"/>
        <v>1532.5880155093737</v>
      </c>
      <c r="BI611">
        <f t="shared" ca="1" si="548"/>
        <v>0</v>
      </c>
      <c r="BJ611" s="24">
        <f t="shared" ca="1" si="549"/>
        <v>10728.116108565613</v>
      </c>
      <c r="BK611">
        <f t="shared" ca="1" si="550"/>
        <v>1</v>
      </c>
      <c r="BL611" s="25">
        <f t="shared" ca="1" si="551"/>
        <v>894.00967571380124</v>
      </c>
      <c r="BM611" s="32">
        <f t="shared" ca="1" si="530"/>
        <v>58977.133394299417</v>
      </c>
      <c r="BN611" s="23">
        <f t="shared" ca="1" si="552"/>
        <v>0</v>
      </c>
      <c r="BO611" s="24">
        <f t="shared" ca="1" si="553"/>
        <v>0</v>
      </c>
      <c r="BP611" s="25">
        <f t="shared" ca="1" si="554"/>
        <v>0</v>
      </c>
      <c r="BQ611" s="34">
        <f t="shared" ca="1" si="555"/>
        <v>64009</v>
      </c>
      <c r="BR611" s="23">
        <f t="shared" ca="1" si="556"/>
        <v>58977.133394299417</v>
      </c>
      <c r="BS611" s="24">
        <f t="shared" ca="1" si="557"/>
        <v>0</v>
      </c>
      <c r="BT611" s="24">
        <f t="shared" ca="1" si="562"/>
        <v>0</v>
      </c>
      <c r="BU611" s="24">
        <f t="shared" ca="1" si="558"/>
        <v>0</v>
      </c>
      <c r="BV611" s="24">
        <f t="shared" ca="1" si="563"/>
        <v>0</v>
      </c>
      <c r="BW611" s="24">
        <f t="shared" ca="1" si="559"/>
        <v>-894.00967571380124</v>
      </c>
      <c r="BX611" s="25">
        <f t="shared" ca="1" si="564"/>
        <v>-11372.980741381825</v>
      </c>
      <c r="BY611" s="23">
        <f t="shared" ca="1" si="531"/>
        <v>8191.0375144108539</v>
      </c>
      <c r="BZ611" s="24">
        <f t="shared" ca="1" si="532"/>
        <v>0</v>
      </c>
      <c r="CA611" s="24">
        <f t="shared" ca="1" si="565"/>
        <v>0</v>
      </c>
      <c r="CB611" s="24">
        <f t="shared" ca="1" si="533"/>
        <v>0</v>
      </c>
      <c r="CC611" s="24">
        <f t="shared" ca="1" si="566"/>
        <v>0</v>
      </c>
      <c r="CD611" s="24">
        <f t="shared" ca="1" si="534"/>
        <v>-124.57099098453175</v>
      </c>
      <c r="CE611" s="25">
        <f t="shared" ca="1" si="567"/>
        <v>-1614.3010633761503</v>
      </c>
      <c r="CF611" s="23">
        <f t="shared" ca="1" si="568"/>
        <v>1895373.3433144903</v>
      </c>
      <c r="CG611" s="25">
        <f t="array" aca="1" ref="CG611" ca="1">SUM(BF600:BF611/(1+inflation/100)^(AP600:AP611/12))</f>
        <v>267980.53702225379</v>
      </c>
      <c r="CH611" s="32">
        <f ca="1">IFERROR(IF(MOD(AP611-ap_months_since_start,12)=0,ap_drawdown/100*(AQ611+AV611+BA611-BC611),CH610),0)</f>
        <v>9421.9907597264901</v>
      </c>
    </row>
    <row r="612" spans="40:86" x14ac:dyDescent="0.25">
      <c r="AN612" s="32">
        <f t="shared" ca="1" si="529"/>
        <v>105.25</v>
      </c>
      <c r="AO612" s="53">
        <f t="shared" ca="1" si="560"/>
        <v>64010</v>
      </c>
      <c r="AP612" s="22">
        <v>605</v>
      </c>
      <c r="AQ612" s="32">
        <f t="shared" ca="1" si="561"/>
        <v>58977.133394299417</v>
      </c>
      <c r="AR612" s="23">
        <f t="array" aca="1" ref="AR612" ca="1">SUM(IF(lsc_start_date=AO612,lsc_amount,0))</f>
        <v>0</v>
      </c>
      <c r="AS612" s="24">
        <f t="shared" ca="1" si="535"/>
        <v>0</v>
      </c>
      <c r="AT612" s="24">
        <f t="shared" ca="1" si="536"/>
        <v>0</v>
      </c>
      <c r="AU612" s="24">
        <f t="shared" ca="1" si="537"/>
        <v>0</v>
      </c>
      <c r="AV612" s="25">
        <f t="shared" ca="1" si="538"/>
        <v>0</v>
      </c>
      <c r="AW612" s="23">
        <f t="array" aca="1" ref="AW612" ca="1">SUM(IF(rcs_start_date&lt;=AO612,1,0)*IF(rcs_end_date&gt;=AO612,1,0)*rcs_amount*(1+rcs_escalation/100)^(INT((AP612-rcs_months_since_start)/12))*IF(MOD((AP612-rcs_months_since_start),rcs_frequency)=0,1,0)*IF(rcs_frequency=13,0,1))+SUM(IF(rcs_start_date=AO612,rcs_amount,0)*IF(rcs_frequency=13,1,0))</f>
        <v>0</v>
      </c>
      <c r="AX612" s="24">
        <f t="shared" ca="1" si="539"/>
        <v>0</v>
      </c>
      <c r="AY612" s="24">
        <f t="shared" ca="1" si="540"/>
        <v>0</v>
      </c>
      <c r="AZ612" s="24">
        <f t="shared" ca="1" si="541"/>
        <v>0</v>
      </c>
      <c r="BA612" s="25">
        <f t="shared" ca="1" si="542"/>
        <v>0</v>
      </c>
      <c r="BB612" s="23">
        <f t="array" aca="1" ref="BB612" ca="1">SUM(IF(w_start_date&lt;=AO612,1,0)*IF(w_end_date&gt;=AO612,1,0)*w_amount*(1+w_escalation/100)^(INT((AP612-w_months_since_start)/12))*IF(MOD(AP612-w_months_since_start,w_frequency)=0,1,0)*IF(w_frequency=13,0,1))+SUM(IF(w_start_date=AO612,w_amount,0)*IF(w_frequency=13,1,0))</f>
        <v>0</v>
      </c>
      <c r="BC612" s="25">
        <f t="shared" ca="1" si="543"/>
        <v>0</v>
      </c>
      <c r="BD612" s="24" t="b">
        <f t="shared" ca="1" si="544"/>
        <v>1</v>
      </c>
      <c r="BE612" s="24" t="b">
        <f t="shared" ca="1" si="545"/>
        <v>1</v>
      </c>
      <c r="BF612" s="23">
        <f t="array" aca="1" ref="BF612" ca="1">SUM(IF(BD612,1,0)*IF(ap_start_date&lt;=AO612,1,0)*IF(ap_end_date&gt;=AO612,1,0)*ap_amount*(1+ap_escalation/100)^(INT((AP612-ap_months_since_start)/12))*IF(MOD(AP612-ap_months_since_start,ap_frequency)=0,1,0))</f>
        <v>161572.80959402214</v>
      </c>
      <c r="BG612" s="24">
        <f t="shared" ca="1" si="546"/>
        <v>1938873.7151282656</v>
      </c>
      <c r="BH612" s="24">
        <f t="shared" ca="1" si="547"/>
        <v>1532.5880155093737</v>
      </c>
      <c r="BI612">
        <f t="shared" ca="1" si="548"/>
        <v>0</v>
      </c>
      <c r="BJ612" s="24">
        <f t="shared" ca="1" si="549"/>
        <v>10728.116108565613</v>
      </c>
      <c r="BK612">
        <f t="shared" ca="1" si="550"/>
        <v>1</v>
      </c>
      <c r="BL612" s="25">
        <f t="shared" ca="1" si="551"/>
        <v>894.00967571380124</v>
      </c>
      <c r="BM612" s="32">
        <f t="shared" ca="1" si="530"/>
        <v>58501.74757043663</v>
      </c>
      <c r="BN612" s="23">
        <f t="shared" ca="1" si="552"/>
        <v>0</v>
      </c>
      <c r="BO612" s="24">
        <f t="shared" ca="1" si="553"/>
        <v>0</v>
      </c>
      <c r="BP612" s="25">
        <f t="shared" ca="1" si="554"/>
        <v>0</v>
      </c>
      <c r="BQ612" s="34">
        <f t="shared" ca="1" si="555"/>
        <v>64039</v>
      </c>
      <c r="BR612" s="23">
        <f t="shared" ca="1" si="556"/>
        <v>58501.74757043663</v>
      </c>
      <c r="BS612" s="24">
        <f t="shared" ca="1" si="557"/>
        <v>0</v>
      </c>
      <c r="BT612" s="24">
        <f t="shared" ca="1" si="562"/>
        <v>0</v>
      </c>
      <c r="BU612" s="24">
        <f t="shared" ca="1" si="558"/>
        <v>0</v>
      </c>
      <c r="BV612" s="24">
        <f t="shared" ca="1" si="563"/>
        <v>0</v>
      </c>
      <c r="BW612" s="24">
        <f t="shared" ca="1" si="559"/>
        <v>-894.00967571380124</v>
      </c>
      <c r="BX612" s="25">
        <f t="shared" ca="1" si="564"/>
        <v>-11280.857222408082</v>
      </c>
      <c r="BY612" s="23">
        <f t="shared" ca="1" si="531"/>
        <v>8098.5011821242879</v>
      </c>
      <c r="BZ612" s="24">
        <f t="shared" ca="1" si="532"/>
        <v>0</v>
      </c>
      <c r="CA612" s="24">
        <f t="shared" ca="1" si="565"/>
        <v>0</v>
      </c>
      <c r="CB612" s="24">
        <f t="shared" ca="1" si="533"/>
        <v>0</v>
      </c>
      <c r="CC612" s="24">
        <f t="shared" ca="1" si="566"/>
        <v>0</v>
      </c>
      <c r="CD612" s="24">
        <f t="shared" ca="1" si="534"/>
        <v>-124.16450869288668</v>
      </c>
      <c r="CE612" s="25">
        <f t="shared" ca="1" si="567"/>
        <v>-1596.0281277903509</v>
      </c>
      <c r="CF612" s="23">
        <f t="shared" ca="1" si="568"/>
        <v>1901587.6821450298</v>
      </c>
      <c r="CG612" s="25">
        <f t="array" aca="1" ref="CG612" ca="1">SUM(BF601:BF612/(1+inflation/100)^(AP601:AP612/12))</f>
        <v>267980.53702225379</v>
      </c>
      <c r="CH612" s="32">
        <f ca="1">IFERROR(IF(MOD(AP612-ap_months_since_start,12)=0,ap_drawdown/100*(AQ612+AV612+BA612-BC612),CH611),0)</f>
        <v>9421.9907597264901</v>
      </c>
    </row>
    <row r="613" spans="40:86" x14ac:dyDescent="0.25">
      <c r="AN613" s="32">
        <f t="shared" ca="1" si="529"/>
        <v>105.33333333333333</v>
      </c>
      <c r="AO613" s="53">
        <f t="shared" ca="1" si="560"/>
        <v>64040</v>
      </c>
      <c r="AP613" s="22">
        <v>606</v>
      </c>
      <c r="AQ613" s="32">
        <f t="shared" ca="1" si="561"/>
        <v>58501.74757043663</v>
      </c>
      <c r="AR613" s="23">
        <f t="array" aca="1" ref="AR613" ca="1">SUM(IF(lsc_start_date=AO613,lsc_amount,0))</f>
        <v>0</v>
      </c>
      <c r="AS613" s="24">
        <f t="shared" ca="1" si="535"/>
        <v>0</v>
      </c>
      <c r="AT613" s="24">
        <f t="shared" ca="1" si="536"/>
        <v>0</v>
      </c>
      <c r="AU613" s="24">
        <f t="shared" ca="1" si="537"/>
        <v>0</v>
      </c>
      <c r="AV613" s="25">
        <f t="shared" ca="1" si="538"/>
        <v>0</v>
      </c>
      <c r="AW613" s="23">
        <f t="array" aca="1" ref="AW613" ca="1">SUM(IF(rcs_start_date&lt;=AO613,1,0)*IF(rcs_end_date&gt;=AO613,1,0)*rcs_amount*(1+rcs_escalation/100)^(INT((AP613-rcs_months_since_start)/12))*IF(MOD((AP613-rcs_months_since_start),rcs_frequency)=0,1,0)*IF(rcs_frequency=13,0,1))+SUM(IF(rcs_start_date=AO613,rcs_amount,0)*IF(rcs_frequency=13,1,0))</f>
        <v>0</v>
      </c>
      <c r="AX613" s="24">
        <f t="shared" ca="1" si="539"/>
        <v>0</v>
      </c>
      <c r="AY613" s="24">
        <f t="shared" ca="1" si="540"/>
        <v>0</v>
      </c>
      <c r="AZ613" s="24">
        <f t="shared" ca="1" si="541"/>
        <v>0</v>
      </c>
      <c r="BA613" s="25">
        <f t="shared" ca="1" si="542"/>
        <v>0</v>
      </c>
      <c r="BB613" s="23">
        <f t="array" aca="1" ref="BB613" ca="1">SUM(IF(w_start_date&lt;=AO613,1,0)*IF(w_end_date&gt;=AO613,1,0)*w_amount*(1+w_escalation/100)^(INT((AP613-w_months_since_start)/12))*IF(MOD(AP613-w_months_since_start,w_frequency)=0,1,0)*IF(w_frequency=13,0,1))+SUM(IF(w_start_date=AO613,w_amount,0)*IF(w_frequency=13,1,0))</f>
        <v>0</v>
      </c>
      <c r="BC613" s="25">
        <f t="shared" ca="1" si="543"/>
        <v>0</v>
      </c>
      <c r="BD613" s="24" t="b">
        <f t="shared" ca="1" si="544"/>
        <v>1</v>
      </c>
      <c r="BE613" s="24" t="b">
        <f t="shared" ca="1" si="545"/>
        <v>1</v>
      </c>
      <c r="BF613" s="23">
        <f t="array" aca="1" ref="BF613" ca="1">SUM(IF(BD613,1,0)*IF(ap_start_date&lt;=AO613,1,0)*IF(ap_end_date&gt;=AO613,1,0)*ap_amount*(1+ap_escalation/100)^(INT((AP613-ap_months_since_start)/12))*IF(MOD(AP613-ap_months_since_start,ap_frequency)=0,1,0))</f>
        <v>161572.80959402214</v>
      </c>
      <c r="BG613" s="24">
        <f t="shared" ca="1" si="546"/>
        <v>1938873.7151282656</v>
      </c>
      <c r="BH613" s="24">
        <f t="shared" ca="1" si="547"/>
        <v>1532.5880155093737</v>
      </c>
      <c r="BI613">
        <f t="shared" ca="1" si="548"/>
        <v>0</v>
      </c>
      <c r="BJ613" s="24">
        <f t="shared" ca="1" si="549"/>
        <v>10728.116108565613</v>
      </c>
      <c r="BK613">
        <f t="shared" ca="1" si="550"/>
        <v>1</v>
      </c>
      <c r="BL613" s="25">
        <f t="shared" ca="1" si="551"/>
        <v>894.00967571380124</v>
      </c>
      <c r="BM613" s="32">
        <f t="shared" ca="1" si="530"/>
        <v>58022.935487241353</v>
      </c>
      <c r="BN613" s="23">
        <f t="shared" ca="1" si="552"/>
        <v>0</v>
      </c>
      <c r="BO613" s="24">
        <f t="shared" ca="1" si="553"/>
        <v>0</v>
      </c>
      <c r="BP613" s="25">
        <f t="shared" ca="1" si="554"/>
        <v>0</v>
      </c>
      <c r="BQ613" s="34">
        <f t="shared" ca="1" si="555"/>
        <v>64070</v>
      </c>
      <c r="BR613" s="23">
        <f t="shared" ca="1" si="556"/>
        <v>58022.935487241353</v>
      </c>
      <c r="BS613" s="24">
        <f t="shared" ca="1" si="557"/>
        <v>0</v>
      </c>
      <c r="BT613" s="24">
        <f t="shared" ca="1" si="562"/>
        <v>0</v>
      </c>
      <c r="BU613" s="24">
        <f t="shared" ca="1" si="558"/>
        <v>0</v>
      </c>
      <c r="BV613" s="24">
        <f t="shared" ca="1" si="563"/>
        <v>0</v>
      </c>
      <c r="BW613" s="24">
        <f t="shared" ca="1" si="559"/>
        <v>-894.00967571380124</v>
      </c>
      <c r="BX613" s="25">
        <f t="shared" ca="1" si="564"/>
        <v>-11188.733703434338</v>
      </c>
      <c r="BY613" s="23">
        <f t="shared" ca="1" si="531"/>
        <v>8006.0087826265153</v>
      </c>
      <c r="BZ613" s="24">
        <f t="shared" ca="1" si="532"/>
        <v>0</v>
      </c>
      <c r="CA613" s="24">
        <f t="shared" ca="1" si="565"/>
        <v>0</v>
      </c>
      <c r="CB613" s="24">
        <f t="shared" ca="1" si="533"/>
        <v>0</v>
      </c>
      <c r="CC613" s="24">
        <f t="shared" ca="1" si="566"/>
        <v>0</v>
      </c>
      <c r="CD613" s="24">
        <f t="shared" ca="1" si="534"/>
        <v>-123.75935277628381</v>
      </c>
      <c r="CE613" s="25">
        <f t="shared" ca="1" si="567"/>
        <v>-1577.8148178418953</v>
      </c>
      <c r="CF613" s="23">
        <f t="shared" ca="1" si="568"/>
        <v>1907802.020975569</v>
      </c>
      <c r="CG613" s="25">
        <f t="array" aca="1" ref="CG613" ca="1">SUM(BF602:BF613/(1+inflation/100)^(AP602:AP613/12))</f>
        <v>267980.53702225379</v>
      </c>
      <c r="CH613" s="32">
        <f ca="1">IFERROR(IF(MOD(AP613-ap_months_since_start,12)=0,ap_drawdown/100*(AQ613+AV613+BA613-BC613),CH612),0)</f>
        <v>9421.9907597264901</v>
      </c>
    </row>
    <row r="614" spans="40:86" x14ac:dyDescent="0.25">
      <c r="AN614" s="32">
        <f t="shared" ca="1" si="529"/>
        <v>105.41666666666667</v>
      </c>
      <c r="AO614" s="53">
        <f t="shared" ca="1" si="560"/>
        <v>64071</v>
      </c>
      <c r="AP614" s="22">
        <v>607</v>
      </c>
      <c r="AQ614" s="32">
        <f t="shared" ca="1" si="561"/>
        <v>58022.935487241353</v>
      </c>
      <c r="AR614" s="23">
        <f t="array" aca="1" ref="AR614" ca="1">SUM(IF(lsc_start_date=AO614,lsc_amount,0))</f>
        <v>0</v>
      </c>
      <c r="AS614" s="24">
        <f t="shared" ca="1" si="535"/>
        <v>0</v>
      </c>
      <c r="AT614" s="24">
        <f t="shared" ca="1" si="536"/>
        <v>0</v>
      </c>
      <c r="AU614" s="24">
        <f t="shared" ca="1" si="537"/>
        <v>0</v>
      </c>
      <c r="AV614" s="25">
        <f t="shared" ca="1" si="538"/>
        <v>0</v>
      </c>
      <c r="AW614" s="23">
        <f t="array" aca="1" ref="AW614" ca="1">SUM(IF(rcs_start_date&lt;=AO614,1,0)*IF(rcs_end_date&gt;=AO614,1,0)*rcs_amount*(1+rcs_escalation/100)^(INT((AP614-rcs_months_since_start)/12))*IF(MOD((AP614-rcs_months_since_start),rcs_frequency)=0,1,0)*IF(rcs_frequency=13,0,1))+SUM(IF(rcs_start_date=AO614,rcs_amount,0)*IF(rcs_frequency=13,1,0))</f>
        <v>0</v>
      </c>
      <c r="AX614" s="24">
        <f t="shared" ca="1" si="539"/>
        <v>0</v>
      </c>
      <c r="AY614" s="24">
        <f t="shared" ca="1" si="540"/>
        <v>0</v>
      </c>
      <c r="AZ614" s="24">
        <f t="shared" ca="1" si="541"/>
        <v>0</v>
      </c>
      <c r="BA614" s="25">
        <f t="shared" ca="1" si="542"/>
        <v>0</v>
      </c>
      <c r="BB614" s="23">
        <f t="array" aca="1" ref="BB614" ca="1">SUM(IF(w_start_date&lt;=AO614,1,0)*IF(w_end_date&gt;=AO614,1,0)*w_amount*(1+w_escalation/100)^(INT((AP614-w_months_since_start)/12))*IF(MOD(AP614-w_months_since_start,w_frequency)=0,1,0)*IF(w_frequency=13,0,1))+SUM(IF(w_start_date=AO614,w_amount,0)*IF(w_frequency=13,1,0))</f>
        <v>0</v>
      </c>
      <c r="BC614" s="25">
        <f t="shared" ca="1" si="543"/>
        <v>0</v>
      </c>
      <c r="BD614" s="24" t="b">
        <f t="shared" ca="1" si="544"/>
        <v>1</v>
      </c>
      <c r="BE614" s="24" t="b">
        <f t="shared" ca="1" si="545"/>
        <v>1</v>
      </c>
      <c r="BF614" s="23">
        <f t="array" aca="1" ref="BF614" ca="1">SUM(IF(BD614,1,0)*IF(ap_start_date&lt;=AO614,1,0)*IF(ap_end_date&gt;=AO614,1,0)*ap_amount*(1+ap_escalation/100)^(INT((AP614-ap_months_since_start)/12))*IF(MOD(AP614-ap_months_since_start,ap_frequency)=0,1,0))</f>
        <v>161572.80959402214</v>
      </c>
      <c r="BG614" s="24">
        <f t="shared" ca="1" si="546"/>
        <v>1938873.7151282656</v>
      </c>
      <c r="BH614" s="24">
        <f t="shared" ca="1" si="547"/>
        <v>1532.5880155093737</v>
      </c>
      <c r="BI614">
        <f t="shared" ca="1" si="548"/>
        <v>0</v>
      </c>
      <c r="BJ614" s="24">
        <f t="shared" ca="1" si="549"/>
        <v>10728.116108565613</v>
      </c>
      <c r="BK614">
        <f t="shared" ca="1" si="550"/>
        <v>1</v>
      </c>
      <c r="BL614" s="25">
        <f t="shared" ca="1" si="551"/>
        <v>894.00967571380124</v>
      </c>
      <c r="BM614" s="32">
        <f t="shared" ca="1" si="530"/>
        <v>57540.672450554819</v>
      </c>
      <c r="BN614" s="23">
        <f t="shared" ca="1" si="552"/>
        <v>0</v>
      </c>
      <c r="BO614" s="24">
        <f t="shared" ca="1" si="553"/>
        <v>0</v>
      </c>
      <c r="BP614" s="25">
        <f t="shared" ca="1" si="554"/>
        <v>0</v>
      </c>
      <c r="BQ614" s="34">
        <f t="shared" ca="1" si="555"/>
        <v>64100</v>
      </c>
      <c r="BR614" s="23">
        <f t="shared" ca="1" si="556"/>
        <v>57540.672450554819</v>
      </c>
      <c r="BS614" s="24">
        <f t="shared" ca="1" si="557"/>
        <v>0</v>
      </c>
      <c r="BT614" s="24">
        <f t="shared" ca="1" si="562"/>
        <v>0</v>
      </c>
      <c r="BU614" s="24">
        <f t="shared" ca="1" si="558"/>
        <v>0</v>
      </c>
      <c r="BV614" s="24">
        <f t="shared" ca="1" si="563"/>
        <v>0</v>
      </c>
      <c r="BW614" s="24">
        <f t="shared" ca="1" si="559"/>
        <v>-894.00967571380124</v>
      </c>
      <c r="BX614" s="25">
        <f t="shared" ca="1" si="564"/>
        <v>-11096.610184460595</v>
      </c>
      <c r="BY614" s="23">
        <f t="shared" ca="1" si="531"/>
        <v>7913.5591609365156</v>
      </c>
      <c r="BZ614" s="24">
        <f t="shared" ca="1" si="532"/>
        <v>0</v>
      </c>
      <c r="CA614" s="24">
        <f t="shared" ca="1" si="565"/>
        <v>0</v>
      </c>
      <c r="CB614" s="24">
        <f t="shared" ca="1" si="533"/>
        <v>0</v>
      </c>
      <c r="CC614" s="24">
        <f t="shared" ca="1" si="566"/>
        <v>0</v>
      </c>
      <c r="CD614" s="24">
        <f t="shared" ca="1" si="534"/>
        <v>-123.35551890668519</v>
      </c>
      <c r="CE614" s="25">
        <f t="shared" ca="1" si="567"/>
        <v>-1559.6609389689072</v>
      </c>
      <c r="CF614" s="23">
        <f t="shared" ca="1" si="568"/>
        <v>1914016.3598061083</v>
      </c>
      <c r="CG614" s="25">
        <f t="array" aca="1" ref="CG614" ca="1">SUM(BF603:BF614/(1+inflation/100)^(AP603:AP614/12))</f>
        <v>267980.53702225373</v>
      </c>
      <c r="CH614" s="32">
        <f ca="1">IFERROR(IF(MOD(AP614-ap_months_since_start,12)=0,ap_drawdown/100*(AQ614+AV614+BA614-BC614),CH613),0)</f>
        <v>9421.9907597264901</v>
      </c>
    </row>
    <row r="615" spans="40:86" x14ac:dyDescent="0.25">
      <c r="AN615" s="32">
        <f t="shared" ca="1" si="529"/>
        <v>105.5</v>
      </c>
      <c r="AO615" s="53">
        <f t="shared" ca="1" si="560"/>
        <v>64101</v>
      </c>
      <c r="AP615" s="22">
        <v>608</v>
      </c>
      <c r="AQ615" s="32">
        <f t="shared" ca="1" si="561"/>
        <v>57540.672450554819</v>
      </c>
      <c r="AR615" s="23">
        <f t="array" aca="1" ref="AR615" ca="1">SUM(IF(lsc_start_date=AO615,lsc_amount,0))</f>
        <v>0</v>
      </c>
      <c r="AS615" s="24">
        <f t="shared" ca="1" si="535"/>
        <v>0</v>
      </c>
      <c r="AT615" s="24">
        <f t="shared" ca="1" si="536"/>
        <v>0</v>
      </c>
      <c r="AU615" s="24">
        <f t="shared" ca="1" si="537"/>
        <v>0</v>
      </c>
      <c r="AV615" s="25">
        <f t="shared" ca="1" si="538"/>
        <v>0</v>
      </c>
      <c r="AW615" s="23">
        <f t="array" aca="1" ref="AW615" ca="1">SUM(IF(rcs_start_date&lt;=AO615,1,0)*IF(rcs_end_date&gt;=AO615,1,0)*rcs_amount*(1+rcs_escalation/100)^(INT((AP615-rcs_months_since_start)/12))*IF(MOD((AP615-rcs_months_since_start),rcs_frequency)=0,1,0)*IF(rcs_frequency=13,0,1))+SUM(IF(rcs_start_date=AO615,rcs_amount,0)*IF(rcs_frequency=13,1,0))</f>
        <v>0</v>
      </c>
      <c r="AX615" s="24">
        <f t="shared" ca="1" si="539"/>
        <v>0</v>
      </c>
      <c r="AY615" s="24">
        <f t="shared" ca="1" si="540"/>
        <v>0</v>
      </c>
      <c r="AZ615" s="24">
        <f t="shared" ca="1" si="541"/>
        <v>0</v>
      </c>
      <c r="BA615" s="25">
        <f t="shared" ca="1" si="542"/>
        <v>0</v>
      </c>
      <c r="BB615" s="23">
        <f t="array" aca="1" ref="BB615" ca="1">SUM(IF(w_start_date&lt;=AO615,1,0)*IF(w_end_date&gt;=AO615,1,0)*w_amount*(1+w_escalation/100)^(INT((AP615-w_months_since_start)/12))*IF(MOD(AP615-w_months_since_start,w_frequency)=0,1,0)*IF(w_frequency=13,0,1))+SUM(IF(w_start_date=AO615,w_amount,0)*IF(w_frequency=13,1,0))</f>
        <v>0</v>
      </c>
      <c r="BC615" s="25">
        <f t="shared" ca="1" si="543"/>
        <v>0</v>
      </c>
      <c r="BD615" s="24" t="b">
        <f t="shared" ca="1" si="544"/>
        <v>1</v>
      </c>
      <c r="BE615" s="24" t="b">
        <f t="shared" ca="1" si="545"/>
        <v>1</v>
      </c>
      <c r="BF615" s="23">
        <f t="array" aca="1" ref="BF615" ca="1">SUM(IF(BD615,1,0)*IF(ap_start_date&lt;=AO615,1,0)*IF(ap_end_date&gt;=AO615,1,0)*ap_amount*(1+ap_escalation/100)^(INT((AP615-ap_months_since_start)/12))*IF(MOD(AP615-ap_months_since_start,ap_frequency)=0,1,0))</f>
        <v>161572.80959402214</v>
      </c>
      <c r="BG615" s="24">
        <f t="shared" ca="1" si="546"/>
        <v>1938873.7151282656</v>
      </c>
      <c r="BH615" s="24">
        <f t="shared" ca="1" si="547"/>
        <v>1532.5880155093737</v>
      </c>
      <c r="BI615">
        <f t="shared" ca="1" si="548"/>
        <v>0</v>
      </c>
      <c r="BJ615" s="24">
        <f t="shared" ca="1" si="549"/>
        <v>10728.116108565613</v>
      </c>
      <c r="BK615">
        <f t="shared" ca="1" si="550"/>
        <v>1</v>
      </c>
      <c r="BL615" s="25">
        <f t="shared" ca="1" si="551"/>
        <v>894.00967571380124</v>
      </c>
      <c r="BM615" s="32">
        <f t="shared" ca="1" si="530"/>
        <v>57054.933588239466</v>
      </c>
      <c r="BN615" s="23">
        <f t="shared" ca="1" si="552"/>
        <v>0</v>
      </c>
      <c r="BO615" s="24">
        <f t="shared" ca="1" si="553"/>
        <v>0</v>
      </c>
      <c r="BP615" s="25">
        <f t="shared" ca="1" si="554"/>
        <v>0</v>
      </c>
      <c r="BQ615" s="34">
        <f t="shared" ca="1" si="555"/>
        <v>64131</v>
      </c>
      <c r="BR615" s="23">
        <f t="shared" ca="1" si="556"/>
        <v>57054.933588239466</v>
      </c>
      <c r="BS615" s="24">
        <f t="shared" ca="1" si="557"/>
        <v>0</v>
      </c>
      <c r="BT615" s="24">
        <f t="shared" ca="1" si="562"/>
        <v>0</v>
      </c>
      <c r="BU615" s="24">
        <f t="shared" ca="1" si="558"/>
        <v>0</v>
      </c>
      <c r="BV615" s="24">
        <f t="shared" ca="1" si="563"/>
        <v>0</v>
      </c>
      <c r="BW615" s="24">
        <f t="shared" ca="1" si="559"/>
        <v>-894.00967571380124</v>
      </c>
      <c r="BX615" s="25">
        <f t="shared" ca="1" si="564"/>
        <v>-11004.486665486849</v>
      </c>
      <c r="BY615" s="23">
        <f t="shared" ca="1" si="531"/>
        <v>7821.1511618757095</v>
      </c>
      <c r="BZ615" s="24">
        <f t="shared" ca="1" si="532"/>
        <v>0</v>
      </c>
      <c r="CA615" s="24">
        <f t="shared" ca="1" si="565"/>
        <v>0</v>
      </c>
      <c r="CB615" s="24">
        <f t="shared" ca="1" si="533"/>
        <v>0</v>
      </c>
      <c r="CC615" s="24">
        <f t="shared" ca="1" si="566"/>
        <v>0</v>
      </c>
      <c r="CD615" s="24">
        <f t="shared" ca="1" si="534"/>
        <v>-122.95300277017564</v>
      </c>
      <c r="CE615" s="25">
        <f t="shared" ca="1" si="567"/>
        <v>-1541.5662972443774</v>
      </c>
      <c r="CF615" s="23">
        <f t="shared" ca="1" si="568"/>
        <v>1920230.6986366475</v>
      </c>
      <c r="CG615" s="25">
        <f t="array" aca="1" ref="CG615" ca="1">SUM(BF604:BF615/(1+inflation/100)^(AP604:AP615/12))</f>
        <v>267980.53702225373</v>
      </c>
      <c r="CH615" s="32">
        <f ca="1">IFERROR(IF(MOD(AP615-ap_months_since_start,12)=0,ap_drawdown/100*(AQ615+AV615+BA615-BC615),CH614),0)</f>
        <v>9421.9907597264901</v>
      </c>
    </row>
    <row r="616" spans="40:86" x14ac:dyDescent="0.25">
      <c r="AN616" s="32">
        <f t="shared" ca="1" si="529"/>
        <v>105.58333333333333</v>
      </c>
      <c r="AO616" s="53">
        <f t="shared" ca="1" si="560"/>
        <v>64132</v>
      </c>
      <c r="AP616" s="22">
        <v>609</v>
      </c>
      <c r="AQ616" s="32">
        <f t="shared" ca="1" si="561"/>
        <v>57054.933588239466</v>
      </c>
      <c r="AR616" s="23">
        <f t="array" aca="1" ref="AR616" ca="1">SUM(IF(lsc_start_date=AO616,lsc_amount,0))</f>
        <v>0</v>
      </c>
      <c r="AS616" s="24">
        <f t="shared" ca="1" si="535"/>
        <v>0</v>
      </c>
      <c r="AT616" s="24">
        <f t="shared" ca="1" si="536"/>
        <v>0</v>
      </c>
      <c r="AU616" s="24">
        <f t="shared" ca="1" si="537"/>
        <v>0</v>
      </c>
      <c r="AV616" s="25">
        <f t="shared" ca="1" si="538"/>
        <v>0</v>
      </c>
      <c r="AW616" s="23">
        <f t="array" aca="1" ref="AW616" ca="1">SUM(IF(rcs_start_date&lt;=AO616,1,0)*IF(rcs_end_date&gt;=AO616,1,0)*rcs_amount*(1+rcs_escalation/100)^(INT((AP616-rcs_months_since_start)/12))*IF(MOD((AP616-rcs_months_since_start),rcs_frequency)=0,1,0)*IF(rcs_frequency=13,0,1))+SUM(IF(rcs_start_date=AO616,rcs_amount,0)*IF(rcs_frequency=13,1,0))</f>
        <v>0</v>
      </c>
      <c r="AX616" s="24">
        <f t="shared" ca="1" si="539"/>
        <v>0</v>
      </c>
      <c r="AY616" s="24">
        <f t="shared" ca="1" si="540"/>
        <v>0</v>
      </c>
      <c r="AZ616" s="24">
        <f t="shared" ca="1" si="541"/>
        <v>0</v>
      </c>
      <c r="BA616" s="25">
        <f t="shared" ca="1" si="542"/>
        <v>0</v>
      </c>
      <c r="BB616" s="23">
        <f t="array" aca="1" ref="BB616" ca="1">SUM(IF(w_start_date&lt;=AO616,1,0)*IF(w_end_date&gt;=AO616,1,0)*w_amount*(1+w_escalation/100)^(INT((AP616-w_months_since_start)/12))*IF(MOD(AP616-w_months_since_start,w_frequency)=0,1,0)*IF(w_frequency=13,0,1))+SUM(IF(w_start_date=AO616,w_amount,0)*IF(w_frequency=13,1,0))</f>
        <v>0</v>
      </c>
      <c r="BC616" s="25">
        <f t="shared" ca="1" si="543"/>
        <v>0</v>
      </c>
      <c r="BD616" s="24" t="b">
        <f t="shared" ca="1" si="544"/>
        <v>1</v>
      </c>
      <c r="BE616" s="24" t="b">
        <f t="shared" ca="1" si="545"/>
        <v>1</v>
      </c>
      <c r="BF616" s="23">
        <f t="array" aca="1" ref="BF616" ca="1">SUM(IF(BD616,1,0)*IF(ap_start_date&lt;=AO616,1,0)*IF(ap_end_date&gt;=AO616,1,0)*ap_amount*(1+ap_escalation/100)^(INT((AP616-ap_months_since_start)/12))*IF(MOD(AP616-ap_months_since_start,ap_frequency)=0,1,0))</f>
        <v>161572.80959402214</v>
      </c>
      <c r="BG616" s="24">
        <f t="shared" ca="1" si="546"/>
        <v>1938873.7151282656</v>
      </c>
      <c r="BH616" s="24">
        <f t="shared" ca="1" si="547"/>
        <v>1532.5880155093737</v>
      </c>
      <c r="BI616">
        <f t="shared" ca="1" si="548"/>
        <v>0</v>
      </c>
      <c r="BJ616" s="24">
        <f t="shared" ca="1" si="549"/>
        <v>10728.116108565613</v>
      </c>
      <c r="BK616">
        <f t="shared" ca="1" si="550"/>
        <v>1</v>
      </c>
      <c r="BL616" s="25">
        <f t="shared" ca="1" si="551"/>
        <v>894.00967571380124</v>
      </c>
      <c r="BM616" s="32">
        <f t="shared" ca="1" si="530"/>
        <v>56565.69384889619</v>
      </c>
      <c r="BN616" s="23">
        <f t="shared" ca="1" si="552"/>
        <v>0</v>
      </c>
      <c r="BO616" s="24">
        <f t="shared" ca="1" si="553"/>
        <v>0</v>
      </c>
      <c r="BP616" s="25">
        <f t="shared" ca="1" si="554"/>
        <v>0</v>
      </c>
      <c r="BQ616" s="34">
        <f t="shared" ca="1" si="555"/>
        <v>64162</v>
      </c>
      <c r="BR616" s="23">
        <f t="shared" ca="1" si="556"/>
        <v>56565.69384889619</v>
      </c>
      <c r="BS616" s="24">
        <f t="shared" ca="1" si="557"/>
        <v>0</v>
      </c>
      <c r="BT616" s="24">
        <f t="shared" ca="1" si="562"/>
        <v>0</v>
      </c>
      <c r="BU616" s="24">
        <f t="shared" ca="1" si="558"/>
        <v>0</v>
      </c>
      <c r="BV616" s="24">
        <f t="shared" ca="1" si="563"/>
        <v>0</v>
      </c>
      <c r="BW616" s="24">
        <f t="shared" ca="1" si="559"/>
        <v>-894.00967571380124</v>
      </c>
      <c r="BX616" s="25">
        <f t="shared" ca="1" si="564"/>
        <v>-10912.363146513106</v>
      </c>
      <c r="BY616" s="23">
        <f t="shared" ca="1" si="531"/>
        <v>7728.7836300530398</v>
      </c>
      <c r="BZ616" s="24">
        <f t="shared" ca="1" si="532"/>
        <v>0</v>
      </c>
      <c r="CA616" s="24">
        <f t="shared" ca="1" si="565"/>
        <v>0</v>
      </c>
      <c r="CB616" s="24">
        <f t="shared" ca="1" si="533"/>
        <v>0</v>
      </c>
      <c r="CC616" s="24">
        <f t="shared" ca="1" si="566"/>
        <v>0</v>
      </c>
      <c r="CD616" s="24">
        <f t="shared" ca="1" si="534"/>
        <v>-122.55180006691651</v>
      </c>
      <c r="CE616" s="25">
        <f t="shared" ca="1" si="567"/>
        <v>-1523.5306993740912</v>
      </c>
      <c r="CF616" s="23">
        <f t="shared" ca="1" si="568"/>
        <v>1926445.0374671868</v>
      </c>
      <c r="CG616" s="25">
        <f t="array" aca="1" ref="CG616" ca="1">SUM(BF605:BF616/(1+inflation/100)^(AP605:AP616/12))</f>
        <v>267980.53702225379</v>
      </c>
      <c r="CH616" s="32">
        <f ca="1">IFERROR(IF(MOD(AP616-ap_months_since_start,12)=0,ap_drawdown/100*(AQ616+AV616+BA616-BC616),CH615),0)</f>
        <v>9421.9907597264901</v>
      </c>
    </row>
    <row r="617" spans="40:86" x14ac:dyDescent="0.25">
      <c r="AN617" s="32">
        <f t="shared" ca="1" si="529"/>
        <v>105.66666666666667</v>
      </c>
      <c r="AO617" s="53">
        <f t="shared" ca="1" si="560"/>
        <v>64163</v>
      </c>
      <c r="AP617" s="22">
        <v>610</v>
      </c>
      <c r="AQ617" s="32">
        <f t="shared" ca="1" si="561"/>
        <v>56565.69384889619</v>
      </c>
      <c r="AR617" s="23">
        <f t="array" aca="1" ref="AR617" ca="1">SUM(IF(lsc_start_date=AO617,lsc_amount,0))</f>
        <v>0</v>
      </c>
      <c r="AS617" s="24">
        <f t="shared" ca="1" si="535"/>
        <v>0</v>
      </c>
      <c r="AT617" s="24">
        <f t="shared" ca="1" si="536"/>
        <v>0</v>
      </c>
      <c r="AU617" s="24">
        <f t="shared" ca="1" si="537"/>
        <v>0</v>
      </c>
      <c r="AV617" s="25">
        <f t="shared" ca="1" si="538"/>
        <v>0</v>
      </c>
      <c r="AW617" s="23">
        <f t="array" aca="1" ref="AW617" ca="1">SUM(IF(rcs_start_date&lt;=AO617,1,0)*IF(rcs_end_date&gt;=AO617,1,0)*rcs_amount*(1+rcs_escalation/100)^(INT((AP617-rcs_months_since_start)/12))*IF(MOD((AP617-rcs_months_since_start),rcs_frequency)=0,1,0)*IF(rcs_frequency=13,0,1))+SUM(IF(rcs_start_date=AO617,rcs_amount,0)*IF(rcs_frequency=13,1,0))</f>
        <v>0</v>
      </c>
      <c r="AX617" s="24">
        <f t="shared" ca="1" si="539"/>
        <v>0</v>
      </c>
      <c r="AY617" s="24">
        <f t="shared" ca="1" si="540"/>
        <v>0</v>
      </c>
      <c r="AZ617" s="24">
        <f t="shared" ca="1" si="541"/>
        <v>0</v>
      </c>
      <c r="BA617" s="25">
        <f t="shared" ca="1" si="542"/>
        <v>0</v>
      </c>
      <c r="BB617" s="23">
        <f t="array" aca="1" ref="BB617" ca="1">SUM(IF(w_start_date&lt;=AO617,1,0)*IF(w_end_date&gt;=AO617,1,0)*w_amount*(1+w_escalation/100)^(INT((AP617-w_months_since_start)/12))*IF(MOD(AP617-w_months_since_start,w_frequency)=0,1,0)*IF(w_frequency=13,0,1))+SUM(IF(w_start_date=AO617,w_amount,0)*IF(w_frequency=13,1,0))</f>
        <v>0</v>
      </c>
      <c r="BC617" s="25">
        <f t="shared" ca="1" si="543"/>
        <v>0</v>
      </c>
      <c r="BD617" s="24" t="b">
        <f t="shared" ca="1" si="544"/>
        <v>1</v>
      </c>
      <c r="BE617" s="24" t="b">
        <f t="shared" ca="1" si="545"/>
        <v>1</v>
      </c>
      <c r="BF617" s="23">
        <f t="array" aca="1" ref="BF617" ca="1">SUM(IF(BD617,1,0)*IF(ap_start_date&lt;=AO617,1,0)*IF(ap_end_date&gt;=AO617,1,0)*ap_amount*(1+ap_escalation/100)^(INT((AP617-ap_months_since_start)/12))*IF(MOD(AP617-ap_months_since_start,ap_frequency)=0,1,0))</f>
        <v>161572.80959402214</v>
      </c>
      <c r="BG617" s="24">
        <f t="shared" ca="1" si="546"/>
        <v>1938873.7151282656</v>
      </c>
      <c r="BH617" s="24">
        <f t="shared" ca="1" si="547"/>
        <v>1532.5880155093737</v>
      </c>
      <c r="BI617">
        <f t="shared" ca="1" si="548"/>
        <v>0</v>
      </c>
      <c r="BJ617" s="24">
        <f t="shared" ca="1" si="549"/>
        <v>10728.116108565613</v>
      </c>
      <c r="BK617">
        <f t="shared" ca="1" si="550"/>
        <v>1</v>
      </c>
      <c r="BL617" s="25">
        <f t="shared" ca="1" si="551"/>
        <v>894.00967571380124</v>
      </c>
      <c r="BM617" s="32">
        <f t="shared" ca="1" si="530"/>
        <v>56072.928000572363</v>
      </c>
      <c r="BN617" s="23">
        <f t="shared" ca="1" si="552"/>
        <v>0</v>
      </c>
      <c r="BO617" s="24">
        <f t="shared" ca="1" si="553"/>
        <v>0</v>
      </c>
      <c r="BP617" s="25">
        <f t="shared" ca="1" si="554"/>
        <v>0</v>
      </c>
      <c r="BQ617" s="34">
        <f t="shared" ca="1" si="555"/>
        <v>64192</v>
      </c>
      <c r="BR617" s="23">
        <f t="shared" ca="1" si="556"/>
        <v>56072.928000572363</v>
      </c>
      <c r="BS617" s="24">
        <f t="shared" ca="1" si="557"/>
        <v>0</v>
      </c>
      <c r="BT617" s="24">
        <f t="shared" ca="1" si="562"/>
        <v>0</v>
      </c>
      <c r="BU617" s="24">
        <f t="shared" ca="1" si="558"/>
        <v>0</v>
      </c>
      <c r="BV617" s="24">
        <f t="shared" ca="1" si="563"/>
        <v>0</v>
      </c>
      <c r="BW617" s="24">
        <f t="shared" ca="1" si="559"/>
        <v>-894.00967571380124</v>
      </c>
      <c r="BX617" s="25">
        <f t="shared" ca="1" si="564"/>
        <v>-10820.239627539362</v>
      </c>
      <c r="BY617" s="23">
        <f t="shared" ca="1" si="531"/>
        <v>7636.455409850073</v>
      </c>
      <c r="BZ617" s="24">
        <f t="shared" ca="1" si="532"/>
        <v>0</v>
      </c>
      <c r="CA617" s="24">
        <f t="shared" ca="1" si="565"/>
        <v>0</v>
      </c>
      <c r="CB617" s="24">
        <f t="shared" ca="1" si="533"/>
        <v>0</v>
      </c>
      <c r="CC617" s="24">
        <f t="shared" ca="1" si="566"/>
        <v>0</v>
      </c>
      <c r="CD617" s="24">
        <f t="shared" ca="1" si="534"/>
        <v>-122.15190651109968</v>
      </c>
      <c r="CE617" s="25">
        <f t="shared" ca="1" si="567"/>
        <v>-1505.5539526945645</v>
      </c>
      <c r="CF617" s="23">
        <f t="shared" ca="1" si="568"/>
        <v>1932659.3762977261</v>
      </c>
      <c r="CG617" s="25">
        <f t="array" aca="1" ref="CG617" ca="1">SUM(BF606:BF617/(1+inflation/100)^(AP606:AP617/12))</f>
        <v>267980.53702225379</v>
      </c>
      <c r="CH617" s="32">
        <f ca="1">IFERROR(IF(MOD(AP617-ap_months_since_start,12)=0,ap_drawdown/100*(AQ617+AV617+BA617-BC617),CH616),0)</f>
        <v>9421.9907597264901</v>
      </c>
    </row>
    <row r="618" spans="40:86" x14ac:dyDescent="0.25">
      <c r="AN618" s="32">
        <f t="shared" ca="1" si="529"/>
        <v>105.75</v>
      </c>
      <c r="AO618" s="53">
        <f t="shared" ca="1" si="560"/>
        <v>64193</v>
      </c>
      <c r="AP618" s="22">
        <v>611</v>
      </c>
      <c r="AQ618" s="32">
        <f t="shared" ca="1" si="561"/>
        <v>56072.928000572363</v>
      </c>
      <c r="AR618" s="23">
        <f t="array" aca="1" ref="AR618" ca="1">SUM(IF(lsc_start_date=AO618,lsc_amount,0))</f>
        <v>0</v>
      </c>
      <c r="AS618" s="24">
        <f t="shared" ca="1" si="535"/>
        <v>0</v>
      </c>
      <c r="AT618" s="24">
        <f t="shared" ca="1" si="536"/>
        <v>0</v>
      </c>
      <c r="AU618" s="24">
        <f t="shared" ca="1" si="537"/>
        <v>0</v>
      </c>
      <c r="AV618" s="25">
        <f t="shared" ca="1" si="538"/>
        <v>0</v>
      </c>
      <c r="AW618" s="23">
        <f t="array" aca="1" ref="AW618" ca="1">SUM(IF(rcs_start_date&lt;=AO618,1,0)*IF(rcs_end_date&gt;=AO618,1,0)*rcs_amount*(1+rcs_escalation/100)^(INT((AP618-rcs_months_since_start)/12))*IF(MOD((AP618-rcs_months_since_start),rcs_frequency)=0,1,0)*IF(rcs_frequency=13,0,1))+SUM(IF(rcs_start_date=AO618,rcs_amount,0)*IF(rcs_frequency=13,1,0))</f>
        <v>0</v>
      </c>
      <c r="AX618" s="24">
        <f t="shared" ca="1" si="539"/>
        <v>0</v>
      </c>
      <c r="AY618" s="24">
        <f t="shared" ca="1" si="540"/>
        <v>0</v>
      </c>
      <c r="AZ618" s="24">
        <f t="shared" ca="1" si="541"/>
        <v>0</v>
      </c>
      <c r="BA618" s="25">
        <f t="shared" ca="1" si="542"/>
        <v>0</v>
      </c>
      <c r="BB618" s="23">
        <f t="array" aca="1" ref="BB618" ca="1">SUM(IF(w_start_date&lt;=AO618,1,0)*IF(w_end_date&gt;=AO618,1,0)*w_amount*(1+w_escalation/100)^(INT((AP618-w_months_since_start)/12))*IF(MOD(AP618-w_months_since_start,w_frequency)=0,1,0)*IF(w_frequency=13,0,1))+SUM(IF(w_start_date=AO618,w_amount,0)*IF(w_frequency=13,1,0))</f>
        <v>0</v>
      </c>
      <c r="BC618" s="25">
        <f t="shared" ca="1" si="543"/>
        <v>0</v>
      </c>
      <c r="BD618" s="24" t="b">
        <f t="shared" ca="1" si="544"/>
        <v>1</v>
      </c>
      <c r="BE618" s="24" t="b">
        <f t="shared" ca="1" si="545"/>
        <v>1</v>
      </c>
      <c r="BF618" s="23">
        <f t="array" aca="1" ref="BF618" ca="1">SUM(IF(BD618,1,0)*IF(ap_start_date&lt;=AO618,1,0)*IF(ap_end_date&gt;=AO618,1,0)*ap_amount*(1+ap_escalation/100)^(INT((AP618-ap_months_since_start)/12))*IF(MOD(AP618-ap_months_since_start,ap_frequency)=0,1,0))</f>
        <v>161572.80959402214</v>
      </c>
      <c r="BG618" s="24">
        <f t="shared" ca="1" si="546"/>
        <v>1938873.7151282656</v>
      </c>
      <c r="BH618" s="24">
        <f t="shared" ca="1" si="547"/>
        <v>1532.5880155093737</v>
      </c>
      <c r="BI618">
        <f t="shared" ca="1" si="548"/>
        <v>0</v>
      </c>
      <c r="BJ618" s="24">
        <f t="shared" ca="1" si="549"/>
        <v>10728.116108565613</v>
      </c>
      <c r="BK618">
        <f t="shared" ca="1" si="550"/>
        <v>1</v>
      </c>
      <c r="BL618" s="25">
        <f t="shared" ca="1" si="551"/>
        <v>894.00967571380124</v>
      </c>
      <c r="BM618" s="32">
        <f t="shared" ca="1" si="530"/>
        <v>55576.61062946052</v>
      </c>
      <c r="BN618" s="23">
        <f t="shared" ca="1" si="552"/>
        <v>0</v>
      </c>
      <c r="BO618" s="24">
        <f t="shared" ca="1" si="553"/>
        <v>0</v>
      </c>
      <c r="BP618" s="25">
        <f t="shared" ca="1" si="554"/>
        <v>0</v>
      </c>
      <c r="BQ618" s="34">
        <f t="shared" ca="1" si="555"/>
        <v>64223</v>
      </c>
      <c r="BR618" s="23">
        <f t="shared" ca="1" si="556"/>
        <v>55576.61062946052</v>
      </c>
      <c r="BS618" s="24">
        <f t="shared" ca="1" si="557"/>
        <v>0</v>
      </c>
      <c r="BT618" s="24">
        <f t="shared" ca="1" si="562"/>
        <v>0</v>
      </c>
      <c r="BU618" s="24">
        <f t="shared" ca="1" si="558"/>
        <v>0</v>
      </c>
      <c r="BV618" s="24">
        <f t="shared" ca="1" si="563"/>
        <v>0</v>
      </c>
      <c r="BW618" s="24">
        <f t="shared" ca="1" si="559"/>
        <v>-894.00967571380124</v>
      </c>
      <c r="BX618" s="25">
        <f t="shared" ca="1" si="564"/>
        <v>-10728.116108565619</v>
      </c>
      <c r="BY618" s="23">
        <f t="shared" ca="1" si="531"/>
        <v>7544.1653454060615</v>
      </c>
      <c r="BZ618" s="24">
        <f t="shared" ca="1" si="532"/>
        <v>0</v>
      </c>
      <c r="CA618" s="24">
        <f t="shared" ca="1" si="565"/>
        <v>0</v>
      </c>
      <c r="CB618" s="24">
        <f t="shared" ca="1" si="533"/>
        <v>0</v>
      </c>
      <c r="CC618" s="24">
        <f t="shared" ca="1" si="566"/>
        <v>0</v>
      </c>
      <c r="CD618" s="24">
        <f t="shared" ca="1" si="534"/>
        <v>-121.75331783090192</v>
      </c>
      <c r="CE618" s="25">
        <f t="shared" ca="1" si="567"/>
        <v>-1487.6358651709847</v>
      </c>
      <c r="CF618" s="23">
        <f t="shared" ca="1" si="568"/>
        <v>1938873.7151282656</v>
      </c>
      <c r="CG618" s="25">
        <f t="array" aca="1" ref="CG618" ca="1">SUM(BF607:BF618/(1+inflation/100)^(AP607:AP618/12))</f>
        <v>267980.53702225379</v>
      </c>
      <c r="CH618" s="32">
        <f ca="1">IFERROR(IF(MOD(AP618-ap_months_since_start,12)=0,ap_drawdown/100*(AQ618+AV618+BA618-BC618),CH617),0)</f>
        <v>9421.9907597264901</v>
      </c>
    </row>
    <row r="619" spans="40:86" x14ac:dyDescent="0.25">
      <c r="AN619" s="32">
        <f t="shared" ca="1" si="529"/>
        <v>105.83333333333333</v>
      </c>
      <c r="AO619" s="53">
        <f t="shared" ca="1" si="560"/>
        <v>64224</v>
      </c>
      <c r="AP619" s="22">
        <v>612</v>
      </c>
      <c r="AQ619" s="32">
        <f t="shared" ca="1" si="561"/>
        <v>55576.61062946052</v>
      </c>
      <c r="AR619" s="23">
        <f t="array" aca="1" ref="AR619" ca="1">SUM(IF(lsc_start_date=AO619,lsc_amount,0))</f>
        <v>0</v>
      </c>
      <c r="AS619" s="24">
        <f t="shared" ca="1" si="535"/>
        <v>0</v>
      </c>
      <c r="AT619" s="24">
        <f t="shared" ca="1" si="536"/>
        <v>0</v>
      </c>
      <c r="AU619" s="24">
        <f t="shared" ca="1" si="537"/>
        <v>0</v>
      </c>
      <c r="AV619" s="25">
        <f t="shared" ca="1" si="538"/>
        <v>0</v>
      </c>
      <c r="AW619" s="23">
        <f t="array" aca="1" ref="AW619" ca="1">SUM(IF(rcs_start_date&lt;=AO619,1,0)*IF(rcs_end_date&gt;=AO619,1,0)*rcs_amount*(1+rcs_escalation/100)^(INT((AP619-rcs_months_since_start)/12))*IF(MOD((AP619-rcs_months_since_start),rcs_frequency)=0,1,0)*IF(rcs_frequency=13,0,1))+SUM(IF(rcs_start_date=AO619,rcs_amount,0)*IF(rcs_frequency=13,1,0))</f>
        <v>0</v>
      </c>
      <c r="AX619" s="24">
        <f t="shared" ca="1" si="539"/>
        <v>0</v>
      </c>
      <c r="AY619" s="24">
        <f t="shared" ca="1" si="540"/>
        <v>0</v>
      </c>
      <c r="AZ619" s="24">
        <f t="shared" ca="1" si="541"/>
        <v>0</v>
      </c>
      <c r="BA619" s="25">
        <f t="shared" ca="1" si="542"/>
        <v>0</v>
      </c>
      <c r="BB619" s="23">
        <f t="array" aca="1" ref="BB619" ca="1">SUM(IF(w_start_date&lt;=AO619,1,0)*IF(w_end_date&gt;=AO619,1,0)*w_amount*(1+w_escalation/100)^(INT((AP619-w_months_since_start)/12))*IF(MOD(AP619-w_months_since_start,w_frequency)=0,1,0)*IF(w_frequency=13,0,1))+SUM(IF(w_start_date=AO619,w_amount,0)*IF(w_frequency=13,1,0))</f>
        <v>0</v>
      </c>
      <c r="BC619" s="25">
        <f t="shared" ca="1" si="543"/>
        <v>0</v>
      </c>
      <c r="BD619" s="24" t="b">
        <f t="shared" ca="1" si="544"/>
        <v>1</v>
      </c>
      <c r="BE619" s="24" t="b">
        <f t="shared" ca="1" si="545"/>
        <v>1</v>
      </c>
      <c r="BF619" s="23">
        <f t="array" aca="1" ref="BF619" ca="1">SUM(IF(BD619,1,0)*IF(ap_start_date&lt;=AO619,1,0)*IF(ap_end_date&gt;=AO619,1,0)*ap_amount*(1+ap_escalation/100)^(INT((AP619-ap_months_since_start)/12))*IF(MOD(AP619-ap_months_since_start,ap_frequency)=0,1,0))</f>
        <v>168035.72197778308</v>
      </c>
      <c r="BG619" s="24">
        <f t="shared" ca="1" si="546"/>
        <v>2016428.6637333974</v>
      </c>
      <c r="BH619" s="24">
        <f t="shared" ca="1" si="547"/>
        <v>1389.415265736513</v>
      </c>
      <c r="BI619">
        <f t="shared" ca="1" si="548"/>
        <v>0</v>
      </c>
      <c r="BJ619" s="24">
        <f t="shared" ca="1" si="549"/>
        <v>9725.90686015559</v>
      </c>
      <c r="BK619">
        <f t="shared" ca="1" si="550"/>
        <v>1</v>
      </c>
      <c r="BL619" s="25">
        <f t="shared" ca="1" si="551"/>
        <v>810.49223834629902</v>
      </c>
      <c r="BM619" s="32">
        <f t="shared" ca="1" si="530"/>
        <v>55160.835513128804</v>
      </c>
      <c r="BN619" s="23">
        <f t="shared" ca="1" si="552"/>
        <v>0</v>
      </c>
      <c r="BO619" s="24">
        <f t="shared" ca="1" si="553"/>
        <v>0</v>
      </c>
      <c r="BP619" s="25">
        <f t="shared" ca="1" si="554"/>
        <v>0</v>
      </c>
      <c r="BQ619" s="34">
        <f t="shared" ca="1" si="555"/>
        <v>64253</v>
      </c>
      <c r="BR619" s="23">
        <f t="shared" ca="1" si="556"/>
        <v>55160.835513128804</v>
      </c>
      <c r="BS619" s="24">
        <f t="shared" ca="1" si="557"/>
        <v>0</v>
      </c>
      <c r="BT619" s="24">
        <f t="shared" ca="1" si="562"/>
        <v>0</v>
      </c>
      <c r="BU619" s="24">
        <f t="shared" ca="1" si="558"/>
        <v>0</v>
      </c>
      <c r="BV619" s="24">
        <f t="shared" ca="1" si="563"/>
        <v>0</v>
      </c>
      <c r="BW619" s="24">
        <f t="shared" ca="1" si="559"/>
        <v>-810.49223834629902</v>
      </c>
      <c r="BX619" s="25">
        <f t="shared" ca="1" si="564"/>
        <v>-10644.598671198117</v>
      </c>
      <c r="BY619" s="23">
        <f t="shared" ca="1" si="531"/>
        <v>7463.2936817490227</v>
      </c>
      <c r="BZ619" s="24">
        <f t="shared" ca="1" si="532"/>
        <v>0</v>
      </c>
      <c r="CA619" s="24">
        <f t="shared" ca="1" si="565"/>
        <v>0</v>
      </c>
      <c r="CB619" s="24">
        <f t="shared" ca="1" si="533"/>
        <v>0</v>
      </c>
      <c r="CC619" s="24">
        <f t="shared" ca="1" si="566"/>
        <v>0</v>
      </c>
      <c r="CD619" s="24">
        <f t="shared" ca="1" si="534"/>
        <v>-110.01907795383838</v>
      </c>
      <c r="CE619" s="25">
        <f t="shared" ca="1" si="567"/>
        <v>-1471.4446721656464</v>
      </c>
      <c r="CF619" s="23">
        <f t="shared" ca="1" si="568"/>
        <v>1945336.6275120266</v>
      </c>
      <c r="CG619" s="25">
        <f t="array" aca="1" ref="CG619" ca="1">SUM(BF608:BF619/(1+inflation/100)^(AP608:AP619/12))</f>
        <v>267980.53702225379</v>
      </c>
      <c r="CH619" s="32">
        <f ca="1">IFERROR(IF(MOD(AP619-ap_months_since_start,12)=0,ap_drawdown/100*(AQ619+AV619+BA619-BC619),CH618),0)</f>
        <v>8541.7983585375914</v>
      </c>
    </row>
    <row r="620" spans="40:86" x14ac:dyDescent="0.25">
      <c r="AN620" s="32">
        <f t="shared" ca="1" si="529"/>
        <v>105.91666666666667</v>
      </c>
      <c r="AO620" s="53">
        <f t="shared" ca="1" si="560"/>
        <v>64254</v>
      </c>
      <c r="AP620" s="22">
        <v>613</v>
      </c>
      <c r="AQ620" s="32">
        <f t="shared" ca="1" si="561"/>
        <v>55160.835513128804</v>
      </c>
      <c r="AR620" s="23">
        <f t="array" aca="1" ref="AR620" ca="1">SUM(IF(lsc_start_date=AO620,lsc_amount,0))</f>
        <v>0</v>
      </c>
      <c r="AS620" s="24">
        <f t="shared" ca="1" si="535"/>
        <v>0</v>
      </c>
      <c r="AT620" s="24">
        <f t="shared" ca="1" si="536"/>
        <v>0</v>
      </c>
      <c r="AU620" s="24">
        <f t="shared" ca="1" si="537"/>
        <v>0</v>
      </c>
      <c r="AV620" s="25">
        <f t="shared" ca="1" si="538"/>
        <v>0</v>
      </c>
      <c r="AW620" s="23">
        <f t="array" aca="1" ref="AW620" ca="1">SUM(IF(rcs_start_date&lt;=AO620,1,0)*IF(rcs_end_date&gt;=AO620,1,0)*rcs_amount*(1+rcs_escalation/100)^(INT((AP620-rcs_months_since_start)/12))*IF(MOD((AP620-rcs_months_since_start),rcs_frequency)=0,1,0)*IF(rcs_frequency=13,0,1))+SUM(IF(rcs_start_date=AO620,rcs_amount,0)*IF(rcs_frequency=13,1,0))</f>
        <v>0</v>
      </c>
      <c r="AX620" s="24">
        <f t="shared" ca="1" si="539"/>
        <v>0</v>
      </c>
      <c r="AY620" s="24">
        <f t="shared" ca="1" si="540"/>
        <v>0</v>
      </c>
      <c r="AZ620" s="24">
        <f t="shared" ca="1" si="541"/>
        <v>0</v>
      </c>
      <c r="BA620" s="25">
        <f t="shared" ca="1" si="542"/>
        <v>0</v>
      </c>
      <c r="BB620" s="23">
        <f t="array" aca="1" ref="BB620" ca="1">SUM(IF(w_start_date&lt;=AO620,1,0)*IF(w_end_date&gt;=AO620,1,0)*w_amount*(1+w_escalation/100)^(INT((AP620-w_months_since_start)/12))*IF(MOD(AP620-w_months_since_start,w_frequency)=0,1,0)*IF(w_frequency=13,0,1))+SUM(IF(w_start_date=AO620,w_amount,0)*IF(w_frequency=13,1,0))</f>
        <v>0</v>
      </c>
      <c r="BC620" s="25">
        <f t="shared" ca="1" si="543"/>
        <v>0</v>
      </c>
      <c r="BD620" s="24" t="b">
        <f t="shared" ca="1" si="544"/>
        <v>1</v>
      </c>
      <c r="BE620" s="24" t="b">
        <f t="shared" ca="1" si="545"/>
        <v>1</v>
      </c>
      <c r="BF620" s="23">
        <f t="array" aca="1" ref="BF620" ca="1">SUM(IF(BD620,1,0)*IF(ap_start_date&lt;=AO620,1,0)*IF(ap_end_date&gt;=AO620,1,0)*ap_amount*(1+ap_escalation/100)^(INT((AP620-ap_months_since_start)/12))*IF(MOD(AP620-ap_months_since_start,ap_frequency)=0,1,0))</f>
        <v>168035.72197778308</v>
      </c>
      <c r="BG620" s="24">
        <f t="shared" ca="1" si="546"/>
        <v>2016428.6637333974</v>
      </c>
      <c r="BH620" s="24">
        <f t="shared" ca="1" si="547"/>
        <v>1389.415265736513</v>
      </c>
      <c r="BI620">
        <f t="shared" ca="1" si="548"/>
        <v>0</v>
      </c>
      <c r="BJ620" s="24">
        <f t="shared" ca="1" si="549"/>
        <v>9725.90686015559</v>
      </c>
      <c r="BK620">
        <f t="shared" ca="1" si="550"/>
        <v>1</v>
      </c>
      <c r="BL620" s="25">
        <f t="shared" ca="1" si="551"/>
        <v>810.49223834629902</v>
      </c>
      <c r="BM620" s="32">
        <f t="shared" ca="1" si="530"/>
        <v>54742.063771106878</v>
      </c>
      <c r="BN620" s="23">
        <f t="shared" ca="1" si="552"/>
        <v>0</v>
      </c>
      <c r="BO620" s="24">
        <f t="shared" ca="1" si="553"/>
        <v>0</v>
      </c>
      <c r="BP620" s="25">
        <f t="shared" ca="1" si="554"/>
        <v>0</v>
      </c>
      <c r="BQ620" s="34">
        <f t="shared" ca="1" si="555"/>
        <v>64284</v>
      </c>
      <c r="BR620" s="23">
        <f t="shared" ca="1" si="556"/>
        <v>54742.063771106878</v>
      </c>
      <c r="BS620" s="24">
        <f t="shared" ca="1" si="557"/>
        <v>0</v>
      </c>
      <c r="BT620" s="24">
        <f t="shared" ca="1" si="562"/>
        <v>0</v>
      </c>
      <c r="BU620" s="24">
        <f t="shared" ca="1" si="558"/>
        <v>0</v>
      </c>
      <c r="BV620" s="24">
        <f t="shared" ca="1" si="563"/>
        <v>0</v>
      </c>
      <c r="BW620" s="24">
        <f t="shared" ca="1" si="559"/>
        <v>-810.49223834629902</v>
      </c>
      <c r="BX620" s="25">
        <f t="shared" ca="1" si="564"/>
        <v>-10561.081233830613</v>
      </c>
      <c r="BY620" s="23">
        <f t="shared" ca="1" si="531"/>
        <v>7382.465346783747</v>
      </c>
      <c r="BZ620" s="24">
        <f t="shared" ca="1" si="532"/>
        <v>0</v>
      </c>
      <c r="CA620" s="24">
        <f t="shared" ca="1" si="565"/>
        <v>0</v>
      </c>
      <c r="CB620" s="24">
        <f t="shared" ca="1" si="533"/>
        <v>0</v>
      </c>
      <c r="CC620" s="24">
        <f t="shared" ca="1" si="566"/>
        <v>0</v>
      </c>
      <c r="CD620" s="24">
        <f t="shared" ca="1" si="534"/>
        <v>-109.66007938942205</v>
      </c>
      <c r="CE620" s="25">
        <f t="shared" ca="1" si="567"/>
        <v>-1455.306311952158</v>
      </c>
      <c r="CF620" s="23">
        <f t="shared" ca="1" si="568"/>
        <v>1951799.5398957876</v>
      </c>
      <c r="CG620" s="25">
        <f t="array" aca="1" ref="CG620" ca="1">SUM(BF609:BF620/(1+inflation/100)^(AP609:AP620/12))</f>
        <v>267980.53702225379</v>
      </c>
      <c r="CH620" s="32">
        <f ca="1">IFERROR(IF(MOD(AP620-ap_months_since_start,12)=0,ap_drawdown/100*(AQ620+AV620+BA620-BC620),CH619),0)</f>
        <v>8541.7983585375914</v>
      </c>
    </row>
    <row r="621" spans="40:86" x14ac:dyDescent="0.25">
      <c r="AN621" s="32">
        <f t="shared" ca="1" si="529"/>
        <v>106</v>
      </c>
      <c r="AO621" s="53">
        <f t="shared" ca="1" si="560"/>
        <v>64285</v>
      </c>
      <c r="AP621" s="22">
        <v>614</v>
      </c>
      <c r="AQ621" s="32">
        <f t="shared" ca="1" si="561"/>
        <v>54742.063771106878</v>
      </c>
      <c r="AR621" s="23">
        <f t="array" aca="1" ref="AR621" ca="1">SUM(IF(lsc_start_date=AO621,lsc_amount,0))</f>
        <v>0</v>
      </c>
      <c r="AS621" s="24">
        <f t="shared" ca="1" si="535"/>
        <v>0</v>
      </c>
      <c r="AT621" s="24">
        <f t="shared" ca="1" si="536"/>
        <v>0</v>
      </c>
      <c r="AU621" s="24">
        <f t="shared" ca="1" si="537"/>
        <v>0</v>
      </c>
      <c r="AV621" s="25">
        <f t="shared" ca="1" si="538"/>
        <v>0</v>
      </c>
      <c r="AW621" s="23">
        <f t="array" aca="1" ref="AW621" ca="1">SUM(IF(rcs_start_date&lt;=AO621,1,0)*IF(rcs_end_date&gt;=AO621,1,0)*rcs_amount*(1+rcs_escalation/100)^(INT((AP621-rcs_months_since_start)/12))*IF(MOD((AP621-rcs_months_since_start),rcs_frequency)=0,1,0)*IF(rcs_frequency=13,0,1))+SUM(IF(rcs_start_date=AO621,rcs_amount,0)*IF(rcs_frequency=13,1,0))</f>
        <v>0</v>
      </c>
      <c r="AX621" s="24">
        <f t="shared" ca="1" si="539"/>
        <v>0</v>
      </c>
      <c r="AY621" s="24">
        <f t="shared" ca="1" si="540"/>
        <v>0</v>
      </c>
      <c r="AZ621" s="24">
        <f t="shared" ca="1" si="541"/>
        <v>0</v>
      </c>
      <c r="BA621" s="25">
        <f t="shared" ca="1" si="542"/>
        <v>0</v>
      </c>
      <c r="BB621" s="23">
        <f t="array" aca="1" ref="BB621" ca="1">SUM(IF(w_start_date&lt;=AO621,1,0)*IF(w_end_date&gt;=AO621,1,0)*w_amount*(1+w_escalation/100)^(INT((AP621-w_months_since_start)/12))*IF(MOD(AP621-w_months_since_start,w_frequency)=0,1,0)*IF(w_frequency=13,0,1))+SUM(IF(w_start_date=AO621,w_amount,0)*IF(w_frequency=13,1,0))</f>
        <v>0</v>
      </c>
      <c r="BC621" s="25">
        <f t="shared" ca="1" si="543"/>
        <v>0</v>
      </c>
      <c r="BD621" s="24" t="b">
        <f t="shared" ca="1" si="544"/>
        <v>1</v>
      </c>
      <c r="BE621" s="24" t="b">
        <f t="shared" ca="1" si="545"/>
        <v>1</v>
      </c>
      <c r="BF621" s="23">
        <f t="array" aca="1" ref="BF621" ca="1">SUM(IF(BD621,1,0)*IF(ap_start_date&lt;=AO621,1,0)*IF(ap_end_date&gt;=AO621,1,0)*ap_amount*(1+ap_escalation/100)^(INT((AP621-ap_months_since_start)/12))*IF(MOD(AP621-ap_months_since_start,ap_frequency)=0,1,0))</f>
        <v>168035.72197778308</v>
      </c>
      <c r="BG621" s="24">
        <f t="shared" ca="1" si="546"/>
        <v>2016428.6637333974</v>
      </c>
      <c r="BH621" s="24">
        <f t="shared" ca="1" si="547"/>
        <v>1389.415265736513</v>
      </c>
      <c r="BI621">
        <f t="shared" ca="1" si="548"/>
        <v>0</v>
      </c>
      <c r="BJ621" s="24">
        <f t="shared" ca="1" si="549"/>
        <v>9725.90686015559</v>
      </c>
      <c r="BK621">
        <f t="shared" ca="1" si="550"/>
        <v>1</v>
      </c>
      <c r="BL621" s="25">
        <f t="shared" ca="1" si="551"/>
        <v>810.49223834629902</v>
      </c>
      <c r="BM621" s="32">
        <f t="shared" ca="1" si="530"/>
        <v>54320.273805744539</v>
      </c>
      <c r="BN621" s="23">
        <f t="shared" ca="1" si="552"/>
        <v>0</v>
      </c>
      <c r="BO621" s="24">
        <f t="shared" ca="1" si="553"/>
        <v>0</v>
      </c>
      <c r="BP621" s="25">
        <f t="shared" ca="1" si="554"/>
        <v>0</v>
      </c>
      <c r="BQ621" s="34">
        <f t="shared" ca="1" si="555"/>
        <v>64315</v>
      </c>
      <c r="BR621" s="23">
        <f t="shared" ca="1" si="556"/>
        <v>54320.273805744539</v>
      </c>
      <c r="BS621" s="24">
        <f t="shared" ca="1" si="557"/>
        <v>0</v>
      </c>
      <c r="BT621" s="24">
        <f t="shared" ca="1" si="562"/>
        <v>0</v>
      </c>
      <c r="BU621" s="24">
        <f t="shared" ca="1" si="558"/>
        <v>0</v>
      </c>
      <c r="BV621" s="24">
        <f t="shared" ca="1" si="563"/>
        <v>0</v>
      </c>
      <c r="BW621" s="24">
        <f t="shared" ca="1" si="559"/>
        <v>-810.49223834629902</v>
      </c>
      <c r="BX621" s="25">
        <f t="shared" ca="1" si="564"/>
        <v>-10477.56379646311</v>
      </c>
      <c r="BY621" s="23">
        <f t="shared" ca="1" si="531"/>
        <v>7301.6793343652953</v>
      </c>
      <c r="BZ621" s="24">
        <f t="shared" ca="1" si="532"/>
        <v>0</v>
      </c>
      <c r="CA621" s="24">
        <f t="shared" ca="1" si="565"/>
        <v>0</v>
      </c>
      <c r="CB621" s="24">
        <f t="shared" ca="1" si="533"/>
        <v>0</v>
      </c>
      <c r="CC621" s="24">
        <f t="shared" ca="1" si="566"/>
        <v>0</v>
      </c>
      <c r="CD621" s="24">
        <f t="shared" ca="1" si="534"/>
        <v>-109.30225225792142</v>
      </c>
      <c r="CE621" s="25">
        <f t="shared" ca="1" si="567"/>
        <v>-1439.2206121340889</v>
      </c>
      <c r="CF621" s="23">
        <f t="shared" ca="1" si="568"/>
        <v>1958262.4522795486</v>
      </c>
      <c r="CG621" s="25">
        <f t="array" aca="1" ref="CG621" ca="1">SUM(BF610:BF621/(1+inflation/100)^(AP610:AP621/12))</f>
        <v>267980.53702225379</v>
      </c>
      <c r="CH621" s="32">
        <f ca="1">IFERROR(IF(MOD(AP621-ap_months_since_start,12)=0,ap_drawdown/100*(AQ621+AV621+BA621-BC621),CH620),0)</f>
        <v>8541.7983585375914</v>
      </c>
    </row>
    <row r="622" spans="40:86" x14ac:dyDescent="0.25">
      <c r="AN622" s="32">
        <f t="shared" ca="1" si="529"/>
        <v>106.08333333333333</v>
      </c>
      <c r="AO622" s="53">
        <f t="shared" ca="1" si="560"/>
        <v>64316</v>
      </c>
      <c r="AP622" s="22">
        <v>615</v>
      </c>
      <c r="AQ622" s="32">
        <f t="shared" ca="1" si="561"/>
        <v>54320.273805744539</v>
      </c>
      <c r="AR622" s="23">
        <f t="array" aca="1" ref="AR622" ca="1">SUM(IF(lsc_start_date=AO622,lsc_amount,0))</f>
        <v>0</v>
      </c>
      <c r="AS622" s="24">
        <f t="shared" ca="1" si="535"/>
        <v>0</v>
      </c>
      <c r="AT622" s="24">
        <f t="shared" ca="1" si="536"/>
        <v>0</v>
      </c>
      <c r="AU622" s="24">
        <f t="shared" ca="1" si="537"/>
        <v>0</v>
      </c>
      <c r="AV622" s="25">
        <f t="shared" ca="1" si="538"/>
        <v>0</v>
      </c>
      <c r="AW622" s="23">
        <f t="array" aca="1" ref="AW622" ca="1">SUM(IF(rcs_start_date&lt;=AO622,1,0)*IF(rcs_end_date&gt;=AO622,1,0)*rcs_amount*(1+rcs_escalation/100)^(INT((AP622-rcs_months_since_start)/12))*IF(MOD((AP622-rcs_months_since_start),rcs_frequency)=0,1,0)*IF(rcs_frequency=13,0,1))+SUM(IF(rcs_start_date=AO622,rcs_amount,0)*IF(rcs_frequency=13,1,0))</f>
        <v>0</v>
      </c>
      <c r="AX622" s="24">
        <f t="shared" ca="1" si="539"/>
        <v>0</v>
      </c>
      <c r="AY622" s="24">
        <f t="shared" ca="1" si="540"/>
        <v>0</v>
      </c>
      <c r="AZ622" s="24">
        <f t="shared" ca="1" si="541"/>
        <v>0</v>
      </c>
      <c r="BA622" s="25">
        <f t="shared" ca="1" si="542"/>
        <v>0</v>
      </c>
      <c r="BB622" s="23">
        <f t="array" aca="1" ref="BB622" ca="1">SUM(IF(w_start_date&lt;=AO622,1,0)*IF(w_end_date&gt;=AO622,1,0)*w_amount*(1+w_escalation/100)^(INT((AP622-w_months_since_start)/12))*IF(MOD(AP622-w_months_since_start,w_frequency)=0,1,0)*IF(w_frequency=13,0,1))+SUM(IF(w_start_date=AO622,w_amount,0)*IF(w_frequency=13,1,0))</f>
        <v>0</v>
      </c>
      <c r="BC622" s="25">
        <f t="shared" ca="1" si="543"/>
        <v>0</v>
      </c>
      <c r="BD622" s="24" t="b">
        <f t="shared" ca="1" si="544"/>
        <v>1</v>
      </c>
      <c r="BE622" s="24" t="b">
        <f t="shared" ca="1" si="545"/>
        <v>1</v>
      </c>
      <c r="BF622" s="23">
        <f t="array" aca="1" ref="BF622" ca="1">SUM(IF(BD622,1,0)*IF(ap_start_date&lt;=AO622,1,0)*IF(ap_end_date&gt;=AO622,1,0)*ap_amount*(1+ap_escalation/100)^(INT((AP622-ap_months_since_start)/12))*IF(MOD(AP622-ap_months_since_start,ap_frequency)=0,1,0))</f>
        <v>168035.72197778308</v>
      </c>
      <c r="BG622" s="24">
        <f t="shared" ca="1" si="546"/>
        <v>2016428.6637333974</v>
      </c>
      <c r="BH622" s="24">
        <f t="shared" ca="1" si="547"/>
        <v>1389.415265736513</v>
      </c>
      <c r="BI622">
        <f t="shared" ca="1" si="548"/>
        <v>0</v>
      </c>
      <c r="BJ622" s="24">
        <f t="shared" ca="1" si="549"/>
        <v>9725.90686015559</v>
      </c>
      <c r="BK622">
        <f t="shared" ca="1" si="550"/>
        <v>1</v>
      </c>
      <c r="BL622" s="25">
        <f t="shared" ca="1" si="551"/>
        <v>810.49223834629902</v>
      </c>
      <c r="BM622" s="32">
        <f t="shared" ca="1" si="530"/>
        <v>53895.443863730332</v>
      </c>
      <c r="BN622" s="23">
        <f t="shared" ca="1" si="552"/>
        <v>0</v>
      </c>
      <c r="BO622" s="24">
        <f t="shared" ca="1" si="553"/>
        <v>0</v>
      </c>
      <c r="BP622" s="25">
        <f t="shared" ca="1" si="554"/>
        <v>0</v>
      </c>
      <c r="BQ622" s="34">
        <f t="shared" ca="1" si="555"/>
        <v>64344</v>
      </c>
      <c r="BR622" s="23">
        <f t="shared" ca="1" si="556"/>
        <v>53895.443863730332</v>
      </c>
      <c r="BS622" s="24">
        <f t="shared" ca="1" si="557"/>
        <v>0</v>
      </c>
      <c r="BT622" s="24">
        <f t="shared" ca="1" si="562"/>
        <v>0</v>
      </c>
      <c r="BU622" s="24">
        <f t="shared" ca="1" si="558"/>
        <v>0</v>
      </c>
      <c r="BV622" s="24">
        <f t="shared" ca="1" si="563"/>
        <v>0</v>
      </c>
      <c r="BW622" s="24">
        <f t="shared" ca="1" si="559"/>
        <v>-810.49223834629902</v>
      </c>
      <c r="BX622" s="25">
        <f t="shared" ca="1" si="564"/>
        <v>-10394.046359095606</v>
      </c>
      <c r="BY622" s="23">
        <f t="shared" ca="1" si="531"/>
        <v>7220.9346382413469</v>
      </c>
      <c r="BZ622" s="24">
        <f t="shared" ca="1" si="532"/>
        <v>0</v>
      </c>
      <c r="CA622" s="24">
        <f t="shared" ca="1" si="565"/>
        <v>0</v>
      </c>
      <c r="CB622" s="24">
        <f t="shared" ca="1" si="533"/>
        <v>0</v>
      </c>
      <c r="CC622" s="24">
        <f t="shared" ca="1" si="566"/>
        <v>0</v>
      </c>
      <c r="CD622" s="24">
        <f t="shared" ca="1" si="534"/>
        <v>-108.94559273688346</v>
      </c>
      <c r="CE622" s="25">
        <f t="shared" ca="1" si="567"/>
        <v>-1423.1874008775465</v>
      </c>
      <c r="CF622" s="23">
        <f t="shared" ca="1" si="568"/>
        <v>1964725.3646633097</v>
      </c>
      <c r="CG622" s="25">
        <f t="array" aca="1" ref="CG622" ca="1">SUM(BF611:BF622/(1+inflation/100)^(AP611:AP622/12))</f>
        <v>267980.53702225385</v>
      </c>
      <c r="CH622" s="32">
        <f ca="1">IFERROR(IF(MOD(AP622-ap_months_since_start,12)=0,ap_drawdown/100*(AQ622+AV622+BA622-BC622),CH621),0)</f>
        <v>8541.7983585375914</v>
      </c>
    </row>
    <row r="623" spans="40:86" x14ac:dyDescent="0.25">
      <c r="AN623" s="32">
        <f t="shared" ca="1" si="529"/>
        <v>106.16666666666667</v>
      </c>
      <c r="AO623" s="53">
        <f t="shared" ca="1" si="560"/>
        <v>64345</v>
      </c>
      <c r="AP623" s="22">
        <v>616</v>
      </c>
      <c r="AQ623" s="32">
        <f t="shared" ca="1" si="561"/>
        <v>53895.443863730332</v>
      </c>
      <c r="AR623" s="23">
        <f t="array" aca="1" ref="AR623" ca="1">SUM(IF(lsc_start_date=AO623,lsc_amount,0))</f>
        <v>0</v>
      </c>
      <c r="AS623" s="24">
        <f t="shared" ca="1" si="535"/>
        <v>0</v>
      </c>
      <c r="AT623" s="24">
        <f t="shared" ca="1" si="536"/>
        <v>0</v>
      </c>
      <c r="AU623" s="24">
        <f t="shared" ca="1" si="537"/>
        <v>0</v>
      </c>
      <c r="AV623" s="25">
        <f t="shared" ca="1" si="538"/>
        <v>0</v>
      </c>
      <c r="AW623" s="23">
        <f t="array" aca="1" ref="AW623" ca="1">SUM(IF(rcs_start_date&lt;=AO623,1,0)*IF(rcs_end_date&gt;=AO623,1,0)*rcs_amount*(1+rcs_escalation/100)^(INT((AP623-rcs_months_since_start)/12))*IF(MOD((AP623-rcs_months_since_start),rcs_frequency)=0,1,0)*IF(rcs_frequency=13,0,1))+SUM(IF(rcs_start_date=AO623,rcs_amount,0)*IF(rcs_frequency=13,1,0))</f>
        <v>0</v>
      </c>
      <c r="AX623" s="24">
        <f t="shared" ca="1" si="539"/>
        <v>0</v>
      </c>
      <c r="AY623" s="24">
        <f t="shared" ca="1" si="540"/>
        <v>0</v>
      </c>
      <c r="AZ623" s="24">
        <f t="shared" ca="1" si="541"/>
        <v>0</v>
      </c>
      <c r="BA623" s="25">
        <f t="shared" ca="1" si="542"/>
        <v>0</v>
      </c>
      <c r="BB623" s="23">
        <f t="array" aca="1" ref="BB623" ca="1">SUM(IF(w_start_date&lt;=AO623,1,0)*IF(w_end_date&gt;=AO623,1,0)*w_amount*(1+w_escalation/100)^(INT((AP623-w_months_since_start)/12))*IF(MOD(AP623-w_months_since_start,w_frequency)=0,1,0)*IF(w_frequency=13,0,1))+SUM(IF(w_start_date=AO623,w_amount,0)*IF(w_frequency=13,1,0))</f>
        <v>0</v>
      </c>
      <c r="BC623" s="25">
        <f t="shared" ca="1" si="543"/>
        <v>0</v>
      </c>
      <c r="BD623" s="24" t="b">
        <f t="shared" ca="1" si="544"/>
        <v>1</v>
      </c>
      <c r="BE623" s="24" t="b">
        <f t="shared" ca="1" si="545"/>
        <v>1</v>
      </c>
      <c r="BF623" s="23">
        <f t="array" aca="1" ref="BF623" ca="1">SUM(IF(BD623,1,0)*IF(ap_start_date&lt;=AO623,1,0)*IF(ap_end_date&gt;=AO623,1,0)*ap_amount*(1+ap_escalation/100)^(INT((AP623-ap_months_since_start)/12))*IF(MOD(AP623-ap_months_since_start,ap_frequency)=0,1,0))</f>
        <v>168035.72197778308</v>
      </c>
      <c r="BG623" s="24">
        <f t="shared" ca="1" si="546"/>
        <v>2016428.6637333974</v>
      </c>
      <c r="BH623" s="24">
        <f t="shared" ca="1" si="547"/>
        <v>1389.415265736513</v>
      </c>
      <c r="BI623">
        <f t="shared" ca="1" si="548"/>
        <v>0</v>
      </c>
      <c r="BJ623" s="24">
        <f t="shared" ca="1" si="549"/>
        <v>9725.90686015559</v>
      </c>
      <c r="BK623">
        <f t="shared" ca="1" si="550"/>
        <v>1</v>
      </c>
      <c r="BL623" s="25">
        <f t="shared" ca="1" si="551"/>
        <v>810.49223834629902</v>
      </c>
      <c r="BM623" s="32">
        <f t="shared" ca="1" si="530"/>
        <v>53467.552034969653</v>
      </c>
      <c r="BN623" s="23">
        <f t="shared" ca="1" si="552"/>
        <v>0</v>
      </c>
      <c r="BO623" s="24">
        <f t="shared" ca="1" si="553"/>
        <v>0</v>
      </c>
      <c r="BP623" s="25">
        <f t="shared" ca="1" si="554"/>
        <v>0</v>
      </c>
      <c r="BQ623" s="34">
        <f t="shared" ca="1" si="555"/>
        <v>64375</v>
      </c>
      <c r="BR623" s="23">
        <f t="shared" ca="1" si="556"/>
        <v>53467.552034969653</v>
      </c>
      <c r="BS623" s="24">
        <f t="shared" ca="1" si="557"/>
        <v>0</v>
      </c>
      <c r="BT623" s="24">
        <f t="shared" ca="1" si="562"/>
        <v>0</v>
      </c>
      <c r="BU623" s="24">
        <f t="shared" ca="1" si="558"/>
        <v>0</v>
      </c>
      <c r="BV623" s="24">
        <f t="shared" ca="1" si="563"/>
        <v>0</v>
      </c>
      <c r="BW623" s="24">
        <f t="shared" ca="1" si="559"/>
        <v>-810.49223834629902</v>
      </c>
      <c r="BX623" s="25">
        <f t="shared" ca="1" si="564"/>
        <v>-10310.528921728102</v>
      </c>
      <c r="BY623" s="23">
        <f t="shared" ca="1" si="531"/>
        <v>7140.230252039225</v>
      </c>
      <c r="BZ623" s="24">
        <f t="shared" ca="1" si="532"/>
        <v>0</v>
      </c>
      <c r="CA623" s="24">
        <f t="shared" ca="1" si="565"/>
        <v>0</v>
      </c>
      <c r="CB623" s="24">
        <f t="shared" ca="1" si="533"/>
        <v>0</v>
      </c>
      <c r="CC623" s="24">
        <f t="shared" ca="1" si="566"/>
        <v>0</v>
      </c>
      <c r="CD623" s="24">
        <f t="shared" ca="1" si="534"/>
        <v>-108.59009701632829</v>
      </c>
      <c r="CE623" s="25">
        <f t="shared" ca="1" si="567"/>
        <v>-1407.2065069093433</v>
      </c>
      <c r="CF623" s="23">
        <f t="shared" ca="1" si="568"/>
        <v>1971188.2770470707</v>
      </c>
      <c r="CG623" s="25">
        <f t="array" aca="1" ref="CG623" ca="1">SUM(BF612:BF623/(1+inflation/100)^(AP612:AP623/12))</f>
        <v>267980.53702225385</v>
      </c>
      <c r="CH623" s="32">
        <f ca="1">IFERROR(IF(MOD(AP623-ap_months_since_start,12)=0,ap_drawdown/100*(AQ623+AV623+BA623-BC623),CH622),0)</f>
        <v>8541.7983585375914</v>
      </c>
    </row>
    <row r="624" spans="40:86" x14ac:dyDescent="0.25">
      <c r="AN624" s="32">
        <f t="shared" ca="1" si="529"/>
        <v>106.25</v>
      </c>
      <c r="AO624" s="53">
        <f t="shared" ca="1" si="560"/>
        <v>64376</v>
      </c>
      <c r="AP624" s="22">
        <v>617</v>
      </c>
      <c r="AQ624" s="32">
        <f t="shared" ca="1" si="561"/>
        <v>53467.552034969653</v>
      </c>
      <c r="AR624" s="23">
        <f t="array" aca="1" ref="AR624" ca="1">SUM(IF(lsc_start_date=AO624,lsc_amount,0))</f>
        <v>0</v>
      </c>
      <c r="AS624" s="24">
        <f t="shared" ca="1" si="535"/>
        <v>0</v>
      </c>
      <c r="AT624" s="24">
        <f t="shared" ca="1" si="536"/>
        <v>0</v>
      </c>
      <c r="AU624" s="24">
        <f t="shared" ca="1" si="537"/>
        <v>0</v>
      </c>
      <c r="AV624" s="25">
        <f t="shared" ca="1" si="538"/>
        <v>0</v>
      </c>
      <c r="AW624" s="23">
        <f t="array" aca="1" ref="AW624" ca="1">SUM(IF(rcs_start_date&lt;=AO624,1,0)*IF(rcs_end_date&gt;=AO624,1,0)*rcs_amount*(1+rcs_escalation/100)^(INT((AP624-rcs_months_since_start)/12))*IF(MOD((AP624-rcs_months_since_start),rcs_frequency)=0,1,0)*IF(rcs_frequency=13,0,1))+SUM(IF(rcs_start_date=AO624,rcs_amount,0)*IF(rcs_frequency=13,1,0))</f>
        <v>0</v>
      </c>
      <c r="AX624" s="24">
        <f t="shared" ca="1" si="539"/>
        <v>0</v>
      </c>
      <c r="AY624" s="24">
        <f t="shared" ca="1" si="540"/>
        <v>0</v>
      </c>
      <c r="AZ624" s="24">
        <f t="shared" ca="1" si="541"/>
        <v>0</v>
      </c>
      <c r="BA624" s="25">
        <f t="shared" ca="1" si="542"/>
        <v>0</v>
      </c>
      <c r="BB624" s="23">
        <f t="array" aca="1" ref="BB624" ca="1">SUM(IF(w_start_date&lt;=AO624,1,0)*IF(w_end_date&gt;=AO624,1,0)*w_amount*(1+w_escalation/100)^(INT((AP624-w_months_since_start)/12))*IF(MOD(AP624-w_months_since_start,w_frequency)=0,1,0)*IF(w_frequency=13,0,1))+SUM(IF(w_start_date=AO624,w_amount,0)*IF(w_frequency=13,1,0))</f>
        <v>0</v>
      </c>
      <c r="BC624" s="25">
        <f t="shared" ca="1" si="543"/>
        <v>0</v>
      </c>
      <c r="BD624" s="24" t="b">
        <f t="shared" ca="1" si="544"/>
        <v>1</v>
      </c>
      <c r="BE624" s="24" t="b">
        <f t="shared" ca="1" si="545"/>
        <v>1</v>
      </c>
      <c r="BF624" s="23">
        <f t="array" aca="1" ref="BF624" ca="1">SUM(IF(BD624,1,0)*IF(ap_start_date&lt;=AO624,1,0)*IF(ap_end_date&gt;=AO624,1,0)*ap_amount*(1+ap_escalation/100)^(INT((AP624-ap_months_since_start)/12))*IF(MOD(AP624-ap_months_since_start,ap_frequency)=0,1,0))</f>
        <v>168035.72197778308</v>
      </c>
      <c r="BG624" s="24">
        <f t="shared" ca="1" si="546"/>
        <v>2016428.6637333974</v>
      </c>
      <c r="BH624" s="24">
        <f t="shared" ca="1" si="547"/>
        <v>1389.415265736513</v>
      </c>
      <c r="BI624">
        <f t="shared" ca="1" si="548"/>
        <v>0</v>
      </c>
      <c r="BJ624" s="24">
        <f t="shared" ca="1" si="549"/>
        <v>9725.90686015559</v>
      </c>
      <c r="BK624">
        <f t="shared" ca="1" si="550"/>
        <v>1</v>
      </c>
      <c r="BL624" s="25">
        <f t="shared" ca="1" si="551"/>
        <v>810.49223834629902</v>
      </c>
      <c r="BM624" s="32">
        <f t="shared" ca="1" si="530"/>
        <v>53036.57625145476</v>
      </c>
      <c r="BN624" s="23">
        <f t="shared" ca="1" si="552"/>
        <v>0</v>
      </c>
      <c r="BO624" s="24">
        <f t="shared" ca="1" si="553"/>
        <v>0</v>
      </c>
      <c r="BP624" s="25">
        <f t="shared" ca="1" si="554"/>
        <v>0</v>
      </c>
      <c r="BQ624" s="34">
        <f t="shared" ca="1" si="555"/>
        <v>64405</v>
      </c>
      <c r="BR624" s="23">
        <f t="shared" ca="1" si="556"/>
        <v>53036.57625145476</v>
      </c>
      <c r="BS624" s="24">
        <f t="shared" ca="1" si="557"/>
        <v>0</v>
      </c>
      <c r="BT624" s="24">
        <f t="shared" ca="1" si="562"/>
        <v>0</v>
      </c>
      <c r="BU624" s="24">
        <f t="shared" ca="1" si="558"/>
        <v>0</v>
      </c>
      <c r="BV624" s="24">
        <f t="shared" ca="1" si="563"/>
        <v>0</v>
      </c>
      <c r="BW624" s="24">
        <f t="shared" ca="1" si="559"/>
        <v>-810.49223834629902</v>
      </c>
      <c r="BX624" s="25">
        <f t="shared" ca="1" si="564"/>
        <v>-10227.011484360602</v>
      </c>
      <c r="BY624" s="23">
        <f t="shared" ca="1" si="531"/>
        <v>7059.5651692529682</v>
      </c>
      <c r="BZ624" s="24">
        <f t="shared" ca="1" si="532"/>
        <v>0</v>
      </c>
      <c r="CA624" s="24">
        <f t="shared" ca="1" si="565"/>
        <v>0</v>
      </c>
      <c r="CB624" s="24">
        <f t="shared" ca="1" si="533"/>
        <v>0</v>
      </c>
      <c r="CC624" s="24">
        <f t="shared" ca="1" si="566"/>
        <v>0</v>
      </c>
      <c r="CD624" s="24">
        <f t="shared" ca="1" si="534"/>
        <v>-108.2357612987081</v>
      </c>
      <c r="CE624" s="25">
        <f t="shared" ca="1" si="567"/>
        <v>-1391.2777595151647</v>
      </c>
      <c r="CF624" s="23">
        <f t="shared" ca="1" si="568"/>
        <v>1977651.1894308315</v>
      </c>
      <c r="CG624" s="25">
        <f t="array" aca="1" ref="CG624" ca="1">SUM(BF613:BF624/(1+inflation/100)^(AP613:AP624/12))</f>
        <v>267980.53702225379</v>
      </c>
      <c r="CH624" s="32">
        <f ca="1">IFERROR(IF(MOD(AP624-ap_months_since_start,12)=0,ap_drawdown/100*(AQ624+AV624+BA624-BC624),CH623),0)</f>
        <v>8541.7983585375914</v>
      </c>
    </row>
    <row r="625" spans="40:86" x14ac:dyDescent="0.25">
      <c r="AN625" s="32">
        <f t="shared" ca="1" si="529"/>
        <v>106.33333333333333</v>
      </c>
      <c r="AO625" s="53">
        <f t="shared" ca="1" si="560"/>
        <v>64406</v>
      </c>
      <c r="AP625" s="22">
        <v>618</v>
      </c>
      <c r="AQ625" s="32">
        <f t="shared" ca="1" si="561"/>
        <v>53036.57625145476</v>
      </c>
      <c r="AR625" s="23">
        <f t="array" aca="1" ref="AR625" ca="1">SUM(IF(lsc_start_date=AO625,lsc_amount,0))</f>
        <v>0</v>
      </c>
      <c r="AS625" s="24">
        <f t="shared" ca="1" si="535"/>
        <v>0</v>
      </c>
      <c r="AT625" s="24">
        <f t="shared" ca="1" si="536"/>
        <v>0</v>
      </c>
      <c r="AU625" s="24">
        <f t="shared" ca="1" si="537"/>
        <v>0</v>
      </c>
      <c r="AV625" s="25">
        <f t="shared" ca="1" si="538"/>
        <v>0</v>
      </c>
      <c r="AW625" s="23">
        <f t="array" aca="1" ref="AW625" ca="1">SUM(IF(rcs_start_date&lt;=AO625,1,0)*IF(rcs_end_date&gt;=AO625,1,0)*rcs_amount*(1+rcs_escalation/100)^(INT((AP625-rcs_months_since_start)/12))*IF(MOD((AP625-rcs_months_since_start),rcs_frequency)=0,1,0)*IF(rcs_frequency=13,0,1))+SUM(IF(rcs_start_date=AO625,rcs_amount,0)*IF(rcs_frequency=13,1,0))</f>
        <v>0</v>
      </c>
      <c r="AX625" s="24">
        <f t="shared" ca="1" si="539"/>
        <v>0</v>
      </c>
      <c r="AY625" s="24">
        <f t="shared" ca="1" si="540"/>
        <v>0</v>
      </c>
      <c r="AZ625" s="24">
        <f t="shared" ca="1" si="541"/>
        <v>0</v>
      </c>
      <c r="BA625" s="25">
        <f t="shared" ca="1" si="542"/>
        <v>0</v>
      </c>
      <c r="BB625" s="23">
        <f t="array" aca="1" ref="BB625" ca="1">SUM(IF(w_start_date&lt;=AO625,1,0)*IF(w_end_date&gt;=AO625,1,0)*w_amount*(1+w_escalation/100)^(INT((AP625-w_months_since_start)/12))*IF(MOD(AP625-w_months_since_start,w_frequency)=0,1,0)*IF(w_frequency=13,0,1))+SUM(IF(w_start_date=AO625,w_amount,0)*IF(w_frequency=13,1,0))</f>
        <v>0</v>
      </c>
      <c r="BC625" s="25">
        <f t="shared" ca="1" si="543"/>
        <v>0</v>
      </c>
      <c r="BD625" s="24" t="b">
        <f t="shared" ca="1" si="544"/>
        <v>1</v>
      </c>
      <c r="BE625" s="24" t="b">
        <f t="shared" ca="1" si="545"/>
        <v>1</v>
      </c>
      <c r="BF625" s="23">
        <f t="array" aca="1" ref="BF625" ca="1">SUM(IF(BD625,1,0)*IF(ap_start_date&lt;=AO625,1,0)*IF(ap_end_date&gt;=AO625,1,0)*ap_amount*(1+ap_escalation/100)^(INT((AP625-ap_months_since_start)/12))*IF(MOD(AP625-ap_months_since_start,ap_frequency)=0,1,0))</f>
        <v>168035.72197778308</v>
      </c>
      <c r="BG625" s="24">
        <f t="shared" ca="1" si="546"/>
        <v>2016428.6637333974</v>
      </c>
      <c r="BH625" s="24">
        <f t="shared" ca="1" si="547"/>
        <v>1389.415265736513</v>
      </c>
      <c r="BI625">
        <f t="shared" ca="1" si="548"/>
        <v>0</v>
      </c>
      <c r="BJ625" s="24">
        <f t="shared" ca="1" si="549"/>
        <v>9725.90686015559</v>
      </c>
      <c r="BK625">
        <f t="shared" ca="1" si="550"/>
        <v>1</v>
      </c>
      <c r="BL625" s="25">
        <f t="shared" ca="1" si="551"/>
        <v>810.49223834629902</v>
      </c>
      <c r="BM625" s="32">
        <f t="shared" ca="1" si="530"/>
        <v>52602.494286126654</v>
      </c>
      <c r="BN625" s="23">
        <f t="shared" ca="1" si="552"/>
        <v>0</v>
      </c>
      <c r="BO625" s="24">
        <f t="shared" ca="1" si="553"/>
        <v>0</v>
      </c>
      <c r="BP625" s="25">
        <f t="shared" ca="1" si="554"/>
        <v>0</v>
      </c>
      <c r="BQ625" s="34">
        <f t="shared" ca="1" si="555"/>
        <v>64436</v>
      </c>
      <c r="BR625" s="23">
        <f t="shared" ca="1" si="556"/>
        <v>52602.494286126654</v>
      </c>
      <c r="BS625" s="24">
        <f t="shared" ca="1" si="557"/>
        <v>0</v>
      </c>
      <c r="BT625" s="24">
        <f t="shared" ca="1" si="562"/>
        <v>0</v>
      </c>
      <c r="BU625" s="24">
        <f t="shared" ca="1" si="558"/>
        <v>0</v>
      </c>
      <c r="BV625" s="24">
        <f t="shared" ca="1" si="563"/>
        <v>0</v>
      </c>
      <c r="BW625" s="24">
        <f t="shared" ca="1" si="559"/>
        <v>-810.49223834629902</v>
      </c>
      <c r="BX625" s="25">
        <f t="shared" ca="1" si="564"/>
        <v>-10143.494046993099</v>
      </c>
      <c r="BY625" s="23">
        <f t="shared" ca="1" si="531"/>
        <v>6978.9383832303447</v>
      </c>
      <c r="BZ625" s="24">
        <f t="shared" ca="1" si="532"/>
        <v>0</v>
      </c>
      <c r="CA625" s="24">
        <f t="shared" ca="1" si="565"/>
        <v>0</v>
      </c>
      <c r="CB625" s="24">
        <f t="shared" ca="1" si="533"/>
        <v>0</v>
      </c>
      <c r="CC625" s="24">
        <f t="shared" ca="1" si="566"/>
        <v>0</v>
      </c>
      <c r="CD625" s="24">
        <f t="shared" ca="1" si="534"/>
        <v>-107.88258179886685</v>
      </c>
      <c r="CE625" s="25">
        <f t="shared" ca="1" si="567"/>
        <v>-1375.4009885377473</v>
      </c>
      <c r="CF625" s="23">
        <f t="shared" ca="1" si="568"/>
        <v>1984114.1018145925</v>
      </c>
      <c r="CG625" s="25">
        <f t="array" aca="1" ref="CG625" ca="1">SUM(BF614:BF625/(1+inflation/100)^(AP614:AP625/12))</f>
        <v>267980.53702225379</v>
      </c>
      <c r="CH625" s="32">
        <f ca="1">IFERROR(IF(MOD(AP625-ap_months_since_start,12)=0,ap_drawdown/100*(AQ625+AV625+BA625-BC625),CH624),0)</f>
        <v>8541.7983585375914</v>
      </c>
    </row>
    <row r="626" spans="40:86" x14ac:dyDescent="0.25">
      <c r="AN626" s="32">
        <f t="shared" ca="1" si="529"/>
        <v>106.41666666666667</v>
      </c>
      <c r="AO626" s="53">
        <f t="shared" ca="1" si="560"/>
        <v>64437</v>
      </c>
      <c r="AP626" s="22">
        <v>619</v>
      </c>
      <c r="AQ626" s="32">
        <f t="shared" ca="1" si="561"/>
        <v>52602.494286126654</v>
      </c>
      <c r="AR626" s="23">
        <f t="array" aca="1" ref="AR626" ca="1">SUM(IF(lsc_start_date=AO626,lsc_amount,0))</f>
        <v>0</v>
      </c>
      <c r="AS626" s="24">
        <f t="shared" ca="1" si="535"/>
        <v>0</v>
      </c>
      <c r="AT626" s="24">
        <f t="shared" ca="1" si="536"/>
        <v>0</v>
      </c>
      <c r="AU626" s="24">
        <f t="shared" ca="1" si="537"/>
        <v>0</v>
      </c>
      <c r="AV626" s="25">
        <f t="shared" ca="1" si="538"/>
        <v>0</v>
      </c>
      <c r="AW626" s="23">
        <f t="array" aca="1" ref="AW626" ca="1">SUM(IF(rcs_start_date&lt;=AO626,1,0)*IF(rcs_end_date&gt;=AO626,1,0)*rcs_amount*(1+rcs_escalation/100)^(INT((AP626-rcs_months_since_start)/12))*IF(MOD((AP626-rcs_months_since_start),rcs_frequency)=0,1,0)*IF(rcs_frequency=13,0,1))+SUM(IF(rcs_start_date=AO626,rcs_amount,0)*IF(rcs_frequency=13,1,0))</f>
        <v>0</v>
      </c>
      <c r="AX626" s="24">
        <f t="shared" ca="1" si="539"/>
        <v>0</v>
      </c>
      <c r="AY626" s="24">
        <f t="shared" ca="1" si="540"/>
        <v>0</v>
      </c>
      <c r="AZ626" s="24">
        <f t="shared" ca="1" si="541"/>
        <v>0</v>
      </c>
      <c r="BA626" s="25">
        <f t="shared" ca="1" si="542"/>
        <v>0</v>
      </c>
      <c r="BB626" s="23">
        <f t="array" aca="1" ref="BB626" ca="1">SUM(IF(w_start_date&lt;=AO626,1,0)*IF(w_end_date&gt;=AO626,1,0)*w_amount*(1+w_escalation/100)^(INT((AP626-w_months_since_start)/12))*IF(MOD(AP626-w_months_since_start,w_frequency)=0,1,0)*IF(w_frequency=13,0,1))+SUM(IF(w_start_date=AO626,w_amount,0)*IF(w_frequency=13,1,0))</f>
        <v>0</v>
      </c>
      <c r="BC626" s="25">
        <f t="shared" ca="1" si="543"/>
        <v>0</v>
      </c>
      <c r="BD626" s="24" t="b">
        <f t="shared" ca="1" si="544"/>
        <v>1</v>
      </c>
      <c r="BE626" s="24" t="b">
        <f t="shared" ca="1" si="545"/>
        <v>1</v>
      </c>
      <c r="BF626" s="23">
        <f t="array" aca="1" ref="BF626" ca="1">SUM(IF(BD626,1,0)*IF(ap_start_date&lt;=AO626,1,0)*IF(ap_end_date&gt;=AO626,1,0)*ap_amount*(1+ap_escalation/100)^(INT((AP626-ap_months_since_start)/12))*IF(MOD(AP626-ap_months_since_start,ap_frequency)=0,1,0))</f>
        <v>168035.72197778308</v>
      </c>
      <c r="BG626" s="24">
        <f t="shared" ca="1" si="546"/>
        <v>2016428.6637333974</v>
      </c>
      <c r="BH626" s="24">
        <f t="shared" ca="1" si="547"/>
        <v>1389.415265736513</v>
      </c>
      <c r="BI626">
        <f t="shared" ca="1" si="548"/>
        <v>0</v>
      </c>
      <c r="BJ626" s="24">
        <f t="shared" ca="1" si="549"/>
        <v>9725.90686015559</v>
      </c>
      <c r="BK626">
        <f t="shared" ca="1" si="550"/>
        <v>1</v>
      </c>
      <c r="BL626" s="25">
        <f t="shared" ca="1" si="551"/>
        <v>810.49223834629902</v>
      </c>
      <c r="BM626" s="32">
        <f t="shared" ca="1" si="530"/>
        <v>52165.283751728726</v>
      </c>
      <c r="BN626" s="23">
        <f t="shared" ca="1" si="552"/>
        <v>0</v>
      </c>
      <c r="BO626" s="24">
        <f t="shared" ca="1" si="553"/>
        <v>0</v>
      </c>
      <c r="BP626" s="25">
        <f t="shared" ca="1" si="554"/>
        <v>0</v>
      </c>
      <c r="BQ626" s="34">
        <f t="shared" ca="1" si="555"/>
        <v>64466</v>
      </c>
      <c r="BR626" s="23">
        <f t="shared" ca="1" si="556"/>
        <v>52165.283751728726</v>
      </c>
      <c r="BS626" s="24">
        <f t="shared" ca="1" si="557"/>
        <v>0</v>
      </c>
      <c r="BT626" s="24">
        <f t="shared" ca="1" si="562"/>
        <v>0</v>
      </c>
      <c r="BU626" s="24">
        <f t="shared" ca="1" si="558"/>
        <v>0</v>
      </c>
      <c r="BV626" s="24">
        <f t="shared" ca="1" si="563"/>
        <v>0</v>
      </c>
      <c r="BW626" s="24">
        <f t="shared" ca="1" si="559"/>
        <v>-810.49223834629902</v>
      </c>
      <c r="BX626" s="25">
        <f t="shared" ca="1" si="564"/>
        <v>-10059.976609625595</v>
      </c>
      <c r="BY626" s="23">
        <f t="shared" ca="1" si="531"/>
        <v>6898.3488871598975</v>
      </c>
      <c r="BZ626" s="24">
        <f t="shared" ca="1" si="532"/>
        <v>0</v>
      </c>
      <c r="CA626" s="24">
        <f t="shared" ca="1" si="565"/>
        <v>0</v>
      </c>
      <c r="CB626" s="24">
        <f t="shared" ca="1" si="533"/>
        <v>0</v>
      </c>
      <c r="CC626" s="24">
        <f t="shared" ca="1" si="566"/>
        <v>0</v>
      </c>
      <c r="CD626" s="24">
        <f t="shared" ca="1" si="534"/>
        <v>-107.5305547439995</v>
      </c>
      <c r="CE626" s="25">
        <f t="shared" ca="1" si="567"/>
        <v>-1359.5760243750617</v>
      </c>
      <c r="CF626" s="23">
        <f t="shared" ca="1" si="568"/>
        <v>1990577.0141983535</v>
      </c>
      <c r="CG626" s="25">
        <f t="array" aca="1" ref="CG626" ca="1">SUM(BF615:BF626/(1+inflation/100)^(AP615:AP626/12))</f>
        <v>267980.53702225379</v>
      </c>
      <c r="CH626" s="32">
        <f ca="1">IFERROR(IF(MOD(AP626-ap_months_since_start,12)=0,ap_drawdown/100*(AQ626+AV626+BA626-BC626),CH625),0)</f>
        <v>8541.7983585375914</v>
      </c>
    </row>
    <row r="627" spans="40:86" x14ac:dyDescent="0.25">
      <c r="AN627" s="32">
        <f t="shared" ca="1" si="529"/>
        <v>106.5</v>
      </c>
      <c r="AO627" s="53">
        <f t="shared" ca="1" si="560"/>
        <v>64467</v>
      </c>
      <c r="AP627" s="22">
        <v>620</v>
      </c>
      <c r="AQ627" s="32">
        <f t="shared" ca="1" si="561"/>
        <v>52165.283751728726</v>
      </c>
      <c r="AR627" s="23">
        <f t="array" aca="1" ref="AR627" ca="1">SUM(IF(lsc_start_date=AO627,lsc_amount,0))</f>
        <v>0</v>
      </c>
      <c r="AS627" s="24">
        <f t="shared" ca="1" si="535"/>
        <v>0</v>
      </c>
      <c r="AT627" s="24">
        <f t="shared" ca="1" si="536"/>
        <v>0</v>
      </c>
      <c r="AU627" s="24">
        <f t="shared" ca="1" si="537"/>
        <v>0</v>
      </c>
      <c r="AV627" s="25">
        <f t="shared" ca="1" si="538"/>
        <v>0</v>
      </c>
      <c r="AW627" s="23">
        <f t="array" aca="1" ref="AW627" ca="1">SUM(IF(rcs_start_date&lt;=AO627,1,0)*IF(rcs_end_date&gt;=AO627,1,0)*rcs_amount*(1+rcs_escalation/100)^(INT((AP627-rcs_months_since_start)/12))*IF(MOD((AP627-rcs_months_since_start),rcs_frequency)=0,1,0)*IF(rcs_frequency=13,0,1))+SUM(IF(rcs_start_date=AO627,rcs_amount,0)*IF(rcs_frequency=13,1,0))</f>
        <v>0</v>
      </c>
      <c r="AX627" s="24">
        <f t="shared" ca="1" si="539"/>
        <v>0</v>
      </c>
      <c r="AY627" s="24">
        <f t="shared" ca="1" si="540"/>
        <v>0</v>
      </c>
      <c r="AZ627" s="24">
        <f t="shared" ca="1" si="541"/>
        <v>0</v>
      </c>
      <c r="BA627" s="25">
        <f t="shared" ca="1" si="542"/>
        <v>0</v>
      </c>
      <c r="BB627" s="23">
        <f t="array" aca="1" ref="BB627" ca="1">SUM(IF(w_start_date&lt;=AO627,1,0)*IF(w_end_date&gt;=AO627,1,0)*w_amount*(1+w_escalation/100)^(INT((AP627-w_months_since_start)/12))*IF(MOD(AP627-w_months_since_start,w_frequency)=0,1,0)*IF(w_frequency=13,0,1))+SUM(IF(w_start_date=AO627,w_amount,0)*IF(w_frequency=13,1,0))</f>
        <v>0</v>
      </c>
      <c r="BC627" s="25">
        <f t="shared" ca="1" si="543"/>
        <v>0</v>
      </c>
      <c r="BD627" s="24" t="b">
        <f t="shared" ca="1" si="544"/>
        <v>1</v>
      </c>
      <c r="BE627" s="24" t="b">
        <f t="shared" ca="1" si="545"/>
        <v>1</v>
      </c>
      <c r="BF627" s="23">
        <f t="array" aca="1" ref="BF627" ca="1">SUM(IF(BD627,1,0)*IF(ap_start_date&lt;=AO627,1,0)*IF(ap_end_date&gt;=AO627,1,0)*ap_amount*(1+ap_escalation/100)^(INT((AP627-ap_months_since_start)/12))*IF(MOD(AP627-ap_months_since_start,ap_frequency)=0,1,0))</f>
        <v>168035.72197778308</v>
      </c>
      <c r="BG627" s="24">
        <f t="shared" ca="1" si="546"/>
        <v>2016428.6637333974</v>
      </c>
      <c r="BH627" s="24">
        <f t="shared" ca="1" si="547"/>
        <v>1389.415265736513</v>
      </c>
      <c r="BI627">
        <f t="shared" ca="1" si="548"/>
        <v>0</v>
      </c>
      <c r="BJ627" s="24">
        <f t="shared" ca="1" si="549"/>
        <v>9725.90686015559</v>
      </c>
      <c r="BK627">
        <f t="shared" ca="1" si="550"/>
        <v>1</v>
      </c>
      <c r="BL627" s="25">
        <f t="shared" ca="1" si="551"/>
        <v>810.49223834629902</v>
      </c>
      <c r="BM627" s="32">
        <f t="shared" ca="1" si="530"/>
        <v>51724.922099652169</v>
      </c>
      <c r="BN627" s="23">
        <f t="shared" ca="1" si="552"/>
        <v>0</v>
      </c>
      <c r="BO627" s="24">
        <f t="shared" ca="1" si="553"/>
        <v>0</v>
      </c>
      <c r="BP627" s="25">
        <f t="shared" ca="1" si="554"/>
        <v>0</v>
      </c>
      <c r="BQ627" s="34">
        <f t="shared" ca="1" si="555"/>
        <v>64497</v>
      </c>
      <c r="BR627" s="23">
        <f t="shared" ca="1" si="556"/>
        <v>51724.922099652169</v>
      </c>
      <c r="BS627" s="24">
        <f t="shared" ca="1" si="557"/>
        <v>0</v>
      </c>
      <c r="BT627" s="24">
        <f t="shared" ca="1" si="562"/>
        <v>0</v>
      </c>
      <c r="BU627" s="24">
        <f t="shared" ca="1" si="558"/>
        <v>0</v>
      </c>
      <c r="BV627" s="24">
        <f t="shared" ca="1" si="563"/>
        <v>0</v>
      </c>
      <c r="BW627" s="24">
        <f t="shared" ca="1" si="559"/>
        <v>-810.49223834629902</v>
      </c>
      <c r="BX627" s="25">
        <f t="shared" ca="1" si="564"/>
        <v>-9976.4591722580917</v>
      </c>
      <c r="BY627" s="23">
        <f t="shared" ca="1" si="531"/>
        <v>6817.7956740579466</v>
      </c>
      <c r="BZ627" s="24">
        <f t="shared" ca="1" si="532"/>
        <v>0</v>
      </c>
      <c r="CA627" s="24">
        <f t="shared" ca="1" si="565"/>
        <v>0</v>
      </c>
      <c r="CB627" s="24">
        <f t="shared" ca="1" si="533"/>
        <v>0</v>
      </c>
      <c r="CC627" s="24">
        <f t="shared" ca="1" si="566"/>
        <v>0</v>
      </c>
      <c r="CD627" s="24">
        <f t="shared" ca="1" si="534"/>
        <v>-107.17967637361201</v>
      </c>
      <c r="CE627" s="25">
        <f t="shared" ca="1" si="567"/>
        <v>-1343.8026979784981</v>
      </c>
      <c r="CF627" s="23">
        <f t="shared" ca="1" si="568"/>
        <v>1997039.9265821145</v>
      </c>
      <c r="CG627" s="25">
        <f t="array" aca="1" ref="CG627" ca="1">SUM(BF616:BF627/(1+inflation/100)^(AP616:AP627/12))</f>
        <v>267980.53702225385</v>
      </c>
      <c r="CH627" s="32">
        <f ca="1">IFERROR(IF(MOD(AP627-ap_months_since_start,12)=0,ap_drawdown/100*(AQ627+AV627+BA627-BC627),CH626),0)</f>
        <v>8541.7983585375914</v>
      </c>
    </row>
    <row r="628" spans="40:86" x14ac:dyDescent="0.25">
      <c r="AN628" s="32">
        <f t="shared" ca="1" si="529"/>
        <v>106.58333333333333</v>
      </c>
      <c r="AO628" s="53">
        <f t="shared" ca="1" si="560"/>
        <v>64498</v>
      </c>
      <c r="AP628" s="22">
        <v>621</v>
      </c>
      <c r="AQ628" s="32">
        <f t="shared" ca="1" si="561"/>
        <v>51724.922099652169</v>
      </c>
      <c r="AR628" s="23">
        <f t="array" aca="1" ref="AR628" ca="1">SUM(IF(lsc_start_date=AO628,lsc_amount,0))</f>
        <v>0</v>
      </c>
      <c r="AS628" s="24">
        <f t="shared" ca="1" si="535"/>
        <v>0</v>
      </c>
      <c r="AT628" s="24">
        <f t="shared" ca="1" si="536"/>
        <v>0</v>
      </c>
      <c r="AU628" s="24">
        <f t="shared" ca="1" si="537"/>
        <v>0</v>
      </c>
      <c r="AV628" s="25">
        <f t="shared" ca="1" si="538"/>
        <v>0</v>
      </c>
      <c r="AW628" s="23">
        <f t="array" aca="1" ref="AW628" ca="1">SUM(IF(rcs_start_date&lt;=AO628,1,0)*IF(rcs_end_date&gt;=AO628,1,0)*rcs_amount*(1+rcs_escalation/100)^(INT((AP628-rcs_months_since_start)/12))*IF(MOD((AP628-rcs_months_since_start),rcs_frequency)=0,1,0)*IF(rcs_frequency=13,0,1))+SUM(IF(rcs_start_date=AO628,rcs_amount,0)*IF(rcs_frequency=13,1,0))</f>
        <v>0</v>
      </c>
      <c r="AX628" s="24">
        <f t="shared" ca="1" si="539"/>
        <v>0</v>
      </c>
      <c r="AY628" s="24">
        <f t="shared" ca="1" si="540"/>
        <v>0</v>
      </c>
      <c r="AZ628" s="24">
        <f t="shared" ca="1" si="541"/>
        <v>0</v>
      </c>
      <c r="BA628" s="25">
        <f t="shared" ca="1" si="542"/>
        <v>0</v>
      </c>
      <c r="BB628" s="23">
        <f t="array" aca="1" ref="BB628" ca="1">SUM(IF(w_start_date&lt;=AO628,1,0)*IF(w_end_date&gt;=AO628,1,0)*w_amount*(1+w_escalation/100)^(INT((AP628-w_months_since_start)/12))*IF(MOD(AP628-w_months_since_start,w_frequency)=0,1,0)*IF(w_frequency=13,0,1))+SUM(IF(w_start_date=AO628,w_amount,0)*IF(w_frequency=13,1,0))</f>
        <v>0</v>
      </c>
      <c r="BC628" s="25">
        <f t="shared" ca="1" si="543"/>
        <v>0</v>
      </c>
      <c r="BD628" s="24" t="b">
        <f t="shared" ca="1" si="544"/>
        <v>1</v>
      </c>
      <c r="BE628" s="24" t="b">
        <f t="shared" ca="1" si="545"/>
        <v>1</v>
      </c>
      <c r="BF628" s="23">
        <f t="array" aca="1" ref="BF628" ca="1">SUM(IF(BD628,1,0)*IF(ap_start_date&lt;=AO628,1,0)*IF(ap_end_date&gt;=AO628,1,0)*ap_amount*(1+ap_escalation/100)^(INT((AP628-ap_months_since_start)/12))*IF(MOD(AP628-ap_months_since_start,ap_frequency)=0,1,0))</f>
        <v>168035.72197778308</v>
      </c>
      <c r="BG628" s="24">
        <f t="shared" ca="1" si="546"/>
        <v>2016428.6637333974</v>
      </c>
      <c r="BH628" s="24">
        <f t="shared" ca="1" si="547"/>
        <v>1389.415265736513</v>
      </c>
      <c r="BI628">
        <f t="shared" ca="1" si="548"/>
        <v>0</v>
      </c>
      <c r="BJ628" s="24">
        <f t="shared" ca="1" si="549"/>
        <v>9725.90686015559</v>
      </c>
      <c r="BK628">
        <f t="shared" ca="1" si="550"/>
        <v>1</v>
      </c>
      <c r="BL628" s="25">
        <f t="shared" ca="1" si="551"/>
        <v>810.49223834629902</v>
      </c>
      <c r="BM628" s="32">
        <f t="shared" ca="1" si="530"/>
        <v>51281.386618773067</v>
      </c>
      <c r="BN628" s="23">
        <f t="shared" ca="1" si="552"/>
        <v>0</v>
      </c>
      <c r="BO628" s="24">
        <f t="shared" ca="1" si="553"/>
        <v>0</v>
      </c>
      <c r="BP628" s="25">
        <f t="shared" ca="1" si="554"/>
        <v>0</v>
      </c>
      <c r="BQ628" s="34">
        <f t="shared" ca="1" si="555"/>
        <v>64528</v>
      </c>
      <c r="BR628" s="23">
        <f t="shared" ca="1" si="556"/>
        <v>51281.386618773067</v>
      </c>
      <c r="BS628" s="24">
        <f t="shared" ca="1" si="557"/>
        <v>0</v>
      </c>
      <c r="BT628" s="24">
        <f t="shared" ca="1" si="562"/>
        <v>0</v>
      </c>
      <c r="BU628" s="24">
        <f t="shared" ca="1" si="558"/>
        <v>0</v>
      </c>
      <c r="BV628" s="24">
        <f t="shared" ca="1" si="563"/>
        <v>0</v>
      </c>
      <c r="BW628" s="24">
        <f t="shared" ca="1" si="559"/>
        <v>-810.49223834629902</v>
      </c>
      <c r="BX628" s="25">
        <f t="shared" ca="1" si="564"/>
        <v>-9892.9417348905918</v>
      </c>
      <c r="BY628" s="23">
        <f t="shared" ca="1" si="531"/>
        <v>6737.2777367556118</v>
      </c>
      <c r="BZ628" s="24">
        <f t="shared" ca="1" si="532"/>
        <v>0</v>
      </c>
      <c r="CA628" s="24">
        <f t="shared" ca="1" si="565"/>
        <v>0</v>
      </c>
      <c r="CB628" s="24">
        <f t="shared" ca="1" si="533"/>
        <v>0</v>
      </c>
      <c r="CC628" s="24">
        <f t="shared" ca="1" si="566"/>
        <v>0</v>
      </c>
      <c r="CD628" s="24">
        <f t="shared" ca="1" si="534"/>
        <v>-106.82994293948099</v>
      </c>
      <c r="CE628" s="25">
        <f t="shared" ca="1" si="567"/>
        <v>-1328.0808408510627</v>
      </c>
      <c r="CF628" s="23">
        <f t="shared" ca="1" si="568"/>
        <v>2003502.8389658756</v>
      </c>
      <c r="CG628" s="25">
        <f t="array" aca="1" ref="CG628" ca="1">SUM(BF617:BF628/(1+inflation/100)^(AP617:AP628/12))</f>
        <v>267980.53702225385</v>
      </c>
      <c r="CH628" s="32">
        <f ca="1">IFERROR(IF(MOD(AP628-ap_months_since_start,12)=0,ap_drawdown/100*(AQ628+AV628+BA628-BC628),CH627),0)</f>
        <v>8541.7983585375914</v>
      </c>
    </row>
    <row r="629" spans="40:86" x14ac:dyDescent="0.25">
      <c r="AN629" s="32">
        <f t="shared" ca="1" si="529"/>
        <v>106.66666666666667</v>
      </c>
      <c r="AO629" s="53">
        <f t="shared" ca="1" si="560"/>
        <v>64529</v>
      </c>
      <c r="AP629" s="22">
        <v>622</v>
      </c>
      <c r="AQ629" s="32">
        <f t="shared" ca="1" si="561"/>
        <v>51281.386618773067</v>
      </c>
      <c r="AR629" s="23">
        <f t="array" aca="1" ref="AR629" ca="1">SUM(IF(lsc_start_date=AO629,lsc_amount,0))</f>
        <v>0</v>
      </c>
      <c r="AS629" s="24">
        <f t="shared" ca="1" si="535"/>
        <v>0</v>
      </c>
      <c r="AT629" s="24">
        <f t="shared" ca="1" si="536"/>
        <v>0</v>
      </c>
      <c r="AU629" s="24">
        <f t="shared" ca="1" si="537"/>
        <v>0</v>
      </c>
      <c r="AV629" s="25">
        <f t="shared" ca="1" si="538"/>
        <v>0</v>
      </c>
      <c r="AW629" s="23">
        <f t="array" aca="1" ref="AW629" ca="1">SUM(IF(rcs_start_date&lt;=AO629,1,0)*IF(rcs_end_date&gt;=AO629,1,0)*rcs_amount*(1+rcs_escalation/100)^(INT((AP629-rcs_months_since_start)/12))*IF(MOD((AP629-rcs_months_since_start),rcs_frequency)=0,1,0)*IF(rcs_frequency=13,0,1))+SUM(IF(rcs_start_date=AO629,rcs_amount,0)*IF(rcs_frequency=13,1,0))</f>
        <v>0</v>
      </c>
      <c r="AX629" s="24">
        <f t="shared" ca="1" si="539"/>
        <v>0</v>
      </c>
      <c r="AY629" s="24">
        <f t="shared" ca="1" si="540"/>
        <v>0</v>
      </c>
      <c r="AZ629" s="24">
        <f t="shared" ca="1" si="541"/>
        <v>0</v>
      </c>
      <c r="BA629" s="25">
        <f t="shared" ca="1" si="542"/>
        <v>0</v>
      </c>
      <c r="BB629" s="23">
        <f t="array" aca="1" ref="BB629" ca="1">SUM(IF(w_start_date&lt;=AO629,1,0)*IF(w_end_date&gt;=AO629,1,0)*w_amount*(1+w_escalation/100)^(INT((AP629-w_months_since_start)/12))*IF(MOD(AP629-w_months_since_start,w_frequency)=0,1,0)*IF(w_frequency=13,0,1))+SUM(IF(w_start_date=AO629,w_amount,0)*IF(w_frequency=13,1,0))</f>
        <v>0</v>
      </c>
      <c r="BC629" s="25">
        <f t="shared" ca="1" si="543"/>
        <v>0</v>
      </c>
      <c r="BD629" s="24" t="b">
        <f t="shared" ca="1" si="544"/>
        <v>1</v>
      </c>
      <c r="BE629" s="24" t="b">
        <f t="shared" ca="1" si="545"/>
        <v>1</v>
      </c>
      <c r="BF629" s="23">
        <f t="array" aca="1" ref="BF629" ca="1">SUM(IF(BD629,1,0)*IF(ap_start_date&lt;=AO629,1,0)*IF(ap_end_date&gt;=AO629,1,0)*ap_amount*(1+ap_escalation/100)^(INT((AP629-ap_months_since_start)/12))*IF(MOD(AP629-ap_months_since_start,ap_frequency)=0,1,0))</f>
        <v>168035.72197778308</v>
      </c>
      <c r="BG629" s="24">
        <f t="shared" ca="1" si="546"/>
        <v>2016428.6637333974</v>
      </c>
      <c r="BH629" s="24">
        <f t="shared" ca="1" si="547"/>
        <v>1389.415265736513</v>
      </c>
      <c r="BI629">
        <f t="shared" ca="1" si="548"/>
        <v>0</v>
      </c>
      <c r="BJ629" s="24">
        <f t="shared" ca="1" si="549"/>
        <v>9725.90686015559</v>
      </c>
      <c r="BK629">
        <f t="shared" ca="1" si="550"/>
        <v>1</v>
      </c>
      <c r="BL629" s="25">
        <f t="shared" ca="1" si="551"/>
        <v>810.49223834629902</v>
      </c>
      <c r="BM629" s="32">
        <f t="shared" ca="1" si="530"/>
        <v>50834.654434281096</v>
      </c>
      <c r="BN629" s="23">
        <f t="shared" ca="1" si="552"/>
        <v>0</v>
      </c>
      <c r="BO629" s="24">
        <f t="shared" ca="1" si="553"/>
        <v>0</v>
      </c>
      <c r="BP629" s="25">
        <f t="shared" ca="1" si="554"/>
        <v>0</v>
      </c>
      <c r="BQ629" s="34">
        <f t="shared" ca="1" si="555"/>
        <v>64558</v>
      </c>
      <c r="BR629" s="23">
        <f t="shared" ca="1" si="556"/>
        <v>50834.654434281096</v>
      </c>
      <c r="BS629" s="24">
        <f t="shared" ca="1" si="557"/>
        <v>0</v>
      </c>
      <c r="BT629" s="24">
        <f t="shared" ca="1" si="562"/>
        <v>0</v>
      </c>
      <c r="BU629" s="24">
        <f t="shared" ca="1" si="558"/>
        <v>0</v>
      </c>
      <c r="BV629" s="24">
        <f t="shared" ca="1" si="563"/>
        <v>0</v>
      </c>
      <c r="BW629" s="24">
        <f t="shared" ca="1" si="559"/>
        <v>-810.49223834629902</v>
      </c>
      <c r="BX629" s="25">
        <f t="shared" ca="1" si="564"/>
        <v>-9809.4242975230918</v>
      </c>
      <c r="BY629" s="23">
        <f t="shared" ca="1" si="531"/>
        <v>6656.7940678857885</v>
      </c>
      <c r="BZ629" s="24">
        <f t="shared" ca="1" si="532"/>
        <v>0</v>
      </c>
      <c r="CA629" s="24">
        <f t="shared" ca="1" si="565"/>
        <v>0</v>
      </c>
      <c r="CB629" s="24">
        <f t="shared" ca="1" si="533"/>
        <v>0</v>
      </c>
      <c r="CC629" s="24">
        <f t="shared" ca="1" si="566"/>
        <v>0</v>
      </c>
      <c r="CD629" s="24">
        <f t="shared" ca="1" si="534"/>
        <v>-106.48135070561376</v>
      </c>
      <c r="CE629" s="25">
        <f t="shared" ca="1" si="567"/>
        <v>-1312.4102850455768</v>
      </c>
      <c r="CF629" s="23">
        <f t="shared" ca="1" si="568"/>
        <v>2009965.7513496364</v>
      </c>
      <c r="CG629" s="25">
        <f t="array" aca="1" ref="CG629" ca="1">SUM(BF618:BF629/(1+inflation/100)^(AP618:AP629/12))</f>
        <v>267980.53702225385</v>
      </c>
      <c r="CH629" s="32">
        <f ca="1">IFERROR(IF(MOD(AP629-ap_months_since_start,12)=0,ap_drawdown/100*(AQ629+AV629+BA629-BC629),CH628),0)</f>
        <v>8541.7983585375914</v>
      </c>
    </row>
    <row r="630" spans="40:86" x14ac:dyDescent="0.25">
      <c r="AN630" s="32">
        <f t="shared" ca="1" si="529"/>
        <v>106.75</v>
      </c>
      <c r="AO630" s="53">
        <f t="shared" ca="1" si="560"/>
        <v>64559</v>
      </c>
      <c r="AP630" s="22">
        <v>623</v>
      </c>
      <c r="AQ630" s="32">
        <f t="shared" ca="1" si="561"/>
        <v>50834.654434281096</v>
      </c>
      <c r="AR630" s="23">
        <f t="array" aca="1" ref="AR630" ca="1">SUM(IF(lsc_start_date=AO630,lsc_amount,0))</f>
        <v>0</v>
      </c>
      <c r="AS630" s="24">
        <f t="shared" ca="1" si="535"/>
        <v>0</v>
      </c>
      <c r="AT630" s="24">
        <f t="shared" ca="1" si="536"/>
        <v>0</v>
      </c>
      <c r="AU630" s="24">
        <f t="shared" ca="1" si="537"/>
        <v>0</v>
      </c>
      <c r="AV630" s="25">
        <f t="shared" ca="1" si="538"/>
        <v>0</v>
      </c>
      <c r="AW630" s="23">
        <f t="array" aca="1" ref="AW630" ca="1">SUM(IF(rcs_start_date&lt;=AO630,1,0)*IF(rcs_end_date&gt;=AO630,1,0)*rcs_amount*(1+rcs_escalation/100)^(INT((AP630-rcs_months_since_start)/12))*IF(MOD((AP630-rcs_months_since_start),rcs_frequency)=0,1,0)*IF(rcs_frequency=13,0,1))+SUM(IF(rcs_start_date=AO630,rcs_amount,0)*IF(rcs_frequency=13,1,0))</f>
        <v>0</v>
      </c>
      <c r="AX630" s="24">
        <f t="shared" ca="1" si="539"/>
        <v>0</v>
      </c>
      <c r="AY630" s="24">
        <f t="shared" ca="1" si="540"/>
        <v>0</v>
      </c>
      <c r="AZ630" s="24">
        <f t="shared" ca="1" si="541"/>
        <v>0</v>
      </c>
      <c r="BA630" s="25">
        <f t="shared" ca="1" si="542"/>
        <v>0</v>
      </c>
      <c r="BB630" s="23">
        <f t="array" aca="1" ref="BB630" ca="1">SUM(IF(w_start_date&lt;=AO630,1,0)*IF(w_end_date&gt;=AO630,1,0)*w_amount*(1+w_escalation/100)^(INT((AP630-w_months_since_start)/12))*IF(MOD(AP630-w_months_since_start,w_frequency)=0,1,0)*IF(w_frequency=13,0,1))+SUM(IF(w_start_date=AO630,w_amount,0)*IF(w_frequency=13,1,0))</f>
        <v>0</v>
      </c>
      <c r="BC630" s="25">
        <f t="shared" ca="1" si="543"/>
        <v>0</v>
      </c>
      <c r="BD630" s="24" t="b">
        <f t="shared" ca="1" si="544"/>
        <v>1</v>
      </c>
      <c r="BE630" s="24" t="b">
        <f t="shared" ca="1" si="545"/>
        <v>1</v>
      </c>
      <c r="BF630" s="23">
        <f t="array" aca="1" ref="BF630" ca="1">SUM(IF(BD630,1,0)*IF(ap_start_date&lt;=AO630,1,0)*IF(ap_end_date&gt;=AO630,1,0)*ap_amount*(1+ap_escalation/100)^(INT((AP630-ap_months_since_start)/12))*IF(MOD(AP630-ap_months_since_start,ap_frequency)=0,1,0))</f>
        <v>168035.72197778308</v>
      </c>
      <c r="BG630" s="24">
        <f t="shared" ca="1" si="546"/>
        <v>2016428.6637333974</v>
      </c>
      <c r="BH630" s="24">
        <f t="shared" ca="1" si="547"/>
        <v>1389.415265736513</v>
      </c>
      <c r="BI630">
        <f t="shared" ca="1" si="548"/>
        <v>0</v>
      </c>
      <c r="BJ630" s="24">
        <f t="shared" ca="1" si="549"/>
        <v>9725.90686015559</v>
      </c>
      <c r="BK630">
        <f t="shared" ca="1" si="550"/>
        <v>1</v>
      </c>
      <c r="BL630" s="25">
        <f t="shared" ca="1" si="551"/>
        <v>810.49223834629902</v>
      </c>
      <c r="BM630" s="32">
        <f t="shared" ca="1" si="530"/>
        <v>50384.702506499765</v>
      </c>
      <c r="BN630" s="23">
        <f t="shared" ca="1" si="552"/>
        <v>0</v>
      </c>
      <c r="BO630" s="24">
        <f t="shared" ca="1" si="553"/>
        <v>0</v>
      </c>
      <c r="BP630" s="25">
        <f t="shared" ca="1" si="554"/>
        <v>0</v>
      </c>
      <c r="BQ630" s="34">
        <f t="shared" ca="1" si="555"/>
        <v>64589</v>
      </c>
      <c r="BR630" s="23">
        <f t="shared" ca="1" si="556"/>
        <v>50384.702506499765</v>
      </c>
      <c r="BS630" s="24">
        <f t="shared" ca="1" si="557"/>
        <v>0</v>
      </c>
      <c r="BT630" s="24">
        <f t="shared" ca="1" si="562"/>
        <v>0</v>
      </c>
      <c r="BU630" s="24">
        <f t="shared" ca="1" si="558"/>
        <v>0</v>
      </c>
      <c r="BV630" s="24">
        <f t="shared" ca="1" si="563"/>
        <v>0</v>
      </c>
      <c r="BW630" s="24">
        <f t="shared" ca="1" si="559"/>
        <v>-810.49223834629902</v>
      </c>
      <c r="BX630" s="25">
        <f t="shared" ca="1" si="564"/>
        <v>-9725.9068601555882</v>
      </c>
      <c r="BY630" s="23">
        <f t="shared" ca="1" si="531"/>
        <v>6576.3436598701473</v>
      </c>
      <c r="BZ630" s="24">
        <f t="shared" ca="1" si="532"/>
        <v>0</v>
      </c>
      <c r="CA630" s="24">
        <f t="shared" ca="1" si="565"/>
        <v>0</v>
      </c>
      <c r="CB630" s="24">
        <f t="shared" ca="1" si="533"/>
        <v>0</v>
      </c>
      <c r="CC630" s="24">
        <f t="shared" ca="1" si="566"/>
        <v>0</v>
      </c>
      <c r="CD630" s="24">
        <f t="shared" ca="1" si="534"/>
        <v>-106.13389594820835</v>
      </c>
      <c r="CE630" s="25">
        <f t="shared" ca="1" si="567"/>
        <v>-1296.7908631628832</v>
      </c>
      <c r="CF630" s="23">
        <f t="shared" ca="1" si="568"/>
        <v>2016428.6637333974</v>
      </c>
      <c r="CG630" s="25">
        <f t="array" aca="1" ref="CG630" ca="1">SUM(BF619:BF630/(1+inflation/100)^(AP619:AP630/12))</f>
        <v>267980.53702225385</v>
      </c>
      <c r="CH630" s="32">
        <f ca="1">IFERROR(IF(MOD(AP630-ap_months_since_start,12)=0,ap_drawdown/100*(AQ630+AV630+BA630-BC630),CH629),0)</f>
        <v>8541.7983585375914</v>
      </c>
    </row>
    <row r="631" spans="40:86" x14ac:dyDescent="0.25">
      <c r="AN631" s="32">
        <f t="shared" ca="1" si="529"/>
        <v>106.83333333333333</v>
      </c>
      <c r="AO631" s="53">
        <f t="shared" ca="1" si="560"/>
        <v>64590</v>
      </c>
      <c r="AP631" s="22">
        <v>624</v>
      </c>
      <c r="AQ631" s="32">
        <f t="shared" ca="1" si="561"/>
        <v>50384.702506499765</v>
      </c>
      <c r="AR631" s="23">
        <f t="array" aca="1" ref="AR631" ca="1">SUM(IF(lsc_start_date=AO631,lsc_amount,0))</f>
        <v>0</v>
      </c>
      <c r="AS631" s="24">
        <f t="shared" ca="1" si="535"/>
        <v>0</v>
      </c>
      <c r="AT631" s="24">
        <f t="shared" ca="1" si="536"/>
        <v>0</v>
      </c>
      <c r="AU631" s="24">
        <f t="shared" ca="1" si="537"/>
        <v>0</v>
      </c>
      <c r="AV631" s="25">
        <f t="shared" ca="1" si="538"/>
        <v>0</v>
      </c>
      <c r="AW631" s="23">
        <f t="array" aca="1" ref="AW631" ca="1">SUM(IF(rcs_start_date&lt;=AO631,1,0)*IF(rcs_end_date&gt;=AO631,1,0)*rcs_amount*(1+rcs_escalation/100)^(INT((AP631-rcs_months_since_start)/12))*IF(MOD((AP631-rcs_months_since_start),rcs_frequency)=0,1,0)*IF(rcs_frequency=13,0,1))+SUM(IF(rcs_start_date=AO631,rcs_amount,0)*IF(rcs_frequency=13,1,0))</f>
        <v>0</v>
      </c>
      <c r="AX631" s="24">
        <f t="shared" ca="1" si="539"/>
        <v>0</v>
      </c>
      <c r="AY631" s="24">
        <f t="shared" ca="1" si="540"/>
        <v>0</v>
      </c>
      <c r="AZ631" s="24">
        <f t="shared" ca="1" si="541"/>
        <v>0</v>
      </c>
      <c r="BA631" s="25">
        <f t="shared" ca="1" si="542"/>
        <v>0</v>
      </c>
      <c r="BB631" s="23">
        <f t="array" aca="1" ref="BB631" ca="1">SUM(IF(w_start_date&lt;=AO631,1,0)*IF(w_end_date&gt;=AO631,1,0)*w_amount*(1+w_escalation/100)^(INT((AP631-w_months_since_start)/12))*IF(MOD(AP631-w_months_since_start,w_frequency)=0,1,0)*IF(w_frequency=13,0,1))+SUM(IF(w_start_date=AO631,w_amount,0)*IF(w_frequency=13,1,0))</f>
        <v>0</v>
      </c>
      <c r="BC631" s="25">
        <f t="shared" ca="1" si="543"/>
        <v>0</v>
      </c>
      <c r="BD631" s="24" t="b">
        <f t="shared" ca="1" si="544"/>
        <v>1</v>
      </c>
      <c r="BE631" s="24" t="b">
        <f t="shared" ca="1" si="545"/>
        <v>1</v>
      </c>
      <c r="BF631" s="23">
        <f t="array" aca="1" ref="BF631" ca="1">SUM(IF(BD631,1,0)*IF(ap_start_date&lt;=AO631,1,0)*IF(ap_end_date&gt;=AO631,1,0)*ap_amount*(1+ap_escalation/100)^(INT((AP631-ap_months_since_start)/12))*IF(MOD(AP631-ap_months_since_start,ap_frequency)=0,1,0))</f>
        <v>174757.15085689441</v>
      </c>
      <c r="BG631" s="24">
        <f t="shared" ca="1" si="546"/>
        <v>2097085.8102827331</v>
      </c>
      <c r="BH631" s="24">
        <f t="shared" ca="1" si="547"/>
        <v>1259.6175626624943</v>
      </c>
      <c r="BI631">
        <f t="shared" ca="1" si="548"/>
        <v>0</v>
      </c>
      <c r="BJ631" s="24">
        <f t="shared" ca="1" si="549"/>
        <v>8817.3229386374587</v>
      </c>
      <c r="BK631">
        <f t="shared" ca="1" si="550"/>
        <v>1</v>
      </c>
      <c r="BL631" s="25">
        <f t="shared" ca="1" si="551"/>
        <v>734.77691155312152</v>
      </c>
      <c r="BM631" s="32">
        <f t="shared" ca="1" si="530"/>
        <v>50007.76866133156</v>
      </c>
      <c r="BN631" s="23">
        <f t="shared" ca="1" si="552"/>
        <v>0</v>
      </c>
      <c r="BO631" s="24">
        <f t="shared" ca="1" si="553"/>
        <v>0</v>
      </c>
      <c r="BP631" s="25">
        <f t="shared" ca="1" si="554"/>
        <v>0</v>
      </c>
      <c r="BQ631" s="34">
        <f t="shared" ca="1" si="555"/>
        <v>64619</v>
      </c>
      <c r="BR631" s="23">
        <f t="shared" ca="1" si="556"/>
        <v>50007.76866133156</v>
      </c>
      <c r="BS631" s="24">
        <f t="shared" ca="1" si="557"/>
        <v>0</v>
      </c>
      <c r="BT631" s="24">
        <f t="shared" ca="1" si="562"/>
        <v>0</v>
      </c>
      <c r="BU631" s="24">
        <f t="shared" ca="1" si="558"/>
        <v>0</v>
      </c>
      <c r="BV631" s="24">
        <f t="shared" ca="1" si="563"/>
        <v>0</v>
      </c>
      <c r="BW631" s="24">
        <f t="shared" ca="1" si="559"/>
        <v>-734.77691155312152</v>
      </c>
      <c r="BX631" s="25">
        <f t="shared" ca="1" si="564"/>
        <v>-9650.1915333624111</v>
      </c>
      <c r="BY631" s="23">
        <f t="shared" ca="1" si="531"/>
        <v>6505.8468151956095</v>
      </c>
      <c r="BZ631" s="24">
        <f t="shared" ca="1" si="532"/>
        <v>0</v>
      </c>
      <c r="CA631" s="24">
        <f t="shared" ca="1" si="565"/>
        <v>0</v>
      </c>
      <c r="CB631" s="24">
        <f t="shared" ca="1" si="533"/>
        <v>0</v>
      </c>
      <c r="CC631" s="24">
        <f t="shared" ca="1" si="566"/>
        <v>0</v>
      </c>
      <c r="CD631" s="24">
        <f t="shared" ca="1" si="534"/>
        <v>-95.905011706439637</v>
      </c>
      <c r="CE631" s="25">
        <f t="shared" ca="1" si="567"/>
        <v>-1282.6767969154844</v>
      </c>
      <c r="CF631" s="23">
        <f t="shared" ca="1" si="568"/>
        <v>2023150.0926125087</v>
      </c>
      <c r="CG631" s="25">
        <f t="array" aca="1" ref="CG631" ca="1">SUM(BF620:BF631/(1+inflation/100)^(AP620:AP631/12))</f>
        <v>267980.53702225385</v>
      </c>
      <c r="CH631" s="32">
        <f ca="1">IFERROR(IF(MOD(AP631-ap_months_since_start,12)=0,ap_drawdown/100*(AQ631+AV631+BA631-BC631),CH630),0)</f>
        <v>7743.8325995591977</v>
      </c>
    </row>
    <row r="632" spans="40:86" x14ac:dyDescent="0.25">
      <c r="AN632" s="32">
        <f t="shared" ca="1" si="529"/>
        <v>106.91666666666667</v>
      </c>
      <c r="AO632" s="53">
        <f t="shared" ca="1" si="560"/>
        <v>64620</v>
      </c>
      <c r="AP632" s="22">
        <v>625</v>
      </c>
      <c r="AQ632" s="32">
        <f t="shared" ca="1" si="561"/>
        <v>50007.76866133156</v>
      </c>
      <c r="AR632" s="23">
        <f t="array" aca="1" ref="AR632" ca="1">SUM(IF(lsc_start_date=AO632,lsc_amount,0))</f>
        <v>0</v>
      </c>
      <c r="AS632" s="24">
        <f t="shared" ca="1" si="535"/>
        <v>0</v>
      </c>
      <c r="AT632" s="24">
        <f t="shared" ca="1" si="536"/>
        <v>0</v>
      </c>
      <c r="AU632" s="24">
        <f t="shared" ca="1" si="537"/>
        <v>0</v>
      </c>
      <c r="AV632" s="25">
        <f t="shared" ca="1" si="538"/>
        <v>0</v>
      </c>
      <c r="AW632" s="23">
        <f t="array" aca="1" ref="AW632" ca="1">SUM(IF(rcs_start_date&lt;=AO632,1,0)*IF(rcs_end_date&gt;=AO632,1,0)*rcs_amount*(1+rcs_escalation/100)^(INT((AP632-rcs_months_since_start)/12))*IF(MOD((AP632-rcs_months_since_start),rcs_frequency)=0,1,0)*IF(rcs_frequency=13,0,1))+SUM(IF(rcs_start_date=AO632,rcs_amount,0)*IF(rcs_frequency=13,1,0))</f>
        <v>0</v>
      </c>
      <c r="AX632" s="24">
        <f t="shared" ca="1" si="539"/>
        <v>0</v>
      </c>
      <c r="AY632" s="24">
        <f t="shared" ca="1" si="540"/>
        <v>0</v>
      </c>
      <c r="AZ632" s="24">
        <f t="shared" ca="1" si="541"/>
        <v>0</v>
      </c>
      <c r="BA632" s="25">
        <f t="shared" ca="1" si="542"/>
        <v>0</v>
      </c>
      <c r="BB632" s="23">
        <f t="array" aca="1" ref="BB632" ca="1">SUM(IF(w_start_date&lt;=AO632,1,0)*IF(w_end_date&gt;=AO632,1,0)*w_amount*(1+w_escalation/100)^(INT((AP632-w_months_since_start)/12))*IF(MOD(AP632-w_months_since_start,w_frequency)=0,1,0)*IF(w_frequency=13,0,1))+SUM(IF(w_start_date=AO632,w_amount,0)*IF(w_frequency=13,1,0))</f>
        <v>0</v>
      </c>
      <c r="BC632" s="25">
        <f t="shared" ca="1" si="543"/>
        <v>0</v>
      </c>
      <c r="BD632" s="24" t="b">
        <f t="shared" ca="1" si="544"/>
        <v>1</v>
      </c>
      <c r="BE632" s="24" t="b">
        <f t="shared" ca="1" si="545"/>
        <v>1</v>
      </c>
      <c r="BF632" s="23">
        <f t="array" aca="1" ref="BF632" ca="1">SUM(IF(BD632,1,0)*IF(ap_start_date&lt;=AO632,1,0)*IF(ap_end_date&gt;=AO632,1,0)*ap_amount*(1+ap_escalation/100)^(INT((AP632-ap_months_since_start)/12))*IF(MOD(AP632-ap_months_since_start,ap_frequency)=0,1,0))</f>
        <v>174757.15085689441</v>
      </c>
      <c r="BG632" s="24">
        <f t="shared" ca="1" si="546"/>
        <v>2097085.8102827331</v>
      </c>
      <c r="BH632" s="24">
        <f t="shared" ca="1" si="547"/>
        <v>1259.6175626624943</v>
      </c>
      <c r="BI632">
        <f t="shared" ca="1" si="548"/>
        <v>0</v>
      </c>
      <c r="BJ632" s="24">
        <f t="shared" ca="1" si="549"/>
        <v>8817.3229386374587</v>
      </c>
      <c r="BK632">
        <f t="shared" ca="1" si="550"/>
        <v>1</v>
      </c>
      <c r="BL632" s="25">
        <f t="shared" ca="1" si="551"/>
        <v>734.77691155312152</v>
      </c>
      <c r="BM632" s="32">
        <f t="shared" ca="1" si="530"/>
        <v>49628.118132072428</v>
      </c>
      <c r="BN632" s="23">
        <f t="shared" ca="1" si="552"/>
        <v>0</v>
      </c>
      <c r="BO632" s="24">
        <f t="shared" ca="1" si="553"/>
        <v>0</v>
      </c>
      <c r="BP632" s="25">
        <f t="shared" ca="1" si="554"/>
        <v>0</v>
      </c>
      <c r="BQ632" s="34">
        <f t="shared" ca="1" si="555"/>
        <v>64650</v>
      </c>
      <c r="BR632" s="23">
        <f t="shared" ca="1" si="556"/>
        <v>49628.118132072428</v>
      </c>
      <c r="BS632" s="24">
        <f t="shared" ca="1" si="557"/>
        <v>0</v>
      </c>
      <c r="BT632" s="24">
        <f t="shared" ca="1" si="562"/>
        <v>0</v>
      </c>
      <c r="BU632" s="24">
        <f t="shared" ca="1" si="558"/>
        <v>0</v>
      </c>
      <c r="BV632" s="24">
        <f t="shared" ca="1" si="563"/>
        <v>0</v>
      </c>
      <c r="BW632" s="24">
        <f t="shared" ca="1" si="559"/>
        <v>-734.77691155312152</v>
      </c>
      <c r="BX632" s="25">
        <f t="shared" ca="1" si="564"/>
        <v>-9574.4762065692321</v>
      </c>
      <c r="BY632" s="23">
        <f t="shared" ca="1" si="531"/>
        <v>6435.3877406857391</v>
      </c>
      <c r="BZ632" s="24">
        <f t="shared" ca="1" si="532"/>
        <v>0</v>
      </c>
      <c r="CA632" s="24">
        <f t="shared" ca="1" si="565"/>
        <v>0</v>
      </c>
      <c r="CB632" s="24">
        <f t="shared" ca="1" si="533"/>
        <v>0</v>
      </c>
      <c r="CC632" s="24">
        <f t="shared" ca="1" si="566"/>
        <v>0</v>
      </c>
      <c r="CD632" s="24">
        <f t="shared" ca="1" si="534"/>
        <v>-95.592068150073999</v>
      </c>
      <c r="CE632" s="25">
        <f t="shared" ca="1" si="567"/>
        <v>-1268.6087856761364</v>
      </c>
      <c r="CF632" s="23">
        <f t="shared" ca="1" si="568"/>
        <v>2029871.52149162</v>
      </c>
      <c r="CG632" s="25">
        <f t="array" aca="1" ref="CG632" ca="1">SUM(BF621:BF632/(1+inflation/100)^(AP621:AP632/12))</f>
        <v>267980.53702225385</v>
      </c>
      <c r="CH632" s="32">
        <f ca="1">IFERROR(IF(MOD(AP632-ap_months_since_start,12)=0,ap_drawdown/100*(AQ632+AV632+BA632-BC632),CH631),0)</f>
        <v>7743.8325995591977</v>
      </c>
    </row>
    <row r="633" spans="40:86" x14ac:dyDescent="0.25">
      <c r="AN633" s="32">
        <f t="shared" ca="1" si="529"/>
        <v>107</v>
      </c>
      <c r="AO633" s="53">
        <f t="shared" ca="1" si="560"/>
        <v>64651</v>
      </c>
      <c r="AP633" s="22">
        <v>626</v>
      </c>
      <c r="AQ633" s="32">
        <f t="shared" ca="1" si="561"/>
        <v>49628.118132072428</v>
      </c>
      <c r="AR633" s="23">
        <f t="array" aca="1" ref="AR633" ca="1">SUM(IF(lsc_start_date=AO633,lsc_amount,0))</f>
        <v>0</v>
      </c>
      <c r="AS633" s="24">
        <f t="shared" ca="1" si="535"/>
        <v>0</v>
      </c>
      <c r="AT633" s="24">
        <f t="shared" ca="1" si="536"/>
        <v>0</v>
      </c>
      <c r="AU633" s="24">
        <f t="shared" ca="1" si="537"/>
        <v>0</v>
      </c>
      <c r="AV633" s="25">
        <f t="shared" ca="1" si="538"/>
        <v>0</v>
      </c>
      <c r="AW633" s="23">
        <f t="array" aca="1" ref="AW633" ca="1">SUM(IF(rcs_start_date&lt;=AO633,1,0)*IF(rcs_end_date&gt;=AO633,1,0)*rcs_amount*(1+rcs_escalation/100)^(INT((AP633-rcs_months_since_start)/12))*IF(MOD((AP633-rcs_months_since_start),rcs_frequency)=0,1,0)*IF(rcs_frequency=13,0,1))+SUM(IF(rcs_start_date=AO633,rcs_amount,0)*IF(rcs_frequency=13,1,0))</f>
        <v>0</v>
      </c>
      <c r="AX633" s="24">
        <f t="shared" ca="1" si="539"/>
        <v>0</v>
      </c>
      <c r="AY633" s="24">
        <f t="shared" ca="1" si="540"/>
        <v>0</v>
      </c>
      <c r="AZ633" s="24">
        <f t="shared" ca="1" si="541"/>
        <v>0</v>
      </c>
      <c r="BA633" s="25">
        <f t="shared" ca="1" si="542"/>
        <v>0</v>
      </c>
      <c r="BB633" s="23">
        <f t="array" aca="1" ref="BB633" ca="1">SUM(IF(w_start_date&lt;=AO633,1,0)*IF(w_end_date&gt;=AO633,1,0)*w_amount*(1+w_escalation/100)^(INT((AP633-w_months_since_start)/12))*IF(MOD(AP633-w_months_since_start,w_frequency)=0,1,0)*IF(w_frequency=13,0,1))+SUM(IF(w_start_date=AO633,w_amount,0)*IF(w_frequency=13,1,0))</f>
        <v>0</v>
      </c>
      <c r="BC633" s="25">
        <f t="shared" ca="1" si="543"/>
        <v>0</v>
      </c>
      <c r="BD633" s="24" t="b">
        <f t="shared" ca="1" si="544"/>
        <v>1</v>
      </c>
      <c r="BE633" s="24" t="b">
        <f t="shared" ca="1" si="545"/>
        <v>1</v>
      </c>
      <c r="BF633" s="23">
        <f t="array" aca="1" ref="BF633" ca="1">SUM(IF(BD633,1,0)*IF(ap_start_date&lt;=AO633,1,0)*IF(ap_end_date&gt;=AO633,1,0)*ap_amount*(1+ap_escalation/100)^(INT((AP633-ap_months_since_start)/12))*IF(MOD(AP633-ap_months_since_start,ap_frequency)=0,1,0))</f>
        <v>174757.15085689441</v>
      </c>
      <c r="BG633" s="24">
        <f t="shared" ca="1" si="546"/>
        <v>2097085.8102827331</v>
      </c>
      <c r="BH633" s="24">
        <f t="shared" ca="1" si="547"/>
        <v>1259.6175626624943</v>
      </c>
      <c r="BI633">
        <f t="shared" ca="1" si="548"/>
        <v>0</v>
      </c>
      <c r="BJ633" s="24">
        <f t="shared" ca="1" si="549"/>
        <v>8817.3229386374587</v>
      </c>
      <c r="BK633">
        <f t="shared" ca="1" si="550"/>
        <v>1</v>
      </c>
      <c r="BL633" s="25">
        <f t="shared" ca="1" si="551"/>
        <v>734.77691155312152</v>
      </c>
      <c r="BM633" s="32">
        <f t="shared" ca="1" si="530"/>
        <v>49245.731338701786</v>
      </c>
      <c r="BN633" s="23">
        <f t="shared" ca="1" si="552"/>
        <v>0</v>
      </c>
      <c r="BO633" s="24">
        <f t="shared" ca="1" si="553"/>
        <v>0</v>
      </c>
      <c r="BP633" s="25">
        <f t="shared" ca="1" si="554"/>
        <v>0</v>
      </c>
      <c r="BQ633" s="34">
        <f t="shared" ca="1" si="555"/>
        <v>64681</v>
      </c>
      <c r="BR633" s="23">
        <f t="shared" ca="1" si="556"/>
        <v>49245.731338701786</v>
      </c>
      <c r="BS633" s="24">
        <f t="shared" ca="1" si="557"/>
        <v>0</v>
      </c>
      <c r="BT633" s="24">
        <f t="shared" ca="1" si="562"/>
        <v>0</v>
      </c>
      <c r="BU633" s="24">
        <f t="shared" ca="1" si="558"/>
        <v>0</v>
      </c>
      <c r="BV633" s="24">
        <f t="shared" ca="1" si="563"/>
        <v>0</v>
      </c>
      <c r="BW633" s="24">
        <f t="shared" ca="1" si="559"/>
        <v>-734.77691155312152</v>
      </c>
      <c r="BX633" s="25">
        <f t="shared" ca="1" si="564"/>
        <v>-9498.7608797760549</v>
      </c>
      <c r="BY633" s="23">
        <f t="shared" ca="1" si="531"/>
        <v>6364.9655592713598</v>
      </c>
      <c r="BZ633" s="24">
        <f t="shared" ca="1" si="532"/>
        <v>0</v>
      </c>
      <c r="CA633" s="24">
        <f t="shared" ca="1" si="565"/>
        <v>0</v>
      </c>
      <c r="CB633" s="24">
        <f t="shared" ca="1" si="533"/>
        <v>0</v>
      </c>
      <c r="CC633" s="24">
        <f t="shared" ca="1" si="566"/>
        <v>0</v>
      </c>
      <c r="CD633" s="24">
        <f t="shared" ca="1" si="534"/>
        <v>-95.280145746490078</v>
      </c>
      <c r="CE633" s="25">
        <f t="shared" ca="1" si="567"/>
        <v>-1254.5866791647049</v>
      </c>
      <c r="CF633" s="23">
        <f t="shared" ca="1" si="568"/>
        <v>2036592.9503707313</v>
      </c>
      <c r="CG633" s="25">
        <f t="array" aca="1" ref="CG633" ca="1">SUM(BF622:BF633/(1+inflation/100)^(AP622:AP633/12))</f>
        <v>267980.53702225385</v>
      </c>
      <c r="CH633" s="32">
        <f ca="1">IFERROR(IF(MOD(AP633-ap_months_since_start,12)=0,ap_drawdown/100*(AQ633+AV633+BA633-BC633),CH632),0)</f>
        <v>7743.8325995591977</v>
      </c>
    </row>
    <row r="634" spans="40:86" x14ac:dyDescent="0.25">
      <c r="AN634" s="32">
        <f t="shared" ca="1" si="529"/>
        <v>107.08333333333333</v>
      </c>
      <c r="AO634" s="53">
        <f t="shared" ca="1" si="560"/>
        <v>64682</v>
      </c>
      <c r="AP634" s="22">
        <v>627</v>
      </c>
      <c r="AQ634" s="32">
        <f t="shared" ca="1" si="561"/>
        <v>49245.731338701786</v>
      </c>
      <c r="AR634" s="23">
        <f t="array" aca="1" ref="AR634" ca="1">SUM(IF(lsc_start_date=AO634,lsc_amount,0))</f>
        <v>0</v>
      </c>
      <c r="AS634" s="24">
        <f t="shared" ca="1" si="535"/>
        <v>0</v>
      </c>
      <c r="AT634" s="24">
        <f t="shared" ca="1" si="536"/>
        <v>0</v>
      </c>
      <c r="AU634" s="24">
        <f t="shared" ca="1" si="537"/>
        <v>0</v>
      </c>
      <c r="AV634" s="25">
        <f t="shared" ca="1" si="538"/>
        <v>0</v>
      </c>
      <c r="AW634" s="23">
        <f t="array" aca="1" ref="AW634" ca="1">SUM(IF(rcs_start_date&lt;=AO634,1,0)*IF(rcs_end_date&gt;=AO634,1,0)*rcs_amount*(1+rcs_escalation/100)^(INT((AP634-rcs_months_since_start)/12))*IF(MOD((AP634-rcs_months_since_start),rcs_frequency)=0,1,0)*IF(rcs_frequency=13,0,1))+SUM(IF(rcs_start_date=AO634,rcs_amount,0)*IF(rcs_frequency=13,1,0))</f>
        <v>0</v>
      </c>
      <c r="AX634" s="24">
        <f t="shared" ca="1" si="539"/>
        <v>0</v>
      </c>
      <c r="AY634" s="24">
        <f t="shared" ca="1" si="540"/>
        <v>0</v>
      </c>
      <c r="AZ634" s="24">
        <f t="shared" ca="1" si="541"/>
        <v>0</v>
      </c>
      <c r="BA634" s="25">
        <f t="shared" ca="1" si="542"/>
        <v>0</v>
      </c>
      <c r="BB634" s="23">
        <f t="array" aca="1" ref="BB634" ca="1">SUM(IF(w_start_date&lt;=AO634,1,0)*IF(w_end_date&gt;=AO634,1,0)*w_amount*(1+w_escalation/100)^(INT((AP634-w_months_since_start)/12))*IF(MOD(AP634-w_months_since_start,w_frequency)=0,1,0)*IF(w_frequency=13,0,1))+SUM(IF(w_start_date=AO634,w_amount,0)*IF(w_frequency=13,1,0))</f>
        <v>0</v>
      </c>
      <c r="BC634" s="25">
        <f t="shared" ca="1" si="543"/>
        <v>0</v>
      </c>
      <c r="BD634" s="24" t="b">
        <f t="shared" ca="1" si="544"/>
        <v>1</v>
      </c>
      <c r="BE634" s="24" t="b">
        <f t="shared" ca="1" si="545"/>
        <v>1</v>
      </c>
      <c r="BF634" s="23">
        <f t="array" aca="1" ref="BF634" ca="1">SUM(IF(BD634,1,0)*IF(ap_start_date&lt;=AO634,1,0)*IF(ap_end_date&gt;=AO634,1,0)*ap_amount*(1+ap_escalation/100)^(INT((AP634-ap_months_since_start)/12))*IF(MOD(AP634-ap_months_since_start,ap_frequency)=0,1,0))</f>
        <v>174757.15085689441</v>
      </c>
      <c r="BG634" s="24">
        <f t="shared" ca="1" si="546"/>
        <v>2097085.8102827331</v>
      </c>
      <c r="BH634" s="24">
        <f t="shared" ca="1" si="547"/>
        <v>1259.6175626624943</v>
      </c>
      <c r="BI634">
        <f t="shared" ca="1" si="548"/>
        <v>0</v>
      </c>
      <c r="BJ634" s="24">
        <f t="shared" ca="1" si="549"/>
        <v>8817.3229386374587</v>
      </c>
      <c r="BK634">
        <f t="shared" ca="1" si="550"/>
        <v>1</v>
      </c>
      <c r="BL634" s="25">
        <f t="shared" ca="1" si="551"/>
        <v>734.77691155312152</v>
      </c>
      <c r="BM634" s="32">
        <f t="shared" ca="1" si="530"/>
        <v>48860.588560079501</v>
      </c>
      <c r="BN634" s="23">
        <f t="shared" ca="1" si="552"/>
        <v>0</v>
      </c>
      <c r="BO634" s="24">
        <f t="shared" ca="1" si="553"/>
        <v>0</v>
      </c>
      <c r="BP634" s="25">
        <f t="shared" ca="1" si="554"/>
        <v>0</v>
      </c>
      <c r="BQ634" s="34">
        <f t="shared" ca="1" si="555"/>
        <v>64709</v>
      </c>
      <c r="BR634" s="23">
        <f t="shared" ca="1" si="556"/>
        <v>48860.588560079501</v>
      </c>
      <c r="BS634" s="24">
        <f t="shared" ca="1" si="557"/>
        <v>0</v>
      </c>
      <c r="BT634" s="24">
        <f t="shared" ca="1" si="562"/>
        <v>0</v>
      </c>
      <c r="BU634" s="24">
        <f t="shared" ca="1" si="558"/>
        <v>0</v>
      </c>
      <c r="BV634" s="24">
        <f t="shared" ca="1" si="563"/>
        <v>0</v>
      </c>
      <c r="BW634" s="24">
        <f t="shared" ca="1" si="559"/>
        <v>-734.77691155312152</v>
      </c>
      <c r="BX634" s="25">
        <f t="shared" ca="1" si="564"/>
        <v>-9423.0455529828778</v>
      </c>
      <c r="BY634" s="23">
        <f t="shared" ca="1" si="531"/>
        <v>6294.5793937896815</v>
      </c>
      <c r="BZ634" s="24">
        <f t="shared" ca="1" si="532"/>
        <v>0</v>
      </c>
      <c r="CA634" s="24">
        <f t="shared" ca="1" si="565"/>
        <v>0</v>
      </c>
      <c r="CB634" s="24">
        <f t="shared" ca="1" si="533"/>
        <v>0</v>
      </c>
      <c r="CC634" s="24">
        <f t="shared" ca="1" si="566"/>
        <v>0</v>
      </c>
      <c r="CD634" s="24">
        <f t="shared" ca="1" si="534"/>
        <v>-94.969241163607563</v>
      </c>
      <c r="CE634" s="25">
        <f t="shared" ca="1" si="567"/>
        <v>-1240.610327591429</v>
      </c>
      <c r="CF634" s="23">
        <f t="shared" ca="1" si="568"/>
        <v>2043314.3792498426</v>
      </c>
      <c r="CG634" s="25">
        <f t="array" aca="1" ref="CG634" ca="1">SUM(BF623:BF634/(1+inflation/100)^(AP623:AP634/12))</f>
        <v>267980.53702225385</v>
      </c>
      <c r="CH634" s="32">
        <f ca="1">IFERROR(IF(MOD(AP634-ap_months_since_start,12)=0,ap_drawdown/100*(AQ634+AV634+BA634-BC634),CH633),0)</f>
        <v>7743.8325995591977</v>
      </c>
    </row>
    <row r="635" spans="40:86" x14ac:dyDescent="0.25">
      <c r="AN635" s="32">
        <f t="shared" ca="1" si="529"/>
        <v>107.16666666666667</v>
      </c>
      <c r="AO635" s="53">
        <f t="shared" ca="1" si="560"/>
        <v>64710</v>
      </c>
      <c r="AP635" s="22">
        <v>628</v>
      </c>
      <c r="AQ635" s="32">
        <f t="shared" ca="1" si="561"/>
        <v>48860.588560079501</v>
      </c>
      <c r="AR635" s="23">
        <f t="array" aca="1" ref="AR635" ca="1">SUM(IF(lsc_start_date=AO635,lsc_amount,0))</f>
        <v>0</v>
      </c>
      <c r="AS635" s="24">
        <f t="shared" ca="1" si="535"/>
        <v>0</v>
      </c>
      <c r="AT635" s="24">
        <f t="shared" ca="1" si="536"/>
        <v>0</v>
      </c>
      <c r="AU635" s="24">
        <f t="shared" ca="1" si="537"/>
        <v>0</v>
      </c>
      <c r="AV635" s="25">
        <f t="shared" ca="1" si="538"/>
        <v>0</v>
      </c>
      <c r="AW635" s="23">
        <f t="array" aca="1" ref="AW635" ca="1">SUM(IF(rcs_start_date&lt;=AO635,1,0)*IF(rcs_end_date&gt;=AO635,1,0)*rcs_amount*(1+rcs_escalation/100)^(INT((AP635-rcs_months_since_start)/12))*IF(MOD((AP635-rcs_months_since_start),rcs_frequency)=0,1,0)*IF(rcs_frequency=13,0,1))+SUM(IF(rcs_start_date=AO635,rcs_amount,0)*IF(rcs_frequency=13,1,0))</f>
        <v>0</v>
      </c>
      <c r="AX635" s="24">
        <f t="shared" ca="1" si="539"/>
        <v>0</v>
      </c>
      <c r="AY635" s="24">
        <f t="shared" ca="1" si="540"/>
        <v>0</v>
      </c>
      <c r="AZ635" s="24">
        <f t="shared" ca="1" si="541"/>
        <v>0</v>
      </c>
      <c r="BA635" s="25">
        <f t="shared" ca="1" si="542"/>
        <v>0</v>
      </c>
      <c r="BB635" s="23">
        <f t="array" aca="1" ref="BB635" ca="1">SUM(IF(w_start_date&lt;=AO635,1,0)*IF(w_end_date&gt;=AO635,1,0)*w_amount*(1+w_escalation/100)^(INT((AP635-w_months_since_start)/12))*IF(MOD(AP635-w_months_since_start,w_frequency)=0,1,0)*IF(w_frequency=13,0,1))+SUM(IF(w_start_date=AO635,w_amount,0)*IF(w_frequency=13,1,0))</f>
        <v>0</v>
      </c>
      <c r="BC635" s="25">
        <f t="shared" ca="1" si="543"/>
        <v>0</v>
      </c>
      <c r="BD635" s="24" t="b">
        <f t="shared" ca="1" si="544"/>
        <v>1</v>
      </c>
      <c r="BE635" s="24" t="b">
        <f t="shared" ca="1" si="545"/>
        <v>1</v>
      </c>
      <c r="BF635" s="23">
        <f t="array" aca="1" ref="BF635" ca="1">SUM(IF(BD635,1,0)*IF(ap_start_date&lt;=AO635,1,0)*IF(ap_end_date&gt;=AO635,1,0)*ap_amount*(1+ap_escalation/100)^(INT((AP635-ap_months_since_start)/12))*IF(MOD(AP635-ap_months_since_start,ap_frequency)=0,1,0))</f>
        <v>174757.15085689441</v>
      </c>
      <c r="BG635" s="24">
        <f t="shared" ca="1" si="546"/>
        <v>2097085.8102827331</v>
      </c>
      <c r="BH635" s="24">
        <f t="shared" ca="1" si="547"/>
        <v>1259.6175626624943</v>
      </c>
      <c r="BI635">
        <f t="shared" ca="1" si="548"/>
        <v>0</v>
      </c>
      <c r="BJ635" s="24">
        <f t="shared" ca="1" si="549"/>
        <v>8817.3229386374587</v>
      </c>
      <c r="BK635">
        <f t="shared" ca="1" si="550"/>
        <v>1</v>
      </c>
      <c r="BL635" s="25">
        <f t="shared" ca="1" si="551"/>
        <v>734.77691155312152</v>
      </c>
      <c r="BM635" s="32">
        <f t="shared" ca="1" si="530"/>
        <v>48472.669932928809</v>
      </c>
      <c r="BN635" s="23">
        <f t="shared" ca="1" si="552"/>
        <v>0</v>
      </c>
      <c r="BO635" s="24">
        <f t="shared" ca="1" si="553"/>
        <v>0</v>
      </c>
      <c r="BP635" s="25">
        <f t="shared" ca="1" si="554"/>
        <v>0</v>
      </c>
      <c r="BQ635" s="34">
        <f t="shared" ca="1" si="555"/>
        <v>64740</v>
      </c>
      <c r="BR635" s="23">
        <f t="shared" ca="1" si="556"/>
        <v>48472.669932928809</v>
      </c>
      <c r="BS635" s="24">
        <f t="shared" ca="1" si="557"/>
        <v>0</v>
      </c>
      <c r="BT635" s="24">
        <f t="shared" ca="1" si="562"/>
        <v>0</v>
      </c>
      <c r="BU635" s="24">
        <f t="shared" ca="1" si="558"/>
        <v>0</v>
      </c>
      <c r="BV635" s="24">
        <f t="shared" ca="1" si="563"/>
        <v>0</v>
      </c>
      <c r="BW635" s="24">
        <f t="shared" ca="1" si="559"/>
        <v>-734.77691155312152</v>
      </c>
      <c r="BX635" s="25">
        <f t="shared" ca="1" si="564"/>
        <v>-9347.3302261897006</v>
      </c>
      <c r="BY635" s="23">
        <f t="shared" ca="1" si="531"/>
        <v>6224.2283669730141</v>
      </c>
      <c r="BZ635" s="24">
        <f t="shared" ca="1" si="532"/>
        <v>0</v>
      </c>
      <c r="CA635" s="24">
        <f t="shared" ca="1" si="565"/>
        <v>0</v>
      </c>
      <c r="CB635" s="24">
        <f t="shared" ca="1" si="533"/>
        <v>0</v>
      </c>
      <c r="CC635" s="24">
        <f t="shared" ca="1" si="566"/>
        <v>0</v>
      </c>
      <c r="CD635" s="24">
        <f t="shared" ca="1" si="534"/>
        <v>-94.659351080219096</v>
      </c>
      <c r="CE635" s="25">
        <f t="shared" ca="1" si="567"/>
        <v>-1226.6795816553197</v>
      </c>
      <c r="CF635" s="23">
        <f t="shared" ca="1" si="568"/>
        <v>2050035.8081289539</v>
      </c>
      <c r="CG635" s="25">
        <f t="array" aca="1" ref="CG635" ca="1">SUM(BF624:BF635/(1+inflation/100)^(AP624:AP635/12))</f>
        <v>267980.53702225385</v>
      </c>
      <c r="CH635" s="32">
        <f ca="1">IFERROR(IF(MOD(AP635-ap_months_since_start,12)=0,ap_drawdown/100*(AQ635+AV635+BA635-BC635),CH634),0)</f>
        <v>7743.8325995591977</v>
      </c>
    </row>
    <row r="636" spans="40:86" x14ac:dyDescent="0.25">
      <c r="AN636" s="32">
        <f t="shared" ca="1" si="529"/>
        <v>107.25</v>
      </c>
      <c r="AO636" s="53">
        <f t="shared" ca="1" si="560"/>
        <v>64741</v>
      </c>
      <c r="AP636" s="22">
        <v>629</v>
      </c>
      <c r="AQ636" s="32">
        <f t="shared" ca="1" si="561"/>
        <v>48472.669932928809</v>
      </c>
      <c r="AR636" s="23">
        <f t="array" aca="1" ref="AR636" ca="1">SUM(IF(lsc_start_date=AO636,lsc_amount,0))</f>
        <v>0</v>
      </c>
      <c r="AS636" s="24">
        <f t="shared" ca="1" si="535"/>
        <v>0</v>
      </c>
      <c r="AT636" s="24">
        <f t="shared" ca="1" si="536"/>
        <v>0</v>
      </c>
      <c r="AU636" s="24">
        <f t="shared" ca="1" si="537"/>
        <v>0</v>
      </c>
      <c r="AV636" s="25">
        <f t="shared" ca="1" si="538"/>
        <v>0</v>
      </c>
      <c r="AW636" s="23">
        <f t="array" aca="1" ref="AW636" ca="1">SUM(IF(rcs_start_date&lt;=AO636,1,0)*IF(rcs_end_date&gt;=AO636,1,0)*rcs_amount*(1+rcs_escalation/100)^(INT((AP636-rcs_months_since_start)/12))*IF(MOD((AP636-rcs_months_since_start),rcs_frequency)=0,1,0)*IF(rcs_frequency=13,0,1))+SUM(IF(rcs_start_date=AO636,rcs_amount,0)*IF(rcs_frequency=13,1,0))</f>
        <v>0</v>
      </c>
      <c r="AX636" s="24">
        <f t="shared" ca="1" si="539"/>
        <v>0</v>
      </c>
      <c r="AY636" s="24">
        <f t="shared" ca="1" si="540"/>
        <v>0</v>
      </c>
      <c r="AZ636" s="24">
        <f t="shared" ca="1" si="541"/>
        <v>0</v>
      </c>
      <c r="BA636" s="25">
        <f t="shared" ca="1" si="542"/>
        <v>0</v>
      </c>
      <c r="BB636" s="23">
        <f t="array" aca="1" ref="BB636" ca="1">SUM(IF(w_start_date&lt;=AO636,1,0)*IF(w_end_date&gt;=AO636,1,0)*w_amount*(1+w_escalation/100)^(INT((AP636-w_months_since_start)/12))*IF(MOD(AP636-w_months_since_start,w_frequency)=0,1,0)*IF(w_frequency=13,0,1))+SUM(IF(w_start_date=AO636,w_amount,0)*IF(w_frequency=13,1,0))</f>
        <v>0</v>
      </c>
      <c r="BC636" s="25">
        <f t="shared" ca="1" si="543"/>
        <v>0</v>
      </c>
      <c r="BD636" s="24" t="b">
        <f t="shared" ca="1" si="544"/>
        <v>1</v>
      </c>
      <c r="BE636" s="24" t="b">
        <f t="shared" ca="1" si="545"/>
        <v>1</v>
      </c>
      <c r="BF636" s="23">
        <f t="array" aca="1" ref="BF636" ca="1">SUM(IF(BD636,1,0)*IF(ap_start_date&lt;=AO636,1,0)*IF(ap_end_date&gt;=AO636,1,0)*ap_amount*(1+ap_escalation/100)^(INT((AP636-ap_months_since_start)/12))*IF(MOD(AP636-ap_months_since_start,ap_frequency)=0,1,0))</f>
        <v>174757.15085689441</v>
      </c>
      <c r="BG636" s="24">
        <f t="shared" ca="1" si="546"/>
        <v>2097085.8102827331</v>
      </c>
      <c r="BH636" s="24">
        <f t="shared" ca="1" si="547"/>
        <v>1259.6175626624943</v>
      </c>
      <c r="BI636">
        <f t="shared" ca="1" si="548"/>
        <v>0</v>
      </c>
      <c r="BJ636" s="24">
        <f t="shared" ca="1" si="549"/>
        <v>8817.3229386374587</v>
      </c>
      <c r="BK636">
        <f t="shared" ca="1" si="550"/>
        <v>1</v>
      </c>
      <c r="BL636" s="25">
        <f t="shared" ca="1" si="551"/>
        <v>734.77691155312152</v>
      </c>
      <c r="BM636" s="32">
        <f t="shared" ca="1" si="530"/>
        <v>48081.955450811889</v>
      </c>
      <c r="BN636" s="23">
        <f t="shared" ca="1" si="552"/>
        <v>0</v>
      </c>
      <c r="BO636" s="24">
        <f t="shared" ca="1" si="553"/>
        <v>0</v>
      </c>
      <c r="BP636" s="25">
        <f t="shared" ca="1" si="554"/>
        <v>0</v>
      </c>
      <c r="BQ636" s="34">
        <f t="shared" ca="1" si="555"/>
        <v>64770</v>
      </c>
      <c r="BR636" s="23">
        <f t="shared" ca="1" si="556"/>
        <v>48081.955450811889</v>
      </c>
      <c r="BS636" s="24">
        <f t="shared" ca="1" si="557"/>
        <v>0</v>
      </c>
      <c r="BT636" s="24">
        <f t="shared" ca="1" si="562"/>
        <v>0</v>
      </c>
      <c r="BU636" s="24">
        <f t="shared" ca="1" si="558"/>
        <v>0</v>
      </c>
      <c r="BV636" s="24">
        <f t="shared" ca="1" si="563"/>
        <v>0</v>
      </c>
      <c r="BW636" s="24">
        <f t="shared" ca="1" si="559"/>
        <v>-734.77691155312152</v>
      </c>
      <c r="BX636" s="25">
        <f t="shared" ca="1" si="564"/>
        <v>-9271.6148993965235</v>
      </c>
      <c r="BY636" s="23">
        <f t="shared" ca="1" si="531"/>
        <v>6153.9116014374695</v>
      </c>
      <c r="BZ636" s="24">
        <f t="shared" ca="1" si="532"/>
        <v>0</v>
      </c>
      <c r="CA636" s="24">
        <f t="shared" ca="1" si="565"/>
        <v>0</v>
      </c>
      <c r="CB636" s="24">
        <f t="shared" ca="1" si="533"/>
        <v>0</v>
      </c>
      <c r="CC636" s="24">
        <f t="shared" ca="1" si="566"/>
        <v>0</v>
      </c>
      <c r="CD636" s="24">
        <f t="shared" ca="1" si="534"/>
        <v>-94.350472185954658</v>
      </c>
      <c r="CE636" s="25">
        <f t="shared" ca="1" si="567"/>
        <v>-1212.7942925425664</v>
      </c>
      <c r="CF636" s="23">
        <f t="shared" ca="1" si="568"/>
        <v>2056757.2370080652</v>
      </c>
      <c r="CG636" s="25">
        <f t="array" aca="1" ref="CG636" ca="1">SUM(BF625:BF636/(1+inflation/100)^(AP625:AP636/12))</f>
        <v>267980.53702225385</v>
      </c>
      <c r="CH636" s="32">
        <f ca="1">IFERROR(IF(MOD(AP636-ap_months_since_start,12)=0,ap_drawdown/100*(AQ636+AV636+BA636-BC636),CH635),0)</f>
        <v>7743.8325995591977</v>
      </c>
    </row>
    <row r="637" spans="40:86" x14ac:dyDescent="0.25">
      <c r="AN637" s="32">
        <f t="shared" ca="1" si="529"/>
        <v>107.33333333333333</v>
      </c>
      <c r="AO637" s="53">
        <f t="shared" ca="1" si="560"/>
        <v>64771</v>
      </c>
      <c r="AP637" s="22">
        <v>630</v>
      </c>
      <c r="AQ637" s="32">
        <f t="shared" ca="1" si="561"/>
        <v>48081.955450811889</v>
      </c>
      <c r="AR637" s="23">
        <f t="array" aca="1" ref="AR637" ca="1">SUM(IF(lsc_start_date=AO637,lsc_amount,0))</f>
        <v>0</v>
      </c>
      <c r="AS637" s="24">
        <f t="shared" ca="1" si="535"/>
        <v>0</v>
      </c>
      <c r="AT637" s="24">
        <f t="shared" ca="1" si="536"/>
        <v>0</v>
      </c>
      <c r="AU637" s="24">
        <f t="shared" ca="1" si="537"/>
        <v>0</v>
      </c>
      <c r="AV637" s="25">
        <f t="shared" ca="1" si="538"/>
        <v>0</v>
      </c>
      <c r="AW637" s="23">
        <f t="array" aca="1" ref="AW637" ca="1">SUM(IF(rcs_start_date&lt;=AO637,1,0)*IF(rcs_end_date&gt;=AO637,1,0)*rcs_amount*(1+rcs_escalation/100)^(INT((AP637-rcs_months_since_start)/12))*IF(MOD((AP637-rcs_months_since_start),rcs_frequency)=0,1,0)*IF(rcs_frequency=13,0,1))+SUM(IF(rcs_start_date=AO637,rcs_amount,0)*IF(rcs_frequency=13,1,0))</f>
        <v>0</v>
      </c>
      <c r="AX637" s="24">
        <f t="shared" ca="1" si="539"/>
        <v>0</v>
      </c>
      <c r="AY637" s="24">
        <f t="shared" ca="1" si="540"/>
        <v>0</v>
      </c>
      <c r="AZ637" s="24">
        <f t="shared" ca="1" si="541"/>
        <v>0</v>
      </c>
      <c r="BA637" s="25">
        <f t="shared" ca="1" si="542"/>
        <v>0</v>
      </c>
      <c r="BB637" s="23">
        <f t="array" aca="1" ref="BB637" ca="1">SUM(IF(w_start_date&lt;=AO637,1,0)*IF(w_end_date&gt;=AO637,1,0)*w_amount*(1+w_escalation/100)^(INT((AP637-w_months_since_start)/12))*IF(MOD(AP637-w_months_since_start,w_frequency)=0,1,0)*IF(w_frequency=13,0,1))+SUM(IF(w_start_date=AO637,w_amount,0)*IF(w_frequency=13,1,0))</f>
        <v>0</v>
      </c>
      <c r="BC637" s="25">
        <f t="shared" ca="1" si="543"/>
        <v>0</v>
      </c>
      <c r="BD637" s="24" t="b">
        <f t="shared" ca="1" si="544"/>
        <v>1</v>
      </c>
      <c r="BE637" s="24" t="b">
        <f t="shared" ca="1" si="545"/>
        <v>1</v>
      </c>
      <c r="BF637" s="23">
        <f t="array" aca="1" ref="BF637" ca="1">SUM(IF(BD637,1,0)*IF(ap_start_date&lt;=AO637,1,0)*IF(ap_end_date&gt;=AO637,1,0)*ap_amount*(1+ap_escalation/100)^(INT((AP637-ap_months_since_start)/12))*IF(MOD(AP637-ap_months_since_start,ap_frequency)=0,1,0))</f>
        <v>174757.15085689441</v>
      </c>
      <c r="BG637" s="24">
        <f t="shared" ca="1" si="546"/>
        <v>2097085.8102827331</v>
      </c>
      <c r="BH637" s="24">
        <f t="shared" ca="1" si="547"/>
        <v>1259.6175626624943</v>
      </c>
      <c r="BI637">
        <f t="shared" ca="1" si="548"/>
        <v>0</v>
      </c>
      <c r="BJ637" s="24">
        <f t="shared" ca="1" si="549"/>
        <v>8817.3229386374587</v>
      </c>
      <c r="BK637">
        <f t="shared" ca="1" si="550"/>
        <v>1</v>
      </c>
      <c r="BL637" s="25">
        <f t="shared" ca="1" si="551"/>
        <v>734.77691155312152</v>
      </c>
      <c r="BM637" s="32">
        <f t="shared" ca="1" si="530"/>
        <v>47688.424963098056</v>
      </c>
      <c r="BN637" s="23">
        <f t="shared" ca="1" si="552"/>
        <v>0</v>
      </c>
      <c r="BO637" s="24">
        <f t="shared" ca="1" si="553"/>
        <v>0</v>
      </c>
      <c r="BP637" s="25">
        <f t="shared" ca="1" si="554"/>
        <v>0</v>
      </c>
      <c r="BQ637" s="34">
        <f t="shared" ca="1" si="555"/>
        <v>64801</v>
      </c>
      <c r="BR637" s="23">
        <f t="shared" ca="1" si="556"/>
        <v>47688.424963098056</v>
      </c>
      <c r="BS637" s="24">
        <f t="shared" ca="1" si="557"/>
        <v>0</v>
      </c>
      <c r="BT637" s="24">
        <f t="shared" ca="1" si="562"/>
        <v>0</v>
      </c>
      <c r="BU637" s="24">
        <f t="shared" ca="1" si="558"/>
        <v>0</v>
      </c>
      <c r="BV637" s="24">
        <f t="shared" ca="1" si="563"/>
        <v>0</v>
      </c>
      <c r="BW637" s="24">
        <f t="shared" ca="1" si="559"/>
        <v>-734.77691155312152</v>
      </c>
      <c r="BX637" s="25">
        <f t="shared" ca="1" si="564"/>
        <v>-9195.8995726033463</v>
      </c>
      <c r="BY637" s="23">
        <f t="shared" ca="1" si="531"/>
        <v>6083.6282196716584</v>
      </c>
      <c r="BZ637" s="24">
        <f t="shared" ca="1" si="532"/>
        <v>0</v>
      </c>
      <c r="CA637" s="24">
        <f t="shared" ca="1" si="565"/>
        <v>0</v>
      </c>
      <c r="CB637" s="24">
        <f t="shared" ca="1" si="533"/>
        <v>0</v>
      </c>
      <c r="CC637" s="24">
        <f t="shared" ca="1" si="566"/>
        <v>0</v>
      </c>
      <c r="CD637" s="24">
        <f t="shared" ca="1" si="534"/>
        <v>-94.04260118124617</v>
      </c>
      <c r="CE637" s="25">
        <f t="shared" ca="1" si="567"/>
        <v>-1198.9543119249458</v>
      </c>
      <c r="CF637" s="23">
        <f t="shared" ca="1" si="568"/>
        <v>2063478.6658871765</v>
      </c>
      <c r="CG637" s="25">
        <f t="array" aca="1" ref="CG637" ca="1">SUM(BF626:BF637/(1+inflation/100)^(AP626:AP637/12))</f>
        <v>267980.53702225385</v>
      </c>
      <c r="CH637" s="32">
        <f ca="1">IFERROR(IF(MOD(AP637-ap_months_since_start,12)=0,ap_drawdown/100*(AQ637+AV637+BA637-BC637),CH636),0)</f>
        <v>7743.8325995591977</v>
      </c>
    </row>
    <row r="638" spans="40:86" x14ac:dyDescent="0.25">
      <c r="AN638" s="32">
        <f t="shared" ca="1" si="529"/>
        <v>107.41666666666667</v>
      </c>
      <c r="AO638" s="53">
        <f t="shared" ca="1" si="560"/>
        <v>64802</v>
      </c>
      <c r="AP638" s="22">
        <v>631</v>
      </c>
      <c r="AQ638" s="32">
        <f t="shared" ca="1" si="561"/>
        <v>47688.424963098056</v>
      </c>
      <c r="AR638" s="23">
        <f t="array" aca="1" ref="AR638" ca="1">SUM(IF(lsc_start_date=AO638,lsc_amount,0))</f>
        <v>0</v>
      </c>
      <c r="AS638" s="24">
        <f t="shared" ca="1" si="535"/>
        <v>0</v>
      </c>
      <c r="AT638" s="24">
        <f t="shared" ca="1" si="536"/>
        <v>0</v>
      </c>
      <c r="AU638" s="24">
        <f t="shared" ca="1" si="537"/>
        <v>0</v>
      </c>
      <c r="AV638" s="25">
        <f t="shared" ca="1" si="538"/>
        <v>0</v>
      </c>
      <c r="AW638" s="23">
        <f t="array" aca="1" ref="AW638" ca="1">SUM(IF(rcs_start_date&lt;=AO638,1,0)*IF(rcs_end_date&gt;=AO638,1,0)*rcs_amount*(1+rcs_escalation/100)^(INT((AP638-rcs_months_since_start)/12))*IF(MOD((AP638-rcs_months_since_start),rcs_frequency)=0,1,0)*IF(rcs_frequency=13,0,1))+SUM(IF(rcs_start_date=AO638,rcs_amount,0)*IF(rcs_frequency=13,1,0))</f>
        <v>0</v>
      </c>
      <c r="AX638" s="24">
        <f t="shared" ca="1" si="539"/>
        <v>0</v>
      </c>
      <c r="AY638" s="24">
        <f t="shared" ca="1" si="540"/>
        <v>0</v>
      </c>
      <c r="AZ638" s="24">
        <f t="shared" ca="1" si="541"/>
        <v>0</v>
      </c>
      <c r="BA638" s="25">
        <f t="shared" ca="1" si="542"/>
        <v>0</v>
      </c>
      <c r="BB638" s="23">
        <f t="array" aca="1" ref="BB638" ca="1">SUM(IF(w_start_date&lt;=AO638,1,0)*IF(w_end_date&gt;=AO638,1,0)*w_amount*(1+w_escalation/100)^(INT((AP638-w_months_since_start)/12))*IF(MOD(AP638-w_months_since_start,w_frequency)=0,1,0)*IF(w_frequency=13,0,1))+SUM(IF(w_start_date=AO638,w_amount,0)*IF(w_frequency=13,1,0))</f>
        <v>0</v>
      </c>
      <c r="BC638" s="25">
        <f t="shared" ca="1" si="543"/>
        <v>0</v>
      </c>
      <c r="BD638" s="24" t="b">
        <f t="shared" ca="1" si="544"/>
        <v>1</v>
      </c>
      <c r="BE638" s="24" t="b">
        <f t="shared" ca="1" si="545"/>
        <v>1</v>
      </c>
      <c r="BF638" s="23">
        <f t="array" aca="1" ref="BF638" ca="1">SUM(IF(BD638,1,0)*IF(ap_start_date&lt;=AO638,1,0)*IF(ap_end_date&gt;=AO638,1,0)*ap_amount*(1+ap_escalation/100)^(INT((AP638-ap_months_since_start)/12))*IF(MOD(AP638-ap_months_since_start,ap_frequency)=0,1,0))</f>
        <v>174757.15085689441</v>
      </c>
      <c r="BG638" s="24">
        <f t="shared" ca="1" si="546"/>
        <v>2097085.8102827331</v>
      </c>
      <c r="BH638" s="24">
        <f t="shared" ca="1" si="547"/>
        <v>1259.6175626624943</v>
      </c>
      <c r="BI638">
        <f t="shared" ca="1" si="548"/>
        <v>0</v>
      </c>
      <c r="BJ638" s="24">
        <f t="shared" ca="1" si="549"/>
        <v>8817.3229386374587</v>
      </c>
      <c r="BK638">
        <f t="shared" ca="1" si="550"/>
        <v>1</v>
      </c>
      <c r="BL638" s="25">
        <f t="shared" ca="1" si="551"/>
        <v>734.77691155312152</v>
      </c>
      <c r="BM638" s="32">
        <f t="shared" ca="1" si="530"/>
        <v>47292.058173924517</v>
      </c>
      <c r="BN638" s="23">
        <f t="shared" ca="1" si="552"/>
        <v>0</v>
      </c>
      <c r="BO638" s="24">
        <f t="shared" ca="1" si="553"/>
        <v>0</v>
      </c>
      <c r="BP638" s="25">
        <f t="shared" ca="1" si="554"/>
        <v>0</v>
      </c>
      <c r="BQ638" s="34">
        <f t="shared" ca="1" si="555"/>
        <v>64831</v>
      </c>
      <c r="BR638" s="23">
        <f t="shared" ca="1" si="556"/>
        <v>47292.058173924517</v>
      </c>
      <c r="BS638" s="24">
        <f t="shared" ca="1" si="557"/>
        <v>0</v>
      </c>
      <c r="BT638" s="24">
        <f t="shared" ca="1" si="562"/>
        <v>0</v>
      </c>
      <c r="BU638" s="24">
        <f t="shared" ca="1" si="558"/>
        <v>0</v>
      </c>
      <c r="BV638" s="24">
        <f t="shared" ca="1" si="563"/>
        <v>0</v>
      </c>
      <c r="BW638" s="24">
        <f t="shared" ca="1" si="559"/>
        <v>-734.77691155312152</v>
      </c>
      <c r="BX638" s="25">
        <f t="shared" ca="1" si="564"/>
        <v>-9120.1842458101692</v>
      </c>
      <c r="BY638" s="23">
        <f t="shared" ca="1" si="531"/>
        <v>6013.3773440253881</v>
      </c>
      <c r="BZ638" s="24">
        <f t="shared" ca="1" si="532"/>
        <v>0</v>
      </c>
      <c r="CA638" s="24">
        <f t="shared" ca="1" si="565"/>
        <v>0</v>
      </c>
      <c r="CB638" s="24">
        <f t="shared" ca="1" si="533"/>
        <v>0</v>
      </c>
      <c r="CC638" s="24">
        <f t="shared" ca="1" si="566"/>
        <v>0</v>
      </c>
      <c r="CD638" s="24">
        <f t="shared" ca="1" si="534"/>
        <v>-93.735734777292123</v>
      </c>
      <c r="CE638" s="25">
        <f t="shared" ca="1" si="567"/>
        <v>-1185.1594919582385</v>
      </c>
      <c r="CF638" s="23">
        <f t="shared" ca="1" si="568"/>
        <v>2070200.0947662878</v>
      </c>
      <c r="CG638" s="25">
        <f t="array" aca="1" ref="CG638" ca="1">SUM(BF627:BF638/(1+inflation/100)^(AP627:AP638/12))</f>
        <v>267980.53702225385</v>
      </c>
      <c r="CH638" s="32">
        <f ca="1">IFERROR(IF(MOD(AP638-ap_months_since_start,12)=0,ap_drawdown/100*(AQ638+AV638+BA638-BC638),CH637),0)</f>
        <v>7743.8325995591977</v>
      </c>
    </row>
    <row r="639" spans="40:86" x14ac:dyDescent="0.25">
      <c r="AN639" s="32">
        <f t="shared" ca="1" si="529"/>
        <v>107.5</v>
      </c>
      <c r="AO639" s="53">
        <f t="shared" ca="1" si="560"/>
        <v>64832</v>
      </c>
      <c r="AP639" s="22">
        <v>632</v>
      </c>
      <c r="AQ639" s="32">
        <f t="shared" ca="1" si="561"/>
        <v>47292.058173924517</v>
      </c>
      <c r="AR639" s="23">
        <f t="array" aca="1" ref="AR639" ca="1">SUM(IF(lsc_start_date=AO639,lsc_amount,0))</f>
        <v>0</v>
      </c>
      <c r="AS639" s="24">
        <f t="shared" ca="1" si="535"/>
        <v>0</v>
      </c>
      <c r="AT639" s="24">
        <f t="shared" ca="1" si="536"/>
        <v>0</v>
      </c>
      <c r="AU639" s="24">
        <f t="shared" ca="1" si="537"/>
        <v>0</v>
      </c>
      <c r="AV639" s="25">
        <f t="shared" ca="1" si="538"/>
        <v>0</v>
      </c>
      <c r="AW639" s="23">
        <f t="array" aca="1" ref="AW639" ca="1">SUM(IF(rcs_start_date&lt;=AO639,1,0)*IF(rcs_end_date&gt;=AO639,1,0)*rcs_amount*(1+rcs_escalation/100)^(INT((AP639-rcs_months_since_start)/12))*IF(MOD((AP639-rcs_months_since_start),rcs_frequency)=0,1,0)*IF(rcs_frequency=13,0,1))+SUM(IF(rcs_start_date=AO639,rcs_amount,0)*IF(rcs_frequency=13,1,0))</f>
        <v>0</v>
      </c>
      <c r="AX639" s="24">
        <f t="shared" ca="1" si="539"/>
        <v>0</v>
      </c>
      <c r="AY639" s="24">
        <f t="shared" ca="1" si="540"/>
        <v>0</v>
      </c>
      <c r="AZ639" s="24">
        <f t="shared" ca="1" si="541"/>
        <v>0</v>
      </c>
      <c r="BA639" s="25">
        <f t="shared" ca="1" si="542"/>
        <v>0</v>
      </c>
      <c r="BB639" s="23">
        <f t="array" aca="1" ref="BB639" ca="1">SUM(IF(w_start_date&lt;=AO639,1,0)*IF(w_end_date&gt;=AO639,1,0)*w_amount*(1+w_escalation/100)^(INT((AP639-w_months_since_start)/12))*IF(MOD(AP639-w_months_since_start,w_frequency)=0,1,0)*IF(w_frequency=13,0,1))+SUM(IF(w_start_date=AO639,w_amount,0)*IF(w_frequency=13,1,0))</f>
        <v>0</v>
      </c>
      <c r="BC639" s="25">
        <f t="shared" ca="1" si="543"/>
        <v>0</v>
      </c>
      <c r="BD639" s="24" t="b">
        <f t="shared" ca="1" si="544"/>
        <v>1</v>
      </c>
      <c r="BE639" s="24" t="b">
        <f t="shared" ca="1" si="545"/>
        <v>1</v>
      </c>
      <c r="BF639" s="23">
        <f t="array" aca="1" ref="BF639" ca="1">SUM(IF(BD639,1,0)*IF(ap_start_date&lt;=AO639,1,0)*IF(ap_end_date&gt;=AO639,1,0)*ap_amount*(1+ap_escalation/100)^(INT((AP639-ap_months_since_start)/12))*IF(MOD(AP639-ap_months_since_start,ap_frequency)=0,1,0))</f>
        <v>174757.15085689441</v>
      </c>
      <c r="BG639" s="24">
        <f t="shared" ca="1" si="546"/>
        <v>2097085.8102827331</v>
      </c>
      <c r="BH639" s="24">
        <f t="shared" ca="1" si="547"/>
        <v>1259.6175626624943</v>
      </c>
      <c r="BI639">
        <f t="shared" ca="1" si="548"/>
        <v>0</v>
      </c>
      <c r="BJ639" s="24">
        <f t="shared" ca="1" si="549"/>
        <v>8817.3229386374587</v>
      </c>
      <c r="BK639">
        <f t="shared" ca="1" si="550"/>
        <v>1</v>
      </c>
      <c r="BL639" s="25">
        <f t="shared" ca="1" si="551"/>
        <v>734.77691155312152</v>
      </c>
      <c r="BM639" s="32">
        <f t="shared" ca="1" si="530"/>
        <v>46892.834641149624</v>
      </c>
      <c r="BN639" s="23">
        <f t="shared" ca="1" si="552"/>
        <v>0</v>
      </c>
      <c r="BO639" s="24">
        <f t="shared" ca="1" si="553"/>
        <v>0</v>
      </c>
      <c r="BP639" s="25">
        <f t="shared" ca="1" si="554"/>
        <v>0</v>
      </c>
      <c r="BQ639" s="34">
        <f t="shared" ca="1" si="555"/>
        <v>64862</v>
      </c>
      <c r="BR639" s="23">
        <f t="shared" ca="1" si="556"/>
        <v>46892.834641149624</v>
      </c>
      <c r="BS639" s="24">
        <f t="shared" ca="1" si="557"/>
        <v>0</v>
      </c>
      <c r="BT639" s="24">
        <f t="shared" ca="1" si="562"/>
        <v>0</v>
      </c>
      <c r="BU639" s="24">
        <f t="shared" ca="1" si="558"/>
        <v>0</v>
      </c>
      <c r="BV639" s="24">
        <f t="shared" ca="1" si="563"/>
        <v>0</v>
      </c>
      <c r="BW639" s="24">
        <f t="shared" ca="1" si="559"/>
        <v>-734.77691155312152</v>
      </c>
      <c r="BX639" s="25">
        <f t="shared" ca="1" si="564"/>
        <v>-9044.468919016992</v>
      </c>
      <c r="BY639" s="23">
        <f t="shared" ca="1" si="531"/>
        <v>5943.1580966983465</v>
      </c>
      <c r="BZ639" s="24">
        <f t="shared" ca="1" si="532"/>
        <v>0</v>
      </c>
      <c r="CA639" s="24">
        <f t="shared" ca="1" si="565"/>
        <v>0</v>
      </c>
      <c r="CB639" s="24">
        <f t="shared" ca="1" si="533"/>
        <v>0</v>
      </c>
      <c r="CC639" s="24">
        <f t="shared" ca="1" si="566"/>
        <v>0</v>
      </c>
      <c r="CD639" s="24">
        <f t="shared" ca="1" si="534"/>
        <v>-93.429869696022593</v>
      </c>
      <c r="CE639" s="25">
        <f t="shared" ca="1" si="567"/>
        <v>-1171.4096852806488</v>
      </c>
      <c r="CF639" s="23">
        <f t="shared" ca="1" si="568"/>
        <v>2076921.5236453991</v>
      </c>
      <c r="CG639" s="25">
        <f t="array" aca="1" ref="CG639" ca="1">SUM(BF628:BF639/(1+inflation/100)^(AP628:AP639/12))</f>
        <v>267980.53702225385</v>
      </c>
      <c r="CH639" s="32">
        <f ca="1">IFERROR(IF(MOD(AP639-ap_months_since_start,12)=0,ap_drawdown/100*(AQ639+AV639+BA639-BC639),CH638),0)</f>
        <v>7743.8325995591977</v>
      </c>
    </row>
    <row r="640" spans="40:86" x14ac:dyDescent="0.25">
      <c r="AN640" s="32">
        <f t="shared" ca="1" si="529"/>
        <v>107.58333333333333</v>
      </c>
      <c r="AO640" s="53">
        <f t="shared" ca="1" si="560"/>
        <v>64863</v>
      </c>
      <c r="AP640" s="22">
        <v>633</v>
      </c>
      <c r="AQ640" s="32">
        <f t="shared" ca="1" si="561"/>
        <v>46892.834641149624</v>
      </c>
      <c r="AR640" s="23">
        <f t="array" aca="1" ref="AR640" ca="1">SUM(IF(lsc_start_date=AO640,lsc_amount,0))</f>
        <v>0</v>
      </c>
      <c r="AS640" s="24">
        <f t="shared" ca="1" si="535"/>
        <v>0</v>
      </c>
      <c r="AT640" s="24">
        <f t="shared" ca="1" si="536"/>
        <v>0</v>
      </c>
      <c r="AU640" s="24">
        <f t="shared" ca="1" si="537"/>
        <v>0</v>
      </c>
      <c r="AV640" s="25">
        <f t="shared" ca="1" si="538"/>
        <v>0</v>
      </c>
      <c r="AW640" s="23">
        <f t="array" aca="1" ref="AW640" ca="1">SUM(IF(rcs_start_date&lt;=AO640,1,0)*IF(rcs_end_date&gt;=AO640,1,0)*rcs_amount*(1+rcs_escalation/100)^(INT((AP640-rcs_months_since_start)/12))*IF(MOD((AP640-rcs_months_since_start),rcs_frequency)=0,1,0)*IF(rcs_frequency=13,0,1))+SUM(IF(rcs_start_date=AO640,rcs_amount,0)*IF(rcs_frequency=13,1,0))</f>
        <v>0</v>
      </c>
      <c r="AX640" s="24">
        <f t="shared" ca="1" si="539"/>
        <v>0</v>
      </c>
      <c r="AY640" s="24">
        <f t="shared" ca="1" si="540"/>
        <v>0</v>
      </c>
      <c r="AZ640" s="24">
        <f t="shared" ca="1" si="541"/>
        <v>0</v>
      </c>
      <c r="BA640" s="25">
        <f t="shared" ca="1" si="542"/>
        <v>0</v>
      </c>
      <c r="BB640" s="23">
        <f t="array" aca="1" ref="BB640" ca="1">SUM(IF(w_start_date&lt;=AO640,1,0)*IF(w_end_date&gt;=AO640,1,0)*w_amount*(1+w_escalation/100)^(INT((AP640-w_months_since_start)/12))*IF(MOD(AP640-w_months_since_start,w_frequency)=0,1,0)*IF(w_frequency=13,0,1))+SUM(IF(w_start_date=AO640,w_amount,0)*IF(w_frequency=13,1,0))</f>
        <v>0</v>
      </c>
      <c r="BC640" s="25">
        <f t="shared" ca="1" si="543"/>
        <v>0</v>
      </c>
      <c r="BD640" s="24" t="b">
        <f t="shared" ca="1" si="544"/>
        <v>1</v>
      </c>
      <c r="BE640" s="24" t="b">
        <f t="shared" ca="1" si="545"/>
        <v>1</v>
      </c>
      <c r="BF640" s="23">
        <f t="array" aca="1" ref="BF640" ca="1">SUM(IF(BD640,1,0)*IF(ap_start_date&lt;=AO640,1,0)*IF(ap_end_date&gt;=AO640,1,0)*ap_amount*(1+ap_escalation/100)^(INT((AP640-ap_months_since_start)/12))*IF(MOD(AP640-ap_months_since_start,ap_frequency)=0,1,0))</f>
        <v>174757.15085689441</v>
      </c>
      <c r="BG640" s="24">
        <f t="shared" ca="1" si="546"/>
        <v>2097085.8102827331</v>
      </c>
      <c r="BH640" s="24">
        <f t="shared" ca="1" si="547"/>
        <v>1259.6175626624943</v>
      </c>
      <c r="BI640">
        <f t="shared" ca="1" si="548"/>
        <v>0</v>
      </c>
      <c r="BJ640" s="24">
        <f t="shared" ca="1" si="549"/>
        <v>8817.3229386374587</v>
      </c>
      <c r="BK640">
        <f t="shared" ca="1" si="550"/>
        <v>1</v>
      </c>
      <c r="BL640" s="25">
        <f t="shared" ca="1" si="551"/>
        <v>734.77691155312152</v>
      </c>
      <c r="BM640" s="32">
        <f t="shared" ca="1" si="530"/>
        <v>46490.733775298613</v>
      </c>
      <c r="BN640" s="23">
        <f t="shared" ca="1" si="552"/>
        <v>0</v>
      </c>
      <c r="BO640" s="24">
        <f t="shared" ca="1" si="553"/>
        <v>0</v>
      </c>
      <c r="BP640" s="25">
        <f t="shared" ca="1" si="554"/>
        <v>0</v>
      </c>
      <c r="BQ640" s="34">
        <f t="shared" ca="1" si="555"/>
        <v>64893</v>
      </c>
      <c r="BR640" s="23">
        <f t="shared" ca="1" si="556"/>
        <v>46490.733775298613</v>
      </c>
      <c r="BS640" s="24">
        <f t="shared" ca="1" si="557"/>
        <v>0</v>
      </c>
      <c r="BT640" s="24">
        <f t="shared" ca="1" si="562"/>
        <v>0</v>
      </c>
      <c r="BU640" s="24">
        <f t="shared" ca="1" si="558"/>
        <v>0</v>
      </c>
      <c r="BV640" s="24">
        <f t="shared" ca="1" si="563"/>
        <v>0</v>
      </c>
      <c r="BW640" s="24">
        <f t="shared" ca="1" si="559"/>
        <v>-734.77691155312152</v>
      </c>
      <c r="BX640" s="25">
        <f t="shared" ca="1" si="564"/>
        <v>-8968.753592223813</v>
      </c>
      <c r="BY640" s="23">
        <f t="shared" ca="1" si="531"/>
        <v>5872.9695997287672</v>
      </c>
      <c r="BZ640" s="24">
        <f t="shared" ca="1" si="532"/>
        <v>0</v>
      </c>
      <c r="CA640" s="24">
        <f t="shared" ca="1" si="565"/>
        <v>0</v>
      </c>
      <c r="CB640" s="24">
        <f t="shared" ca="1" si="533"/>
        <v>0</v>
      </c>
      <c r="CC640" s="24">
        <f t="shared" ca="1" si="566"/>
        <v>0</v>
      </c>
      <c r="CD640" s="24">
        <f t="shared" ca="1" si="534"/>
        <v>-93.125002670064234</v>
      </c>
      <c r="CE640" s="25">
        <f t="shared" ca="1" si="567"/>
        <v>-1157.7047450112325</v>
      </c>
      <c r="CF640" s="23">
        <f t="shared" ca="1" si="568"/>
        <v>2083642.9525245104</v>
      </c>
      <c r="CG640" s="25">
        <f t="array" aca="1" ref="CG640" ca="1">SUM(BF629:BF640/(1+inflation/100)^(AP629:AP640/12))</f>
        <v>267980.53702225385</v>
      </c>
      <c r="CH640" s="32">
        <f ca="1">IFERROR(IF(MOD(AP640-ap_months_since_start,12)=0,ap_drawdown/100*(AQ640+AV640+BA640-BC640),CH639),0)</f>
        <v>7743.8325995591977</v>
      </c>
    </row>
    <row r="641" spans="40:86" x14ac:dyDescent="0.25">
      <c r="AN641" s="32">
        <f t="shared" ca="1" si="529"/>
        <v>107.66666666666667</v>
      </c>
      <c r="AO641" s="53">
        <f t="shared" ca="1" si="560"/>
        <v>64894</v>
      </c>
      <c r="AP641" s="22">
        <v>634</v>
      </c>
      <c r="AQ641" s="32">
        <f t="shared" ca="1" si="561"/>
        <v>46490.733775298613</v>
      </c>
      <c r="AR641" s="23">
        <f t="array" aca="1" ref="AR641" ca="1">SUM(IF(lsc_start_date=AO641,lsc_amount,0))</f>
        <v>0</v>
      </c>
      <c r="AS641" s="24">
        <f t="shared" ca="1" si="535"/>
        <v>0</v>
      </c>
      <c r="AT641" s="24">
        <f t="shared" ca="1" si="536"/>
        <v>0</v>
      </c>
      <c r="AU641" s="24">
        <f t="shared" ca="1" si="537"/>
        <v>0</v>
      </c>
      <c r="AV641" s="25">
        <f t="shared" ca="1" si="538"/>
        <v>0</v>
      </c>
      <c r="AW641" s="23">
        <f t="array" aca="1" ref="AW641" ca="1">SUM(IF(rcs_start_date&lt;=AO641,1,0)*IF(rcs_end_date&gt;=AO641,1,0)*rcs_amount*(1+rcs_escalation/100)^(INT((AP641-rcs_months_since_start)/12))*IF(MOD((AP641-rcs_months_since_start),rcs_frequency)=0,1,0)*IF(rcs_frequency=13,0,1))+SUM(IF(rcs_start_date=AO641,rcs_amount,0)*IF(rcs_frequency=13,1,0))</f>
        <v>0</v>
      </c>
      <c r="AX641" s="24">
        <f t="shared" ca="1" si="539"/>
        <v>0</v>
      </c>
      <c r="AY641" s="24">
        <f t="shared" ca="1" si="540"/>
        <v>0</v>
      </c>
      <c r="AZ641" s="24">
        <f t="shared" ca="1" si="541"/>
        <v>0</v>
      </c>
      <c r="BA641" s="25">
        <f t="shared" ca="1" si="542"/>
        <v>0</v>
      </c>
      <c r="BB641" s="23">
        <f t="array" aca="1" ref="BB641" ca="1">SUM(IF(w_start_date&lt;=AO641,1,0)*IF(w_end_date&gt;=AO641,1,0)*w_amount*(1+w_escalation/100)^(INT((AP641-w_months_since_start)/12))*IF(MOD(AP641-w_months_since_start,w_frequency)=0,1,0)*IF(w_frequency=13,0,1))+SUM(IF(w_start_date=AO641,w_amount,0)*IF(w_frequency=13,1,0))</f>
        <v>0</v>
      </c>
      <c r="BC641" s="25">
        <f t="shared" ca="1" si="543"/>
        <v>0</v>
      </c>
      <c r="BD641" s="24" t="b">
        <f t="shared" ca="1" si="544"/>
        <v>1</v>
      </c>
      <c r="BE641" s="24" t="b">
        <f t="shared" ca="1" si="545"/>
        <v>1</v>
      </c>
      <c r="BF641" s="23">
        <f t="array" aca="1" ref="BF641" ca="1">SUM(IF(BD641,1,0)*IF(ap_start_date&lt;=AO641,1,0)*IF(ap_end_date&gt;=AO641,1,0)*ap_amount*(1+ap_escalation/100)^(INT((AP641-ap_months_since_start)/12))*IF(MOD(AP641-ap_months_since_start,ap_frequency)=0,1,0))</f>
        <v>174757.15085689441</v>
      </c>
      <c r="BG641" s="24">
        <f t="shared" ca="1" si="546"/>
        <v>2097085.8102827331</v>
      </c>
      <c r="BH641" s="24">
        <f t="shared" ca="1" si="547"/>
        <v>1259.6175626624943</v>
      </c>
      <c r="BI641">
        <f t="shared" ca="1" si="548"/>
        <v>0</v>
      </c>
      <c r="BJ641" s="24">
        <f t="shared" ca="1" si="549"/>
        <v>8817.3229386374587</v>
      </c>
      <c r="BK641">
        <f t="shared" ca="1" si="550"/>
        <v>1</v>
      </c>
      <c r="BL641" s="25">
        <f t="shared" ca="1" si="551"/>
        <v>734.77691155312152</v>
      </c>
      <c r="BM641" s="32">
        <f t="shared" ca="1" si="530"/>
        <v>46085.73483850171</v>
      </c>
      <c r="BN641" s="23">
        <f t="shared" ca="1" si="552"/>
        <v>0</v>
      </c>
      <c r="BO641" s="24">
        <f t="shared" ca="1" si="553"/>
        <v>0</v>
      </c>
      <c r="BP641" s="25">
        <f t="shared" ca="1" si="554"/>
        <v>0</v>
      </c>
      <c r="BQ641" s="34">
        <f t="shared" ca="1" si="555"/>
        <v>64923</v>
      </c>
      <c r="BR641" s="23">
        <f t="shared" ca="1" si="556"/>
        <v>46085.73483850171</v>
      </c>
      <c r="BS641" s="24">
        <f t="shared" ca="1" si="557"/>
        <v>0</v>
      </c>
      <c r="BT641" s="24">
        <f t="shared" ca="1" si="562"/>
        <v>0</v>
      </c>
      <c r="BU641" s="24">
        <f t="shared" ca="1" si="558"/>
        <v>0</v>
      </c>
      <c r="BV641" s="24">
        <f t="shared" ca="1" si="563"/>
        <v>0</v>
      </c>
      <c r="BW641" s="24">
        <f t="shared" ca="1" si="559"/>
        <v>-734.77691155312152</v>
      </c>
      <c r="BX641" s="25">
        <f t="shared" ca="1" si="564"/>
        <v>-8893.0382654306377</v>
      </c>
      <c r="BY641" s="23">
        <f t="shared" ca="1" si="531"/>
        <v>5802.8109749821015</v>
      </c>
      <c r="BZ641" s="24">
        <f t="shared" ca="1" si="532"/>
        <v>0</v>
      </c>
      <c r="CA641" s="24">
        <f t="shared" ca="1" si="565"/>
        <v>0</v>
      </c>
      <c r="CB641" s="24">
        <f t="shared" ca="1" si="533"/>
        <v>0</v>
      </c>
      <c r="CC641" s="24">
        <f t="shared" ca="1" si="566"/>
        <v>0</v>
      </c>
      <c r="CD641" s="24">
        <f t="shared" ca="1" si="534"/>
        <v>-92.821130442705254</v>
      </c>
      <c r="CE641" s="25">
        <f t="shared" ca="1" si="567"/>
        <v>-1144.0445247483237</v>
      </c>
      <c r="CF641" s="23">
        <f t="shared" ca="1" si="568"/>
        <v>2090364.3814036218</v>
      </c>
      <c r="CG641" s="25">
        <f t="array" aca="1" ref="CG641" ca="1">SUM(BF630:BF641/(1+inflation/100)^(AP630:AP641/12))</f>
        <v>267980.53702225385</v>
      </c>
      <c r="CH641" s="32">
        <f ca="1">IFERROR(IF(MOD(AP641-ap_months_since_start,12)=0,ap_drawdown/100*(AQ641+AV641+BA641-BC641),CH640),0)</f>
        <v>7743.8325995591977</v>
      </c>
    </row>
    <row r="642" spans="40:86" x14ac:dyDescent="0.25">
      <c r="AN642" s="32">
        <f t="shared" ca="1" si="529"/>
        <v>107.75</v>
      </c>
      <c r="AO642" s="53">
        <f t="shared" ca="1" si="560"/>
        <v>64924</v>
      </c>
      <c r="AP642" s="22">
        <v>635</v>
      </c>
      <c r="AQ642" s="32">
        <f t="shared" ca="1" si="561"/>
        <v>46085.73483850171</v>
      </c>
      <c r="AR642" s="23">
        <f t="array" aca="1" ref="AR642" ca="1">SUM(IF(lsc_start_date=AO642,lsc_amount,0))</f>
        <v>0</v>
      </c>
      <c r="AS642" s="24">
        <f t="shared" ca="1" si="535"/>
        <v>0</v>
      </c>
      <c r="AT642" s="24">
        <f t="shared" ca="1" si="536"/>
        <v>0</v>
      </c>
      <c r="AU642" s="24">
        <f t="shared" ca="1" si="537"/>
        <v>0</v>
      </c>
      <c r="AV642" s="25">
        <f t="shared" ca="1" si="538"/>
        <v>0</v>
      </c>
      <c r="AW642" s="23">
        <f t="array" aca="1" ref="AW642" ca="1">SUM(IF(rcs_start_date&lt;=AO642,1,0)*IF(rcs_end_date&gt;=AO642,1,0)*rcs_amount*(1+rcs_escalation/100)^(INT((AP642-rcs_months_since_start)/12))*IF(MOD((AP642-rcs_months_since_start),rcs_frequency)=0,1,0)*IF(rcs_frequency=13,0,1))+SUM(IF(rcs_start_date=AO642,rcs_amount,0)*IF(rcs_frequency=13,1,0))</f>
        <v>0</v>
      </c>
      <c r="AX642" s="24">
        <f t="shared" ca="1" si="539"/>
        <v>0</v>
      </c>
      <c r="AY642" s="24">
        <f t="shared" ca="1" si="540"/>
        <v>0</v>
      </c>
      <c r="AZ642" s="24">
        <f t="shared" ca="1" si="541"/>
        <v>0</v>
      </c>
      <c r="BA642" s="25">
        <f t="shared" ca="1" si="542"/>
        <v>0</v>
      </c>
      <c r="BB642" s="23">
        <f t="array" aca="1" ref="BB642" ca="1">SUM(IF(w_start_date&lt;=AO642,1,0)*IF(w_end_date&gt;=AO642,1,0)*w_amount*(1+w_escalation/100)^(INT((AP642-w_months_since_start)/12))*IF(MOD(AP642-w_months_since_start,w_frequency)=0,1,0)*IF(w_frequency=13,0,1))+SUM(IF(w_start_date=AO642,w_amount,0)*IF(w_frequency=13,1,0))</f>
        <v>0</v>
      </c>
      <c r="BC642" s="25">
        <f t="shared" ca="1" si="543"/>
        <v>0</v>
      </c>
      <c r="BD642" s="24" t="b">
        <f t="shared" ca="1" si="544"/>
        <v>1</v>
      </c>
      <c r="BE642" s="24" t="b">
        <f t="shared" ca="1" si="545"/>
        <v>1</v>
      </c>
      <c r="BF642" s="23">
        <f t="array" aca="1" ref="BF642" ca="1">SUM(IF(BD642,1,0)*IF(ap_start_date&lt;=AO642,1,0)*IF(ap_end_date&gt;=AO642,1,0)*ap_amount*(1+ap_escalation/100)^(INT((AP642-ap_months_since_start)/12))*IF(MOD(AP642-ap_months_since_start,ap_frequency)=0,1,0))</f>
        <v>174757.15085689441</v>
      </c>
      <c r="BG642" s="24">
        <f t="shared" ca="1" si="546"/>
        <v>2097085.8102827331</v>
      </c>
      <c r="BH642" s="24">
        <f t="shared" ca="1" si="547"/>
        <v>1259.6175626624943</v>
      </c>
      <c r="BI642">
        <f t="shared" ca="1" si="548"/>
        <v>0</v>
      </c>
      <c r="BJ642" s="24">
        <f t="shared" ca="1" si="549"/>
        <v>8817.3229386374587</v>
      </c>
      <c r="BK642">
        <f t="shared" ca="1" si="550"/>
        <v>1</v>
      </c>
      <c r="BL642" s="25">
        <f t="shared" ca="1" si="551"/>
        <v>734.77691155312152</v>
      </c>
      <c r="BM642" s="32">
        <f t="shared" ca="1" si="530"/>
        <v>45677.816943424623</v>
      </c>
      <c r="BN642" s="23">
        <f t="shared" ca="1" si="552"/>
        <v>0</v>
      </c>
      <c r="BO642" s="24">
        <f t="shared" ca="1" si="553"/>
        <v>0</v>
      </c>
      <c r="BP642" s="25">
        <f t="shared" ca="1" si="554"/>
        <v>0</v>
      </c>
      <c r="BQ642" s="34">
        <f t="shared" ca="1" si="555"/>
        <v>64954</v>
      </c>
      <c r="BR642" s="23">
        <f t="shared" ca="1" si="556"/>
        <v>45677.816943424623</v>
      </c>
      <c r="BS642" s="24">
        <f t="shared" ca="1" si="557"/>
        <v>0</v>
      </c>
      <c r="BT642" s="24">
        <f t="shared" ca="1" si="562"/>
        <v>0</v>
      </c>
      <c r="BU642" s="24">
        <f t="shared" ca="1" si="558"/>
        <v>0</v>
      </c>
      <c r="BV642" s="24">
        <f t="shared" ca="1" si="563"/>
        <v>0</v>
      </c>
      <c r="BW642" s="24">
        <f t="shared" ca="1" si="559"/>
        <v>-734.77691155312152</v>
      </c>
      <c r="BX642" s="25">
        <f t="shared" ca="1" si="564"/>
        <v>-8817.3229386374605</v>
      </c>
      <c r="BY642" s="23">
        <f t="shared" ca="1" si="531"/>
        <v>5732.6813441396653</v>
      </c>
      <c r="BZ642" s="24">
        <f t="shared" ca="1" si="532"/>
        <v>0</v>
      </c>
      <c r="CA642" s="24">
        <f t="shared" ca="1" si="565"/>
        <v>0</v>
      </c>
      <c r="CB642" s="24">
        <f t="shared" ca="1" si="533"/>
        <v>0</v>
      </c>
      <c r="CC642" s="24">
        <f t="shared" ca="1" si="566"/>
        <v>0</v>
      </c>
      <c r="CD642" s="24">
        <f t="shared" ca="1" si="534"/>
        <v>-92.518249767860823</v>
      </c>
      <c r="CE642" s="25">
        <f t="shared" ca="1" si="567"/>
        <v>-1130.4288785679762</v>
      </c>
      <c r="CF642" s="23">
        <f t="shared" ca="1" si="568"/>
        <v>2097085.8102827331</v>
      </c>
      <c r="CG642" s="25">
        <f t="array" aca="1" ref="CG642" ca="1">SUM(BF631:BF642/(1+inflation/100)^(AP631:AP642/12))</f>
        <v>267980.53702225385</v>
      </c>
      <c r="CH642" s="32">
        <f ca="1">IFERROR(IF(MOD(AP642-ap_months_since_start,12)=0,ap_drawdown/100*(AQ642+AV642+BA642-BC642),CH641),0)</f>
        <v>7743.8325995591977</v>
      </c>
    </row>
    <row r="643" spans="40:86" x14ac:dyDescent="0.25">
      <c r="AN643" s="32">
        <f t="shared" ca="1" si="529"/>
        <v>107.83333333333333</v>
      </c>
      <c r="AO643" s="53">
        <f t="shared" ca="1" si="560"/>
        <v>64955</v>
      </c>
      <c r="AP643" s="22">
        <v>636</v>
      </c>
      <c r="AQ643" s="32">
        <f t="shared" ca="1" si="561"/>
        <v>45677.816943424623</v>
      </c>
      <c r="AR643" s="23">
        <f t="array" aca="1" ref="AR643" ca="1">SUM(IF(lsc_start_date=AO643,lsc_amount,0))</f>
        <v>0</v>
      </c>
      <c r="AS643" s="24">
        <f t="shared" ca="1" si="535"/>
        <v>0</v>
      </c>
      <c r="AT643" s="24">
        <f t="shared" ca="1" si="536"/>
        <v>0</v>
      </c>
      <c r="AU643" s="24">
        <f t="shared" ca="1" si="537"/>
        <v>0</v>
      </c>
      <c r="AV643" s="25">
        <f t="shared" ca="1" si="538"/>
        <v>0</v>
      </c>
      <c r="AW643" s="23">
        <f t="array" aca="1" ref="AW643" ca="1">SUM(IF(rcs_start_date&lt;=AO643,1,0)*IF(rcs_end_date&gt;=AO643,1,0)*rcs_amount*(1+rcs_escalation/100)^(INT((AP643-rcs_months_since_start)/12))*IF(MOD((AP643-rcs_months_since_start),rcs_frequency)=0,1,0)*IF(rcs_frequency=13,0,1))+SUM(IF(rcs_start_date=AO643,rcs_amount,0)*IF(rcs_frequency=13,1,0))</f>
        <v>0</v>
      </c>
      <c r="AX643" s="24">
        <f t="shared" ca="1" si="539"/>
        <v>0</v>
      </c>
      <c r="AY643" s="24">
        <f t="shared" ca="1" si="540"/>
        <v>0</v>
      </c>
      <c r="AZ643" s="24">
        <f t="shared" ca="1" si="541"/>
        <v>0</v>
      </c>
      <c r="BA643" s="25">
        <f t="shared" ca="1" si="542"/>
        <v>0</v>
      </c>
      <c r="BB643" s="23">
        <f t="array" aca="1" ref="BB643" ca="1">SUM(IF(w_start_date&lt;=AO643,1,0)*IF(w_end_date&gt;=AO643,1,0)*w_amount*(1+w_escalation/100)^(INT((AP643-w_months_since_start)/12))*IF(MOD(AP643-w_months_since_start,w_frequency)=0,1,0)*IF(w_frequency=13,0,1))+SUM(IF(w_start_date=AO643,w_amount,0)*IF(w_frequency=13,1,0))</f>
        <v>0</v>
      </c>
      <c r="BC643" s="25">
        <f t="shared" ca="1" si="543"/>
        <v>0</v>
      </c>
      <c r="BD643" s="24" t="b">
        <f t="shared" ca="1" si="544"/>
        <v>1</v>
      </c>
      <c r="BE643" s="24" t="b">
        <f t="shared" ca="1" si="545"/>
        <v>1</v>
      </c>
      <c r="BF643" s="23">
        <f t="array" aca="1" ref="BF643" ca="1">SUM(IF(BD643,1,0)*IF(ap_start_date&lt;=AO643,1,0)*IF(ap_end_date&gt;=AO643,1,0)*ap_amount*(1+ap_escalation/100)^(INT((AP643-ap_months_since_start)/12))*IF(MOD(AP643-ap_months_since_start,ap_frequency)=0,1,0))</f>
        <v>181747.43689117016</v>
      </c>
      <c r="BG643" s="24">
        <f t="shared" ca="1" si="546"/>
        <v>2180969.2426940422</v>
      </c>
      <c r="BH643" s="24">
        <f t="shared" ca="1" si="547"/>
        <v>1141.9454235856156</v>
      </c>
      <c r="BI643">
        <f t="shared" ca="1" si="548"/>
        <v>0</v>
      </c>
      <c r="BJ643" s="24">
        <f t="shared" ca="1" si="549"/>
        <v>7993.6179650993081</v>
      </c>
      <c r="BK643">
        <f t="shared" ca="1" si="550"/>
        <v>1</v>
      </c>
      <c r="BL643" s="25">
        <f t="shared" ca="1" si="551"/>
        <v>666.13483042494227</v>
      </c>
      <c r="BM643" s="32">
        <f t="shared" ca="1" si="530"/>
        <v>45336.095858991241</v>
      </c>
      <c r="BN643" s="23">
        <f t="shared" ca="1" si="552"/>
        <v>0</v>
      </c>
      <c r="BO643" s="24">
        <f t="shared" ca="1" si="553"/>
        <v>0</v>
      </c>
      <c r="BP643" s="25">
        <f t="shared" ca="1" si="554"/>
        <v>0</v>
      </c>
      <c r="BQ643" s="34">
        <f t="shared" ca="1" si="555"/>
        <v>64984</v>
      </c>
      <c r="BR643" s="23">
        <f t="shared" ca="1" si="556"/>
        <v>45336.095858991241</v>
      </c>
      <c r="BS643" s="24">
        <f t="shared" ca="1" si="557"/>
        <v>0</v>
      </c>
      <c r="BT643" s="24">
        <f t="shared" ca="1" si="562"/>
        <v>0</v>
      </c>
      <c r="BU643" s="24">
        <f t="shared" ca="1" si="558"/>
        <v>0</v>
      </c>
      <c r="BV643" s="24">
        <f t="shared" ca="1" si="563"/>
        <v>0</v>
      </c>
      <c r="BW643" s="24">
        <f t="shared" ca="1" si="559"/>
        <v>-666.13483042494227</v>
      </c>
      <c r="BX643" s="25">
        <f t="shared" ca="1" si="564"/>
        <v>-8748.68085750928</v>
      </c>
      <c r="BY643" s="23">
        <f t="shared" ca="1" si="531"/>
        <v>5671.2283594435412</v>
      </c>
      <c r="BZ643" s="24">
        <f t="shared" ca="1" si="532"/>
        <v>0</v>
      </c>
      <c r="CA643" s="24">
        <f t="shared" ca="1" si="565"/>
        <v>0</v>
      </c>
      <c r="CB643" s="24">
        <f t="shared" ca="1" si="533"/>
        <v>0</v>
      </c>
      <c r="CC643" s="24">
        <f t="shared" ca="1" si="566"/>
        <v>0</v>
      </c>
      <c r="CD643" s="24">
        <f t="shared" ca="1" si="534"/>
        <v>-83.601602935370096</v>
      </c>
      <c r="CE643" s="25">
        <f t="shared" ca="1" si="567"/>
        <v>-1118.1254697969064</v>
      </c>
      <c r="CF643" s="23">
        <f t="shared" ca="1" si="568"/>
        <v>2104076.0963170086</v>
      </c>
      <c r="CG643" s="25">
        <f t="array" aca="1" ref="CG643" ca="1">SUM(BF632:BF643/(1+inflation/100)^(AP632:AP643/12))</f>
        <v>267980.53702225385</v>
      </c>
      <c r="CH643" s="32">
        <f ca="1">IFERROR(IF(MOD(AP643-ap_months_since_start,12)=0,ap_drawdown/100*(AQ643+AV643+BA643-BC643),CH642),0)</f>
        <v>7020.4119569339136</v>
      </c>
    </row>
    <row r="644" spans="40:86" x14ac:dyDescent="0.25">
      <c r="AN644" s="32">
        <f t="shared" ca="1" si="529"/>
        <v>107.91666666666667</v>
      </c>
      <c r="AO644" s="53">
        <f t="shared" ca="1" si="560"/>
        <v>64985</v>
      </c>
      <c r="AP644" s="22">
        <v>637</v>
      </c>
      <c r="AQ644" s="32">
        <f t="shared" ca="1" si="561"/>
        <v>45336.095858991241</v>
      </c>
      <c r="AR644" s="23">
        <f t="array" aca="1" ref="AR644" ca="1">SUM(IF(lsc_start_date=AO644,lsc_amount,0))</f>
        <v>0</v>
      </c>
      <c r="AS644" s="24">
        <f t="shared" ca="1" si="535"/>
        <v>0</v>
      </c>
      <c r="AT644" s="24">
        <f t="shared" ca="1" si="536"/>
        <v>0</v>
      </c>
      <c r="AU644" s="24">
        <f t="shared" ca="1" si="537"/>
        <v>0</v>
      </c>
      <c r="AV644" s="25">
        <f t="shared" ca="1" si="538"/>
        <v>0</v>
      </c>
      <c r="AW644" s="23">
        <f t="array" aca="1" ref="AW644" ca="1">SUM(IF(rcs_start_date&lt;=AO644,1,0)*IF(rcs_end_date&gt;=AO644,1,0)*rcs_amount*(1+rcs_escalation/100)^(INT((AP644-rcs_months_since_start)/12))*IF(MOD((AP644-rcs_months_since_start),rcs_frequency)=0,1,0)*IF(rcs_frequency=13,0,1))+SUM(IF(rcs_start_date=AO644,rcs_amount,0)*IF(rcs_frequency=13,1,0))</f>
        <v>0</v>
      </c>
      <c r="AX644" s="24">
        <f t="shared" ca="1" si="539"/>
        <v>0</v>
      </c>
      <c r="AY644" s="24">
        <f t="shared" ca="1" si="540"/>
        <v>0</v>
      </c>
      <c r="AZ644" s="24">
        <f t="shared" ca="1" si="541"/>
        <v>0</v>
      </c>
      <c r="BA644" s="25">
        <f t="shared" ca="1" si="542"/>
        <v>0</v>
      </c>
      <c r="BB644" s="23">
        <f t="array" aca="1" ref="BB644" ca="1">SUM(IF(w_start_date&lt;=AO644,1,0)*IF(w_end_date&gt;=AO644,1,0)*w_amount*(1+w_escalation/100)^(INT((AP644-w_months_since_start)/12))*IF(MOD(AP644-w_months_since_start,w_frequency)=0,1,0)*IF(w_frequency=13,0,1))+SUM(IF(w_start_date=AO644,w_amount,0)*IF(w_frequency=13,1,0))</f>
        <v>0</v>
      </c>
      <c r="BC644" s="25">
        <f t="shared" ca="1" si="543"/>
        <v>0</v>
      </c>
      <c r="BD644" s="24" t="b">
        <f t="shared" ca="1" si="544"/>
        <v>1</v>
      </c>
      <c r="BE644" s="24" t="b">
        <f t="shared" ca="1" si="545"/>
        <v>1</v>
      </c>
      <c r="BF644" s="23">
        <f t="array" aca="1" ref="BF644" ca="1">SUM(IF(BD644,1,0)*IF(ap_start_date&lt;=AO644,1,0)*IF(ap_end_date&gt;=AO644,1,0)*ap_amount*(1+ap_escalation/100)^(INT((AP644-ap_months_since_start)/12))*IF(MOD(AP644-ap_months_since_start,ap_frequency)=0,1,0))</f>
        <v>181747.43689117016</v>
      </c>
      <c r="BG644" s="24">
        <f t="shared" ca="1" si="546"/>
        <v>2180969.2426940422</v>
      </c>
      <c r="BH644" s="24">
        <f t="shared" ca="1" si="547"/>
        <v>1141.9454235856156</v>
      </c>
      <c r="BI644">
        <f t="shared" ca="1" si="548"/>
        <v>0</v>
      </c>
      <c r="BJ644" s="24">
        <f t="shared" ca="1" si="549"/>
        <v>7993.6179650993081</v>
      </c>
      <c r="BK644">
        <f t="shared" ca="1" si="550"/>
        <v>1</v>
      </c>
      <c r="BL644" s="25">
        <f t="shared" ca="1" si="551"/>
        <v>666.13483042494227</v>
      </c>
      <c r="BM644" s="32">
        <f t="shared" ca="1" si="530"/>
        <v>44991.911880218402</v>
      </c>
      <c r="BN644" s="23">
        <f t="shared" ca="1" si="552"/>
        <v>0</v>
      </c>
      <c r="BO644" s="24">
        <f t="shared" ca="1" si="553"/>
        <v>0</v>
      </c>
      <c r="BP644" s="25">
        <f t="shared" ca="1" si="554"/>
        <v>0</v>
      </c>
      <c r="BQ644" s="34">
        <f t="shared" ca="1" si="555"/>
        <v>65015</v>
      </c>
      <c r="BR644" s="23">
        <f t="shared" ca="1" si="556"/>
        <v>44991.911880218402</v>
      </c>
      <c r="BS644" s="24">
        <f t="shared" ca="1" si="557"/>
        <v>0</v>
      </c>
      <c r="BT644" s="24">
        <f t="shared" ca="1" si="562"/>
        <v>0</v>
      </c>
      <c r="BU644" s="24">
        <f t="shared" ca="1" si="558"/>
        <v>0</v>
      </c>
      <c r="BV644" s="24">
        <f t="shared" ca="1" si="563"/>
        <v>0</v>
      </c>
      <c r="BW644" s="24">
        <f t="shared" ca="1" si="559"/>
        <v>-666.13483042494227</v>
      </c>
      <c r="BX644" s="25">
        <f t="shared" ca="1" si="564"/>
        <v>-8680.0387763811013</v>
      </c>
      <c r="BY644" s="23">
        <f t="shared" ca="1" si="531"/>
        <v>5609.8082994742217</v>
      </c>
      <c r="BZ644" s="24">
        <f t="shared" ca="1" si="532"/>
        <v>0</v>
      </c>
      <c r="CA644" s="24">
        <f t="shared" ca="1" si="565"/>
        <v>0</v>
      </c>
      <c r="CB644" s="24">
        <f t="shared" ca="1" si="533"/>
        <v>0</v>
      </c>
      <c r="CC644" s="24">
        <f t="shared" ca="1" si="566"/>
        <v>0</v>
      </c>
      <c r="CD644" s="24">
        <f t="shared" ca="1" si="534"/>
        <v>-83.328806107811715</v>
      </c>
      <c r="CE644" s="25">
        <f t="shared" ca="1" si="567"/>
        <v>-1105.8622077546443</v>
      </c>
      <c r="CF644" s="23">
        <f t="shared" ca="1" si="568"/>
        <v>2111066.3823512844</v>
      </c>
      <c r="CG644" s="25">
        <f t="array" aca="1" ref="CG644" ca="1">SUM(BF633:BF644/(1+inflation/100)^(AP633:AP644/12))</f>
        <v>267980.53702225385</v>
      </c>
      <c r="CH644" s="32">
        <f ca="1">IFERROR(IF(MOD(AP644-ap_months_since_start,12)=0,ap_drawdown/100*(AQ644+AV644+BA644-BC644),CH643),0)</f>
        <v>7020.4119569339136</v>
      </c>
    </row>
    <row r="645" spans="40:86" x14ac:dyDescent="0.25">
      <c r="AN645" s="32">
        <f t="shared" ca="1" si="529"/>
        <v>108</v>
      </c>
      <c r="AO645" s="53">
        <f t="shared" ca="1" si="560"/>
        <v>65016</v>
      </c>
      <c r="AP645" s="22">
        <v>638</v>
      </c>
      <c r="AQ645" s="32">
        <f t="shared" ca="1" si="561"/>
        <v>44991.911880218402</v>
      </c>
      <c r="AR645" s="23">
        <f t="array" aca="1" ref="AR645" ca="1">SUM(IF(lsc_start_date=AO645,lsc_amount,0))</f>
        <v>0</v>
      </c>
      <c r="AS645" s="24">
        <f t="shared" ca="1" si="535"/>
        <v>0</v>
      </c>
      <c r="AT645" s="24">
        <f t="shared" ca="1" si="536"/>
        <v>0</v>
      </c>
      <c r="AU645" s="24">
        <f t="shared" ca="1" si="537"/>
        <v>0</v>
      </c>
      <c r="AV645" s="25">
        <f t="shared" ca="1" si="538"/>
        <v>0</v>
      </c>
      <c r="AW645" s="23">
        <f t="array" aca="1" ref="AW645" ca="1">SUM(IF(rcs_start_date&lt;=AO645,1,0)*IF(rcs_end_date&gt;=AO645,1,0)*rcs_amount*(1+rcs_escalation/100)^(INT((AP645-rcs_months_since_start)/12))*IF(MOD((AP645-rcs_months_since_start),rcs_frequency)=0,1,0)*IF(rcs_frequency=13,0,1))+SUM(IF(rcs_start_date=AO645,rcs_amount,0)*IF(rcs_frequency=13,1,0))</f>
        <v>0</v>
      </c>
      <c r="AX645" s="24">
        <f t="shared" ca="1" si="539"/>
        <v>0</v>
      </c>
      <c r="AY645" s="24">
        <f t="shared" ca="1" si="540"/>
        <v>0</v>
      </c>
      <c r="AZ645" s="24">
        <f t="shared" ca="1" si="541"/>
        <v>0</v>
      </c>
      <c r="BA645" s="25">
        <f t="shared" ca="1" si="542"/>
        <v>0</v>
      </c>
      <c r="BB645" s="23">
        <f t="array" aca="1" ref="BB645" ca="1">SUM(IF(w_start_date&lt;=AO645,1,0)*IF(w_end_date&gt;=AO645,1,0)*w_amount*(1+w_escalation/100)^(INT((AP645-w_months_since_start)/12))*IF(MOD(AP645-w_months_since_start,w_frequency)=0,1,0)*IF(w_frequency=13,0,1))+SUM(IF(w_start_date=AO645,w_amount,0)*IF(w_frequency=13,1,0))</f>
        <v>0</v>
      </c>
      <c r="BC645" s="25">
        <f t="shared" ca="1" si="543"/>
        <v>0</v>
      </c>
      <c r="BD645" s="24" t="b">
        <f t="shared" ca="1" si="544"/>
        <v>1</v>
      </c>
      <c r="BE645" s="24" t="b">
        <f t="shared" ca="1" si="545"/>
        <v>1</v>
      </c>
      <c r="BF645" s="23">
        <f t="array" aca="1" ref="BF645" ca="1">SUM(IF(BD645,1,0)*IF(ap_start_date&lt;=AO645,1,0)*IF(ap_end_date&gt;=AO645,1,0)*ap_amount*(1+ap_escalation/100)^(INT((AP645-ap_months_since_start)/12))*IF(MOD(AP645-ap_months_since_start,ap_frequency)=0,1,0))</f>
        <v>181747.43689117016</v>
      </c>
      <c r="BG645" s="24">
        <f t="shared" ca="1" si="546"/>
        <v>2180969.2426940422</v>
      </c>
      <c r="BH645" s="24">
        <f t="shared" ca="1" si="547"/>
        <v>1141.9454235856156</v>
      </c>
      <c r="BI645">
        <f t="shared" ca="1" si="548"/>
        <v>0</v>
      </c>
      <c r="BJ645" s="24">
        <f t="shared" ca="1" si="549"/>
        <v>7993.6179650993081</v>
      </c>
      <c r="BK645">
        <f t="shared" ca="1" si="550"/>
        <v>1</v>
      </c>
      <c r="BL645" s="25">
        <f t="shared" ca="1" si="551"/>
        <v>666.13483042494227</v>
      </c>
      <c r="BM645" s="32">
        <f t="shared" ca="1" si="530"/>
        <v>44645.247256230316</v>
      </c>
      <c r="BN645" s="23">
        <f t="shared" ca="1" si="552"/>
        <v>0</v>
      </c>
      <c r="BO645" s="24">
        <f t="shared" ca="1" si="553"/>
        <v>0</v>
      </c>
      <c r="BP645" s="25">
        <f t="shared" ca="1" si="554"/>
        <v>0</v>
      </c>
      <c r="BQ645" s="34">
        <f t="shared" ca="1" si="555"/>
        <v>65046</v>
      </c>
      <c r="BR645" s="23">
        <f t="shared" ca="1" si="556"/>
        <v>44645.247256230316</v>
      </c>
      <c r="BS645" s="24">
        <f t="shared" ca="1" si="557"/>
        <v>0</v>
      </c>
      <c r="BT645" s="24">
        <f t="shared" ca="1" si="562"/>
        <v>0</v>
      </c>
      <c r="BU645" s="24">
        <f t="shared" ca="1" si="558"/>
        <v>0</v>
      </c>
      <c r="BV645" s="24">
        <f t="shared" ca="1" si="563"/>
        <v>0</v>
      </c>
      <c r="BW645" s="24">
        <f t="shared" ca="1" si="559"/>
        <v>-666.13483042494227</v>
      </c>
      <c r="BX645" s="25">
        <f t="shared" ca="1" si="564"/>
        <v>-8611.3966952529227</v>
      </c>
      <c r="BY645" s="23">
        <f t="shared" ca="1" si="531"/>
        <v>5548.4203996794895</v>
      </c>
      <c r="BZ645" s="24">
        <f t="shared" ca="1" si="532"/>
        <v>0</v>
      </c>
      <c r="CA645" s="24">
        <f t="shared" ca="1" si="565"/>
        <v>0</v>
      </c>
      <c r="CB645" s="24">
        <f t="shared" ca="1" si="533"/>
        <v>0</v>
      </c>
      <c r="CC645" s="24">
        <f t="shared" ca="1" si="566"/>
        <v>0</v>
      </c>
      <c r="CD645" s="24">
        <f t="shared" ca="1" si="534"/>
        <v>-83.056899431955287</v>
      </c>
      <c r="CE645" s="25">
        <f t="shared" ca="1" si="567"/>
        <v>-1093.6389614401096</v>
      </c>
      <c r="CF645" s="23">
        <f t="shared" ca="1" si="568"/>
        <v>2118056.6683855602</v>
      </c>
      <c r="CG645" s="25">
        <f t="array" aca="1" ref="CG645" ca="1">SUM(BF634:BF645/(1+inflation/100)^(AP634:AP645/12))</f>
        <v>267980.53702225385</v>
      </c>
      <c r="CH645" s="32">
        <f ca="1">IFERROR(IF(MOD(AP645-ap_months_since_start,12)=0,ap_drawdown/100*(AQ645+AV645+BA645-BC645),CH644),0)</f>
        <v>7020.4119569339136</v>
      </c>
    </row>
    <row r="646" spans="40:86" x14ac:dyDescent="0.25">
      <c r="AN646" s="32">
        <f t="shared" ca="1" si="529"/>
        <v>108.08333333333333</v>
      </c>
      <c r="AO646" s="53">
        <f t="shared" ca="1" si="560"/>
        <v>65047</v>
      </c>
      <c r="AP646" s="22">
        <v>639</v>
      </c>
      <c r="AQ646" s="32">
        <f t="shared" ca="1" si="561"/>
        <v>44645.247256230316</v>
      </c>
      <c r="AR646" s="23">
        <f t="array" aca="1" ref="AR646" ca="1">SUM(IF(lsc_start_date=AO646,lsc_amount,0))</f>
        <v>0</v>
      </c>
      <c r="AS646" s="24">
        <f t="shared" ca="1" si="535"/>
        <v>0</v>
      </c>
      <c r="AT646" s="24">
        <f t="shared" ca="1" si="536"/>
        <v>0</v>
      </c>
      <c r="AU646" s="24">
        <f t="shared" ca="1" si="537"/>
        <v>0</v>
      </c>
      <c r="AV646" s="25">
        <f t="shared" ca="1" si="538"/>
        <v>0</v>
      </c>
      <c r="AW646" s="23">
        <f t="array" aca="1" ref="AW646" ca="1">SUM(IF(rcs_start_date&lt;=AO646,1,0)*IF(rcs_end_date&gt;=AO646,1,0)*rcs_amount*(1+rcs_escalation/100)^(INT((AP646-rcs_months_since_start)/12))*IF(MOD((AP646-rcs_months_since_start),rcs_frequency)=0,1,0)*IF(rcs_frequency=13,0,1))+SUM(IF(rcs_start_date=AO646,rcs_amount,0)*IF(rcs_frequency=13,1,0))</f>
        <v>0</v>
      </c>
      <c r="AX646" s="24">
        <f t="shared" ca="1" si="539"/>
        <v>0</v>
      </c>
      <c r="AY646" s="24">
        <f t="shared" ca="1" si="540"/>
        <v>0</v>
      </c>
      <c r="AZ646" s="24">
        <f t="shared" ca="1" si="541"/>
        <v>0</v>
      </c>
      <c r="BA646" s="25">
        <f t="shared" ca="1" si="542"/>
        <v>0</v>
      </c>
      <c r="BB646" s="23">
        <f t="array" aca="1" ref="BB646" ca="1">SUM(IF(w_start_date&lt;=AO646,1,0)*IF(w_end_date&gt;=AO646,1,0)*w_amount*(1+w_escalation/100)^(INT((AP646-w_months_since_start)/12))*IF(MOD(AP646-w_months_since_start,w_frequency)=0,1,0)*IF(w_frequency=13,0,1))+SUM(IF(w_start_date=AO646,w_amount,0)*IF(w_frequency=13,1,0))</f>
        <v>0</v>
      </c>
      <c r="BC646" s="25">
        <f t="shared" ca="1" si="543"/>
        <v>0</v>
      </c>
      <c r="BD646" s="24" t="b">
        <f t="shared" ca="1" si="544"/>
        <v>1</v>
      </c>
      <c r="BE646" s="24" t="b">
        <f t="shared" ca="1" si="545"/>
        <v>1</v>
      </c>
      <c r="BF646" s="23">
        <f t="array" aca="1" ref="BF646" ca="1">SUM(IF(BD646,1,0)*IF(ap_start_date&lt;=AO646,1,0)*IF(ap_end_date&gt;=AO646,1,0)*ap_amount*(1+ap_escalation/100)^(INT((AP646-ap_months_since_start)/12))*IF(MOD(AP646-ap_months_since_start,ap_frequency)=0,1,0))</f>
        <v>181747.43689117016</v>
      </c>
      <c r="BG646" s="24">
        <f t="shared" ca="1" si="546"/>
        <v>2180969.2426940422</v>
      </c>
      <c r="BH646" s="24">
        <f t="shared" ca="1" si="547"/>
        <v>1141.9454235856156</v>
      </c>
      <c r="BI646">
        <f t="shared" ca="1" si="548"/>
        <v>0</v>
      </c>
      <c r="BJ646" s="24">
        <f t="shared" ca="1" si="549"/>
        <v>7993.6179650993081</v>
      </c>
      <c r="BK646">
        <f t="shared" ca="1" si="550"/>
        <v>1</v>
      </c>
      <c r="BL646" s="25">
        <f t="shared" ca="1" si="551"/>
        <v>666.13483042494227</v>
      </c>
      <c r="BM646" s="32">
        <f t="shared" ca="1" si="530"/>
        <v>44296.084108214884</v>
      </c>
      <c r="BN646" s="23">
        <f t="shared" ca="1" si="552"/>
        <v>0</v>
      </c>
      <c r="BO646" s="24">
        <f t="shared" ca="1" si="553"/>
        <v>0</v>
      </c>
      <c r="BP646" s="25">
        <f t="shared" ca="1" si="554"/>
        <v>0</v>
      </c>
      <c r="BQ646" s="34">
        <f t="shared" ca="1" si="555"/>
        <v>65074</v>
      </c>
      <c r="BR646" s="23">
        <f t="shared" ca="1" si="556"/>
        <v>44296.084108214884</v>
      </c>
      <c r="BS646" s="24">
        <f t="shared" ca="1" si="557"/>
        <v>0</v>
      </c>
      <c r="BT646" s="24">
        <f t="shared" ca="1" si="562"/>
        <v>0</v>
      </c>
      <c r="BU646" s="24">
        <f t="shared" ca="1" si="558"/>
        <v>0</v>
      </c>
      <c r="BV646" s="24">
        <f t="shared" ca="1" si="563"/>
        <v>0</v>
      </c>
      <c r="BW646" s="24">
        <f t="shared" ca="1" si="559"/>
        <v>-666.13483042494227</v>
      </c>
      <c r="BX646" s="25">
        <f t="shared" ca="1" si="564"/>
        <v>-8542.7546141247421</v>
      </c>
      <c r="BY646" s="23">
        <f t="shared" ca="1" si="531"/>
        <v>5487.0638954255292</v>
      </c>
      <c r="BZ646" s="24">
        <f t="shared" ca="1" si="532"/>
        <v>0</v>
      </c>
      <c r="CA646" s="24">
        <f t="shared" ca="1" si="565"/>
        <v>0</v>
      </c>
      <c r="CB646" s="24">
        <f t="shared" ca="1" si="533"/>
        <v>0</v>
      </c>
      <c r="CC646" s="24">
        <f t="shared" ca="1" si="566"/>
        <v>0</v>
      </c>
      <c r="CD646" s="24">
        <f t="shared" ca="1" si="534"/>
        <v>-82.785880003184545</v>
      </c>
      <c r="CE646" s="25">
        <f t="shared" ca="1" si="567"/>
        <v>-1081.4556002796865</v>
      </c>
      <c r="CF646" s="23">
        <f t="shared" ca="1" si="568"/>
        <v>2125046.9544198359</v>
      </c>
      <c r="CG646" s="25">
        <f t="array" aca="1" ref="CG646" ca="1">SUM(BF635:BF646/(1+inflation/100)^(AP635:AP646/12))</f>
        <v>267980.53702225379</v>
      </c>
      <c r="CH646" s="32">
        <f ca="1">IFERROR(IF(MOD(AP646-ap_months_since_start,12)=0,ap_drawdown/100*(AQ646+AV646+BA646-BC646),CH645),0)</f>
        <v>7020.4119569339136</v>
      </c>
    </row>
    <row r="647" spans="40:86" x14ac:dyDescent="0.25">
      <c r="AN647" s="32">
        <f t="shared" ca="1" si="529"/>
        <v>108.16666666666667</v>
      </c>
      <c r="AO647" s="53">
        <f t="shared" ca="1" si="560"/>
        <v>65075</v>
      </c>
      <c r="AP647" s="22">
        <v>640</v>
      </c>
      <c r="AQ647" s="32">
        <f t="shared" ca="1" si="561"/>
        <v>44296.084108214884</v>
      </c>
      <c r="AR647" s="23">
        <f t="array" aca="1" ref="AR647" ca="1">SUM(IF(lsc_start_date=AO647,lsc_amount,0))</f>
        <v>0</v>
      </c>
      <c r="AS647" s="24">
        <f t="shared" ca="1" si="535"/>
        <v>0</v>
      </c>
      <c r="AT647" s="24">
        <f t="shared" ca="1" si="536"/>
        <v>0</v>
      </c>
      <c r="AU647" s="24">
        <f t="shared" ca="1" si="537"/>
        <v>0</v>
      </c>
      <c r="AV647" s="25">
        <f t="shared" ca="1" si="538"/>
        <v>0</v>
      </c>
      <c r="AW647" s="23">
        <f t="array" aca="1" ref="AW647" ca="1">SUM(IF(rcs_start_date&lt;=AO647,1,0)*IF(rcs_end_date&gt;=AO647,1,0)*rcs_amount*(1+rcs_escalation/100)^(INT((AP647-rcs_months_since_start)/12))*IF(MOD((AP647-rcs_months_since_start),rcs_frequency)=0,1,0)*IF(rcs_frequency=13,0,1))+SUM(IF(rcs_start_date=AO647,rcs_amount,0)*IF(rcs_frequency=13,1,0))</f>
        <v>0</v>
      </c>
      <c r="AX647" s="24">
        <f t="shared" ca="1" si="539"/>
        <v>0</v>
      </c>
      <c r="AY647" s="24">
        <f t="shared" ca="1" si="540"/>
        <v>0</v>
      </c>
      <c r="AZ647" s="24">
        <f t="shared" ca="1" si="541"/>
        <v>0</v>
      </c>
      <c r="BA647" s="25">
        <f t="shared" ca="1" si="542"/>
        <v>0</v>
      </c>
      <c r="BB647" s="23">
        <f t="array" aca="1" ref="BB647" ca="1">SUM(IF(w_start_date&lt;=AO647,1,0)*IF(w_end_date&gt;=AO647,1,0)*w_amount*(1+w_escalation/100)^(INT((AP647-w_months_since_start)/12))*IF(MOD(AP647-w_months_since_start,w_frequency)=0,1,0)*IF(w_frequency=13,0,1))+SUM(IF(w_start_date=AO647,w_amount,0)*IF(w_frequency=13,1,0))</f>
        <v>0</v>
      </c>
      <c r="BC647" s="25">
        <f t="shared" ca="1" si="543"/>
        <v>0</v>
      </c>
      <c r="BD647" s="24" t="b">
        <f t="shared" ca="1" si="544"/>
        <v>1</v>
      </c>
      <c r="BE647" s="24" t="b">
        <f t="shared" ca="1" si="545"/>
        <v>1</v>
      </c>
      <c r="BF647" s="23">
        <f t="array" aca="1" ref="BF647" ca="1">SUM(IF(BD647,1,0)*IF(ap_start_date&lt;=AO647,1,0)*IF(ap_end_date&gt;=AO647,1,0)*ap_amount*(1+ap_escalation/100)^(INT((AP647-ap_months_since_start)/12))*IF(MOD(AP647-ap_months_since_start,ap_frequency)=0,1,0))</f>
        <v>181747.43689117016</v>
      </c>
      <c r="BG647" s="24">
        <f t="shared" ca="1" si="546"/>
        <v>2180969.2426940422</v>
      </c>
      <c r="BH647" s="24">
        <f t="shared" ca="1" si="547"/>
        <v>1141.9454235856156</v>
      </c>
      <c r="BI647">
        <f t="shared" ca="1" si="548"/>
        <v>0</v>
      </c>
      <c r="BJ647" s="24">
        <f t="shared" ca="1" si="549"/>
        <v>7993.6179650993081</v>
      </c>
      <c r="BK647">
        <f t="shared" ca="1" si="550"/>
        <v>1</v>
      </c>
      <c r="BL647" s="25">
        <f t="shared" ca="1" si="551"/>
        <v>666.13483042494227</v>
      </c>
      <c r="BM647" s="32">
        <f t="shared" ca="1" si="530"/>
        <v>43944.404428501621</v>
      </c>
      <c r="BN647" s="23">
        <f t="shared" ca="1" si="552"/>
        <v>0</v>
      </c>
      <c r="BO647" s="24">
        <f t="shared" ca="1" si="553"/>
        <v>0</v>
      </c>
      <c r="BP647" s="25">
        <f t="shared" ca="1" si="554"/>
        <v>0</v>
      </c>
      <c r="BQ647" s="34">
        <f t="shared" ca="1" si="555"/>
        <v>65105</v>
      </c>
      <c r="BR647" s="23">
        <f t="shared" ca="1" si="556"/>
        <v>43944.404428501621</v>
      </c>
      <c r="BS647" s="24">
        <f t="shared" ca="1" si="557"/>
        <v>0</v>
      </c>
      <c r="BT647" s="24">
        <f t="shared" ca="1" si="562"/>
        <v>0</v>
      </c>
      <c r="BU647" s="24">
        <f t="shared" ca="1" si="558"/>
        <v>0</v>
      </c>
      <c r="BV647" s="24">
        <f t="shared" ca="1" si="563"/>
        <v>0</v>
      </c>
      <c r="BW647" s="24">
        <f t="shared" ca="1" si="559"/>
        <v>-666.13483042494227</v>
      </c>
      <c r="BX647" s="25">
        <f t="shared" ca="1" si="564"/>
        <v>-8474.1125329965616</v>
      </c>
      <c r="BY647" s="23">
        <f t="shared" ca="1" si="531"/>
        <v>5425.7380219870747</v>
      </c>
      <c r="BZ647" s="24">
        <f t="shared" ca="1" si="532"/>
        <v>0</v>
      </c>
      <c r="CA647" s="24">
        <f t="shared" ca="1" si="565"/>
        <v>0</v>
      </c>
      <c r="CB647" s="24">
        <f t="shared" ca="1" si="533"/>
        <v>0</v>
      </c>
      <c r="CC647" s="24">
        <f t="shared" ca="1" si="566"/>
        <v>0</v>
      </c>
      <c r="CD647" s="24">
        <f t="shared" ca="1" si="534"/>
        <v>-82.51574492636135</v>
      </c>
      <c r="CE647" s="25">
        <f t="shared" ca="1" si="567"/>
        <v>-1069.3119941258287</v>
      </c>
      <c r="CF647" s="23">
        <f t="shared" ca="1" si="568"/>
        <v>2132037.2404541117</v>
      </c>
      <c r="CG647" s="25">
        <f t="array" aca="1" ref="CG647" ca="1">SUM(BF636:BF647/(1+inflation/100)^(AP636:AP647/12))</f>
        <v>267980.53702225385</v>
      </c>
      <c r="CH647" s="32">
        <f ca="1">IFERROR(IF(MOD(AP647-ap_months_since_start,12)=0,ap_drawdown/100*(AQ647+AV647+BA647-BC647),CH646),0)</f>
        <v>7020.4119569339136</v>
      </c>
    </row>
    <row r="648" spans="40:86" x14ac:dyDescent="0.25">
      <c r="AN648" s="32">
        <f t="shared" ref="AN648:AN711" ca="1" si="569">IF(AND(Date_of_birth&lt;&gt;"",Date_of_birth&lt;&gt;"Please enter date of birth"),YEARFRAC(Date_of_birth,AO648),AP648/12)</f>
        <v>108.25</v>
      </c>
      <c r="AO648" s="53">
        <f t="shared" ca="1" si="560"/>
        <v>65106</v>
      </c>
      <c r="AP648" s="22">
        <v>641</v>
      </c>
      <c r="AQ648" s="32">
        <f t="shared" ca="1" si="561"/>
        <v>43944.404428501621</v>
      </c>
      <c r="AR648" s="23">
        <f t="array" aca="1" ref="AR648" ca="1">SUM(IF(lsc_start_date=AO648,lsc_amount,0))</f>
        <v>0</v>
      </c>
      <c r="AS648" s="24">
        <f t="shared" ca="1" si="535"/>
        <v>0</v>
      </c>
      <c r="AT648" s="24">
        <f t="shared" ca="1" si="536"/>
        <v>0</v>
      </c>
      <c r="AU648" s="24">
        <f t="shared" ca="1" si="537"/>
        <v>0</v>
      </c>
      <c r="AV648" s="25">
        <f t="shared" ca="1" si="538"/>
        <v>0</v>
      </c>
      <c r="AW648" s="23">
        <f t="array" aca="1" ref="AW648" ca="1">SUM(IF(rcs_start_date&lt;=AO648,1,0)*IF(rcs_end_date&gt;=AO648,1,0)*rcs_amount*(1+rcs_escalation/100)^(INT((AP648-rcs_months_since_start)/12))*IF(MOD((AP648-rcs_months_since_start),rcs_frequency)=0,1,0)*IF(rcs_frequency=13,0,1))+SUM(IF(rcs_start_date=AO648,rcs_amount,0)*IF(rcs_frequency=13,1,0))</f>
        <v>0</v>
      </c>
      <c r="AX648" s="24">
        <f t="shared" ca="1" si="539"/>
        <v>0</v>
      </c>
      <c r="AY648" s="24">
        <f t="shared" ca="1" si="540"/>
        <v>0</v>
      </c>
      <c r="AZ648" s="24">
        <f t="shared" ca="1" si="541"/>
        <v>0</v>
      </c>
      <c r="BA648" s="25">
        <f t="shared" ca="1" si="542"/>
        <v>0</v>
      </c>
      <c r="BB648" s="23">
        <f t="array" aca="1" ref="BB648" ca="1">SUM(IF(w_start_date&lt;=AO648,1,0)*IF(w_end_date&gt;=AO648,1,0)*w_amount*(1+w_escalation/100)^(INT((AP648-w_months_since_start)/12))*IF(MOD(AP648-w_months_since_start,w_frequency)=0,1,0)*IF(w_frequency=13,0,1))+SUM(IF(w_start_date=AO648,w_amount,0)*IF(w_frequency=13,1,0))</f>
        <v>0</v>
      </c>
      <c r="BC648" s="25">
        <f t="shared" ca="1" si="543"/>
        <v>0</v>
      </c>
      <c r="BD648" s="24" t="b">
        <f t="shared" ca="1" si="544"/>
        <v>1</v>
      </c>
      <c r="BE648" s="24" t="b">
        <f t="shared" ca="1" si="545"/>
        <v>1</v>
      </c>
      <c r="BF648" s="23">
        <f t="array" aca="1" ref="BF648" ca="1">SUM(IF(BD648,1,0)*IF(ap_start_date&lt;=AO648,1,0)*IF(ap_end_date&gt;=AO648,1,0)*ap_amount*(1+ap_escalation/100)^(INT((AP648-ap_months_since_start)/12))*IF(MOD(AP648-ap_months_since_start,ap_frequency)=0,1,0))</f>
        <v>181747.43689117016</v>
      </c>
      <c r="BG648" s="24">
        <f t="shared" ca="1" si="546"/>
        <v>2180969.2426940422</v>
      </c>
      <c r="BH648" s="24">
        <f t="shared" ca="1" si="547"/>
        <v>1141.9454235856156</v>
      </c>
      <c r="BI648">
        <f t="shared" ca="1" si="548"/>
        <v>0</v>
      </c>
      <c r="BJ648" s="24">
        <f t="shared" ca="1" si="549"/>
        <v>7993.6179650993081</v>
      </c>
      <c r="BK648">
        <f t="shared" ca="1" si="550"/>
        <v>1</v>
      </c>
      <c r="BL648" s="25">
        <f t="shared" ca="1" si="551"/>
        <v>666.13483042494227</v>
      </c>
      <c r="BM648" s="32">
        <f t="shared" ref="BM648:BM711" ca="1" si="570">(AQ648+AV648+BA648-BC648-BL648)*(1+NomRetn/100)^(1/12)</f>
        <v>43590.19007963295</v>
      </c>
      <c r="BN648" s="23">
        <f t="shared" ca="1" si="552"/>
        <v>0</v>
      </c>
      <c r="BO648" s="24">
        <f t="shared" ca="1" si="553"/>
        <v>0</v>
      </c>
      <c r="BP648" s="25">
        <f t="shared" ca="1" si="554"/>
        <v>0</v>
      </c>
      <c r="BQ648" s="34">
        <f t="shared" ca="1" si="555"/>
        <v>65135</v>
      </c>
      <c r="BR648" s="23">
        <f t="shared" ca="1" si="556"/>
        <v>43590.19007963295</v>
      </c>
      <c r="BS648" s="24">
        <f t="shared" ca="1" si="557"/>
        <v>0</v>
      </c>
      <c r="BT648" s="24">
        <f t="shared" ca="1" si="562"/>
        <v>0</v>
      </c>
      <c r="BU648" s="24">
        <f t="shared" ca="1" si="558"/>
        <v>0</v>
      </c>
      <c r="BV648" s="24">
        <f t="shared" ca="1" si="563"/>
        <v>0</v>
      </c>
      <c r="BW648" s="24">
        <f t="shared" ca="1" si="559"/>
        <v>-666.13483042494227</v>
      </c>
      <c r="BX648" s="25">
        <f t="shared" ca="1" si="564"/>
        <v>-8405.470451868383</v>
      </c>
      <c r="BY648" s="23">
        <f t="shared" ref="BY648:BY711" ca="1" si="571">BR648*(1+inflation/100)^(-$AP648/12)</f>
        <v>5364.4420145375771</v>
      </c>
      <c r="BZ648" s="24">
        <f t="shared" ref="BZ648:BZ711" ca="1" si="572">BS648*(1+inflation/100)^(-(AP648-1)/12)</f>
        <v>0</v>
      </c>
      <c r="CA648" s="24">
        <f t="shared" ca="1" si="565"/>
        <v>0</v>
      </c>
      <c r="CB648" s="24">
        <f t="shared" ref="CB648:CB711" ca="1" si="573">BU648*(1+inflation/100)^(-($AP648-1)/12)</f>
        <v>0</v>
      </c>
      <c r="CC648" s="24">
        <f t="shared" ca="1" si="566"/>
        <v>0</v>
      </c>
      <c r="CD648" s="24">
        <f t="shared" ref="CD648:CD711" ca="1" si="574">BW648*(1+inflation/100)^(-($AP648-1)/12)</f>
        <v>-82.246491315794543</v>
      </c>
      <c r="CE648" s="25">
        <f t="shared" ca="1" si="567"/>
        <v>-1057.2080132556687</v>
      </c>
      <c r="CF648" s="23">
        <f t="shared" ca="1" si="568"/>
        <v>2139027.5264883875</v>
      </c>
      <c r="CG648" s="25">
        <f t="array" aca="1" ref="CG648" ca="1">SUM(BF637:BF648/(1+inflation/100)^(AP637:AP648/12))</f>
        <v>267980.53702225385</v>
      </c>
      <c r="CH648" s="32">
        <f ca="1">IFERROR(IF(MOD(AP648-ap_months_since_start,12)=0,ap_drawdown/100*(AQ648+AV648+BA648-BC648),CH647),0)</f>
        <v>7020.4119569339136</v>
      </c>
    </row>
    <row r="649" spans="40:86" x14ac:dyDescent="0.25">
      <c r="AN649" s="32">
        <f t="shared" ca="1" si="569"/>
        <v>108.33333333333333</v>
      </c>
      <c r="AO649" s="53">
        <f t="shared" ca="1" si="560"/>
        <v>65136</v>
      </c>
      <c r="AP649" s="22">
        <v>642</v>
      </c>
      <c r="AQ649" s="32">
        <f t="shared" ca="1" si="561"/>
        <v>43590.19007963295</v>
      </c>
      <c r="AR649" s="23">
        <f t="array" aca="1" ref="AR649" ca="1">SUM(IF(lsc_start_date=AO649,lsc_amount,0))</f>
        <v>0</v>
      </c>
      <c r="AS649" s="24">
        <f t="shared" ref="AS649:AS712" ca="1" si="575">AR649*$D$34/100</f>
        <v>0</v>
      </c>
      <c r="AT649" s="24">
        <f t="shared" ref="AT649:AT712" ca="1" si="576">AR649*$D$33/100</f>
        <v>0</v>
      </c>
      <c r="AU649" s="24">
        <f t="shared" ref="AU649:AU712" ca="1" si="577">AR649*$D$35/100</f>
        <v>0</v>
      </c>
      <c r="AV649" s="25">
        <f t="shared" ref="AV649:AV712" ca="1" si="578">AR649-AS649-AT649-AU649</f>
        <v>0</v>
      </c>
      <c r="AW649" s="23">
        <f t="array" aca="1" ref="AW649" ca="1">SUM(IF(rcs_start_date&lt;=AO649,1,0)*IF(rcs_end_date&gt;=AO649,1,0)*rcs_amount*(1+rcs_escalation/100)^(INT((AP649-rcs_months_since_start)/12))*IF(MOD((AP649-rcs_months_since_start),rcs_frequency)=0,1,0)*IF(rcs_frequency=13,0,1))+SUM(IF(rcs_start_date=AO649,rcs_amount,0)*IF(rcs_frequency=13,1,0))</f>
        <v>0</v>
      </c>
      <c r="AX649" s="24">
        <f t="shared" ref="AX649:AX712" ca="1" si="579">AW649*$D$34/100</f>
        <v>0</v>
      </c>
      <c r="AY649" s="24">
        <f t="shared" ref="AY649:AY712" ca="1" si="580">AW649*$D$33/100</f>
        <v>0</v>
      </c>
      <c r="AZ649" s="24">
        <f t="shared" ref="AZ649:AZ712" ca="1" si="581">AW649*$D$35/100</f>
        <v>0</v>
      </c>
      <c r="BA649" s="25">
        <f t="shared" ref="BA649:BA712" ca="1" si="582">AW649-AX649-AY649-AZ649</f>
        <v>0</v>
      </c>
      <c r="BB649" s="23">
        <f t="array" aca="1" ref="BB649" ca="1">SUM(IF(w_start_date&lt;=AO649,1,0)*IF(w_end_date&gt;=AO649,1,0)*w_amount*(1+w_escalation/100)^(INT((AP649-w_months_since_start)/12))*IF(MOD(AP649-w_months_since_start,w_frequency)=0,1,0)*IF(w_frequency=13,0,1))+SUM(IF(w_start_date=AO649,w_amount,0)*IF(w_frequency=13,1,0))</f>
        <v>0</v>
      </c>
      <c r="BC649" s="25">
        <f t="shared" ref="BC649:BC712" ca="1" si="583">IF(BB649&gt;AQ649+AV649+BA649,AQ649+AV649+BA649,BB649)</f>
        <v>0</v>
      </c>
      <c r="BD649" s="24" t="b">
        <f t="shared" ref="BD649:BD712" ca="1" si="584">AND($DV$11&lt;=AO649,$DV$11&lt;&gt;0)</f>
        <v>1</v>
      </c>
      <c r="BE649" s="24" t="b">
        <f t="shared" ref="BE649:BE712" ca="1" si="585">$DW$11&lt;&gt;""</f>
        <v>1</v>
      </c>
      <c r="BF649" s="23">
        <f t="array" aca="1" ref="BF649" ca="1">SUM(IF(BD649,1,0)*IF(ap_start_date&lt;=AO649,1,0)*IF(ap_end_date&gt;=AO649,1,0)*ap_amount*(1+ap_escalation/100)^(INT((AP649-ap_months_since_start)/12))*IF(MOD(AP649-ap_months_since_start,ap_frequency)=0,1,0))</f>
        <v>181747.43689117016</v>
      </c>
      <c r="BG649" s="24">
        <f t="shared" ref="BG649:BG712" ca="1" si="586">IF(MOD(YEAR(AO649)*12+MONTH(AO649)-YEAR(Earliest_annuity_payment)*12-MONTH(Earliest_annuity_payment),12)=0,SUM(BF649:BF660),BG648)</f>
        <v>2180969.2426940422</v>
      </c>
      <c r="BH649" s="24">
        <f t="shared" ref="BH649:BH712" ca="1" si="587">IF(AO649&gt;=Earliest_annuity_payment,IF(MOD(YEAR(AO649)*12+MONTH(AO649)-YEAR(Earliest_annuity_payment)*12-MONTH(Earliest_annuity_payment),12)=0,(AQ649+AV649+BA649-BC649)*Annuity_min,BH648),0)</f>
        <v>1141.9454235856156</v>
      </c>
      <c r="BI649">
        <f t="shared" ref="BI649:BI712" ca="1" si="588">IF(AND(BH649&gt;BG649,BD649),1,0)</f>
        <v>0</v>
      </c>
      <c r="BJ649" s="24">
        <f t="shared" ref="BJ649:BJ712" ca="1" si="589">IF(AO649&gt;=Earliest_annuity_payment,IF(MOD(YEAR(AO649)*12+MONTH(AO649)-YEAR(Earliest_annuity_payment)*12-MONTH(Earliest_annuity_payment),12)=0,(AQ649+AV649+BA649-BC649)*Annuity_cap,BJ648),0)</f>
        <v>7993.6179650993081</v>
      </c>
      <c r="BK649">
        <f t="shared" ref="BK649:BK712" ca="1" si="590">IF(BJ649&lt;BG649,1,0)</f>
        <v>1</v>
      </c>
      <c r="BL649" s="25">
        <f t="shared" ref="BL649:BL712" ca="1" si="591">IF(BJ649&lt;BG649,BF649/BG649*BJ649,IF(AND(BH649&gt;BG649,BG649&lt;&gt;0),BF649/BG649*BH649,BF649))</f>
        <v>666.13483042494227</v>
      </c>
      <c r="BM649" s="32">
        <f t="shared" ca="1" si="570"/>
        <v>43233.42279342877</v>
      </c>
      <c r="BN649" s="23">
        <f t="shared" ref="BN649:BN712" ca="1" si="592">BM649*$E$34/1200</f>
        <v>0</v>
      </c>
      <c r="BO649" s="24">
        <f t="shared" ref="BO649:BO712" ca="1" si="593">BM649*$E$33/1200</f>
        <v>0</v>
      </c>
      <c r="BP649" s="25">
        <f t="shared" ref="BP649:BP712" ca="1" si="594">BM649*$E$35/1200</f>
        <v>0</v>
      </c>
      <c r="BQ649" s="34">
        <f t="shared" ref="BQ649:BQ712" ca="1" si="595">EOMONTH(AO649,0)</f>
        <v>65166</v>
      </c>
      <c r="BR649" s="23">
        <f t="shared" ref="BR649:BR712" ca="1" si="596">BM649-BN649-BO649-BP649</f>
        <v>43233.42279342877</v>
      </c>
      <c r="BS649" s="24">
        <f t="shared" ref="BS649:BS712" ca="1" si="597">AV649+BA649</f>
        <v>0</v>
      </c>
      <c r="BT649" s="24">
        <f t="shared" ca="1" si="562"/>
        <v>0</v>
      </c>
      <c r="BU649" s="24">
        <f t="shared" ref="BU649:BU712" ca="1" si="598">-BC649</f>
        <v>0</v>
      </c>
      <c r="BV649" s="24">
        <f t="shared" ca="1" si="563"/>
        <v>0</v>
      </c>
      <c r="BW649" s="24">
        <f t="shared" ref="BW649:BW712" ca="1" si="599">-BL649</f>
        <v>-666.13483042494227</v>
      </c>
      <c r="BX649" s="25">
        <f t="shared" ca="1" si="564"/>
        <v>-8336.8283707402043</v>
      </c>
      <c r="BY649" s="23">
        <f t="shared" ca="1" si="571"/>
        <v>5303.1751081393377</v>
      </c>
      <c r="BZ649" s="24">
        <f t="shared" ca="1" si="572"/>
        <v>0</v>
      </c>
      <c r="CA649" s="24">
        <f t="shared" ca="1" si="565"/>
        <v>0</v>
      </c>
      <c r="CB649" s="24">
        <f t="shared" ca="1" si="573"/>
        <v>0</v>
      </c>
      <c r="CC649" s="24">
        <f t="shared" ca="1" si="566"/>
        <v>0</v>
      </c>
      <c r="CD649" s="24">
        <f t="shared" ca="1" si="574"/>
        <v>-81.978116295209205</v>
      </c>
      <c r="CE649" s="25">
        <f t="shared" ca="1" si="567"/>
        <v>-1045.1435283696317</v>
      </c>
      <c r="CF649" s="23">
        <f t="shared" ca="1" si="568"/>
        <v>2146017.8125226633</v>
      </c>
      <c r="CG649" s="25">
        <f t="array" aca="1" ref="CG649" ca="1">SUM(BF638:BF649/(1+inflation/100)^(AP638:AP649/12))</f>
        <v>267980.53702225379</v>
      </c>
      <c r="CH649" s="32">
        <f ca="1">IFERROR(IF(MOD(AP649-ap_months_since_start,12)=0,ap_drawdown/100*(AQ649+AV649+BA649-BC649),CH648),0)</f>
        <v>7020.4119569339136</v>
      </c>
    </row>
    <row r="650" spans="40:86" x14ac:dyDescent="0.25">
      <c r="AN650" s="32">
        <f t="shared" ca="1" si="569"/>
        <v>108.41666666666667</v>
      </c>
      <c r="AO650" s="53">
        <f t="shared" ref="AO650:AO713" ca="1" si="600">DATE(YEAR(AO649),MONTH(AO649)+1,1)</f>
        <v>65167</v>
      </c>
      <c r="AP650" s="22">
        <v>643</v>
      </c>
      <c r="AQ650" s="32">
        <f t="shared" ref="AQ650:AQ713" ca="1" si="601">IF(BR649&lt;0,0,BR649)</f>
        <v>43233.42279342877</v>
      </c>
      <c r="AR650" s="23">
        <f t="array" aca="1" ref="AR650" ca="1">SUM(IF(lsc_start_date=AO650,lsc_amount,0))</f>
        <v>0</v>
      </c>
      <c r="AS650" s="24">
        <f t="shared" ca="1" si="575"/>
        <v>0</v>
      </c>
      <c r="AT650" s="24">
        <f t="shared" ca="1" si="576"/>
        <v>0</v>
      </c>
      <c r="AU650" s="24">
        <f t="shared" ca="1" si="577"/>
        <v>0</v>
      </c>
      <c r="AV650" s="25">
        <f t="shared" ca="1" si="578"/>
        <v>0</v>
      </c>
      <c r="AW650" s="23">
        <f t="array" aca="1" ref="AW650" ca="1">SUM(IF(rcs_start_date&lt;=AO650,1,0)*IF(rcs_end_date&gt;=AO650,1,0)*rcs_amount*(1+rcs_escalation/100)^(INT((AP650-rcs_months_since_start)/12))*IF(MOD((AP650-rcs_months_since_start),rcs_frequency)=0,1,0)*IF(rcs_frequency=13,0,1))+SUM(IF(rcs_start_date=AO650,rcs_amount,0)*IF(rcs_frequency=13,1,0))</f>
        <v>0</v>
      </c>
      <c r="AX650" s="24">
        <f t="shared" ca="1" si="579"/>
        <v>0</v>
      </c>
      <c r="AY650" s="24">
        <f t="shared" ca="1" si="580"/>
        <v>0</v>
      </c>
      <c r="AZ650" s="24">
        <f t="shared" ca="1" si="581"/>
        <v>0</v>
      </c>
      <c r="BA650" s="25">
        <f t="shared" ca="1" si="582"/>
        <v>0</v>
      </c>
      <c r="BB650" s="23">
        <f t="array" aca="1" ref="BB650" ca="1">SUM(IF(w_start_date&lt;=AO650,1,0)*IF(w_end_date&gt;=AO650,1,0)*w_amount*(1+w_escalation/100)^(INT((AP650-w_months_since_start)/12))*IF(MOD(AP650-w_months_since_start,w_frequency)=0,1,0)*IF(w_frequency=13,0,1))+SUM(IF(w_start_date=AO650,w_amount,0)*IF(w_frequency=13,1,0))</f>
        <v>0</v>
      </c>
      <c r="BC650" s="25">
        <f t="shared" ca="1" si="583"/>
        <v>0</v>
      </c>
      <c r="BD650" s="24" t="b">
        <f t="shared" ca="1" si="584"/>
        <v>1</v>
      </c>
      <c r="BE650" s="24" t="b">
        <f t="shared" ca="1" si="585"/>
        <v>1</v>
      </c>
      <c r="BF650" s="23">
        <f t="array" aca="1" ref="BF650" ca="1">SUM(IF(BD650,1,0)*IF(ap_start_date&lt;=AO650,1,0)*IF(ap_end_date&gt;=AO650,1,0)*ap_amount*(1+ap_escalation/100)^(INT((AP650-ap_months_since_start)/12))*IF(MOD(AP650-ap_months_since_start,ap_frequency)=0,1,0))</f>
        <v>181747.43689117016</v>
      </c>
      <c r="BG650" s="24">
        <f t="shared" ca="1" si="586"/>
        <v>2180969.2426940422</v>
      </c>
      <c r="BH650" s="24">
        <f t="shared" ca="1" si="587"/>
        <v>1141.9454235856156</v>
      </c>
      <c r="BI650">
        <f t="shared" ca="1" si="588"/>
        <v>0</v>
      </c>
      <c r="BJ650" s="24">
        <f t="shared" ca="1" si="589"/>
        <v>7993.6179650993081</v>
      </c>
      <c r="BK650">
        <f t="shared" ca="1" si="590"/>
        <v>1</v>
      </c>
      <c r="BL650" s="25">
        <f t="shared" ca="1" si="591"/>
        <v>666.13483042494227</v>
      </c>
      <c r="BM650" s="32">
        <f t="shared" ca="1" si="570"/>
        <v>42874.084170044291</v>
      </c>
      <c r="BN650" s="23">
        <f t="shared" ca="1" si="592"/>
        <v>0</v>
      </c>
      <c r="BO650" s="24">
        <f t="shared" ca="1" si="593"/>
        <v>0</v>
      </c>
      <c r="BP650" s="25">
        <f t="shared" ca="1" si="594"/>
        <v>0</v>
      </c>
      <c r="BQ650" s="34">
        <f t="shared" ca="1" si="595"/>
        <v>65196</v>
      </c>
      <c r="BR650" s="23">
        <f t="shared" ca="1" si="596"/>
        <v>42874.084170044291</v>
      </c>
      <c r="BS650" s="24">
        <f t="shared" ca="1" si="597"/>
        <v>0</v>
      </c>
      <c r="BT650" s="24">
        <f t="shared" ca="1" si="562"/>
        <v>0</v>
      </c>
      <c r="BU650" s="24">
        <f t="shared" ca="1" si="598"/>
        <v>0</v>
      </c>
      <c r="BV650" s="24">
        <f t="shared" ca="1" si="563"/>
        <v>0</v>
      </c>
      <c r="BW650" s="24">
        <f t="shared" ca="1" si="599"/>
        <v>-666.13483042494227</v>
      </c>
      <c r="BX650" s="25">
        <f t="shared" ca="1" si="564"/>
        <v>-8268.1862896120238</v>
      </c>
      <c r="BY650" s="23">
        <f t="shared" ca="1" si="571"/>
        <v>5241.9365377336671</v>
      </c>
      <c r="BZ650" s="24">
        <f t="shared" ca="1" si="572"/>
        <v>0</v>
      </c>
      <c r="CA650" s="24">
        <f t="shared" ca="1" si="565"/>
        <v>0</v>
      </c>
      <c r="CB650" s="24">
        <f t="shared" ca="1" si="573"/>
        <v>0</v>
      </c>
      <c r="CC650" s="24">
        <f t="shared" ca="1" si="566"/>
        <v>0</v>
      </c>
      <c r="CD650" s="24">
        <f t="shared" ca="1" si="574"/>
        <v>-81.710616997715746</v>
      </c>
      <c r="CE650" s="25">
        <f t="shared" ca="1" si="567"/>
        <v>-1033.1184105900552</v>
      </c>
      <c r="CF650" s="23">
        <f t="shared" ca="1" si="568"/>
        <v>2153008.098556939</v>
      </c>
      <c r="CG650" s="25">
        <f t="array" aca="1" ref="CG650" ca="1">SUM(BF639:BF650/(1+inflation/100)^(AP639:AP650/12))</f>
        <v>267980.53702225385</v>
      </c>
      <c r="CH650" s="32">
        <f ca="1">IFERROR(IF(MOD(AP650-ap_months_since_start,12)=0,ap_drawdown/100*(AQ650+AV650+BA650-BC650),CH649),0)</f>
        <v>7020.4119569339136</v>
      </c>
    </row>
    <row r="651" spans="40:86" x14ac:dyDescent="0.25">
      <c r="AN651" s="32">
        <f t="shared" ca="1" si="569"/>
        <v>108.5</v>
      </c>
      <c r="AO651" s="53">
        <f t="shared" ca="1" si="600"/>
        <v>65197</v>
      </c>
      <c r="AP651" s="22">
        <v>644</v>
      </c>
      <c r="AQ651" s="32">
        <f t="shared" ca="1" si="601"/>
        <v>42874.084170044291</v>
      </c>
      <c r="AR651" s="23">
        <f t="array" aca="1" ref="AR651" ca="1">SUM(IF(lsc_start_date=AO651,lsc_amount,0))</f>
        <v>0</v>
      </c>
      <c r="AS651" s="24">
        <f t="shared" ca="1" si="575"/>
        <v>0</v>
      </c>
      <c r="AT651" s="24">
        <f t="shared" ca="1" si="576"/>
        <v>0</v>
      </c>
      <c r="AU651" s="24">
        <f t="shared" ca="1" si="577"/>
        <v>0</v>
      </c>
      <c r="AV651" s="25">
        <f t="shared" ca="1" si="578"/>
        <v>0</v>
      </c>
      <c r="AW651" s="23">
        <f t="array" aca="1" ref="AW651" ca="1">SUM(IF(rcs_start_date&lt;=AO651,1,0)*IF(rcs_end_date&gt;=AO651,1,0)*rcs_amount*(1+rcs_escalation/100)^(INT((AP651-rcs_months_since_start)/12))*IF(MOD((AP651-rcs_months_since_start),rcs_frequency)=0,1,0)*IF(rcs_frequency=13,0,1))+SUM(IF(rcs_start_date=AO651,rcs_amount,0)*IF(rcs_frequency=13,1,0))</f>
        <v>0</v>
      </c>
      <c r="AX651" s="24">
        <f t="shared" ca="1" si="579"/>
        <v>0</v>
      </c>
      <c r="AY651" s="24">
        <f t="shared" ca="1" si="580"/>
        <v>0</v>
      </c>
      <c r="AZ651" s="24">
        <f t="shared" ca="1" si="581"/>
        <v>0</v>
      </c>
      <c r="BA651" s="25">
        <f t="shared" ca="1" si="582"/>
        <v>0</v>
      </c>
      <c r="BB651" s="23">
        <f t="array" aca="1" ref="BB651" ca="1">SUM(IF(w_start_date&lt;=AO651,1,0)*IF(w_end_date&gt;=AO651,1,0)*w_amount*(1+w_escalation/100)^(INT((AP651-w_months_since_start)/12))*IF(MOD(AP651-w_months_since_start,w_frequency)=0,1,0)*IF(w_frequency=13,0,1))+SUM(IF(w_start_date=AO651,w_amount,0)*IF(w_frequency=13,1,0))</f>
        <v>0</v>
      </c>
      <c r="BC651" s="25">
        <f t="shared" ca="1" si="583"/>
        <v>0</v>
      </c>
      <c r="BD651" s="24" t="b">
        <f t="shared" ca="1" si="584"/>
        <v>1</v>
      </c>
      <c r="BE651" s="24" t="b">
        <f t="shared" ca="1" si="585"/>
        <v>1</v>
      </c>
      <c r="BF651" s="23">
        <f t="array" aca="1" ref="BF651" ca="1">SUM(IF(BD651,1,0)*IF(ap_start_date&lt;=AO651,1,0)*IF(ap_end_date&gt;=AO651,1,0)*ap_amount*(1+ap_escalation/100)^(INT((AP651-ap_months_since_start)/12))*IF(MOD(AP651-ap_months_since_start,ap_frequency)=0,1,0))</f>
        <v>181747.43689117016</v>
      </c>
      <c r="BG651" s="24">
        <f t="shared" ca="1" si="586"/>
        <v>2180969.2426940422</v>
      </c>
      <c r="BH651" s="24">
        <f t="shared" ca="1" si="587"/>
        <v>1141.9454235856156</v>
      </c>
      <c r="BI651">
        <f t="shared" ca="1" si="588"/>
        <v>0</v>
      </c>
      <c r="BJ651" s="24">
        <f t="shared" ca="1" si="589"/>
        <v>7993.6179650993081</v>
      </c>
      <c r="BK651">
        <f t="shared" ca="1" si="590"/>
        <v>1</v>
      </c>
      <c r="BL651" s="25">
        <f t="shared" ca="1" si="591"/>
        <v>666.13483042494227</v>
      </c>
      <c r="BM651" s="32">
        <f t="shared" ca="1" si="570"/>
        <v>42512.155677021103</v>
      </c>
      <c r="BN651" s="23">
        <f t="shared" ca="1" si="592"/>
        <v>0</v>
      </c>
      <c r="BO651" s="24">
        <f t="shared" ca="1" si="593"/>
        <v>0</v>
      </c>
      <c r="BP651" s="25">
        <f t="shared" ca="1" si="594"/>
        <v>0</v>
      </c>
      <c r="BQ651" s="34">
        <f t="shared" ca="1" si="595"/>
        <v>65227</v>
      </c>
      <c r="BR651" s="23">
        <f t="shared" ca="1" si="596"/>
        <v>42512.155677021103</v>
      </c>
      <c r="BS651" s="24">
        <f t="shared" ca="1" si="597"/>
        <v>0</v>
      </c>
      <c r="BT651" s="24">
        <f t="shared" ca="1" si="562"/>
        <v>0</v>
      </c>
      <c r="BU651" s="24">
        <f t="shared" ca="1" si="598"/>
        <v>0</v>
      </c>
      <c r="BV651" s="24">
        <f t="shared" ca="1" si="563"/>
        <v>0</v>
      </c>
      <c r="BW651" s="24">
        <f t="shared" ca="1" si="599"/>
        <v>-666.13483042494227</v>
      </c>
      <c r="BX651" s="25">
        <f t="shared" ca="1" si="564"/>
        <v>-8199.5442084838451</v>
      </c>
      <c r="BY651" s="23">
        <f t="shared" ca="1" si="571"/>
        <v>5180.7255381310088</v>
      </c>
      <c r="BZ651" s="24">
        <f t="shared" ca="1" si="572"/>
        <v>0</v>
      </c>
      <c r="CA651" s="24">
        <f t="shared" ca="1" si="565"/>
        <v>0</v>
      </c>
      <c r="CB651" s="24">
        <f t="shared" ca="1" si="573"/>
        <v>0</v>
      </c>
      <c r="CC651" s="24">
        <f t="shared" ca="1" si="566"/>
        <v>0</v>
      </c>
      <c r="CD651" s="24">
        <f t="shared" ca="1" si="574"/>
        <v>-81.443990565779544</v>
      </c>
      <c r="CE651" s="25">
        <f t="shared" ca="1" si="567"/>
        <v>-1021.1325314598124</v>
      </c>
      <c r="CF651" s="23">
        <f t="shared" ca="1" si="568"/>
        <v>2159998.3845912148</v>
      </c>
      <c r="CG651" s="25">
        <f t="array" aca="1" ref="CG651" ca="1">SUM(BF640:BF651/(1+inflation/100)^(AP640:AP651/12))</f>
        <v>267980.53702225385</v>
      </c>
      <c r="CH651" s="32">
        <f ca="1">IFERROR(IF(MOD(AP651-ap_months_since_start,12)=0,ap_drawdown/100*(AQ651+AV651+BA651-BC651),CH650),0)</f>
        <v>7020.4119569339136</v>
      </c>
    </row>
    <row r="652" spans="40:86" x14ac:dyDescent="0.25">
      <c r="AN652" s="32">
        <f t="shared" ca="1" si="569"/>
        <v>108.58333333333333</v>
      </c>
      <c r="AO652" s="53">
        <f t="shared" ca="1" si="600"/>
        <v>65228</v>
      </c>
      <c r="AP652" s="22">
        <v>645</v>
      </c>
      <c r="AQ652" s="32">
        <f t="shared" ca="1" si="601"/>
        <v>42512.155677021103</v>
      </c>
      <c r="AR652" s="23">
        <f t="array" aca="1" ref="AR652" ca="1">SUM(IF(lsc_start_date=AO652,lsc_amount,0))</f>
        <v>0</v>
      </c>
      <c r="AS652" s="24">
        <f t="shared" ca="1" si="575"/>
        <v>0</v>
      </c>
      <c r="AT652" s="24">
        <f t="shared" ca="1" si="576"/>
        <v>0</v>
      </c>
      <c r="AU652" s="24">
        <f t="shared" ca="1" si="577"/>
        <v>0</v>
      </c>
      <c r="AV652" s="25">
        <f t="shared" ca="1" si="578"/>
        <v>0</v>
      </c>
      <c r="AW652" s="23">
        <f t="array" aca="1" ref="AW652" ca="1">SUM(IF(rcs_start_date&lt;=AO652,1,0)*IF(rcs_end_date&gt;=AO652,1,0)*rcs_amount*(1+rcs_escalation/100)^(INT((AP652-rcs_months_since_start)/12))*IF(MOD((AP652-rcs_months_since_start),rcs_frequency)=0,1,0)*IF(rcs_frequency=13,0,1))+SUM(IF(rcs_start_date=AO652,rcs_amount,0)*IF(rcs_frequency=13,1,0))</f>
        <v>0</v>
      </c>
      <c r="AX652" s="24">
        <f t="shared" ca="1" si="579"/>
        <v>0</v>
      </c>
      <c r="AY652" s="24">
        <f t="shared" ca="1" si="580"/>
        <v>0</v>
      </c>
      <c r="AZ652" s="24">
        <f t="shared" ca="1" si="581"/>
        <v>0</v>
      </c>
      <c r="BA652" s="25">
        <f t="shared" ca="1" si="582"/>
        <v>0</v>
      </c>
      <c r="BB652" s="23">
        <f t="array" aca="1" ref="BB652" ca="1">SUM(IF(w_start_date&lt;=AO652,1,0)*IF(w_end_date&gt;=AO652,1,0)*w_amount*(1+w_escalation/100)^(INT((AP652-w_months_since_start)/12))*IF(MOD(AP652-w_months_since_start,w_frequency)=0,1,0)*IF(w_frequency=13,0,1))+SUM(IF(w_start_date=AO652,w_amount,0)*IF(w_frequency=13,1,0))</f>
        <v>0</v>
      </c>
      <c r="BC652" s="25">
        <f t="shared" ca="1" si="583"/>
        <v>0</v>
      </c>
      <c r="BD652" s="24" t="b">
        <f t="shared" ca="1" si="584"/>
        <v>1</v>
      </c>
      <c r="BE652" s="24" t="b">
        <f t="shared" ca="1" si="585"/>
        <v>1</v>
      </c>
      <c r="BF652" s="23">
        <f t="array" aca="1" ref="BF652" ca="1">SUM(IF(BD652,1,0)*IF(ap_start_date&lt;=AO652,1,0)*IF(ap_end_date&gt;=AO652,1,0)*ap_amount*(1+ap_escalation/100)^(INT((AP652-ap_months_since_start)/12))*IF(MOD(AP652-ap_months_since_start,ap_frequency)=0,1,0))</f>
        <v>181747.43689117016</v>
      </c>
      <c r="BG652" s="24">
        <f t="shared" ca="1" si="586"/>
        <v>2180969.2426940422</v>
      </c>
      <c r="BH652" s="24">
        <f t="shared" ca="1" si="587"/>
        <v>1141.9454235856156</v>
      </c>
      <c r="BI652">
        <f t="shared" ca="1" si="588"/>
        <v>0</v>
      </c>
      <c r="BJ652" s="24">
        <f t="shared" ca="1" si="589"/>
        <v>7993.6179650993081</v>
      </c>
      <c r="BK652">
        <f t="shared" ca="1" si="590"/>
        <v>1</v>
      </c>
      <c r="BL652" s="25">
        <f t="shared" ca="1" si="591"/>
        <v>666.13483042494227</v>
      </c>
      <c r="BM652" s="32">
        <f t="shared" ca="1" si="570"/>
        <v>42147.61864833138</v>
      </c>
      <c r="BN652" s="23">
        <f t="shared" ca="1" si="592"/>
        <v>0</v>
      </c>
      <c r="BO652" s="24">
        <f t="shared" ca="1" si="593"/>
        <v>0</v>
      </c>
      <c r="BP652" s="25">
        <f t="shared" ca="1" si="594"/>
        <v>0</v>
      </c>
      <c r="BQ652" s="34">
        <f t="shared" ca="1" si="595"/>
        <v>65258</v>
      </c>
      <c r="BR652" s="23">
        <f t="shared" ca="1" si="596"/>
        <v>42147.61864833138</v>
      </c>
      <c r="BS652" s="24">
        <f t="shared" ca="1" si="597"/>
        <v>0</v>
      </c>
      <c r="BT652" s="24">
        <f t="shared" ca="1" si="562"/>
        <v>0</v>
      </c>
      <c r="BU652" s="24">
        <f t="shared" ca="1" si="598"/>
        <v>0</v>
      </c>
      <c r="BV652" s="24">
        <f t="shared" ca="1" si="563"/>
        <v>0</v>
      </c>
      <c r="BW652" s="24">
        <f t="shared" ca="1" si="599"/>
        <v>-666.13483042494227</v>
      </c>
      <c r="BX652" s="25">
        <f t="shared" ca="1" si="564"/>
        <v>-8130.9021273556655</v>
      </c>
      <c r="BY652" s="23">
        <f t="shared" ca="1" si="571"/>
        <v>5119.5413440010643</v>
      </c>
      <c r="BZ652" s="24">
        <f t="shared" ca="1" si="572"/>
        <v>0</v>
      </c>
      <c r="CA652" s="24">
        <f t="shared" ca="1" si="565"/>
        <v>0</v>
      </c>
      <c r="CB652" s="24">
        <f t="shared" ca="1" si="573"/>
        <v>0</v>
      </c>
      <c r="CC652" s="24">
        <f t="shared" ca="1" si="566"/>
        <v>0</v>
      </c>
      <c r="CD652" s="24">
        <f t="shared" ca="1" si="574"/>
        <v>-81.178234151190154</v>
      </c>
      <c r="CE652" s="25">
        <f t="shared" ca="1" si="567"/>
        <v>-1009.1857629409383</v>
      </c>
      <c r="CF652" s="23">
        <f t="shared" ca="1" si="568"/>
        <v>2166988.6706254906</v>
      </c>
      <c r="CG652" s="25">
        <f t="array" aca="1" ref="CG652" ca="1">SUM(BF641:BF652/(1+inflation/100)^(AP641:AP652/12))</f>
        <v>267980.53702225385</v>
      </c>
      <c r="CH652" s="32">
        <f ca="1">IFERROR(IF(MOD(AP652-ap_months_since_start,12)=0,ap_drawdown/100*(AQ652+AV652+BA652-BC652),CH651),0)</f>
        <v>7020.4119569339136</v>
      </c>
    </row>
    <row r="653" spans="40:86" x14ac:dyDescent="0.25">
      <c r="AN653" s="32">
        <f t="shared" ca="1" si="569"/>
        <v>108.66666666666667</v>
      </c>
      <c r="AO653" s="53">
        <f t="shared" ca="1" si="600"/>
        <v>65259</v>
      </c>
      <c r="AP653" s="22">
        <v>646</v>
      </c>
      <c r="AQ653" s="32">
        <f t="shared" ca="1" si="601"/>
        <v>42147.61864833138</v>
      </c>
      <c r="AR653" s="23">
        <f t="array" aca="1" ref="AR653" ca="1">SUM(IF(lsc_start_date=AO653,lsc_amount,0))</f>
        <v>0</v>
      </c>
      <c r="AS653" s="24">
        <f t="shared" ca="1" si="575"/>
        <v>0</v>
      </c>
      <c r="AT653" s="24">
        <f t="shared" ca="1" si="576"/>
        <v>0</v>
      </c>
      <c r="AU653" s="24">
        <f t="shared" ca="1" si="577"/>
        <v>0</v>
      </c>
      <c r="AV653" s="25">
        <f t="shared" ca="1" si="578"/>
        <v>0</v>
      </c>
      <c r="AW653" s="23">
        <f t="array" aca="1" ref="AW653" ca="1">SUM(IF(rcs_start_date&lt;=AO653,1,0)*IF(rcs_end_date&gt;=AO653,1,0)*rcs_amount*(1+rcs_escalation/100)^(INT((AP653-rcs_months_since_start)/12))*IF(MOD((AP653-rcs_months_since_start),rcs_frequency)=0,1,0)*IF(rcs_frequency=13,0,1))+SUM(IF(rcs_start_date=AO653,rcs_amount,0)*IF(rcs_frequency=13,1,0))</f>
        <v>0</v>
      </c>
      <c r="AX653" s="24">
        <f t="shared" ca="1" si="579"/>
        <v>0</v>
      </c>
      <c r="AY653" s="24">
        <f t="shared" ca="1" si="580"/>
        <v>0</v>
      </c>
      <c r="AZ653" s="24">
        <f t="shared" ca="1" si="581"/>
        <v>0</v>
      </c>
      <c r="BA653" s="25">
        <f t="shared" ca="1" si="582"/>
        <v>0</v>
      </c>
      <c r="BB653" s="23">
        <f t="array" aca="1" ref="BB653" ca="1">SUM(IF(w_start_date&lt;=AO653,1,0)*IF(w_end_date&gt;=AO653,1,0)*w_amount*(1+w_escalation/100)^(INT((AP653-w_months_since_start)/12))*IF(MOD(AP653-w_months_since_start,w_frequency)=0,1,0)*IF(w_frequency=13,0,1))+SUM(IF(w_start_date=AO653,w_amount,0)*IF(w_frequency=13,1,0))</f>
        <v>0</v>
      </c>
      <c r="BC653" s="25">
        <f t="shared" ca="1" si="583"/>
        <v>0</v>
      </c>
      <c r="BD653" s="24" t="b">
        <f t="shared" ca="1" si="584"/>
        <v>1</v>
      </c>
      <c r="BE653" s="24" t="b">
        <f t="shared" ca="1" si="585"/>
        <v>1</v>
      </c>
      <c r="BF653" s="23">
        <f t="array" aca="1" ref="BF653" ca="1">SUM(IF(BD653,1,0)*IF(ap_start_date&lt;=AO653,1,0)*IF(ap_end_date&gt;=AO653,1,0)*ap_amount*(1+ap_escalation/100)^(INT((AP653-ap_months_since_start)/12))*IF(MOD(AP653-ap_months_since_start,ap_frequency)=0,1,0))</f>
        <v>181747.43689117016</v>
      </c>
      <c r="BG653" s="24">
        <f t="shared" ca="1" si="586"/>
        <v>2180969.2426940422</v>
      </c>
      <c r="BH653" s="24">
        <f t="shared" ca="1" si="587"/>
        <v>1141.9454235856156</v>
      </c>
      <c r="BI653">
        <f t="shared" ca="1" si="588"/>
        <v>0</v>
      </c>
      <c r="BJ653" s="24">
        <f t="shared" ca="1" si="589"/>
        <v>7993.6179650993081</v>
      </c>
      <c r="BK653">
        <f t="shared" ca="1" si="590"/>
        <v>1</v>
      </c>
      <c r="BL653" s="25">
        <f t="shared" ca="1" si="591"/>
        <v>666.13483042494227</v>
      </c>
      <c r="BM653" s="32">
        <f t="shared" ca="1" si="570"/>
        <v>41780.454283415187</v>
      </c>
      <c r="BN653" s="23">
        <f t="shared" ca="1" si="592"/>
        <v>0</v>
      </c>
      <c r="BO653" s="24">
        <f t="shared" ca="1" si="593"/>
        <v>0</v>
      </c>
      <c r="BP653" s="25">
        <f t="shared" ca="1" si="594"/>
        <v>0</v>
      </c>
      <c r="BQ653" s="34">
        <f t="shared" ca="1" si="595"/>
        <v>65288</v>
      </c>
      <c r="BR653" s="23">
        <f t="shared" ca="1" si="596"/>
        <v>41780.454283415187</v>
      </c>
      <c r="BS653" s="24">
        <f t="shared" ca="1" si="597"/>
        <v>0</v>
      </c>
      <c r="BT653" s="24">
        <f t="shared" ca="1" si="562"/>
        <v>0</v>
      </c>
      <c r="BU653" s="24">
        <f t="shared" ca="1" si="598"/>
        <v>0</v>
      </c>
      <c r="BV653" s="24">
        <f t="shared" ca="1" si="563"/>
        <v>0</v>
      </c>
      <c r="BW653" s="24">
        <f t="shared" ca="1" si="599"/>
        <v>-666.13483042494227</v>
      </c>
      <c r="BX653" s="25">
        <f t="shared" ca="1" si="564"/>
        <v>-8062.2600462274859</v>
      </c>
      <c r="BY653" s="23">
        <f t="shared" ca="1" si="571"/>
        <v>5058.3831898629242</v>
      </c>
      <c r="BZ653" s="24">
        <f t="shared" ca="1" si="572"/>
        <v>0</v>
      </c>
      <c r="CA653" s="24">
        <f t="shared" ca="1" si="565"/>
        <v>0</v>
      </c>
      <c r="CB653" s="24">
        <f t="shared" ca="1" si="573"/>
        <v>0</v>
      </c>
      <c r="CC653" s="24">
        <f t="shared" ca="1" si="566"/>
        <v>0</v>
      </c>
      <c r="CD653" s="24">
        <f t="shared" ca="1" si="574"/>
        <v>-80.913344915031018</v>
      </c>
      <c r="CE653" s="25">
        <f t="shared" ca="1" si="567"/>
        <v>-997.27797741326413</v>
      </c>
      <c r="CF653" s="23">
        <f t="shared" ca="1" si="568"/>
        <v>2173978.9566597664</v>
      </c>
      <c r="CG653" s="25">
        <f t="array" aca="1" ref="CG653" ca="1">SUM(BF642:BF653/(1+inflation/100)^(AP642:AP653/12))</f>
        <v>267980.53702225379</v>
      </c>
      <c r="CH653" s="32">
        <f ca="1">IFERROR(IF(MOD(AP653-ap_months_since_start,12)=0,ap_drawdown/100*(AQ653+AV653+BA653-BC653),CH652),0)</f>
        <v>7020.4119569339136</v>
      </c>
    </row>
    <row r="654" spans="40:86" x14ac:dyDescent="0.25">
      <c r="AN654" s="32">
        <f t="shared" ca="1" si="569"/>
        <v>108.75</v>
      </c>
      <c r="AO654" s="53">
        <f t="shared" ca="1" si="600"/>
        <v>65289</v>
      </c>
      <c r="AP654" s="22">
        <v>647</v>
      </c>
      <c r="AQ654" s="32">
        <f t="shared" ca="1" si="601"/>
        <v>41780.454283415187</v>
      </c>
      <c r="AR654" s="23">
        <f t="array" aca="1" ref="AR654" ca="1">SUM(IF(lsc_start_date=AO654,lsc_amount,0))</f>
        <v>0</v>
      </c>
      <c r="AS654" s="24">
        <f t="shared" ca="1" si="575"/>
        <v>0</v>
      </c>
      <c r="AT654" s="24">
        <f t="shared" ca="1" si="576"/>
        <v>0</v>
      </c>
      <c r="AU654" s="24">
        <f t="shared" ca="1" si="577"/>
        <v>0</v>
      </c>
      <c r="AV654" s="25">
        <f t="shared" ca="1" si="578"/>
        <v>0</v>
      </c>
      <c r="AW654" s="23">
        <f t="array" aca="1" ref="AW654" ca="1">SUM(IF(rcs_start_date&lt;=AO654,1,0)*IF(rcs_end_date&gt;=AO654,1,0)*rcs_amount*(1+rcs_escalation/100)^(INT((AP654-rcs_months_since_start)/12))*IF(MOD((AP654-rcs_months_since_start),rcs_frequency)=0,1,0)*IF(rcs_frequency=13,0,1))+SUM(IF(rcs_start_date=AO654,rcs_amount,0)*IF(rcs_frequency=13,1,0))</f>
        <v>0</v>
      </c>
      <c r="AX654" s="24">
        <f t="shared" ca="1" si="579"/>
        <v>0</v>
      </c>
      <c r="AY654" s="24">
        <f t="shared" ca="1" si="580"/>
        <v>0</v>
      </c>
      <c r="AZ654" s="24">
        <f t="shared" ca="1" si="581"/>
        <v>0</v>
      </c>
      <c r="BA654" s="25">
        <f t="shared" ca="1" si="582"/>
        <v>0</v>
      </c>
      <c r="BB654" s="23">
        <f t="array" aca="1" ref="BB654" ca="1">SUM(IF(w_start_date&lt;=AO654,1,0)*IF(w_end_date&gt;=AO654,1,0)*w_amount*(1+w_escalation/100)^(INT((AP654-w_months_since_start)/12))*IF(MOD(AP654-w_months_since_start,w_frequency)=0,1,0)*IF(w_frequency=13,0,1))+SUM(IF(w_start_date=AO654,w_amount,0)*IF(w_frequency=13,1,0))</f>
        <v>0</v>
      </c>
      <c r="BC654" s="25">
        <f t="shared" ca="1" si="583"/>
        <v>0</v>
      </c>
      <c r="BD654" s="24" t="b">
        <f t="shared" ca="1" si="584"/>
        <v>1</v>
      </c>
      <c r="BE654" s="24" t="b">
        <f t="shared" ca="1" si="585"/>
        <v>1</v>
      </c>
      <c r="BF654" s="23">
        <f t="array" aca="1" ref="BF654" ca="1">SUM(IF(BD654,1,0)*IF(ap_start_date&lt;=AO654,1,0)*IF(ap_end_date&gt;=AO654,1,0)*ap_amount*(1+ap_escalation/100)^(INT((AP654-ap_months_since_start)/12))*IF(MOD(AP654-ap_months_since_start,ap_frequency)=0,1,0))</f>
        <v>181747.43689117016</v>
      </c>
      <c r="BG654" s="24">
        <f t="shared" ca="1" si="586"/>
        <v>2180969.2426940422</v>
      </c>
      <c r="BH654" s="24">
        <f t="shared" ca="1" si="587"/>
        <v>1141.9454235856156</v>
      </c>
      <c r="BI654">
        <f t="shared" ca="1" si="588"/>
        <v>0</v>
      </c>
      <c r="BJ654" s="24">
        <f t="shared" ca="1" si="589"/>
        <v>7993.6179650993081</v>
      </c>
      <c r="BK654">
        <f t="shared" ca="1" si="590"/>
        <v>1</v>
      </c>
      <c r="BL654" s="25">
        <f t="shared" ca="1" si="591"/>
        <v>666.13483042494227</v>
      </c>
      <c r="BM654" s="32">
        <f t="shared" ca="1" si="570"/>
        <v>41410.643646210876</v>
      </c>
      <c r="BN654" s="23">
        <f t="shared" ca="1" si="592"/>
        <v>0</v>
      </c>
      <c r="BO654" s="24">
        <f t="shared" ca="1" si="593"/>
        <v>0</v>
      </c>
      <c r="BP654" s="25">
        <f t="shared" ca="1" si="594"/>
        <v>0</v>
      </c>
      <c r="BQ654" s="34">
        <f t="shared" ca="1" si="595"/>
        <v>65319</v>
      </c>
      <c r="BR654" s="23">
        <f t="shared" ca="1" si="596"/>
        <v>41410.643646210876</v>
      </c>
      <c r="BS654" s="24">
        <f t="shared" ca="1" si="597"/>
        <v>0</v>
      </c>
      <c r="BT654" s="24">
        <f t="shared" ca="1" si="562"/>
        <v>0</v>
      </c>
      <c r="BU654" s="24">
        <f t="shared" ca="1" si="598"/>
        <v>0</v>
      </c>
      <c r="BV654" s="24">
        <f t="shared" ca="1" si="563"/>
        <v>0</v>
      </c>
      <c r="BW654" s="24">
        <f t="shared" ca="1" si="599"/>
        <v>-666.13483042494227</v>
      </c>
      <c r="BX654" s="25">
        <f t="shared" ca="1" si="564"/>
        <v>-7993.6179650993072</v>
      </c>
      <c r="BY654" s="23">
        <f t="shared" ca="1" si="571"/>
        <v>4997.2503100751655</v>
      </c>
      <c r="BZ654" s="24">
        <f t="shared" ca="1" si="572"/>
        <v>0</v>
      </c>
      <c r="CA654" s="24">
        <f t="shared" ca="1" si="565"/>
        <v>0</v>
      </c>
      <c r="CB654" s="24">
        <f t="shared" ca="1" si="573"/>
        <v>0</v>
      </c>
      <c r="CC654" s="24">
        <f t="shared" ca="1" si="566"/>
        <v>0</v>
      </c>
      <c r="CD654" s="24">
        <f t="shared" ca="1" si="574"/>
        <v>-80.649320027649196</v>
      </c>
      <c r="CE654" s="25">
        <f t="shared" ca="1" si="567"/>
        <v>-985.40904767305244</v>
      </c>
      <c r="CF654" s="23">
        <f t="shared" ca="1" si="568"/>
        <v>2180969.2426940422</v>
      </c>
      <c r="CG654" s="25">
        <f t="array" aca="1" ref="CG654" ca="1">SUM(BF643:BF654/(1+inflation/100)^(AP643:AP654/12))</f>
        <v>267980.53702225385</v>
      </c>
      <c r="CH654" s="32">
        <f ca="1">IFERROR(IF(MOD(AP654-ap_months_since_start,12)=0,ap_drawdown/100*(AQ654+AV654+BA654-BC654),CH653),0)</f>
        <v>7020.4119569339136</v>
      </c>
    </row>
    <row r="655" spans="40:86" x14ac:dyDescent="0.25">
      <c r="AN655" s="32">
        <f t="shared" ca="1" si="569"/>
        <v>108.83333333333333</v>
      </c>
      <c r="AO655" s="53">
        <f t="shared" ca="1" si="600"/>
        <v>65320</v>
      </c>
      <c r="AP655" s="22">
        <v>648</v>
      </c>
      <c r="AQ655" s="32">
        <f t="shared" ca="1" si="601"/>
        <v>41410.643646210876</v>
      </c>
      <c r="AR655" s="23">
        <f t="array" aca="1" ref="AR655" ca="1">SUM(IF(lsc_start_date=AO655,lsc_amount,0))</f>
        <v>0</v>
      </c>
      <c r="AS655" s="24">
        <f t="shared" ca="1" si="575"/>
        <v>0</v>
      </c>
      <c r="AT655" s="24">
        <f t="shared" ca="1" si="576"/>
        <v>0</v>
      </c>
      <c r="AU655" s="24">
        <f t="shared" ca="1" si="577"/>
        <v>0</v>
      </c>
      <c r="AV655" s="25">
        <f t="shared" ca="1" si="578"/>
        <v>0</v>
      </c>
      <c r="AW655" s="23">
        <f t="array" aca="1" ref="AW655" ca="1">SUM(IF(rcs_start_date&lt;=AO655,1,0)*IF(rcs_end_date&gt;=AO655,1,0)*rcs_amount*(1+rcs_escalation/100)^(INT((AP655-rcs_months_since_start)/12))*IF(MOD((AP655-rcs_months_since_start),rcs_frequency)=0,1,0)*IF(rcs_frequency=13,0,1))+SUM(IF(rcs_start_date=AO655,rcs_amount,0)*IF(rcs_frequency=13,1,0))</f>
        <v>0</v>
      </c>
      <c r="AX655" s="24">
        <f t="shared" ca="1" si="579"/>
        <v>0</v>
      </c>
      <c r="AY655" s="24">
        <f t="shared" ca="1" si="580"/>
        <v>0</v>
      </c>
      <c r="AZ655" s="24">
        <f t="shared" ca="1" si="581"/>
        <v>0</v>
      </c>
      <c r="BA655" s="25">
        <f t="shared" ca="1" si="582"/>
        <v>0</v>
      </c>
      <c r="BB655" s="23">
        <f t="array" aca="1" ref="BB655" ca="1">SUM(IF(w_start_date&lt;=AO655,1,0)*IF(w_end_date&gt;=AO655,1,0)*w_amount*(1+w_escalation/100)^(INT((AP655-w_months_since_start)/12))*IF(MOD(AP655-w_months_since_start,w_frequency)=0,1,0)*IF(w_frequency=13,0,1))+SUM(IF(w_start_date=AO655,w_amount,0)*IF(w_frequency=13,1,0))</f>
        <v>0</v>
      </c>
      <c r="BC655" s="25">
        <f t="shared" ca="1" si="583"/>
        <v>0</v>
      </c>
      <c r="BD655" s="24" t="b">
        <f t="shared" ca="1" si="584"/>
        <v>1</v>
      </c>
      <c r="BE655" s="24" t="b">
        <f t="shared" ca="1" si="585"/>
        <v>1</v>
      </c>
      <c r="BF655" s="23">
        <f t="array" aca="1" ref="BF655" ca="1">SUM(IF(BD655,1,0)*IF(ap_start_date&lt;=AO655,1,0)*IF(ap_end_date&gt;=AO655,1,0)*ap_amount*(1+ap_escalation/100)^(INT((AP655-ap_months_since_start)/12))*IF(MOD(AP655-ap_months_since_start,ap_frequency)=0,1,0))</f>
        <v>189017.334366817</v>
      </c>
      <c r="BG655" s="24">
        <f t="shared" ca="1" si="586"/>
        <v>2268208.0124018039</v>
      </c>
      <c r="BH655" s="24">
        <f t="shared" ca="1" si="587"/>
        <v>1035.2660911552719</v>
      </c>
      <c r="BI655">
        <f t="shared" ca="1" si="588"/>
        <v>0</v>
      </c>
      <c r="BJ655" s="24">
        <f t="shared" ca="1" si="589"/>
        <v>7246.8626380869027</v>
      </c>
      <c r="BK655">
        <f t="shared" ca="1" si="590"/>
        <v>1</v>
      </c>
      <c r="BL655" s="25">
        <f t="shared" ca="1" si="591"/>
        <v>603.90521984057534</v>
      </c>
      <c r="BM655" s="32">
        <f t="shared" ca="1" si="570"/>
        <v>41100.845783686171</v>
      </c>
      <c r="BN655" s="23">
        <f t="shared" ca="1" si="592"/>
        <v>0</v>
      </c>
      <c r="BO655" s="24">
        <f t="shared" ca="1" si="593"/>
        <v>0</v>
      </c>
      <c r="BP655" s="25">
        <f t="shared" ca="1" si="594"/>
        <v>0</v>
      </c>
      <c r="BQ655" s="34">
        <f t="shared" ca="1" si="595"/>
        <v>65349</v>
      </c>
      <c r="BR655" s="23">
        <f t="shared" ca="1" si="596"/>
        <v>41100.845783686171</v>
      </c>
      <c r="BS655" s="24">
        <f t="shared" ca="1" si="597"/>
        <v>0</v>
      </c>
      <c r="BT655" s="24">
        <f t="shared" ca="1" si="562"/>
        <v>0</v>
      </c>
      <c r="BU655" s="24">
        <f t="shared" ca="1" si="598"/>
        <v>0</v>
      </c>
      <c r="BV655" s="24">
        <f t="shared" ca="1" si="563"/>
        <v>0</v>
      </c>
      <c r="BW655" s="24">
        <f t="shared" ca="1" si="599"/>
        <v>-603.90521984057534</v>
      </c>
      <c r="BX655" s="25">
        <f t="shared" ca="1" si="564"/>
        <v>-7931.3883545149401</v>
      </c>
      <c r="BY655" s="23">
        <f t="shared" ca="1" si="571"/>
        <v>4943.6809716814187</v>
      </c>
      <c r="BZ655" s="24">
        <f t="shared" ca="1" si="572"/>
        <v>0</v>
      </c>
      <c r="CA655" s="24">
        <f t="shared" ca="1" si="565"/>
        <v>0</v>
      </c>
      <c r="CB655" s="24">
        <f t="shared" ca="1" si="573"/>
        <v>0</v>
      </c>
      <c r="CC655" s="24">
        <f t="shared" ca="1" si="566"/>
        <v>0</v>
      </c>
      <c r="CD655" s="24">
        <f t="shared" ca="1" si="574"/>
        <v>-72.876567021929503</v>
      </c>
      <c r="CE655" s="25">
        <f t="shared" ca="1" si="567"/>
        <v>-974.68401175961174</v>
      </c>
      <c r="CF655" s="23">
        <f t="shared" ca="1" si="568"/>
        <v>2188239.140169689</v>
      </c>
      <c r="CG655" s="25">
        <f t="array" aca="1" ref="CG655" ca="1">SUM(BF644:BF655/(1+inflation/100)^(AP644:AP655/12))</f>
        <v>267980.53702225379</v>
      </c>
      <c r="CH655" s="32">
        <f ca="1">IFERROR(IF(MOD(AP655-ap_months_since_start,12)=0,ap_drawdown/100*(AQ655+AV655+BA655-BC655),CH654),0)</f>
        <v>6364.5725048170825</v>
      </c>
    </row>
    <row r="656" spans="40:86" x14ac:dyDescent="0.25">
      <c r="AN656" s="32">
        <f t="shared" ca="1" si="569"/>
        <v>108.91666666666667</v>
      </c>
      <c r="AO656" s="53">
        <f t="shared" ca="1" si="600"/>
        <v>65350</v>
      </c>
      <c r="AP656" s="22">
        <v>649</v>
      </c>
      <c r="AQ656" s="32">
        <f t="shared" ca="1" si="601"/>
        <v>41100.845783686171</v>
      </c>
      <c r="AR656" s="23">
        <f t="array" aca="1" ref="AR656" ca="1">SUM(IF(lsc_start_date=AO656,lsc_amount,0))</f>
        <v>0</v>
      </c>
      <c r="AS656" s="24">
        <f t="shared" ca="1" si="575"/>
        <v>0</v>
      </c>
      <c r="AT656" s="24">
        <f t="shared" ca="1" si="576"/>
        <v>0</v>
      </c>
      <c r="AU656" s="24">
        <f t="shared" ca="1" si="577"/>
        <v>0</v>
      </c>
      <c r="AV656" s="25">
        <f t="shared" ca="1" si="578"/>
        <v>0</v>
      </c>
      <c r="AW656" s="23">
        <f t="array" aca="1" ref="AW656" ca="1">SUM(IF(rcs_start_date&lt;=AO656,1,0)*IF(rcs_end_date&gt;=AO656,1,0)*rcs_amount*(1+rcs_escalation/100)^(INT((AP656-rcs_months_since_start)/12))*IF(MOD((AP656-rcs_months_since_start),rcs_frequency)=0,1,0)*IF(rcs_frequency=13,0,1))+SUM(IF(rcs_start_date=AO656,rcs_amount,0)*IF(rcs_frequency=13,1,0))</f>
        <v>0</v>
      </c>
      <c r="AX656" s="24">
        <f t="shared" ca="1" si="579"/>
        <v>0</v>
      </c>
      <c r="AY656" s="24">
        <f t="shared" ca="1" si="580"/>
        <v>0</v>
      </c>
      <c r="AZ656" s="24">
        <f t="shared" ca="1" si="581"/>
        <v>0</v>
      </c>
      <c r="BA656" s="25">
        <f t="shared" ca="1" si="582"/>
        <v>0</v>
      </c>
      <c r="BB656" s="23">
        <f t="array" aca="1" ref="BB656" ca="1">SUM(IF(w_start_date&lt;=AO656,1,0)*IF(w_end_date&gt;=AO656,1,0)*w_amount*(1+w_escalation/100)^(INT((AP656-w_months_since_start)/12))*IF(MOD(AP656-w_months_since_start,w_frequency)=0,1,0)*IF(w_frequency=13,0,1))+SUM(IF(w_start_date=AO656,w_amount,0)*IF(w_frequency=13,1,0))</f>
        <v>0</v>
      </c>
      <c r="BC656" s="25">
        <f t="shared" ca="1" si="583"/>
        <v>0</v>
      </c>
      <c r="BD656" s="24" t="b">
        <f t="shared" ca="1" si="584"/>
        <v>1</v>
      </c>
      <c r="BE656" s="24" t="b">
        <f t="shared" ca="1" si="585"/>
        <v>1</v>
      </c>
      <c r="BF656" s="23">
        <f t="array" aca="1" ref="BF656" ca="1">SUM(IF(BD656,1,0)*IF(ap_start_date&lt;=AO656,1,0)*IF(ap_end_date&gt;=AO656,1,0)*ap_amount*(1+ap_escalation/100)^(INT((AP656-ap_months_since_start)/12))*IF(MOD(AP656-ap_months_since_start,ap_frequency)=0,1,0))</f>
        <v>189017.334366817</v>
      </c>
      <c r="BG656" s="24">
        <f t="shared" ca="1" si="586"/>
        <v>2268208.0124018039</v>
      </c>
      <c r="BH656" s="24">
        <f t="shared" ca="1" si="587"/>
        <v>1035.2660911552719</v>
      </c>
      <c r="BI656">
        <f t="shared" ca="1" si="588"/>
        <v>0</v>
      </c>
      <c r="BJ656" s="24">
        <f t="shared" ca="1" si="589"/>
        <v>7246.8626380869027</v>
      </c>
      <c r="BK656">
        <f t="shared" ca="1" si="590"/>
        <v>1</v>
      </c>
      <c r="BL656" s="25">
        <f t="shared" ca="1" si="591"/>
        <v>603.90521984057534</v>
      </c>
      <c r="BM656" s="32">
        <f t="shared" ca="1" si="570"/>
        <v>40788.815107803603</v>
      </c>
      <c r="BN656" s="23">
        <f t="shared" ca="1" si="592"/>
        <v>0</v>
      </c>
      <c r="BO656" s="24">
        <f t="shared" ca="1" si="593"/>
        <v>0</v>
      </c>
      <c r="BP656" s="25">
        <f t="shared" ca="1" si="594"/>
        <v>0</v>
      </c>
      <c r="BQ656" s="34">
        <f t="shared" ca="1" si="595"/>
        <v>65380</v>
      </c>
      <c r="BR656" s="23">
        <f t="shared" ca="1" si="596"/>
        <v>40788.815107803603</v>
      </c>
      <c r="BS656" s="24">
        <f t="shared" ca="1" si="597"/>
        <v>0</v>
      </c>
      <c r="BT656" s="24">
        <f t="shared" ca="1" si="562"/>
        <v>0</v>
      </c>
      <c r="BU656" s="24">
        <f t="shared" ca="1" si="598"/>
        <v>0</v>
      </c>
      <c r="BV656" s="24">
        <f t="shared" ca="1" si="563"/>
        <v>0</v>
      </c>
      <c r="BW656" s="24">
        <f t="shared" ca="1" si="599"/>
        <v>-603.90521984057534</v>
      </c>
      <c r="BX656" s="25">
        <f t="shared" ca="1" si="564"/>
        <v>-7869.1587439305731</v>
      </c>
      <c r="BY656" s="23">
        <f t="shared" ca="1" si="571"/>
        <v>4890.1403341854439</v>
      </c>
      <c r="BZ656" s="24">
        <f t="shared" ca="1" si="572"/>
        <v>0</v>
      </c>
      <c r="CA656" s="24">
        <f t="shared" ca="1" si="565"/>
        <v>0</v>
      </c>
      <c r="CB656" s="24">
        <f t="shared" ca="1" si="573"/>
        <v>0</v>
      </c>
      <c r="CC656" s="24">
        <f t="shared" ca="1" si="566"/>
        <v>0</v>
      </c>
      <c r="CD656" s="24">
        <f t="shared" ca="1" si="574"/>
        <v>-72.638766601974709</v>
      </c>
      <c r="CE656" s="25">
        <f t="shared" ca="1" si="567"/>
        <v>-963.99397225377493</v>
      </c>
      <c r="CF656" s="23">
        <f t="shared" ca="1" si="568"/>
        <v>2195509.0376453358</v>
      </c>
      <c r="CG656" s="25">
        <f t="array" aca="1" ref="CG656" ca="1">SUM(BF645:BF656/(1+inflation/100)^(AP645:AP656/12))</f>
        <v>267980.53702225385</v>
      </c>
      <c r="CH656" s="32">
        <f ca="1">IFERROR(IF(MOD(AP656-ap_months_since_start,12)=0,ap_drawdown/100*(AQ656+AV656+BA656-BC656),CH655),0)</f>
        <v>6364.5725048170825</v>
      </c>
    </row>
    <row r="657" spans="40:86" x14ac:dyDescent="0.25">
      <c r="AN657" s="32">
        <f t="shared" ca="1" si="569"/>
        <v>109</v>
      </c>
      <c r="AO657" s="53">
        <f t="shared" ca="1" si="600"/>
        <v>65381</v>
      </c>
      <c r="AP657" s="22">
        <v>650</v>
      </c>
      <c r="AQ657" s="32">
        <f t="shared" ca="1" si="601"/>
        <v>40788.815107803603</v>
      </c>
      <c r="AR657" s="23">
        <f t="array" aca="1" ref="AR657" ca="1">SUM(IF(lsc_start_date=AO657,lsc_amount,0))</f>
        <v>0</v>
      </c>
      <c r="AS657" s="24">
        <f t="shared" ca="1" si="575"/>
        <v>0</v>
      </c>
      <c r="AT657" s="24">
        <f t="shared" ca="1" si="576"/>
        <v>0</v>
      </c>
      <c r="AU657" s="24">
        <f t="shared" ca="1" si="577"/>
        <v>0</v>
      </c>
      <c r="AV657" s="25">
        <f t="shared" ca="1" si="578"/>
        <v>0</v>
      </c>
      <c r="AW657" s="23">
        <f t="array" aca="1" ref="AW657" ca="1">SUM(IF(rcs_start_date&lt;=AO657,1,0)*IF(rcs_end_date&gt;=AO657,1,0)*rcs_amount*(1+rcs_escalation/100)^(INT((AP657-rcs_months_since_start)/12))*IF(MOD((AP657-rcs_months_since_start),rcs_frequency)=0,1,0)*IF(rcs_frequency=13,0,1))+SUM(IF(rcs_start_date=AO657,rcs_amount,0)*IF(rcs_frequency=13,1,0))</f>
        <v>0</v>
      </c>
      <c r="AX657" s="24">
        <f t="shared" ca="1" si="579"/>
        <v>0</v>
      </c>
      <c r="AY657" s="24">
        <f t="shared" ca="1" si="580"/>
        <v>0</v>
      </c>
      <c r="AZ657" s="24">
        <f t="shared" ca="1" si="581"/>
        <v>0</v>
      </c>
      <c r="BA657" s="25">
        <f t="shared" ca="1" si="582"/>
        <v>0</v>
      </c>
      <c r="BB657" s="23">
        <f t="array" aca="1" ref="BB657" ca="1">SUM(IF(w_start_date&lt;=AO657,1,0)*IF(w_end_date&gt;=AO657,1,0)*w_amount*(1+w_escalation/100)^(INT((AP657-w_months_since_start)/12))*IF(MOD(AP657-w_months_since_start,w_frequency)=0,1,0)*IF(w_frequency=13,0,1))+SUM(IF(w_start_date=AO657,w_amount,0)*IF(w_frequency=13,1,0))</f>
        <v>0</v>
      </c>
      <c r="BC657" s="25">
        <f t="shared" ca="1" si="583"/>
        <v>0</v>
      </c>
      <c r="BD657" s="24" t="b">
        <f t="shared" ca="1" si="584"/>
        <v>1</v>
      </c>
      <c r="BE657" s="24" t="b">
        <f t="shared" ca="1" si="585"/>
        <v>1</v>
      </c>
      <c r="BF657" s="23">
        <f t="array" aca="1" ref="BF657" ca="1">SUM(IF(BD657,1,0)*IF(ap_start_date&lt;=AO657,1,0)*IF(ap_end_date&gt;=AO657,1,0)*ap_amount*(1+ap_escalation/100)^(INT((AP657-ap_months_since_start)/12))*IF(MOD(AP657-ap_months_since_start,ap_frequency)=0,1,0))</f>
        <v>189017.334366817</v>
      </c>
      <c r="BG657" s="24">
        <f t="shared" ca="1" si="586"/>
        <v>2268208.0124018039</v>
      </c>
      <c r="BH657" s="24">
        <f t="shared" ca="1" si="587"/>
        <v>1035.2660911552719</v>
      </c>
      <c r="BI657">
        <f t="shared" ca="1" si="588"/>
        <v>0</v>
      </c>
      <c r="BJ657" s="24">
        <f t="shared" ca="1" si="589"/>
        <v>7246.8626380869027</v>
      </c>
      <c r="BK657">
        <f t="shared" ca="1" si="590"/>
        <v>1</v>
      </c>
      <c r="BL657" s="25">
        <f t="shared" ca="1" si="591"/>
        <v>603.90521984057534</v>
      </c>
      <c r="BM657" s="32">
        <f t="shared" ca="1" si="570"/>
        <v>40474.535525955391</v>
      </c>
      <c r="BN657" s="23">
        <f t="shared" ca="1" si="592"/>
        <v>0</v>
      </c>
      <c r="BO657" s="24">
        <f t="shared" ca="1" si="593"/>
        <v>0</v>
      </c>
      <c r="BP657" s="25">
        <f t="shared" ca="1" si="594"/>
        <v>0</v>
      </c>
      <c r="BQ657" s="34">
        <f t="shared" ca="1" si="595"/>
        <v>65411</v>
      </c>
      <c r="BR657" s="23">
        <f t="shared" ca="1" si="596"/>
        <v>40474.535525955391</v>
      </c>
      <c r="BS657" s="24">
        <f t="shared" ca="1" si="597"/>
        <v>0</v>
      </c>
      <c r="BT657" s="24">
        <f t="shared" ca="1" si="562"/>
        <v>0</v>
      </c>
      <c r="BU657" s="24">
        <f t="shared" ca="1" si="598"/>
        <v>0</v>
      </c>
      <c r="BV657" s="24">
        <f t="shared" ca="1" si="563"/>
        <v>0</v>
      </c>
      <c r="BW657" s="24">
        <f t="shared" ca="1" si="599"/>
        <v>-603.90521984057534</v>
      </c>
      <c r="BX657" s="25">
        <f t="shared" ca="1" si="564"/>
        <v>-7806.9291333462061</v>
      </c>
      <c r="BY657" s="23">
        <f t="shared" ca="1" si="571"/>
        <v>4836.6277311174763</v>
      </c>
      <c r="BZ657" s="24">
        <f t="shared" ca="1" si="572"/>
        <v>0</v>
      </c>
      <c r="CA657" s="24">
        <f t="shared" ca="1" si="565"/>
        <v>0</v>
      </c>
      <c r="CB657" s="24">
        <f t="shared" ca="1" si="573"/>
        <v>0</v>
      </c>
      <c r="CC657" s="24">
        <f t="shared" ca="1" si="566"/>
        <v>0</v>
      </c>
      <c r="CD657" s="24">
        <f t="shared" ca="1" si="574"/>
        <v>-72.401742138435665</v>
      </c>
      <c r="CE657" s="25">
        <f t="shared" ca="1" si="567"/>
        <v>-953.33881496025526</v>
      </c>
      <c r="CF657" s="23">
        <f t="shared" ca="1" si="568"/>
        <v>2202778.9351209826</v>
      </c>
      <c r="CG657" s="25">
        <f t="array" aca="1" ref="CG657" ca="1">SUM(BF646:BF657/(1+inflation/100)^(AP646:AP657/12))</f>
        <v>267980.53702225385</v>
      </c>
      <c r="CH657" s="32">
        <f ca="1">IFERROR(IF(MOD(AP657-ap_months_since_start,12)=0,ap_drawdown/100*(AQ657+AV657+BA657-BC657),CH656),0)</f>
        <v>6364.5725048170825</v>
      </c>
    </row>
    <row r="658" spans="40:86" x14ac:dyDescent="0.25">
      <c r="AN658" s="32">
        <f t="shared" ca="1" si="569"/>
        <v>109.08333333333333</v>
      </c>
      <c r="AO658" s="53">
        <f t="shared" ca="1" si="600"/>
        <v>65412</v>
      </c>
      <c r="AP658" s="22">
        <v>651</v>
      </c>
      <c r="AQ658" s="32">
        <f t="shared" ca="1" si="601"/>
        <v>40474.535525955391</v>
      </c>
      <c r="AR658" s="23">
        <f t="array" aca="1" ref="AR658" ca="1">SUM(IF(lsc_start_date=AO658,lsc_amount,0))</f>
        <v>0</v>
      </c>
      <c r="AS658" s="24">
        <f t="shared" ca="1" si="575"/>
        <v>0</v>
      </c>
      <c r="AT658" s="24">
        <f t="shared" ca="1" si="576"/>
        <v>0</v>
      </c>
      <c r="AU658" s="24">
        <f t="shared" ca="1" si="577"/>
        <v>0</v>
      </c>
      <c r="AV658" s="25">
        <f t="shared" ca="1" si="578"/>
        <v>0</v>
      </c>
      <c r="AW658" s="23">
        <f t="array" aca="1" ref="AW658" ca="1">SUM(IF(rcs_start_date&lt;=AO658,1,0)*IF(rcs_end_date&gt;=AO658,1,0)*rcs_amount*(1+rcs_escalation/100)^(INT((AP658-rcs_months_since_start)/12))*IF(MOD((AP658-rcs_months_since_start),rcs_frequency)=0,1,0)*IF(rcs_frequency=13,0,1))+SUM(IF(rcs_start_date=AO658,rcs_amount,0)*IF(rcs_frequency=13,1,0))</f>
        <v>0</v>
      </c>
      <c r="AX658" s="24">
        <f t="shared" ca="1" si="579"/>
        <v>0</v>
      </c>
      <c r="AY658" s="24">
        <f t="shared" ca="1" si="580"/>
        <v>0</v>
      </c>
      <c r="AZ658" s="24">
        <f t="shared" ca="1" si="581"/>
        <v>0</v>
      </c>
      <c r="BA658" s="25">
        <f t="shared" ca="1" si="582"/>
        <v>0</v>
      </c>
      <c r="BB658" s="23">
        <f t="array" aca="1" ref="BB658" ca="1">SUM(IF(w_start_date&lt;=AO658,1,0)*IF(w_end_date&gt;=AO658,1,0)*w_amount*(1+w_escalation/100)^(INT((AP658-w_months_since_start)/12))*IF(MOD(AP658-w_months_since_start,w_frequency)=0,1,0)*IF(w_frequency=13,0,1))+SUM(IF(w_start_date=AO658,w_amount,0)*IF(w_frequency=13,1,0))</f>
        <v>0</v>
      </c>
      <c r="BC658" s="25">
        <f t="shared" ca="1" si="583"/>
        <v>0</v>
      </c>
      <c r="BD658" s="24" t="b">
        <f t="shared" ca="1" si="584"/>
        <v>1</v>
      </c>
      <c r="BE658" s="24" t="b">
        <f t="shared" ca="1" si="585"/>
        <v>1</v>
      </c>
      <c r="BF658" s="23">
        <f t="array" aca="1" ref="BF658" ca="1">SUM(IF(BD658,1,0)*IF(ap_start_date&lt;=AO658,1,0)*IF(ap_end_date&gt;=AO658,1,0)*ap_amount*(1+ap_escalation/100)^(INT((AP658-ap_months_since_start)/12))*IF(MOD(AP658-ap_months_since_start,ap_frequency)=0,1,0))</f>
        <v>189017.334366817</v>
      </c>
      <c r="BG658" s="24">
        <f t="shared" ca="1" si="586"/>
        <v>2268208.0124018039</v>
      </c>
      <c r="BH658" s="24">
        <f t="shared" ca="1" si="587"/>
        <v>1035.2660911552719</v>
      </c>
      <c r="BI658">
        <f t="shared" ca="1" si="588"/>
        <v>0</v>
      </c>
      <c r="BJ658" s="24">
        <f t="shared" ca="1" si="589"/>
        <v>7246.8626380869027</v>
      </c>
      <c r="BK658">
        <f t="shared" ca="1" si="590"/>
        <v>1</v>
      </c>
      <c r="BL658" s="25">
        <f t="shared" ca="1" si="591"/>
        <v>603.90521984057534</v>
      </c>
      <c r="BM658" s="32">
        <f t="shared" ca="1" si="570"/>
        <v>40157.99082954914</v>
      </c>
      <c r="BN658" s="23">
        <f t="shared" ca="1" si="592"/>
        <v>0</v>
      </c>
      <c r="BO658" s="24">
        <f t="shared" ca="1" si="593"/>
        <v>0</v>
      </c>
      <c r="BP658" s="25">
        <f t="shared" ca="1" si="594"/>
        <v>0</v>
      </c>
      <c r="BQ658" s="34">
        <f t="shared" ca="1" si="595"/>
        <v>65439</v>
      </c>
      <c r="BR658" s="23">
        <f t="shared" ca="1" si="596"/>
        <v>40157.99082954914</v>
      </c>
      <c r="BS658" s="24">
        <f t="shared" ca="1" si="597"/>
        <v>0</v>
      </c>
      <c r="BT658" s="24">
        <f t="shared" ca="1" si="562"/>
        <v>0</v>
      </c>
      <c r="BU658" s="24">
        <f t="shared" ca="1" si="598"/>
        <v>0</v>
      </c>
      <c r="BV658" s="24">
        <f t="shared" ca="1" si="563"/>
        <v>0</v>
      </c>
      <c r="BW658" s="24">
        <f t="shared" ca="1" si="599"/>
        <v>-603.90521984057534</v>
      </c>
      <c r="BX658" s="25">
        <f t="shared" ca="1" si="564"/>
        <v>-7744.699522761839</v>
      </c>
      <c r="BY658" s="23">
        <f t="shared" ca="1" si="571"/>
        <v>4783.1424959366132</v>
      </c>
      <c r="BZ658" s="24">
        <f t="shared" ca="1" si="572"/>
        <v>0</v>
      </c>
      <c r="CA658" s="24">
        <f t="shared" ca="1" si="565"/>
        <v>0</v>
      </c>
      <c r="CB658" s="24">
        <f t="shared" ca="1" si="573"/>
        <v>0</v>
      </c>
      <c r="CC658" s="24">
        <f t="shared" ca="1" si="566"/>
        <v>0</v>
      </c>
      <c r="CD658" s="24">
        <f t="shared" ca="1" si="574"/>
        <v>-72.165491099321912</v>
      </c>
      <c r="CE658" s="25">
        <f t="shared" ca="1" si="567"/>
        <v>-942.71842605639256</v>
      </c>
      <c r="CF658" s="23">
        <f t="shared" ca="1" si="568"/>
        <v>2210048.8325966294</v>
      </c>
      <c r="CG658" s="25">
        <f t="array" aca="1" ref="CG658" ca="1">SUM(BF647:BF658/(1+inflation/100)^(AP647:AP658/12))</f>
        <v>267980.53702225379</v>
      </c>
      <c r="CH658" s="32">
        <f ca="1">IFERROR(IF(MOD(AP658-ap_months_since_start,12)=0,ap_drawdown/100*(AQ658+AV658+BA658-BC658),CH657),0)</f>
        <v>6364.5725048170825</v>
      </c>
    </row>
    <row r="659" spans="40:86" x14ac:dyDescent="0.25">
      <c r="AN659" s="32">
        <f t="shared" ca="1" si="569"/>
        <v>109.16666666666667</v>
      </c>
      <c r="AO659" s="53">
        <f t="shared" ca="1" si="600"/>
        <v>65440</v>
      </c>
      <c r="AP659" s="22">
        <v>652</v>
      </c>
      <c r="AQ659" s="32">
        <f t="shared" ca="1" si="601"/>
        <v>40157.99082954914</v>
      </c>
      <c r="AR659" s="23">
        <f t="array" aca="1" ref="AR659" ca="1">SUM(IF(lsc_start_date=AO659,lsc_amount,0))</f>
        <v>0</v>
      </c>
      <c r="AS659" s="24">
        <f t="shared" ca="1" si="575"/>
        <v>0</v>
      </c>
      <c r="AT659" s="24">
        <f t="shared" ca="1" si="576"/>
        <v>0</v>
      </c>
      <c r="AU659" s="24">
        <f t="shared" ca="1" si="577"/>
        <v>0</v>
      </c>
      <c r="AV659" s="25">
        <f t="shared" ca="1" si="578"/>
        <v>0</v>
      </c>
      <c r="AW659" s="23">
        <f t="array" aca="1" ref="AW659" ca="1">SUM(IF(rcs_start_date&lt;=AO659,1,0)*IF(rcs_end_date&gt;=AO659,1,0)*rcs_amount*(1+rcs_escalation/100)^(INT((AP659-rcs_months_since_start)/12))*IF(MOD((AP659-rcs_months_since_start),rcs_frequency)=0,1,0)*IF(rcs_frequency=13,0,1))+SUM(IF(rcs_start_date=AO659,rcs_amount,0)*IF(rcs_frequency=13,1,0))</f>
        <v>0</v>
      </c>
      <c r="AX659" s="24">
        <f t="shared" ca="1" si="579"/>
        <v>0</v>
      </c>
      <c r="AY659" s="24">
        <f t="shared" ca="1" si="580"/>
        <v>0</v>
      </c>
      <c r="AZ659" s="24">
        <f t="shared" ca="1" si="581"/>
        <v>0</v>
      </c>
      <c r="BA659" s="25">
        <f t="shared" ca="1" si="582"/>
        <v>0</v>
      </c>
      <c r="BB659" s="23">
        <f t="array" aca="1" ref="BB659" ca="1">SUM(IF(w_start_date&lt;=AO659,1,0)*IF(w_end_date&gt;=AO659,1,0)*w_amount*(1+w_escalation/100)^(INT((AP659-w_months_since_start)/12))*IF(MOD(AP659-w_months_since_start,w_frequency)=0,1,0)*IF(w_frequency=13,0,1))+SUM(IF(w_start_date=AO659,w_amount,0)*IF(w_frequency=13,1,0))</f>
        <v>0</v>
      </c>
      <c r="BC659" s="25">
        <f t="shared" ca="1" si="583"/>
        <v>0</v>
      </c>
      <c r="BD659" s="24" t="b">
        <f t="shared" ca="1" si="584"/>
        <v>1</v>
      </c>
      <c r="BE659" s="24" t="b">
        <f t="shared" ca="1" si="585"/>
        <v>1</v>
      </c>
      <c r="BF659" s="23">
        <f t="array" aca="1" ref="BF659" ca="1">SUM(IF(BD659,1,0)*IF(ap_start_date&lt;=AO659,1,0)*IF(ap_end_date&gt;=AO659,1,0)*ap_amount*(1+ap_escalation/100)^(INT((AP659-ap_months_since_start)/12))*IF(MOD(AP659-ap_months_since_start,ap_frequency)=0,1,0))</f>
        <v>189017.334366817</v>
      </c>
      <c r="BG659" s="24">
        <f t="shared" ca="1" si="586"/>
        <v>2268208.0124018039</v>
      </c>
      <c r="BH659" s="24">
        <f t="shared" ca="1" si="587"/>
        <v>1035.2660911552719</v>
      </c>
      <c r="BI659">
        <f t="shared" ca="1" si="588"/>
        <v>0</v>
      </c>
      <c r="BJ659" s="24">
        <f t="shared" ca="1" si="589"/>
        <v>7246.8626380869027</v>
      </c>
      <c r="BK659">
        <f t="shared" ca="1" si="590"/>
        <v>1</v>
      </c>
      <c r="BL659" s="25">
        <f t="shared" ca="1" si="591"/>
        <v>603.90521984057534</v>
      </c>
      <c r="BM659" s="32">
        <f t="shared" ca="1" si="570"/>
        <v>39839.164693171886</v>
      </c>
      <c r="BN659" s="23">
        <f t="shared" ca="1" si="592"/>
        <v>0</v>
      </c>
      <c r="BO659" s="24">
        <f t="shared" ca="1" si="593"/>
        <v>0</v>
      </c>
      <c r="BP659" s="25">
        <f t="shared" ca="1" si="594"/>
        <v>0</v>
      </c>
      <c r="BQ659" s="34">
        <f t="shared" ca="1" si="595"/>
        <v>65470</v>
      </c>
      <c r="BR659" s="23">
        <f t="shared" ca="1" si="596"/>
        <v>39839.164693171886</v>
      </c>
      <c r="BS659" s="24">
        <f t="shared" ca="1" si="597"/>
        <v>0</v>
      </c>
      <c r="BT659" s="24">
        <f t="shared" ca="1" si="562"/>
        <v>0</v>
      </c>
      <c r="BU659" s="24">
        <f t="shared" ca="1" si="598"/>
        <v>0</v>
      </c>
      <c r="BV659" s="24">
        <f t="shared" ca="1" si="563"/>
        <v>0</v>
      </c>
      <c r="BW659" s="24">
        <f t="shared" ca="1" si="599"/>
        <v>-603.90521984057534</v>
      </c>
      <c r="BX659" s="25">
        <f t="shared" ca="1" si="564"/>
        <v>-7682.469912177472</v>
      </c>
      <c r="BY659" s="23">
        <f t="shared" ca="1" si="571"/>
        <v>4729.683962022249</v>
      </c>
      <c r="BZ659" s="24">
        <f t="shared" ca="1" si="572"/>
        <v>0</v>
      </c>
      <c r="CA659" s="24">
        <f t="shared" ca="1" si="565"/>
        <v>0</v>
      </c>
      <c r="CB659" s="24">
        <f t="shared" ca="1" si="573"/>
        <v>0</v>
      </c>
      <c r="CC659" s="24">
        <f t="shared" ca="1" si="566"/>
        <v>0</v>
      </c>
      <c r="CD659" s="24">
        <f t="shared" ca="1" si="574"/>
        <v>-71.930010960905165</v>
      </c>
      <c r="CE659" s="25">
        <f t="shared" ca="1" si="567"/>
        <v>-932.13269209093642</v>
      </c>
      <c r="CF659" s="23">
        <f t="shared" ca="1" si="568"/>
        <v>2217318.7300722762</v>
      </c>
      <c r="CG659" s="25">
        <f t="array" aca="1" ref="CG659" ca="1">SUM(BF648:BF659/(1+inflation/100)^(AP648:AP659/12))</f>
        <v>267980.53702225385</v>
      </c>
      <c r="CH659" s="32">
        <f ca="1">IFERROR(IF(MOD(AP659-ap_months_since_start,12)=0,ap_drawdown/100*(AQ659+AV659+BA659-BC659),CH658),0)</f>
        <v>6364.5725048170825</v>
      </c>
    </row>
    <row r="660" spans="40:86" x14ac:dyDescent="0.25">
      <c r="AN660" s="32">
        <f t="shared" ca="1" si="569"/>
        <v>109.25</v>
      </c>
      <c r="AO660" s="53">
        <f t="shared" ca="1" si="600"/>
        <v>65471</v>
      </c>
      <c r="AP660" s="22">
        <v>653</v>
      </c>
      <c r="AQ660" s="32">
        <f t="shared" ca="1" si="601"/>
        <v>39839.164693171886</v>
      </c>
      <c r="AR660" s="23">
        <f t="array" aca="1" ref="AR660" ca="1">SUM(IF(lsc_start_date=AO660,lsc_amount,0))</f>
        <v>0</v>
      </c>
      <c r="AS660" s="24">
        <f t="shared" ca="1" si="575"/>
        <v>0</v>
      </c>
      <c r="AT660" s="24">
        <f t="shared" ca="1" si="576"/>
        <v>0</v>
      </c>
      <c r="AU660" s="24">
        <f t="shared" ca="1" si="577"/>
        <v>0</v>
      </c>
      <c r="AV660" s="25">
        <f t="shared" ca="1" si="578"/>
        <v>0</v>
      </c>
      <c r="AW660" s="23">
        <f t="array" aca="1" ref="AW660" ca="1">SUM(IF(rcs_start_date&lt;=AO660,1,0)*IF(rcs_end_date&gt;=AO660,1,0)*rcs_amount*(1+rcs_escalation/100)^(INT((AP660-rcs_months_since_start)/12))*IF(MOD((AP660-rcs_months_since_start),rcs_frequency)=0,1,0)*IF(rcs_frequency=13,0,1))+SUM(IF(rcs_start_date=AO660,rcs_amount,0)*IF(rcs_frequency=13,1,0))</f>
        <v>0</v>
      </c>
      <c r="AX660" s="24">
        <f t="shared" ca="1" si="579"/>
        <v>0</v>
      </c>
      <c r="AY660" s="24">
        <f t="shared" ca="1" si="580"/>
        <v>0</v>
      </c>
      <c r="AZ660" s="24">
        <f t="shared" ca="1" si="581"/>
        <v>0</v>
      </c>
      <c r="BA660" s="25">
        <f t="shared" ca="1" si="582"/>
        <v>0</v>
      </c>
      <c r="BB660" s="23">
        <f t="array" aca="1" ref="BB660" ca="1">SUM(IF(w_start_date&lt;=AO660,1,0)*IF(w_end_date&gt;=AO660,1,0)*w_amount*(1+w_escalation/100)^(INT((AP660-w_months_since_start)/12))*IF(MOD(AP660-w_months_since_start,w_frequency)=0,1,0)*IF(w_frequency=13,0,1))+SUM(IF(w_start_date=AO660,w_amount,0)*IF(w_frequency=13,1,0))</f>
        <v>0</v>
      </c>
      <c r="BC660" s="25">
        <f t="shared" ca="1" si="583"/>
        <v>0</v>
      </c>
      <c r="BD660" s="24" t="b">
        <f t="shared" ca="1" si="584"/>
        <v>1</v>
      </c>
      <c r="BE660" s="24" t="b">
        <f t="shared" ca="1" si="585"/>
        <v>1</v>
      </c>
      <c r="BF660" s="23">
        <f t="array" aca="1" ref="BF660" ca="1">SUM(IF(BD660,1,0)*IF(ap_start_date&lt;=AO660,1,0)*IF(ap_end_date&gt;=AO660,1,0)*ap_amount*(1+ap_escalation/100)^(INT((AP660-ap_months_since_start)/12))*IF(MOD(AP660-ap_months_since_start,ap_frequency)=0,1,0))</f>
        <v>189017.334366817</v>
      </c>
      <c r="BG660" s="24">
        <f t="shared" ca="1" si="586"/>
        <v>2268208.0124018039</v>
      </c>
      <c r="BH660" s="24">
        <f t="shared" ca="1" si="587"/>
        <v>1035.2660911552719</v>
      </c>
      <c r="BI660">
        <f t="shared" ca="1" si="588"/>
        <v>0</v>
      </c>
      <c r="BJ660" s="24">
        <f t="shared" ca="1" si="589"/>
        <v>7246.8626380869027</v>
      </c>
      <c r="BK660">
        <f t="shared" ca="1" si="590"/>
        <v>1</v>
      </c>
      <c r="BL660" s="25">
        <f t="shared" ca="1" si="591"/>
        <v>603.90521984057534</v>
      </c>
      <c r="BM660" s="32">
        <f t="shared" ca="1" si="570"/>
        <v>39518.040673748124</v>
      </c>
      <c r="BN660" s="23">
        <f t="shared" ca="1" si="592"/>
        <v>0</v>
      </c>
      <c r="BO660" s="24">
        <f t="shared" ca="1" si="593"/>
        <v>0</v>
      </c>
      <c r="BP660" s="25">
        <f t="shared" ca="1" si="594"/>
        <v>0</v>
      </c>
      <c r="BQ660" s="34">
        <f t="shared" ca="1" si="595"/>
        <v>65500</v>
      </c>
      <c r="BR660" s="23">
        <f t="shared" ca="1" si="596"/>
        <v>39518.040673748124</v>
      </c>
      <c r="BS660" s="24">
        <f t="shared" ca="1" si="597"/>
        <v>0</v>
      </c>
      <c r="BT660" s="24">
        <f t="shared" ref="BT660:BT723" ca="1" si="602">SUM(BS649:BS660)</f>
        <v>0</v>
      </c>
      <c r="BU660" s="24">
        <f t="shared" ca="1" si="598"/>
        <v>0</v>
      </c>
      <c r="BV660" s="24">
        <f t="shared" ref="BV660:BV723" ca="1" si="603">SUM(BU649:BU660)</f>
        <v>0</v>
      </c>
      <c r="BW660" s="24">
        <f t="shared" ca="1" si="599"/>
        <v>-603.90521984057534</v>
      </c>
      <c r="BX660" s="25">
        <f t="shared" ref="BX660:BX723" ca="1" si="604">SUM(BW649:BW660)</f>
        <v>-7620.240301593105</v>
      </c>
      <c r="BY660" s="23">
        <f t="shared" ca="1" si="571"/>
        <v>4676.2514626654656</v>
      </c>
      <c r="BZ660" s="24">
        <f t="shared" ca="1" si="572"/>
        <v>0</v>
      </c>
      <c r="CA660" s="24">
        <f t="shared" ref="CA660:CA723" ca="1" si="605">SUM(BZ649:BZ660)</f>
        <v>0</v>
      </c>
      <c r="CB660" s="24">
        <f t="shared" ca="1" si="573"/>
        <v>0</v>
      </c>
      <c r="CC660" s="24">
        <f t="shared" ref="CC660:CC723" ca="1" si="606">SUM(CB649:CB660)</f>
        <v>0</v>
      </c>
      <c r="CD660" s="24">
        <f t="shared" ca="1" si="574"/>
        <v>-71.695299207692315</v>
      </c>
      <c r="CE660" s="25">
        <f t="shared" ref="CE660:CE723" ca="1" si="607">SUM(CD649:CD660)</f>
        <v>-921.58149998283409</v>
      </c>
      <c r="CF660" s="23">
        <f t="shared" ref="CF660:CF723" ca="1" si="608">SUM(BF649:BF660)</f>
        <v>2224588.627547923</v>
      </c>
      <c r="CG660" s="25">
        <f t="array" aca="1" ref="CG660" ca="1">SUM(BF649:BF660/(1+inflation/100)^(AP649:AP660/12))</f>
        <v>267980.53702225379</v>
      </c>
      <c r="CH660" s="32">
        <f ca="1">IFERROR(IF(MOD(AP660-ap_months_since_start,12)=0,ap_drawdown/100*(AQ660+AV660+BA660-BC660),CH659),0)</f>
        <v>6364.5725048170825</v>
      </c>
    </row>
    <row r="661" spans="40:86" x14ac:dyDescent="0.25">
      <c r="AN661" s="32">
        <f t="shared" ca="1" si="569"/>
        <v>109.33333333333333</v>
      </c>
      <c r="AO661" s="53">
        <f t="shared" ca="1" si="600"/>
        <v>65501</v>
      </c>
      <c r="AP661" s="22">
        <v>654</v>
      </c>
      <c r="AQ661" s="32">
        <f t="shared" ca="1" si="601"/>
        <v>39518.040673748124</v>
      </c>
      <c r="AR661" s="23">
        <f t="array" aca="1" ref="AR661" ca="1">SUM(IF(lsc_start_date=AO661,lsc_amount,0))</f>
        <v>0</v>
      </c>
      <c r="AS661" s="24">
        <f t="shared" ca="1" si="575"/>
        <v>0</v>
      </c>
      <c r="AT661" s="24">
        <f t="shared" ca="1" si="576"/>
        <v>0</v>
      </c>
      <c r="AU661" s="24">
        <f t="shared" ca="1" si="577"/>
        <v>0</v>
      </c>
      <c r="AV661" s="25">
        <f t="shared" ca="1" si="578"/>
        <v>0</v>
      </c>
      <c r="AW661" s="23">
        <f t="array" aca="1" ref="AW661" ca="1">SUM(IF(rcs_start_date&lt;=AO661,1,0)*IF(rcs_end_date&gt;=AO661,1,0)*rcs_amount*(1+rcs_escalation/100)^(INT((AP661-rcs_months_since_start)/12))*IF(MOD((AP661-rcs_months_since_start),rcs_frequency)=0,1,0)*IF(rcs_frequency=13,0,1))+SUM(IF(rcs_start_date=AO661,rcs_amount,0)*IF(rcs_frequency=13,1,0))</f>
        <v>0</v>
      </c>
      <c r="AX661" s="24">
        <f t="shared" ca="1" si="579"/>
        <v>0</v>
      </c>
      <c r="AY661" s="24">
        <f t="shared" ca="1" si="580"/>
        <v>0</v>
      </c>
      <c r="AZ661" s="24">
        <f t="shared" ca="1" si="581"/>
        <v>0</v>
      </c>
      <c r="BA661" s="25">
        <f t="shared" ca="1" si="582"/>
        <v>0</v>
      </c>
      <c r="BB661" s="23">
        <f t="array" aca="1" ref="BB661" ca="1">SUM(IF(w_start_date&lt;=AO661,1,0)*IF(w_end_date&gt;=AO661,1,0)*w_amount*(1+w_escalation/100)^(INT((AP661-w_months_since_start)/12))*IF(MOD(AP661-w_months_since_start,w_frequency)=0,1,0)*IF(w_frequency=13,0,1))+SUM(IF(w_start_date=AO661,w_amount,0)*IF(w_frequency=13,1,0))</f>
        <v>0</v>
      </c>
      <c r="BC661" s="25">
        <f t="shared" ca="1" si="583"/>
        <v>0</v>
      </c>
      <c r="BD661" s="24" t="b">
        <f t="shared" ca="1" si="584"/>
        <v>1</v>
      </c>
      <c r="BE661" s="24" t="b">
        <f t="shared" ca="1" si="585"/>
        <v>1</v>
      </c>
      <c r="BF661" s="23">
        <f t="array" aca="1" ref="BF661" ca="1">SUM(IF(BD661,1,0)*IF(ap_start_date&lt;=AO661,1,0)*IF(ap_end_date&gt;=AO661,1,0)*ap_amount*(1+ap_escalation/100)^(INT((AP661-ap_months_since_start)/12))*IF(MOD(AP661-ap_months_since_start,ap_frequency)=0,1,0))</f>
        <v>189017.334366817</v>
      </c>
      <c r="BG661" s="24">
        <f t="shared" ca="1" si="586"/>
        <v>2268208.0124018039</v>
      </c>
      <c r="BH661" s="24">
        <f t="shared" ca="1" si="587"/>
        <v>1035.2660911552719</v>
      </c>
      <c r="BI661">
        <f t="shared" ca="1" si="588"/>
        <v>0</v>
      </c>
      <c r="BJ661" s="24">
        <f t="shared" ca="1" si="589"/>
        <v>7246.8626380869027</v>
      </c>
      <c r="BK661">
        <f t="shared" ca="1" si="590"/>
        <v>1</v>
      </c>
      <c r="BL661" s="25">
        <f t="shared" ca="1" si="591"/>
        <v>603.90521984057534</v>
      </c>
      <c r="BM661" s="32">
        <f t="shared" ca="1" si="570"/>
        <v>39194.602209691795</v>
      </c>
      <c r="BN661" s="23">
        <f t="shared" ca="1" si="592"/>
        <v>0</v>
      </c>
      <c r="BO661" s="24">
        <f t="shared" ca="1" si="593"/>
        <v>0</v>
      </c>
      <c r="BP661" s="25">
        <f t="shared" ca="1" si="594"/>
        <v>0</v>
      </c>
      <c r="BQ661" s="34">
        <f t="shared" ca="1" si="595"/>
        <v>65531</v>
      </c>
      <c r="BR661" s="23">
        <f t="shared" ca="1" si="596"/>
        <v>39194.602209691795</v>
      </c>
      <c r="BS661" s="24">
        <f t="shared" ca="1" si="597"/>
        <v>0</v>
      </c>
      <c r="BT661" s="24">
        <f t="shared" ca="1" si="602"/>
        <v>0</v>
      </c>
      <c r="BU661" s="24">
        <f t="shared" ca="1" si="598"/>
        <v>0</v>
      </c>
      <c r="BV661" s="24">
        <f t="shared" ca="1" si="603"/>
        <v>0</v>
      </c>
      <c r="BW661" s="24">
        <f t="shared" ca="1" si="599"/>
        <v>-603.90521984057534</v>
      </c>
      <c r="BX661" s="25">
        <f t="shared" ca="1" si="604"/>
        <v>-7558.0106910087379</v>
      </c>
      <c r="BY661" s="23">
        <f t="shared" ca="1" si="571"/>
        <v>4622.8443310604744</v>
      </c>
      <c r="BZ661" s="24">
        <f t="shared" ca="1" si="572"/>
        <v>0</v>
      </c>
      <c r="CA661" s="24">
        <f t="shared" ca="1" si="605"/>
        <v>0</v>
      </c>
      <c r="CB661" s="24">
        <f t="shared" ca="1" si="573"/>
        <v>0</v>
      </c>
      <c r="CC661" s="24">
        <f t="shared" ca="1" si="606"/>
        <v>0</v>
      </c>
      <c r="CD661" s="24">
        <f t="shared" ca="1" si="574"/>
        <v>-71.461353332398247</v>
      </c>
      <c r="CE661" s="25">
        <f t="shared" ca="1" si="607"/>
        <v>-911.06473702002324</v>
      </c>
      <c r="CF661" s="23">
        <f t="shared" ca="1" si="608"/>
        <v>2231858.5250235698</v>
      </c>
      <c r="CG661" s="25">
        <f t="array" aca="1" ref="CG661" ca="1">SUM(BF650:BF661/(1+inflation/100)^(AP650:AP661/12))</f>
        <v>267980.53702225379</v>
      </c>
      <c r="CH661" s="32">
        <f ca="1">IFERROR(IF(MOD(AP661-ap_months_since_start,12)=0,ap_drawdown/100*(AQ661+AV661+BA661-BC661),CH660),0)</f>
        <v>6364.5725048170825</v>
      </c>
    </row>
    <row r="662" spans="40:86" x14ac:dyDescent="0.25">
      <c r="AN662" s="32">
        <f t="shared" ca="1" si="569"/>
        <v>109.41666666666667</v>
      </c>
      <c r="AO662" s="53">
        <f t="shared" ca="1" si="600"/>
        <v>65532</v>
      </c>
      <c r="AP662" s="22">
        <v>655</v>
      </c>
      <c r="AQ662" s="32">
        <f t="shared" ca="1" si="601"/>
        <v>39194.602209691795</v>
      </c>
      <c r="AR662" s="23">
        <f t="array" aca="1" ref="AR662" ca="1">SUM(IF(lsc_start_date=AO662,lsc_amount,0))</f>
        <v>0</v>
      </c>
      <c r="AS662" s="24">
        <f t="shared" ca="1" si="575"/>
        <v>0</v>
      </c>
      <c r="AT662" s="24">
        <f t="shared" ca="1" si="576"/>
        <v>0</v>
      </c>
      <c r="AU662" s="24">
        <f t="shared" ca="1" si="577"/>
        <v>0</v>
      </c>
      <c r="AV662" s="25">
        <f t="shared" ca="1" si="578"/>
        <v>0</v>
      </c>
      <c r="AW662" s="23">
        <f t="array" aca="1" ref="AW662" ca="1">SUM(IF(rcs_start_date&lt;=AO662,1,0)*IF(rcs_end_date&gt;=AO662,1,0)*rcs_amount*(1+rcs_escalation/100)^(INT((AP662-rcs_months_since_start)/12))*IF(MOD((AP662-rcs_months_since_start),rcs_frequency)=0,1,0)*IF(rcs_frequency=13,0,1))+SUM(IF(rcs_start_date=AO662,rcs_amount,0)*IF(rcs_frequency=13,1,0))</f>
        <v>0</v>
      </c>
      <c r="AX662" s="24">
        <f t="shared" ca="1" si="579"/>
        <v>0</v>
      </c>
      <c r="AY662" s="24">
        <f t="shared" ca="1" si="580"/>
        <v>0</v>
      </c>
      <c r="AZ662" s="24">
        <f t="shared" ca="1" si="581"/>
        <v>0</v>
      </c>
      <c r="BA662" s="25">
        <f t="shared" ca="1" si="582"/>
        <v>0</v>
      </c>
      <c r="BB662" s="23">
        <f t="array" aca="1" ref="BB662" ca="1">SUM(IF(w_start_date&lt;=AO662,1,0)*IF(w_end_date&gt;=AO662,1,0)*w_amount*(1+w_escalation/100)^(INT((AP662-w_months_since_start)/12))*IF(MOD(AP662-w_months_since_start,w_frequency)=0,1,0)*IF(w_frequency=13,0,1))+SUM(IF(w_start_date=AO662,w_amount,0)*IF(w_frequency=13,1,0))</f>
        <v>0</v>
      </c>
      <c r="BC662" s="25">
        <f t="shared" ca="1" si="583"/>
        <v>0</v>
      </c>
      <c r="BD662" s="24" t="b">
        <f t="shared" ca="1" si="584"/>
        <v>1</v>
      </c>
      <c r="BE662" s="24" t="b">
        <f t="shared" ca="1" si="585"/>
        <v>1</v>
      </c>
      <c r="BF662" s="23">
        <f t="array" aca="1" ref="BF662" ca="1">SUM(IF(BD662,1,0)*IF(ap_start_date&lt;=AO662,1,0)*IF(ap_end_date&gt;=AO662,1,0)*ap_amount*(1+ap_escalation/100)^(INT((AP662-ap_months_since_start)/12))*IF(MOD(AP662-ap_months_since_start,ap_frequency)=0,1,0))</f>
        <v>189017.334366817</v>
      </c>
      <c r="BG662" s="24">
        <f t="shared" ca="1" si="586"/>
        <v>2268208.0124018039</v>
      </c>
      <c r="BH662" s="24">
        <f t="shared" ca="1" si="587"/>
        <v>1035.2660911552719</v>
      </c>
      <c r="BI662">
        <f t="shared" ca="1" si="588"/>
        <v>0</v>
      </c>
      <c r="BJ662" s="24">
        <f t="shared" ca="1" si="589"/>
        <v>7246.8626380869027</v>
      </c>
      <c r="BK662">
        <f t="shared" ca="1" si="590"/>
        <v>1</v>
      </c>
      <c r="BL662" s="25">
        <f t="shared" ca="1" si="591"/>
        <v>603.90521984057534</v>
      </c>
      <c r="BM662" s="32">
        <f t="shared" ca="1" si="570"/>
        <v>38868.832620052141</v>
      </c>
      <c r="BN662" s="23">
        <f t="shared" ca="1" si="592"/>
        <v>0</v>
      </c>
      <c r="BO662" s="24">
        <f t="shared" ca="1" si="593"/>
        <v>0</v>
      </c>
      <c r="BP662" s="25">
        <f t="shared" ca="1" si="594"/>
        <v>0</v>
      </c>
      <c r="BQ662" s="34">
        <f t="shared" ca="1" si="595"/>
        <v>65561</v>
      </c>
      <c r="BR662" s="23">
        <f t="shared" ca="1" si="596"/>
        <v>38868.832620052141</v>
      </c>
      <c r="BS662" s="24">
        <f t="shared" ca="1" si="597"/>
        <v>0</v>
      </c>
      <c r="BT662" s="24">
        <f t="shared" ca="1" si="602"/>
        <v>0</v>
      </c>
      <c r="BU662" s="24">
        <f t="shared" ca="1" si="598"/>
        <v>0</v>
      </c>
      <c r="BV662" s="24">
        <f t="shared" ca="1" si="603"/>
        <v>0</v>
      </c>
      <c r="BW662" s="24">
        <f t="shared" ca="1" si="599"/>
        <v>-603.90521984057534</v>
      </c>
      <c r="BX662" s="25">
        <f t="shared" ca="1" si="604"/>
        <v>-7495.7810804243709</v>
      </c>
      <c r="BY662" s="23">
        <f t="shared" ca="1" si="571"/>
        <v>4569.4619002960044</v>
      </c>
      <c r="BZ662" s="24">
        <f t="shared" ca="1" si="572"/>
        <v>0</v>
      </c>
      <c r="CA662" s="24">
        <f t="shared" ca="1" si="605"/>
        <v>0</v>
      </c>
      <c r="CB662" s="24">
        <f t="shared" ca="1" si="573"/>
        <v>0</v>
      </c>
      <c r="CC662" s="24">
        <f t="shared" ca="1" si="606"/>
        <v>0</v>
      </c>
      <c r="CD662" s="24">
        <f t="shared" ca="1" si="574"/>
        <v>-71.228170835919457</v>
      </c>
      <c r="CE662" s="25">
        <f t="shared" ca="1" si="607"/>
        <v>-900.582290858227</v>
      </c>
      <c r="CF662" s="23">
        <f t="shared" ca="1" si="608"/>
        <v>2239128.4224992166</v>
      </c>
      <c r="CG662" s="25">
        <f t="array" aca="1" ref="CG662" ca="1">SUM(BF651:BF662/(1+inflation/100)^(AP651:AP662/12))</f>
        <v>267980.53702225379</v>
      </c>
      <c r="CH662" s="32">
        <f ca="1">IFERROR(IF(MOD(AP662-ap_months_since_start,12)=0,ap_drawdown/100*(AQ662+AV662+BA662-BC662),CH661),0)</f>
        <v>6364.5725048170825</v>
      </c>
    </row>
    <row r="663" spans="40:86" x14ac:dyDescent="0.25">
      <c r="AN663" s="32">
        <f t="shared" ca="1" si="569"/>
        <v>109.5</v>
      </c>
      <c r="AO663" s="53">
        <f t="shared" ca="1" si="600"/>
        <v>65562</v>
      </c>
      <c r="AP663" s="22">
        <v>656</v>
      </c>
      <c r="AQ663" s="32">
        <f t="shared" ca="1" si="601"/>
        <v>38868.832620052141</v>
      </c>
      <c r="AR663" s="23">
        <f t="array" aca="1" ref="AR663" ca="1">SUM(IF(lsc_start_date=AO663,lsc_amount,0))</f>
        <v>0</v>
      </c>
      <c r="AS663" s="24">
        <f t="shared" ca="1" si="575"/>
        <v>0</v>
      </c>
      <c r="AT663" s="24">
        <f t="shared" ca="1" si="576"/>
        <v>0</v>
      </c>
      <c r="AU663" s="24">
        <f t="shared" ca="1" si="577"/>
        <v>0</v>
      </c>
      <c r="AV663" s="25">
        <f t="shared" ca="1" si="578"/>
        <v>0</v>
      </c>
      <c r="AW663" s="23">
        <f t="array" aca="1" ref="AW663" ca="1">SUM(IF(rcs_start_date&lt;=AO663,1,0)*IF(rcs_end_date&gt;=AO663,1,0)*rcs_amount*(1+rcs_escalation/100)^(INT((AP663-rcs_months_since_start)/12))*IF(MOD((AP663-rcs_months_since_start),rcs_frequency)=0,1,0)*IF(rcs_frequency=13,0,1))+SUM(IF(rcs_start_date=AO663,rcs_amount,0)*IF(rcs_frequency=13,1,0))</f>
        <v>0</v>
      </c>
      <c r="AX663" s="24">
        <f t="shared" ca="1" si="579"/>
        <v>0</v>
      </c>
      <c r="AY663" s="24">
        <f t="shared" ca="1" si="580"/>
        <v>0</v>
      </c>
      <c r="AZ663" s="24">
        <f t="shared" ca="1" si="581"/>
        <v>0</v>
      </c>
      <c r="BA663" s="25">
        <f t="shared" ca="1" si="582"/>
        <v>0</v>
      </c>
      <c r="BB663" s="23">
        <f t="array" aca="1" ref="BB663" ca="1">SUM(IF(w_start_date&lt;=AO663,1,0)*IF(w_end_date&gt;=AO663,1,0)*w_amount*(1+w_escalation/100)^(INT((AP663-w_months_since_start)/12))*IF(MOD(AP663-w_months_since_start,w_frequency)=0,1,0)*IF(w_frequency=13,0,1))+SUM(IF(w_start_date=AO663,w_amount,0)*IF(w_frequency=13,1,0))</f>
        <v>0</v>
      </c>
      <c r="BC663" s="25">
        <f t="shared" ca="1" si="583"/>
        <v>0</v>
      </c>
      <c r="BD663" s="24" t="b">
        <f t="shared" ca="1" si="584"/>
        <v>1</v>
      </c>
      <c r="BE663" s="24" t="b">
        <f t="shared" ca="1" si="585"/>
        <v>1</v>
      </c>
      <c r="BF663" s="23">
        <f t="array" aca="1" ref="BF663" ca="1">SUM(IF(BD663,1,0)*IF(ap_start_date&lt;=AO663,1,0)*IF(ap_end_date&gt;=AO663,1,0)*ap_amount*(1+ap_escalation/100)^(INT((AP663-ap_months_since_start)/12))*IF(MOD(AP663-ap_months_since_start,ap_frequency)=0,1,0))</f>
        <v>189017.334366817</v>
      </c>
      <c r="BG663" s="24">
        <f t="shared" ca="1" si="586"/>
        <v>2268208.0124018039</v>
      </c>
      <c r="BH663" s="24">
        <f t="shared" ca="1" si="587"/>
        <v>1035.2660911552719</v>
      </c>
      <c r="BI663">
        <f t="shared" ca="1" si="588"/>
        <v>0</v>
      </c>
      <c r="BJ663" s="24">
        <f t="shared" ca="1" si="589"/>
        <v>7246.8626380869027</v>
      </c>
      <c r="BK663">
        <f t="shared" ca="1" si="590"/>
        <v>1</v>
      </c>
      <c r="BL663" s="25">
        <f t="shared" ca="1" si="591"/>
        <v>603.90521984057534</v>
      </c>
      <c r="BM663" s="32">
        <f t="shared" ca="1" si="570"/>
        <v>38540.715103653391</v>
      </c>
      <c r="BN663" s="23">
        <f t="shared" ca="1" si="592"/>
        <v>0</v>
      </c>
      <c r="BO663" s="24">
        <f t="shared" ca="1" si="593"/>
        <v>0</v>
      </c>
      <c r="BP663" s="25">
        <f t="shared" ca="1" si="594"/>
        <v>0</v>
      </c>
      <c r="BQ663" s="34">
        <f t="shared" ca="1" si="595"/>
        <v>65592</v>
      </c>
      <c r="BR663" s="23">
        <f t="shared" ca="1" si="596"/>
        <v>38540.715103653391</v>
      </c>
      <c r="BS663" s="24">
        <f t="shared" ca="1" si="597"/>
        <v>0</v>
      </c>
      <c r="BT663" s="24">
        <f t="shared" ca="1" si="602"/>
        <v>0</v>
      </c>
      <c r="BU663" s="24">
        <f t="shared" ca="1" si="598"/>
        <v>0</v>
      </c>
      <c r="BV663" s="24">
        <f t="shared" ca="1" si="603"/>
        <v>0</v>
      </c>
      <c r="BW663" s="24">
        <f t="shared" ca="1" si="599"/>
        <v>-603.90521984057534</v>
      </c>
      <c r="BX663" s="25">
        <f t="shared" ca="1" si="604"/>
        <v>-7433.5514698400038</v>
      </c>
      <c r="BY663" s="23">
        <f t="shared" ca="1" si="571"/>
        <v>4516.1035033467142</v>
      </c>
      <c r="BZ663" s="24">
        <f t="shared" ca="1" si="572"/>
        <v>0</v>
      </c>
      <c r="CA663" s="24">
        <f t="shared" ca="1" si="605"/>
        <v>0</v>
      </c>
      <c r="CB663" s="24">
        <f t="shared" ca="1" si="573"/>
        <v>0</v>
      </c>
      <c r="CC663" s="24">
        <f t="shared" ca="1" si="606"/>
        <v>0</v>
      </c>
      <c r="CD663" s="24">
        <f t="shared" ca="1" si="574"/>
        <v>-70.995749227307002</v>
      </c>
      <c r="CE663" s="25">
        <f t="shared" ca="1" si="607"/>
        <v>-890.1340495197544</v>
      </c>
      <c r="CF663" s="23">
        <f t="shared" ca="1" si="608"/>
        <v>2246398.3199748634</v>
      </c>
      <c r="CG663" s="25">
        <f t="array" aca="1" ref="CG663" ca="1">SUM(BF652:BF663/(1+inflation/100)^(AP652:AP663/12))</f>
        <v>267980.53702225379</v>
      </c>
      <c r="CH663" s="32">
        <f ca="1">IFERROR(IF(MOD(AP663-ap_months_since_start,12)=0,ap_drawdown/100*(AQ663+AV663+BA663-BC663),CH662),0)</f>
        <v>6364.5725048170825</v>
      </c>
    </row>
    <row r="664" spans="40:86" x14ac:dyDescent="0.25">
      <c r="AN664" s="32">
        <f t="shared" ca="1" si="569"/>
        <v>109.58333333333333</v>
      </c>
      <c r="AO664" s="53">
        <f t="shared" ca="1" si="600"/>
        <v>65593</v>
      </c>
      <c r="AP664" s="22">
        <v>657</v>
      </c>
      <c r="AQ664" s="32">
        <f t="shared" ca="1" si="601"/>
        <v>38540.715103653391</v>
      </c>
      <c r="AR664" s="23">
        <f t="array" aca="1" ref="AR664" ca="1">SUM(IF(lsc_start_date=AO664,lsc_amount,0))</f>
        <v>0</v>
      </c>
      <c r="AS664" s="24">
        <f t="shared" ca="1" si="575"/>
        <v>0</v>
      </c>
      <c r="AT664" s="24">
        <f t="shared" ca="1" si="576"/>
        <v>0</v>
      </c>
      <c r="AU664" s="24">
        <f t="shared" ca="1" si="577"/>
        <v>0</v>
      </c>
      <c r="AV664" s="25">
        <f t="shared" ca="1" si="578"/>
        <v>0</v>
      </c>
      <c r="AW664" s="23">
        <f t="array" aca="1" ref="AW664" ca="1">SUM(IF(rcs_start_date&lt;=AO664,1,0)*IF(rcs_end_date&gt;=AO664,1,0)*rcs_amount*(1+rcs_escalation/100)^(INT((AP664-rcs_months_since_start)/12))*IF(MOD((AP664-rcs_months_since_start),rcs_frequency)=0,1,0)*IF(rcs_frequency=13,0,1))+SUM(IF(rcs_start_date=AO664,rcs_amount,0)*IF(rcs_frequency=13,1,0))</f>
        <v>0</v>
      </c>
      <c r="AX664" s="24">
        <f t="shared" ca="1" si="579"/>
        <v>0</v>
      </c>
      <c r="AY664" s="24">
        <f t="shared" ca="1" si="580"/>
        <v>0</v>
      </c>
      <c r="AZ664" s="24">
        <f t="shared" ca="1" si="581"/>
        <v>0</v>
      </c>
      <c r="BA664" s="25">
        <f t="shared" ca="1" si="582"/>
        <v>0</v>
      </c>
      <c r="BB664" s="23">
        <f t="array" aca="1" ref="BB664" ca="1">SUM(IF(w_start_date&lt;=AO664,1,0)*IF(w_end_date&gt;=AO664,1,0)*w_amount*(1+w_escalation/100)^(INT((AP664-w_months_since_start)/12))*IF(MOD(AP664-w_months_since_start,w_frequency)=0,1,0)*IF(w_frequency=13,0,1))+SUM(IF(w_start_date=AO664,w_amount,0)*IF(w_frequency=13,1,0))</f>
        <v>0</v>
      </c>
      <c r="BC664" s="25">
        <f t="shared" ca="1" si="583"/>
        <v>0</v>
      </c>
      <c r="BD664" s="24" t="b">
        <f t="shared" ca="1" si="584"/>
        <v>1</v>
      </c>
      <c r="BE664" s="24" t="b">
        <f t="shared" ca="1" si="585"/>
        <v>1</v>
      </c>
      <c r="BF664" s="23">
        <f t="array" aca="1" ref="BF664" ca="1">SUM(IF(BD664,1,0)*IF(ap_start_date&lt;=AO664,1,0)*IF(ap_end_date&gt;=AO664,1,0)*ap_amount*(1+ap_escalation/100)^(INT((AP664-ap_months_since_start)/12))*IF(MOD(AP664-ap_months_since_start,ap_frequency)=0,1,0))</f>
        <v>189017.334366817</v>
      </c>
      <c r="BG664" s="24">
        <f t="shared" ca="1" si="586"/>
        <v>2268208.0124018039</v>
      </c>
      <c r="BH664" s="24">
        <f t="shared" ca="1" si="587"/>
        <v>1035.2660911552719</v>
      </c>
      <c r="BI664">
        <f t="shared" ca="1" si="588"/>
        <v>0</v>
      </c>
      <c r="BJ664" s="24">
        <f t="shared" ca="1" si="589"/>
        <v>7246.8626380869027</v>
      </c>
      <c r="BK664">
        <f t="shared" ca="1" si="590"/>
        <v>1</v>
      </c>
      <c r="BL664" s="25">
        <f t="shared" ca="1" si="591"/>
        <v>603.90521984057534</v>
      </c>
      <c r="BM664" s="32">
        <f t="shared" ca="1" si="570"/>
        <v>38210.23273822826</v>
      </c>
      <c r="BN664" s="23">
        <f t="shared" ca="1" si="592"/>
        <v>0</v>
      </c>
      <c r="BO664" s="24">
        <f t="shared" ca="1" si="593"/>
        <v>0</v>
      </c>
      <c r="BP664" s="25">
        <f t="shared" ca="1" si="594"/>
        <v>0</v>
      </c>
      <c r="BQ664" s="34">
        <f t="shared" ca="1" si="595"/>
        <v>65623</v>
      </c>
      <c r="BR664" s="23">
        <f t="shared" ca="1" si="596"/>
        <v>38210.23273822826</v>
      </c>
      <c r="BS664" s="24">
        <f t="shared" ca="1" si="597"/>
        <v>0</v>
      </c>
      <c r="BT664" s="24">
        <f t="shared" ca="1" si="602"/>
        <v>0</v>
      </c>
      <c r="BU664" s="24">
        <f t="shared" ca="1" si="598"/>
        <v>0</v>
      </c>
      <c r="BV664" s="24">
        <f t="shared" ca="1" si="603"/>
        <v>0</v>
      </c>
      <c r="BW664" s="24">
        <f t="shared" ca="1" si="599"/>
        <v>-603.90521984057534</v>
      </c>
      <c r="BX664" s="25">
        <f t="shared" ca="1" si="604"/>
        <v>-7371.3218592556368</v>
      </c>
      <c r="BY664" s="23">
        <f t="shared" ca="1" si="571"/>
        <v>4462.7684730645706</v>
      </c>
      <c r="BZ664" s="24">
        <f t="shared" ca="1" si="572"/>
        <v>0</v>
      </c>
      <c r="CA664" s="24">
        <f t="shared" ca="1" si="605"/>
        <v>0</v>
      </c>
      <c r="CB664" s="24">
        <f t="shared" ca="1" si="573"/>
        <v>0</v>
      </c>
      <c r="CC664" s="24">
        <f t="shared" ca="1" si="606"/>
        <v>0</v>
      </c>
      <c r="CD664" s="24">
        <f t="shared" ca="1" si="574"/>
        <v>-70.764086023740148</v>
      </c>
      <c r="CE664" s="25">
        <f t="shared" ca="1" si="607"/>
        <v>-879.71990139230422</v>
      </c>
      <c r="CF664" s="23">
        <f t="shared" ca="1" si="608"/>
        <v>2253668.2174505102</v>
      </c>
      <c r="CG664" s="25">
        <f t="array" aca="1" ref="CG664" ca="1">SUM(BF653:BF664/(1+inflation/100)^(AP653:AP664/12))</f>
        <v>267980.53702225385</v>
      </c>
      <c r="CH664" s="32">
        <f ca="1">IFERROR(IF(MOD(AP664-ap_months_since_start,12)=0,ap_drawdown/100*(AQ664+AV664+BA664-BC664),CH663),0)</f>
        <v>6364.5725048170825</v>
      </c>
    </row>
    <row r="665" spans="40:86" x14ac:dyDescent="0.25">
      <c r="AN665" s="32">
        <f t="shared" ca="1" si="569"/>
        <v>109.66666666666667</v>
      </c>
      <c r="AO665" s="53">
        <f t="shared" ca="1" si="600"/>
        <v>65624</v>
      </c>
      <c r="AP665" s="22">
        <v>658</v>
      </c>
      <c r="AQ665" s="32">
        <f t="shared" ca="1" si="601"/>
        <v>38210.23273822826</v>
      </c>
      <c r="AR665" s="23">
        <f t="array" aca="1" ref="AR665" ca="1">SUM(IF(lsc_start_date=AO665,lsc_amount,0))</f>
        <v>0</v>
      </c>
      <c r="AS665" s="24">
        <f t="shared" ca="1" si="575"/>
        <v>0</v>
      </c>
      <c r="AT665" s="24">
        <f t="shared" ca="1" si="576"/>
        <v>0</v>
      </c>
      <c r="AU665" s="24">
        <f t="shared" ca="1" si="577"/>
        <v>0</v>
      </c>
      <c r="AV665" s="25">
        <f t="shared" ca="1" si="578"/>
        <v>0</v>
      </c>
      <c r="AW665" s="23">
        <f t="array" aca="1" ref="AW665" ca="1">SUM(IF(rcs_start_date&lt;=AO665,1,0)*IF(rcs_end_date&gt;=AO665,1,0)*rcs_amount*(1+rcs_escalation/100)^(INT((AP665-rcs_months_since_start)/12))*IF(MOD((AP665-rcs_months_since_start),rcs_frequency)=0,1,0)*IF(rcs_frequency=13,0,1))+SUM(IF(rcs_start_date=AO665,rcs_amount,0)*IF(rcs_frequency=13,1,0))</f>
        <v>0</v>
      </c>
      <c r="AX665" s="24">
        <f t="shared" ca="1" si="579"/>
        <v>0</v>
      </c>
      <c r="AY665" s="24">
        <f t="shared" ca="1" si="580"/>
        <v>0</v>
      </c>
      <c r="AZ665" s="24">
        <f t="shared" ca="1" si="581"/>
        <v>0</v>
      </c>
      <c r="BA665" s="25">
        <f t="shared" ca="1" si="582"/>
        <v>0</v>
      </c>
      <c r="BB665" s="23">
        <f t="array" aca="1" ref="BB665" ca="1">SUM(IF(w_start_date&lt;=AO665,1,0)*IF(w_end_date&gt;=AO665,1,0)*w_amount*(1+w_escalation/100)^(INT((AP665-w_months_since_start)/12))*IF(MOD(AP665-w_months_since_start,w_frequency)=0,1,0)*IF(w_frequency=13,0,1))+SUM(IF(w_start_date=AO665,w_amount,0)*IF(w_frequency=13,1,0))</f>
        <v>0</v>
      </c>
      <c r="BC665" s="25">
        <f t="shared" ca="1" si="583"/>
        <v>0</v>
      </c>
      <c r="BD665" s="24" t="b">
        <f t="shared" ca="1" si="584"/>
        <v>1</v>
      </c>
      <c r="BE665" s="24" t="b">
        <f t="shared" ca="1" si="585"/>
        <v>1</v>
      </c>
      <c r="BF665" s="23">
        <f t="array" aca="1" ref="BF665" ca="1">SUM(IF(BD665,1,0)*IF(ap_start_date&lt;=AO665,1,0)*IF(ap_end_date&gt;=AO665,1,0)*ap_amount*(1+ap_escalation/100)^(INT((AP665-ap_months_since_start)/12))*IF(MOD(AP665-ap_months_since_start,ap_frequency)=0,1,0))</f>
        <v>189017.334366817</v>
      </c>
      <c r="BG665" s="24">
        <f t="shared" ca="1" si="586"/>
        <v>2268208.0124018039</v>
      </c>
      <c r="BH665" s="24">
        <f t="shared" ca="1" si="587"/>
        <v>1035.2660911552719</v>
      </c>
      <c r="BI665">
        <f t="shared" ca="1" si="588"/>
        <v>0</v>
      </c>
      <c r="BJ665" s="24">
        <f t="shared" ca="1" si="589"/>
        <v>7246.8626380869027</v>
      </c>
      <c r="BK665">
        <f t="shared" ca="1" si="590"/>
        <v>1</v>
      </c>
      <c r="BL665" s="25">
        <f t="shared" ca="1" si="591"/>
        <v>603.90521984057534</v>
      </c>
      <c r="BM665" s="32">
        <f t="shared" ca="1" si="570"/>
        <v>37877.368479545235</v>
      </c>
      <c r="BN665" s="23">
        <f t="shared" ca="1" si="592"/>
        <v>0</v>
      </c>
      <c r="BO665" s="24">
        <f t="shared" ca="1" si="593"/>
        <v>0</v>
      </c>
      <c r="BP665" s="25">
        <f t="shared" ca="1" si="594"/>
        <v>0</v>
      </c>
      <c r="BQ665" s="34">
        <f t="shared" ca="1" si="595"/>
        <v>65653</v>
      </c>
      <c r="BR665" s="23">
        <f t="shared" ca="1" si="596"/>
        <v>37877.368479545235</v>
      </c>
      <c r="BS665" s="24">
        <f t="shared" ca="1" si="597"/>
        <v>0</v>
      </c>
      <c r="BT665" s="24">
        <f t="shared" ca="1" si="602"/>
        <v>0</v>
      </c>
      <c r="BU665" s="24">
        <f t="shared" ca="1" si="598"/>
        <v>0</v>
      </c>
      <c r="BV665" s="24">
        <f t="shared" ca="1" si="603"/>
        <v>0</v>
      </c>
      <c r="BW665" s="24">
        <f t="shared" ca="1" si="599"/>
        <v>-603.90521984057534</v>
      </c>
      <c r="BX665" s="25">
        <f t="shared" ca="1" si="604"/>
        <v>-7309.0922486712698</v>
      </c>
      <c r="BY665" s="23">
        <f t="shared" ca="1" si="571"/>
        <v>4409.4561421702565</v>
      </c>
      <c r="BZ665" s="24">
        <f t="shared" ca="1" si="572"/>
        <v>0</v>
      </c>
      <c r="CA665" s="24">
        <f t="shared" ca="1" si="605"/>
        <v>0</v>
      </c>
      <c r="CB665" s="24">
        <f t="shared" ca="1" si="573"/>
        <v>0</v>
      </c>
      <c r="CC665" s="24">
        <f t="shared" ca="1" si="606"/>
        <v>0</v>
      </c>
      <c r="CD665" s="24">
        <f t="shared" ca="1" si="574"/>
        <v>-70.533178750499673</v>
      </c>
      <c r="CE665" s="25">
        <f t="shared" ca="1" si="607"/>
        <v>-869.33973522777308</v>
      </c>
      <c r="CF665" s="23">
        <f t="shared" ca="1" si="608"/>
        <v>2260938.1149261571</v>
      </c>
      <c r="CG665" s="25">
        <f t="array" aca="1" ref="CG665" ca="1">SUM(BF654:BF665/(1+inflation/100)^(AP654:AP665/12))</f>
        <v>267980.53702225379</v>
      </c>
      <c r="CH665" s="32">
        <f ca="1">IFERROR(IF(MOD(AP665-ap_months_since_start,12)=0,ap_drawdown/100*(AQ665+AV665+BA665-BC665),CH664),0)</f>
        <v>6364.5725048170825</v>
      </c>
    </row>
    <row r="666" spans="40:86" x14ac:dyDescent="0.25">
      <c r="AN666" s="32">
        <f t="shared" ca="1" si="569"/>
        <v>109.75</v>
      </c>
      <c r="AO666" s="53">
        <f t="shared" ca="1" si="600"/>
        <v>65654</v>
      </c>
      <c r="AP666" s="22">
        <v>659</v>
      </c>
      <c r="AQ666" s="32">
        <f t="shared" ca="1" si="601"/>
        <v>37877.368479545235</v>
      </c>
      <c r="AR666" s="23">
        <f t="array" aca="1" ref="AR666" ca="1">SUM(IF(lsc_start_date=AO666,lsc_amount,0))</f>
        <v>0</v>
      </c>
      <c r="AS666" s="24">
        <f t="shared" ca="1" si="575"/>
        <v>0</v>
      </c>
      <c r="AT666" s="24">
        <f t="shared" ca="1" si="576"/>
        <v>0</v>
      </c>
      <c r="AU666" s="24">
        <f t="shared" ca="1" si="577"/>
        <v>0</v>
      </c>
      <c r="AV666" s="25">
        <f t="shared" ca="1" si="578"/>
        <v>0</v>
      </c>
      <c r="AW666" s="23">
        <f t="array" aca="1" ref="AW666" ca="1">SUM(IF(rcs_start_date&lt;=AO666,1,0)*IF(rcs_end_date&gt;=AO666,1,0)*rcs_amount*(1+rcs_escalation/100)^(INT((AP666-rcs_months_since_start)/12))*IF(MOD((AP666-rcs_months_since_start),rcs_frequency)=0,1,0)*IF(rcs_frequency=13,0,1))+SUM(IF(rcs_start_date=AO666,rcs_amount,0)*IF(rcs_frequency=13,1,0))</f>
        <v>0</v>
      </c>
      <c r="AX666" s="24">
        <f t="shared" ca="1" si="579"/>
        <v>0</v>
      </c>
      <c r="AY666" s="24">
        <f t="shared" ca="1" si="580"/>
        <v>0</v>
      </c>
      <c r="AZ666" s="24">
        <f t="shared" ca="1" si="581"/>
        <v>0</v>
      </c>
      <c r="BA666" s="25">
        <f t="shared" ca="1" si="582"/>
        <v>0</v>
      </c>
      <c r="BB666" s="23">
        <f t="array" aca="1" ref="BB666" ca="1">SUM(IF(w_start_date&lt;=AO666,1,0)*IF(w_end_date&gt;=AO666,1,0)*w_amount*(1+w_escalation/100)^(INT((AP666-w_months_since_start)/12))*IF(MOD(AP666-w_months_since_start,w_frequency)=0,1,0)*IF(w_frequency=13,0,1))+SUM(IF(w_start_date=AO666,w_amount,0)*IF(w_frequency=13,1,0))</f>
        <v>0</v>
      </c>
      <c r="BC666" s="25">
        <f t="shared" ca="1" si="583"/>
        <v>0</v>
      </c>
      <c r="BD666" s="24" t="b">
        <f t="shared" ca="1" si="584"/>
        <v>1</v>
      </c>
      <c r="BE666" s="24" t="b">
        <f t="shared" ca="1" si="585"/>
        <v>1</v>
      </c>
      <c r="BF666" s="23">
        <f t="array" aca="1" ref="BF666" ca="1">SUM(IF(BD666,1,0)*IF(ap_start_date&lt;=AO666,1,0)*IF(ap_end_date&gt;=AO666,1,0)*ap_amount*(1+ap_escalation/100)^(INT((AP666-ap_months_since_start)/12))*IF(MOD(AP666-ap_months_since_start,ap_frequency)=0,1,0))</f>
        <v>189017.334366817</v>
      </c>
      <c r="BG666" s="24">
        <f t="shared" ca="1" si="586"/>
        <v>2268208.0124018039</v>
      </c>
      <c r="BH666" s="24">
        <f t="shared" ca="1" si="587"/>
        <v>1035.2660911552719</v>
      </c>
      <c r="BI666">
        <f t="shared" ca="1" si="588"/>
        <v>0</v>
      </c>
      <c r="BJ666" s="24">
        <f t="shared" ca="1" si="589"/>
        <v>7246.8626380869027</v>
      </c>
      <c r="BK666">
        <f t="shared" ca="1" si="590"/>
        <v>1</v>
      </c>
      <c r="BL666" s="25">
        <f t="shared" ca="1" si="591"/>
        <v>603.90521984057534</v>
      </c>
      <c r="BM666" s="32">
        <f t="shared" ca="1" si="570"/>
        <v>37542.105160529492</v>
      </c>
      <c r="BN666" s="23">
        <f t="shared" ca="1" si="592"/>
        <v>0</v>
      </c>
      <c r="BO666" s="24">
        <f t="shared" ca="1" si="593"/>
        <v>0</v>
      </c>
      <c r="BP666" s="25">
        <f t="shared" ca="1" si="594"/>
        <v>0</v>
      </c>
      <c r="BQ666" s="34">
        <f t="shared" ca="1" si="595"/>
        <v>65684</v>
      </c>
      <c r="BR666" s="23">
        <f t="shared" ca="1" si="596"/>
        <v>37542.105160529492</v>
      </c>
      <c r="BS666" s="24">
        <f t="shared" ca="1" si="597"/>
        <v>0</v>
      </c>
      <c r="BT666" s="24">
        <f t="shared" ca="1" si="602"/>
        <v>0</v>
      </c>
      <c r="BU666" s="24">
        <f t="shared" ca="1" si="598"/>
        <v>0</v>
      </c>
      <c r="BV666" s="24">
        <f t="shared" ca="1" si="603"/>
        <v>0</v>
      </c>
      <c r="BW666" s="24">
        <f t="shared" ca="1" si="599"/>
        <v>-603.90521984057534</v>
      </c>
      <c r="BX666" s="25">
        <f t="shared" ca="1" si="604"/>
        <v>-7246.8626380869036</v>
      </c>
      <c r="BY666" s="23">
        <f t="shared" ca="1" si="571"/>
        <v>4356.1658432445247</v>
      </c>
      <c r="BZ666" s="24">
        <f t="shared" ca="1" si="572"/>
        <v>0</v>
      </c>
      <c r="CA666" s="24">
        <f t="shared" ca="1" si="605"/>
        <v>0</v>
      </c>
      <c r="CB666" s="24">
        <f t="shared" ca="1" si="573"/>
        <v>0</v>
      </c>
      <c r="CC666" s="24">
        <f t="shared" ca="1" si="606"/>
        <v>0</v>
      </c>
      <c r="CD666" s="24">
        <f t="shared" ca="1" si="574"/>
        <v>-70.303024940941611</v>
      </c>
      <c r="CE666" s="25">
        <f t="shared" ca="1" si="607"/>
        <v>-858.99344014106532</v>
      </c>
      <c r="CF666" s="23">
        <f t="shared" ca="1" si="608"/>
        <v>2268208.0124018039</v>
      </c>
      <c r="CG666" s="25">
        <f t="array" aca="1" ref="CG666" ca="1">SUM(BF655:BF666/(1+inflation/100)^(AP655:AP666/12))</f>
        <v>267980.53702225385</v>
      </c>
      <c r="CH666" s="32">
        <f ca="1">IFERROR(IF(MOD(AP666-ap_months_since_start,12)=0,ap_drawdown/100*(AQ666+AV666+BA666-BC666),CH665),0)</f>
        <v>6364.5725048170825</v>
      </c>
    </row>
    <row r="667" spans="40:86" x14ac:dyDescent="0.25">
      <c r="AN667" s="32">
        <f t="shared" ca="1" si="569"/>
        <v>109.83333333333333</v>
      </c>
      <c r="AO667" s="53">
        <f t="shared" ca="1" si="600"/>
        <v>65685</v>
      </c>
      <c r="AP667" s="22">
        <v>660</v>
      </c>
      <c r="AQ667" s="32">
        <f t="shared" ca="1" si="601"/>
        <v>37542.105160529492</v>
      </c>
      <c r="AR667" s="23">
        <f t="array" aca="1" ref="AR667" ca="1">SUM(IF(lsc_start_date=AO667,lsc_amount,0))</f>
        <v>0</v>
      </c>
      <c r="AS667" s="24">
        <f t="shared" ca="1" si="575"/>
        <v>0</v>
      </c>
      <c r="AT667" s="24">
        <f t="shared" ca="1" si="576"/>
        <v>0</v>
      </c>
      <c r="AU667" s="24">
        <f t="shared" ca="1" si="577"/>
        <v>0</v>
      </c>
      <c r="AV667" s="25">
        <f t="shared" ca="1" si="578"/>
        <v>0</v>
      </c>
      <c r="AW667" s="23">
        <f t="array" aca="1" ref="AW667" ca="1">SUM(IF(rcs_start_date&lt;=AO667,1,0)*IF(rcs_end_date&gt;=AO667,1,0)*rcs_amount*(1+rcs_escalation/100)^(INT((AP667-rcs_months_since_start)/12))*IF(MOD((AP667-rcs_months_since_start),rcs_frequency)=0,1,0)*IF(rcs_frequency=13,0,1))+SUM(IF(rcs_start_date=AO667,rcs_amount,0)*IF(rcs_frequency=13,1,0))</f>
        <v>0</v>
      </c>
      <c r="AX667" s="24">
        <f t="shared" ca="1" si="579"/>
        <v>0</v>
      </c>
      <c r="AY667" s="24">
        <f t="shared" ca="1" si="580"/>
        <v>0</v>
      </c>
      <c r="AZ667" s="24">
        <f t="shared" ca="1" si="581"/>
        <v>0</v>
      </c>
      <c r="BA667" s="25">
        <f t="shared" ca="1" si="582"/>
        <v>0</v>
      </c>
      <c r="BB667" s="23">
        <f t="array" aca="1" ref="BB667" ca="1">SUM(IF(w_start_date&lt;=AO667,1,0)*IF(w_end_date&gt;=AO667,1,0)*w_amount*(1+w_escalation/100)^(INT((AP667-w_months_since_start)/12))*IF(MOD(AP667-w_months_since_start,w_frequency)=0,1,0)*IF(w_frequency=13,0,1))+SUM(IF(w_start_date=AO667,w_amount,0)*IF(w_frequency=13,1,0))</f>
        <v>0</v>
      </c>
      <c r="BC667" s="25">
        <f t="shared" ca="1" si="583"/>
        <v>0</v>
      </c>
      <c r="BD667" s="24" t="b">
        <f t="shared" ca="1" si="584"/>
        <v>1</v>
      </c>
      <c r="BE667" s="24" t="b">
        <f t="shared" ca="1" si="585"/>
        <v>1</v>
      </c>
      <c r="BF667" s="23">
        <f t="array" aca="1" ref="BF667" ca="1">SUM(IF(BD667,1,0)*IF(ap_start_date&lt;=AO667,1,0)*IF(ap_end_date&gt;=AO667,1,0)*ap_amount*(1+ap_escalation/100)^(INT((AP667-ap_months_since_start)/12))*IF(MOD(AP667-ap_months_since_start,ap_frequency)=0,1,0))</f>
        <v>196578.0277414897</v>
      </c>
      <c r="BG667" s="24">
        <f t="shared" ca="1" si="586"/>
        <v>2358936.3328978764</v>
      </c>
      <c r="BH667" s="24">
        <f t="shared" ca="1" si="587"/>
        <v>938.55262901323738</v>
      </c>
      <c r="BI667">
        <f t="shared" ca="1" si="588"/>
        <v>0</v>
      </c>
      <c r="BJ667" s="24">
        <f t="shared" ca="1" si="589"/>
        <v>6569.8684030926606</v>
      </c>
      <c r="BK667">
        <f t="shared" ca="1" si="590"/>
        <v>1</v>
      </c>
      <c r="BL667" s="25">
        <f t="shared" ca="1" si="591"/>
        <v>547.48903359105498</v>
      </c>
      <c r="BM667" s="32">
        <f t="shared" ca="1" si="570"/>
        <v>37261.24828632165</v>
      </c>
      <c r="BN667" s="23">
        <f t="shared" ca="1" si="592"/>
        <v>0</v>
      </c>
      <c r="BO667" s="24">
        <f t="shared" ca="1" si="593"/>
        <v>0</v>
      </c>
      <c r="BP667" s="25">
        <f t="shared" ca="1" si="594"/>
        <v>0</v>
      </c>
      <c r="BQ667" s="34">
        <f t="shared" ca="1" si="595"/>
        <v>65714</v>
      </c>
      <c r="BR667" s="23">
        <f t="shared" ca="1" si="596"/>
        <v>37261.24828632165</v>
      </c>
      <c r="BS667" s="24">
        <f t="shared" ca="1" si="597"/>
        <v>0</v>
      </c>
      <c r="BT667" s="24">
        <f t="shared" ca="1" si="602"/>
        <v>0</v>
      </c>
      <c r="BU667" s="24">
        <f t="shared" ca="1" si="598"/>
        <v>0</v>
      </c>
      <c r="BV667" s="24">
        <f t="shared" ca="1" si="603"/>
        <v>0</v>
      </c>
      <c r="BW667" s="24">
        <f t="shared" ca="1" si="599"/>
        <v>-547.48903359105498</v>
      </c>
      <c r="BX667" s="25">
        <f t="shared" ca="1" si="604"/>
        <v>-7190.4464518373834</v>
      </c>
      <c r="BY667" s="23">
        <f t="shared" ca="1" si="571"/>
        <v>4309.4687783235286</v>
      </c>
      <c r="BZ667" s="24">
        <f t="shared" ca="1" si="572"/>
        <v>0</v>
      </c>
      <c r="CA667" s="24">
        <f t="shared" ca="1" si="605"/>
        <v>0</v>
      </c>
      <c r="CB667" s="24">
        <f t="shared" ca="1" si="573"/>
        <v>0</v>
      </c>
      <c r="CC667" s="24">
        <f t="shared" ca="1" si="606"/>
        <v>0</v>
      </c>
      <c r="CD667" s="24">
        <f t="shared" ca="1" si="574"/>
        <v>-63.527418547315975</v>
      </c>
      <c r="CE667" s="25">
        <f t="shared" ca="1" si="607"/>
        <v>-849.64429166645175</v>
      </c>
      <c r="CF667" s="23">
        <f t="shared" ca="1" si="608"/>
        <v>2275768.7057764768</v>
      </c>
      <c r="CG667" s="25">
        <f t="array" aca="1" ref="CG667" ca="1">SUM(BF656:BF667/(1+inflation/100)^(AP656:AP667/12))</f>
        <v>267980.53702225385</v>
      </c>
      <c r="CH667" s="32">
        <f ca="1">IFERROR(IF(MOD(AP667-ap_months_since_start,12)=0,ap_drawdown/100*(AQ667+AV667+BA667-BC667),CH666),0)</f>
        <v>5770.0008799433563</v>
      </c>
    </row>
    <row r="668" spans="40:86" x14ac:dyDescent="0.25">
      <c r="AN668" s="32">
        <f t="shared" ca="1" si="569"/>
        <v>109.91666666666667</v>
      </c>
      <c r="AO668" s="53">
        <f t="shared" ca="1" si="600"/>
        <v>65715</v>
      </c>
      <c r="AP668" s="22">
        <v>661</v>
      </c>
      <c r="AQ668" s="32">
        <f t="shared" ca="1" si="601"/>
        <v>37261.24828632165</v>
      </c>
      <c r="AR668" s="23">
        <f t="array" aca="1" ref="AR668" ca="1">SUM(IF(lsc_start_date=AO668,lsc_amount,0))</f>
        <v>0</v>
      </c>
      <c r="AS668" s="24">
        <f t="shared" ca="1" si="575"/>
        <v>0</v>
      </c>
      <c r="AT668" s="24">
        <f t="shared" ca="1" si="576"/>
        <v>0</v>
      </c>
      <c r="AU668" s="24">
        <f t="shared" ca="1" si="577"/>
        <v>0</v>
      </c>
      <c r="AV668" s="25">
        <f t="shared" ca="1" si="578"/>
        <v>0</v>
      </c>
      <c r="AW668" s="23">
        <f t="array" aca="1" ref="AW668" ca="1">SUM(IF(rcs_start_date&lt;=AO668,1,0)*IF(rcs_end_date&gt;=AO668,1,0)*rcs_amount*(1+rcs_escalation/100)^(INT((AP668-rcs_months_since_start)/12))*IF(MOD((AP668-rcs_months_since_start),rcs_frequency)=0,1,0)*IF(rcs_frequency=13,0,1))+SUM(IF(rcs_start_date=AO668,rcs_amount,0)*IF(rcs_frequency=13,1,0))</f>
        <v>0</v>
      </c>
      <c r="AX668" s="24">
        <f t="shared" ca="1" si="579"/>
        <v>0</v>
      </c>
      <c r="AY668" s="24">
        <f t="shared" ca="1" si="580"/>
        <v>0</v>
      </c>
      <c r="AZ668" s="24">
        <f t="shared" ca="1" si="581"/>
        <v>0</v>
      </c>
      <c r="BA668" s="25">
        <f t="shared" ca="1" si="582"/>
        <v>0</v>
      </c>
      <c r="BB668" s="23">
        <f t="array" aca="1" ref="BB668" ca="1">SUM(IF(w_start_date&lt;=AO668,1,0)*IF(w_end_date&gt;=AO668,1,0)*w_amount*(1+w_escalation/100)^(INT((AP668-w_months_since_start)/12))*IF(MOD(AP668-w_months_since_start,w_frequency)=0,1,0)*IF(w_frequency=13,0,1))+SUM(IF(w_start_date=AO668,w_amount,0)*IF(w_frequency=13,1,0))</f>
        <v>0</v>
      </c>
      <c r="BC668" s="25">
        <f t="shared" ca="1" si="583"/>
        <v>0</v>
      </c>
      <c r="BD668" s="24" t="b">
        <f t="shared" ca="1" si="584"/>
        <v>1</v>
      </c>
      <c r="BE668" s="24" t="b">
        <f t="shared" ca="1" si="585"/>
        <v>1</v>
      </c>
      <c r="BF668" s="23">
        <f t="array" aca="1" ref="BF668" ca="1">SUM(IF(BD668,1,0)*IF(ap_start_date&lt;=AO668,1,0)*IF(ap_end_date&gt;=AO668,1,0)*ap_amount*(1+ap_escalation/100)^(INT((AP668-ap_months_since_start)/12))*IF(MOD(AP668-ap_months_since_start,ap_frequency)=0,1,0))</f>
        <v>196578.0277414897</v>
      </c>
      <c r="BG668" s="24">
        <f t="shared" ca="1" si="586"/>
        <v>2358936.3328978764</v>
      </c>
      <c r="BH668" s="24">
        <f t="shared" ca="1" si="587"/>
        <v>938.55262901323738</v>
      </c>
      <c r="BI668">
        <f t="shared" ca="1" si="588"/>
        <v>0</v>
      </c>
      <c r="BJ668" s="24">
        <f t="shared" ca="1" si="589"/>
        <v>6569.8684030926606</v>
      </c>
      <c r="BK668">
        <f t="shared" ca="1" si="590"/>
        <v>1</v>
      </c>
      <c r="BL668" s="25">
        <f t="shared" ca="1" si="591"/>
        <v>547.48903359105498</v>
      </c>
      <c r="BM668" s="32">
        <f t="shared" ca="1" si="570"/>
        <v>36978.367185815834</v>
      </c>
      <c r="BN668" s="23">
        <f t="shared" ca="1" si="592"/>
        <v>0</v>
      </c>
      <c r="BO668" s="24">
        <f t="shared" ca="1" si="593"/>
        <v>0</v>
      </c>
      <c r="BP668" s="25">
        <f t="shared" ca="1" si="594"/>
        <v>0</v>
      </c>
      <c r="BQ668" s="34">
        <f t="shared" ca="1" si="595"/>
        <v>65745</v>
      </c>
      <c r="BR668" s="23">
        <f t="shared" ca="1" si="596"/>
        <v>36978.367185815834</v>
      </c>
      <c r="BS668" s="24">
        <f t="shared" ca="1" si="597"/>
        <v>0</v>
      </c>
      <c r="BT668" s="24">
        <f t="shared" ca="1" si="602"/>
        <v>0</v>
      </c>
      <c r="BU668" s="24">
        <f t="shared" ca="1" si="598"/>
        <v>0</v>
      </c>
      <c r="BV668" s="24">
        <f t="shared" ca="1" si="603"/>
        <v>0</v>
      </c>
      <c r="BW668" s="24">
        <f t="shared" ca="1" si="599"/>
        <v>-547.48903359105498</v>
      </c>
      <c r="BX668" s="25">
        <f t="shared" ca="1" si="604"/>
        <v>-7134.0302655878631</v>
      </c>
      <c r="BY668" s="23">
        <f t="shared" ca="1" si="571"/>
        <v>4262.7967323355024</v>
      </c>
      <c r="BZ668" s="24">
        <f t="shared" ca="1" si="572"/>
        <v>0</v>
      </c>
      <c r="CA668" s="24">
        <f t="shared" ca="1" si="605"/>
        <v>0</v>
      </c>
      <c r="CB668" s="24">
        <f t="shared" ca="1" si="573"/>
        <v>0</v>
      </c>
      <c r="CC668" s="24">
        <f t="shared" ca="1" si="606"/>
        <v>0</v>
      </c>
      <c r="CD668" s="24">
        <f t="shared" ca="1" si="574"/>
        <v>-63.320124935301422</v>
      </c>
      <c r="CE668" s="25">
        <f t="shared" ca="1" si="607"/>
        <v>-840.32564999977865</v>
      </c>
      <c r="CF668" s="23">
        <f t="shared" ca="1" si="608"/>
        <v>2283329.3991511492</v>
      </c>
      <c r="CG668" s="25">
        <f t="array" aca="1" ref="CG668" ca="1">SUM(BF657:BF668/(1+inflation/100)^(AP657:AP668/12))</f>
        <v>267980.53702225379</v>
      </c>
      <c r="CH668" s="32">
        <f ca="1">IFERROR(IF(MOD(AP668-ap_months_since_start,12)=0,ap_drawdown/100*(AQ668+AV668+BA668-BC668),CH667),0)</f>
        <v>5770.0008799433563</v>
      </c>
    </row>
    <row r="669" spans="40:86" x14ac:dyDescent="0.25">
      <c r="AN669" s="32">
        <f t="shared" ca="1" si="569"/>
        <v>110</v>
      </c>
      <c r="AO669" s="53">
        <f t="shared" ca="1" si="600"/>
        <v>65746</v>
      </c>
      <c r="AP669" s="22">
        <v>662</v>
      </c>
      <c r="AQ669" s="32">
        <f t="shared" ca="1" si="601"/>
        <v>36978.367185815834</v>
      </c>
      <c r="AR669" s="23">
        <f t="array" aca="1" ref="AR669" ca="1">SUM(IF(lsc_start_date=AO669,lsc_amount,0))</f>
        <v>0</v>
      </c>
      <c r="AS669" s="24">
        <f t="shared" ca="1" si="575"/>
        <v>0</v>
      </c>
      <c r="AT669" s="24">
        <f t="shared" ca="1" si="576"/>
        <v>0</v>
      </c>
      <c r="AU669" s="24">
        <f t="shared" ca="1" si="577"/>
        <v>0</v>
      </c>
      <c r="AV669" s="25">
        <f t="shared" ca="1" si="578"/>
        <v>0</v>
      </c>
      <c r="AW669" s="23">
        <f t="array" aca="1" ref="AW669" ca="1">SUM(IF(rcs_start_date&lt;=AO669,1,0)*IF(rcs_end_date&gt;=AO669,1,0)*rcs_amount*(1+rcs_escalation/100)^(INT((AP669-rcs_months_since_start)/12))*IF(MOD((AP669-rcs_months_since_start),rcs_frequency)=0,1,0)*IF(rcs_frequency=13,0,1))+SUM(IF(rcs_start_date=AO669,rcs_amount,0)*IF(rcs_frequency=13,1,0))</f>
        <v>0</v>
      </c>
      <c r="AX669" s="24">
        <f t="shared" ca="1" si="579"/>
        <v>0</v>
      </c>
      <c r="AY669" s="24">
        <f t="shared" ca="1" si="580"/>
        <v>0</v>
      </c>
      <c r="AZ669" s="24">
        <f t="shared" ca="1" si="581"/>
        <v>0</v>
      </c>
      <c r="BA669" s="25">
        <f t="shared" ca="1" si="582"/>
        <v>0</v>
      </c>
      <c r="BB669" s="23">
        <f t="array" aca="1" ref="BB669" ca="1">SUM(IF(w_start_date&lt;=AO669,1,0)*IF(w_end_date&gt;=AO669,1,0)*w_amount*(1+w_escalation/100)^(INT((AP669-w_months_since_start)/12))*IF(MOD(AP669-w_months_since_start,w_frequency)=0,1,0)*IF(w_frequency=13,0,1))+SUM(IF(w_start_date=AO669,w_amount,0)*IF(w_frequency=13,1,0))</f>
        <v>0</v>
      </c>
      <c r="BC669" s="25">
        <f t="shared" ca="1" si="583"/>
        <v>0</v>
      </c>
      <c r="BD669" s="24" t="b">
        <f t="shared" ca="1" si="584"/>
        <v>1</v>
      </c>
      <c r="BE669" s="24" t="b">
        <f t="shared" ca="1" si="585"/>
        <v>1</v>
      </c>
      <c r="BF669" s="23">
        <f t="array" aca="1" ref="BF669" ca="1">SUM(IF(BD669,1,0)*IF(ap_start_date&lt;=AO669,1,0)*IF(ap_end_date&gt;=AO669,1,0)*ap_amount*(1+ap_escalation/100)^(INT((AP669-ap_months_since_start)/12))*IF(MOD(AP669-ap_months_since_start,ap_frequency)=0,1,0))</f>
        <v>196578.0277414897</v>
      </c>
      <c r="BG669" s="24">
        <f t="shared" ca="1" si="586"/>
        <v>2358936.3328978764</v>
      </c>
      <c r="BH669" s="24">
        <f t="shared" ca="1" si="587"/>
        <v>938.55262901323738</v>
      </c>
      <c r="BI669">
        <f t="shared" ca="1" si="588"/>
        <v>0</v>
      </c>
      <c r="BJ669" s="24">
        <f t="shared" ca="1" si="589"/>
        <v>6569.8684030926606</v>
      </c>
      <c r="BK669">
        <f t="shared" ca="1" si="590"/>
        <v>1</v>
      </c>
      <c r="BL669" s="25">
        <f t="shared" ca="1" si="591"/>
        <v>547.48903359105498</v>
      </c>
      <c r="BM669" s="32">
        <f t="shared" ca="1" si="570"/>
        <v>36693.447269758646</v>
      </c>
      <c r="BN669" s="23">
        <f t="shared" ca="1" si="592"/>
        <v>0</v>
      </c>
      <c r="BO669" s="24">
        <f t="shared" ca="1" si="593"/>
        <v>0</v>
      </c>
      <c r="BP669" s="25">
        <f t="shared" ca="1" si="594"/>
        <v>0</v>
      </c>
      <c r="BQ669" s="34">
        <f t="shared" ca="1" si="595"/>
        <v>65776</v>
      </c>
      <c r="BR669" s="23">
        <f t="shared" ca="1" si="596"/>
        <v>36693.447269758646</v>
      </c>
      <c r="BS669" s="24">
        <f t="shared" ca="1" si="597"/>
        <v>0</v>
      </c>
      <c r="BT669" s="24">
        <f t="shared" ca="1" si="602"/>
        <v>0</v>
      </c>
      <c r="BU669" s="24">
        <f t="shared" ca="1" si="598"/>
        <v>0</v>
      </c>
      <c r="BV669" s="24">
        <f t="shared" ca="1" si="603"/>
        <v>0</v>
      </c>
      <c r="BW669" s="24">
        <f t="shared" ca="1" si="599"/>
        <v>-547.48903359105498</v>
      </c>
      <c r="BX669" s="25">
        <f t="shared" ca="1" si="604"/>
        <v>-7077.6140793383429</v>
      </c>
      <c r="BY669" s="23">
        <f t="shared" ca="1" si="571"/>
        <v>4216.1491243103856</v>
      </c>
      <c r="BZ669" s="24">
        <f t="shared" ca="1" si="572"/>
        <v>0</v>
      </c>
      <c r="CA669" s="24">
        <f t="shared" ca="1" si="605"/>
        <v>0</v>
      </c>
      <c r="CB669" s="24">
        <f t="shared" ca="1" si="573"/>
        <v>0</v>
      </c>
      <c r="CC669" s="24">
        <f t="shared" ca="1" si="606"/>
        <v>0</v>
      </c>
      <c r="CD669" s="24">
        <f t="shared" ca="1" si="574"/>
        <v>-63.11350773423775</v>
      </c>
      <c r="CE669" s="25">
        <f t="shared" ca="1" si="607"/>
        <v>-831.03741559558057</v>
      </c>
      <c r="CF669" s="23">
        <f t="shared" ca="1" si="608"/>
        <v>2290890.0925258221</v>
      </c>
      <c r="CG669" s="25">
        <f t="array" aca="1" ref="CG669" ca="1">SUM(BF658:BF669/(1+inflation/100)^(AP658:AP669/12))</f>
        <v>267980.53702225385</v>
      </c>
      <c r="CH669" s="32">
        <f ca="1">IFERROR(IF(MOD(AP669-ap_months_since_start,12)=0,ap_drawdown/100*(AQ669+AV669+BA669-BC669),CH668),0)</f>
        <v>5770.0008799433563</v>
      </c>
    </row>
    <row r="670" spans="40:86" x14ac:dyDescent="0.25">
      <c r="AN670" s="32">
        <f t="shared" ca="1" si="569"/>
        <v>110.08333333333333</v>
      </c>
      <c r="AO670" s="53">
        <f t="shared" ca="1" si="600"/>
        <v>65777</v>
      </c>
      <c r="AP670" s="22">
        <v>663</v>
      </c>
      <c r="AQ670" s="32">
        <f t="shared" ca="1" si="601"/>
        <v>36693.447269758646</v>
      </c>
      <c r="AR670" s="23">
        <f t="array" aca="1" ref="AR670" ca="1">SUM(IF(lsc_start_date=AO670,lsc_amount,0))</f>
        <v>0</v>
      </c>
      <c r="AS670" s="24">
        <f t="shared" ca="1" si="575"/>
        <v>0</v>
      </c>
      <c r="AT670" s="24">
        <f t="shared" ca="1" si="576"/>
        <v>0</v>
      </c>
      <c r="AU670" s="24">
        <f t="shared" ca="1" si="577"/>
        <v>0</v>
      </c>
      <c r="AV670" s="25">
        <f t="shared" ca="1" si="578"/>
        <v>0</v>
      </c>
      <c r="AW670" s="23">
        <f t="array" aca="1" ref="AW670" ca="1">SUM(IF(rcs_start_date&lt;=AO670,1,0)*IF(rcs_end_date&gt;=AO670,1,0)*rcs_amount*(1+rcs_escalation/100)^(INT((AP670-rcs_months_since_start)/12))*IF(MOD((AP670-rcs_months_since_start),rcs_frequency)=0,1,0)*IF(rcs_frequency=13,0,1))+SUM(IF(rcs_start_date=AO670,rcs_amount,0)*IF(rcs_frequency=13,1,0))</f>
        <v>0</v>
      </c>
      <c r="AX670" s="24">
        <f t="shared" ca="1" si="579"/>
        <v>0</v>
      </c>
      <c r="AY670" s="24">
        <f t="shared" ca="1" si="580"/>
        <v>0</v>
      </c>
      <c r="AZ670" s="24">
        <f t="shared" ca="1" si="581"/>
        <v>0</v>
      </c>
      <c r="BA670" s="25">
        <f t="shared" ca="1" si="582"/>
        <v>0</v>
      </c>
      <c r="BB670" s="23">
        <f t="array" aca="1" ref="BB670" ca="1">SUM(IF(w_start_date&lt;=AO670,1,0)*IF(w_end_date&gt;=AO670,1,0)*w_amount*(1+w_escalation/100)^(INT((AP670-w_months_since_start)/12))*IF(MOD(AP670-w_months_since_start,w_frequency)=0,1,0)*IF(w_frequency=13,0,1))+SUM(IF(w_start_date=AO670,w_amount,0)*IF(w_frequency=13,1,0))</f>
        <v>0</v>
      </c>
      <c r="BC670" s="25">
        <f t="shared" ca="1" si="583"/>
        <v>0</v>
      </c>
      <c r="BD670" s="24" t="b">
        <f t="shared" ca="1" si="584"/>
        <v>1</v>
      </c>
      <c r="BE670" s="24" t="b">
        <f t="shared" ca="1" si="585"/>
        <v>1</v>
      </c>
      <c r="BF670" s="23">
        <f t="array" aca="1" ref="BF670" ca="1">SUM(IF(BD670,1,0)*IF(ap_start_date&lt;=AO670,1,0)*IF(ap_end_date&gt;=AO670,1,0)*ap_amount*(1+ap_escalation/100)^(INT((AP670-ap_months_since_start)/12))*IF(MOD(AP670-ap_months_since_start,ap_frequency)=0,1,0))</f>
        <v>196578.0277414897</v>
      </c>
      <c r="BG670" s="24">
        <f t="shared" ca="1" si="586"/>
        <v>2358936.3328978764</v>
      </c>
      <c r="BH670" s="24">
        <f t="shared" ca="1" si="587"/>
        <v>938.55262901323738</v>
      </c>
      <c r="BI670">
        <f t="shared" ca="1" si="588"/>
        <v>0</v>
      </c>
      <c r="BJ670" s="24">
        <f t="shared" ca="1" si="589"/>
        <v>6569.8684030926606</v>
      </c>
      <c r="BK670">
        <f t="shared" ca="1" si="590"/>
        <v>1</v>
      </c>
      <c r="BL670" s="25">
        <f t="shared" ca="1" si="591"/>
        <v>547.48903359105498</v>
      </c>
      <c r="BM670" s="32">
        <f t="shared" ca="1" si="570"/>
        <v>36406.473843747226</v>
      </c>
      <c r="BN670" s="23">
        <f t="shared" ca="1" si="592"/>
        <v>0</v>
      </c>
      <c r="BO670" s="24">
        <f t="shared" ca="1" si="593"/>
        <v>0</v>
      </c>
      <c r="BP670" s="25">
        <f t="shared" ca="1" si="594"/>
        <v>0</v>
      </c>
      <c r="BQ670" s="34">
        <f t="shared" ca="1" si="595"/>
        <v>65805</v>
      </c>
      <c r="BR670" s="23">
        <f t="shared" ca="1" si="596"/>
        <v>36406.473843747226</v>
      </c>
      <c r="BS670" s="24">
        <f t="shared" ca="1" si="597"/>
        <v>0</v>
      </c>
      <c r="BT670" s="24">
        <f t="shared" ca="1" si="602"/>
        <v>0</v>
      </c>
      <c r="BU670" s="24">
        <f t="shared" ca="1" si="598"/>
        <v>0</v>
      </c>
      <c r="BV670" s="24">
        <f t="shared" ca="1" si="603"/>
        <v>0</v>
      </c>
      <c r="BW670" s="24">
        <f t="shared" ca="1" si="599"/>
        <v>-547.48903359105498</v>
      </c>
      <c r="BX670" s="25">
        <f t="shared" ca="1" si="604"/>
        <v>-7021.1978930888226</v>
      </c>
      <c r="BY670" s="23">
        <f t="shared" ca="1" si="571"/>
        <v>4169.5253732161045</v>
      </c>
      <c r="BZ670" s="24">
        <f t="shared" ca="1" si="572"/>
        <v>0</v>
      </c>
      <c r="CA670" s="24">
        <f t="shared" ca="1" si="605"/>
        <v>0</v>
      </c>
      <c r="CB670" s="24">
        <f t="shared" ca="1" si="573"/>
        <v>0</v>
      </c>
      <c r="CC670" s="24">
        <f t="shared" ca="1" si="606"/>
        <v>0</v>
      </c>
      <c r="CD670" s="24">
        <f t="shared" ca="1" si="574"/>
        <v>-62.907564736957148</v>
      </c>
      <c r="CE670" s="25">
        <f t="shared" ca="1" si="607"/>
        <v>-821.77948923321594</v>
      </c>
      <c r="CF670" s="23">
        <f t="shared" ca="1" si="608"/>
        <v>2298450.785900495</v>
      </c>
      <c r="CG670" s="25">
        <f t="array" aca="1" ref="CG670" ca="1">SUM(BF659:BF670/(1+inflation/100)^(AP659:AP670/12))</f>
        <v>267980.53702225379</v>
      </c>
      <c r="CH670" s="32">
        <f ca="1">IFERROR(IF(MOD(AP670-ap_months_since_start,12)=0,ap_drawdown/100*(AQ670+AV670+BA670-BC670),CH669),0)</f>
        <v>5770.0008799433563</v>
      </c>
    </row>
    <row r="671" spans="40:86" x14ac:dyDescent="0.25">
      <c r="AN671" s="32">
        <f t="shared" ca="1" si="569"/>
        <v>110.16666666666667</v>
      </c>
      <c r="AO671" s="53">
        <f t="shared" ca="1" si="600"/>
        <v>65806</v>
      </c>
      <c r="AP671" s="22">
        <v>664</v>
      </c>
      <c r="AQ671" s="32">
        <f t="shared" ca="1" si="601"/>
        <v>36406.473843747226</v>
      </c>
      <c r="AR671" s="23">
        <f t="array" aca="1" ref="AR671" ca="1">SUM(IF(lsc_start_date=AO671,lsc_amount,0))</f>
        <v>0</v>
      </c>
      <c r="AS671" s="24">
        <f t="shared" ca="1" si="575"/>
        <v>0</v>
      </c>
      <c r="AT671" s="24">
        <f t="shared" ca="1" si="576"/>
        <v>0</v>
      </c>
      <c r="AU671" s="24">
        <f t="shared" ca="1" si="577"/>
        <v>0</v>
      </c>
      <c r="AV671" s="25">
        <f t="shared" ca="1" si="578"/>
        <v>0</v>
      </c>
      <c r="AW671" s="23">
        <f t="array" aca="1" ref="AW671" ca="1">SUM(IF(rcs_start_date&lt;=AO671,1,0)*IF(rcs_end_date&gt;=AO671,1,0)*rcs_amount*(1+rcs_escalation/100)^(INT((AP671-rcs_months_since_start)/12))*IF(MOD((AP671-rcs_months_since_start),rcs_frequency)=0,1,0)*IF(rcs_frequency=13,0,1))+SUM(IF(rcs_start_date=AO671,rcs_amount,0)*IF(rcs_frequency=13,1,0))</f>
        <v>0</v>
      </c>
      <c r="AX671" s="24">
        <f t="shared" ca="1" si="579"/>
        <v>0</v>
      </c>
      <c r="AY671" s="24">
        <f t="shared" ca="1" si="580"/>
        <v>0</v>
      </c>
      <c r="AZ671" s="24">
        <f t="shared" ca="1" si="581"/>
        <v>0</v>
      </c>
      <c r="BA671" s="25">
        <f t="shared" ca="1" si="582"/>
        <v>0</v>
      </c>
      <c r="BB671" s="23">
        <f t="array" aca="1" ref="BB671" ca="1">SUM(IF(w_start_date&lt;=AO671,1,0)*IF(w_end_date&gt;=AO671,1,0)*w_amount*(1+w_escalation/100)^(INT((AP671-w_months_since_start)/12))*IF(MOD(AP671-w_months_since_start,w_frequency)=0,1,0)*IF(w_frequency=13,0,1))+SUM(IF(w_start_date=AO671,w_amount,0)*IF(w_frequency=13,1,0))</f>
        <v>0</v>
      </c>
      <c r="BC671" s="25">
        <f t="shared" ca="1" si="583"/>
        <v>0</v>
      </c>
      <c r="BD671" s="24" t="b">
        <f t="shared" ca="1" si="584"/>
        <v>1</v>
      </c>
      <c r="BE671" s="24" t="b">
        <f t="shared" ca="1" si="585"/>
        <v>1</v>
      </c>
      <c r="BF671" s="23">
        <f t="array" aca="1" ref="BF671" ca="1">SUM(IF(BD671,1,0)*IF(ap_start_date&lt;=AO671,1,0)*IF(ap_end_date&gt;=AO671,1,0)*ap_amount*(1+ap_escalation/100)^(INT((AP671-ap_months_since_start)/12))*IF(MOD(AP671-ap_months_since_start,ap_frequency)=0,1,0))</f>
        <v>196578.0277414897</v>
      </c>
      <c r="BG671" s="24">
        <f t="shared" ca="1" si="586"/>
        <v>2358936.3328978764</v>
      </c>
      <c r="BH671" s="24">
        <f t="shared" ca="1" si="587"/>
        <v>938.55262901323738</v>
      </c>
      <c r="BI671">
        <f t="shared" ca="1" si="588"/>
        <v>0</v>
      </c>
      <c r="BJ671" s="24">
        <f t="shared" ca="1" si="589"/>
        <v>6569.8684030926606</v>
      </c>
      <c r="BK671">
        <f t="shared" ca="1" si="590"/>
        <v>1</v>
      </c>
      <c r="BL671" s="25">
        <f t="shared" ca="1" si="591"/>
        <v>547.48903359105498</v>
      </c>
      <c r="BM671" s="32">
        <f t="shared" ca="1" si="570"/>
        <v>36117.432107471403</v>
      </c>
      <c r="BN671" s="23">
        <f t="shared" ca="1" si="592"/>
        <v>0</v>
      </c>
      <c r="BO671" s="24">
        <f t="shared" ca="1" si="593"/>
        <v>0</v>
      </c>
      <c r="BP671" s="25">
        <f t="shared" ca="1" si="594"/>
        <v>0</v>
      </c>
      <c r="BQ671" s="34">
        <f t="shared" ca="1" si="595"/>
        <v>65836</v>
      </c>
      <c r="BR671" s="23">
        <f t="shared" ca="1" si="596"/>
        <v>36117.432107471403</v>
      </c>
      <c r="BS671" s="24">
        <f t="shared" ca="1" si="597"/>
        <v>0</v>
      </c>
      <c r="BT671" s="24">
        <f t="shared" ca="1" si="602"/>
        <v>0</v>
      </c>
      <c r="BU671" s="24">
        <f t="shared" ca="1" si="598"/>
        <v>0</v>
      </c>
      <c r="BV671" s="24">
        <f t="shared" ca="1" si="603"/>
        <v>0</v>
      </c>
      <c r="BW671" s="24">
        <f t="shared" ca="1" si="599"/>
        <v>-547.48903359105498</v>
      </c>
      <c r="BX671" s="25">
        <f t="shared" ca="1" si="604"/>
        <v>-6964.7817068393024</v>
      </c>
      <c r="BY671" s="23">
        <f t="shared" ca="1" si="571"/>
        <v>4122.9248979511012</v>
      </c>
      <c r="BZ671" s="24">
        <f t="shared" ca="1" si="572"/>
        <v>0</v>
      </c>
      <c r="CA671" s="24">
        <f t="shared" ca="1" si="605"/>
        <v>0</v>
      </c>
      <c r="CB671" s="24">
        <f t="shared" ca="1" si="573"/>
        <v>0</v>
      </c>
      <c r="CC671" s="24">
        <f t="shared" ca="1" si="606"/>
        <v>0</v>
      </c>
      <c r="CD671" s="24">
        <f t="shared" ca="1" si="574"/>
        <v>-62.702293743493961</v>
      </c>
      <c r="CE671" s="25">
        <f t="shared" ca="1" si="607"/>
        <v>-812.55177201580489</v>
      </c>
      <c r="CF671" s="23">
        <f t="shared" ca="1" si="608"/>
        <v>2306011.4792751679</v>
      </c>
      <c r="CG671" s="25">
        <f t="array" aca="1" ref="CG671" ca="1">SUM(BF660:BF671/(1+inflation/100)^(AP660:AP671/12))</f>
        <v>267980.53702225385</v>
      </c>
      <c r="CH671" s="32">
        <f ca="1">IFERROR(IF(MOD(AP671-ap_months_since_start,12)=0,ap_drawdown/100*(AQ671+AV671+BA671-BC671),CH670),0)</f>
        <v>5770.0008799433563</v>
      </c>
    </row>
    <row r="672" spans="40:86" x14ac:dyDescent="0.25">
      <c r="AN672" s="32">
        <f t="shared" ca="1" si="569"/>
        <v>110.25</v>
      </c>
      <c r="AO672" s="53">
        <f t="shared" ca="1" si="600"/>
        <v>65837</v>
      </c>
      <c r="AP672" s="22">
        <v>665</v>
      </c>
      <c r="AQ672" s="32">
        <f t="shared" ca="1" si="601"/>
        <v>36117.432107471403</v>
      </c>
      <c r="AR672" s="23">
        <f t="array" aca="1" ref="AR672" ca="1">SUM(IF(lsc_start_date=AO672,lsc_amount,0))</f>
        <v>0</v>
      </c>
      <c r="AS672" s="24">
        <f t="shared" ca="1" si="575"/>
        <v>0</v>
      </c>
      <c r="AT672" s="24">
        <f t="shared" ca="1" si="576"/>
        <v>0</v>
      </c>
      <c r="AU672" s="24">
        <f t="shared" ca="1" si="577"/>
        <v>0</v>
      </c>
      <c r="AV672" s="25">
        <f t="shared" ca="1" si="578"/>
        <v>0</v>
      </c>
      <c r="AW672" s="23">
        <f t="array" aca="1" ref="AW672" ca="1">SUM(IF(rcs_start_date&lt;=AO672,1,0)*IF(rcs_end_date&gt;=AO672,1,0)*rcs_amount*(1+rcs_escalation/100)^(INT((AP672-rcs_months_since_start)/12))*IF(MOD((AP672-rcs_months_since_start),rcs_frequency)=0,1,0)*IF(rcs_frequency=13,0,1))+SUM(IF(rcs_start_date=AO672,rcs_amount,0)*IF(rcs_frequency=13,1,0))</f>
        <v>0</v>
      </c>
      <c r="AX672" s="24">
        <f t="shared" ca="1" si="579"/>
        <v>0</v>
      </c>
      <c r="AY672" s="24">
        <f t="shared" ca="1" si="580"/>
        <v>0</v>
      </c>
      <c r="AZ672" s="24">
        <f t="shared" ca="1" si="581"/>
        <v>0</v>
      </c>
      <c r="BA672" s="25">
        <f t="shared" ca="1" si="582"/>
        <v>0</v>
      </c>
      <c r="BB672" s="23">
        <f t="array" aca="1" ref="BB672" ca="1">SUM(IF(w_start_date&lt;=AO672,1,0)*IF(w_end_date&gt;=AO672,1,0)*w_amount*(1+w_escalation/100)^(INT((AP672-w_months_since_start)/12))*IF(MOD(AP672-w_months_since_start,w_frequency)=0,1,0)*IF(w_frequency=13,0,1))+SUM(IF(w_start_date=AO672,w_amount,0)*IF(w_frequency=13,1,0))</f>
        <v>0</v>
      </c>
      <c r="BC672" s="25">
        <f t="shared" ca="1" si="583"/>
        <v>0</v>
      </c>
      <c r="BD672" s="24" t="b">
        <f t="shared" ca="1" si="584"/>
        <v>1</v>
      </c>
      <c r="BE672" s="24" t="b">
        <f t="shared" ca="1" si="585"/>
        <v>1</v>
      </c>
      <c r="BF672" s="23">
        <f t="array" aca="1" ref="BF672" ca="1">SUM(IF(BD672,1,0)*IF(ap_start_date&lt;=AO672,1,0)*IF(ap_end_date&gt;=AO672,1,0)*ap_amount*(1+ap_escalation/100)^(INT((AP672-ap_months_since_start)/12))*IF(MOD(AP672-ap_months_since_start,ap_frequency)=0,1,0))</f>
        <v>196578.0277414897</v>
      </c>
      <c r="BG672" s="24">
        <f t="shared" ca="1" si="586"/>
        <v>2358936.3328978764</v>
      </c>
      <c r="BH672" s="24">
        <f t="shared" ca="1" si="587"/>
        <v>938.55262901323738</v>
      </c>
      <c r="BI672">
        <f t="shared" ca="1" si="588"/>
        <v>0</v>
      </c>
      <c r="BJ672" s="24">
        <f t="shared" ca="1" si="589"/>
        <v>6569.8684030926606</v>
      </c>
      <c r="BK672">
        <f t="shared" ca="1" si="590"/>
        <v>1</v>
      </c>
      <c r="BL672" s="25">
        <f t="shared" ca="1" si="591"/>
        <v>547.48903359105498</v>
      </c>
      <c r="BM672" s="32">
        <f t="shared" ca="1" si="570"/>
        <v>35826.30715395038</v>
      </c>
      <c r="BN672" s="23">
        <f t="shared" ca="1" si="592"/>
        <v>0</v>
      </c>
      <c r="BO672" s="24">
        <f t="shared" ca="1" si="593"/>
        <v>0</v>
      </c>
      <c r="BP672" s="25">
        <f t="shared" ca="1" si="594"/>
        <v>0</v>
      </c>
      <c r="BQ672" s="34">
        <f t="shared" ca="1" si="595"/>
        <v>65866</v>
      </c>
      <c r="BR672" s="23">
        <f t="shared" ca="1" si="596"/>
        <v>35826.30715395038</v>
      </c>
      <c r="BS672" s="24">
        <f t="shared" ca="1" si="597"/>
        <v>0</v>
      </c>
      <c r="BT672" s="24">
        <f t="shared" ca="1" si="602"/>
        <v>0</v>
      </c>
      <c r="BU672" s="24">
        <f t="shared" ca="1" si="598"/>
        <v>0</v>
      </c>
      <c r="BV672" s="24">
        <f t="shared" ca="1" si="603"/>
        <v>0</v>
      </c>
      <c r="BW672" s="24">
        <f t="shared" ca="1" si="599"/>
        <v>-547.48903359105498</v>
      </c>
      <c r="BX672" s="25">
        <f t="shared" ca="1" si="604"/>
        <v>-6908.3655205897812</v>
      </c>
      <c r="BY672" s="23">
        <f t="shared" ca="1" si="571"/>
        <v>4076.3471173368462</v>
      </c>
      <c r="BZ672" s="24">
        <f t="shared" ca="1" si="572"/>
        <v>0</v>
      </c>
      <c r="CA672" s="24">
        <f t="shared" ca="1" si="605"/>
        <v>0</v>
      </c>
      <c r="CB672" s="24">
        <f t="shared" ca="1" si="573"/>
        <v>0</v>
      </c>
      <c r="CC672" s="24">
        <f t="shared" ca="1" si="606"/>
        <v>0</v>
      </c>
      <c r="CD672" s="24">
        <f t="shared" ca="1" si="574"/>
        <v>-62.497692561061164</v>
      </c>
      <c r="CE672" s="25">
        <f t="shared" ca="1" si="607"/>
        <v>-803.35416536917353</v>
      </c>
      <c r="CF672" s="23">
        <f t="shared" ca="1" si="608"/>
        <v>2313572.1726498399</v>
      </c>
      <c r="CG672" s="25">
        <f t="array" aca="1" ref="CG672" ca="1">SUM(BF661:BF672/(1+inflation/100)^(AP661:AP672/12))</f>
        <v>267980.53702225385</v>
      </c>
      <c r="CH672" s="32">
        <f ca="1">IFERROR(IF(MOD(AP672-ap_months_since_start,12)=0,ap_drawdown/100*(AQ672+AV672+BA672-BC672),CH671),0)</f>
        <v>5770.0008799433563</v>
      </c>
    </row>
    <row r="673" spans="40:86" x14ac:dyDescent="0.25">
      <c r="AN673" s="32">
        <f t="shared" ca="1" si="569"/>
        <v>110.33333333333333</v>
      </c>
      <c r="AO673" s="53">
        <f t="shared" ca="1" si="600"/>
        <v>65867</v>
      </c>
      <c r="AP673" s="22">
        <v>666</v>
      </c>
      <c r="AQ673" s="32">
        <f t="shared" ca="1" si="601"/>
        <v>35826.30715395038</v>
      </c>
      <c r="AR673" s="23">
        <f t="array" aca="1" ref="AR673" ca="1">SUM(IF(lsc_start_date=AO673,lsc_amount,0))</f>
        <v>0</v>
      </c>
      <c r="AS673" s="24">
        <f t="shared" ca="1" si="575"/>
        <v>0</v>
      </c>
      <c r="AT673" s="24">
        <f t="shared" ca="1" si="576"/>
        <v>0</v>
      </c>
      <c r="AU673" s="24">
        <f t="shared" ca="1" si="577"/>
        <v>0</v>
      </c>
      <c r="AV673" s="25">
        <f t="shared" ca="1" si="578"/>
        <v>0</v>
      </c>
      <c r="AW673" s="23">
        <f t="array" aca="1" ref="AW673" ca="1">SUM(IF(rcs_start_date&lt;=AO673,1,0)*IF(rcs_end_date&gt;=AO673,1,0)*rcs_amount*(1+rcs_escalation/100)^(INT((AP673-rcs_months_since_start)/12))*IF(MOD((AP673-rcs_months_since_start),rcs_frequency)=0,1,0)*IF(rcs_frequency=13,0,1))+SUM(IF(rcs_start_date=AO673,rcs_amount,0)*IF(rcs_frequency=13,1,0))</f>
        <v>0</v>
      </c>
      <c r="AX673" s="24">
        <f t="shared" ca="1" si="579"/>
        <v>0</v>
      </c>
      <c r="AY673" s="24">
        <f t="shared" ca="1" si="580"/>
        <v>0</v>
      </c>
      <c r="AZ673" s="24">
        <f t="shared" ca="1" si="581"/>
        <v>0</v>
      </c>
      <c r="BA673" s="25">
        <f t="shared" ca="1" si="582"/>
        <v>0</v>
      </c>
      <c r="BB673" s="23">
        <f t="array" aca="1" ref="BB673" ca="1">SUM(IF(w_start_date&lt;=AO673,1,0)*IF(w_end_date&gt;=AO673,1,0)*w_amount*(1+w_escalation/100)^(INT((AP673-w_months_since_start)/12))*IF(MOD(AP673-w_months_since_start,w_frequency)=0,1,0)*IF(w_frequency=13,0,1))+SUM(IF(w_start_date=AO673,w_amount,0)*IF(w_frequency=13,1,0))</f>
        <v>0</v>
      </c>
      <c r="BC673" s="25">
        <f t="shared" ca="1" si="583"/>
        <v>0</v>
      </c>
      <c r="BD673" s="24" t="b">
        <f t="shared" ca="1" si="584"/>
        <v>1</v>
      </c>
      <c r="BE673" s="24" t="b">
        <f t="shared" ca="1" si="585"/>
        <v>1</v>
      </c>
      <c r="BF673" s="23">
        <f t="array" aca="1" ref="BF673" ca="1">SUM(IF(BD673,1,0)*IF(ap_start_date&lt;=AO673,1,0)*IF(ap_end_date&gt;=AO673,1,0)*ap_amount*(1+ap_escalation/100)^(INT((AP673-ap_months_since_start)/12))*IF(MOD(AP673-ap_months_since_start,ap_frequency)=0,1,0))</f>
        <v>196578.0277414897</v>
      </c>
      <c r="BG673" s="24">
        <f t="shared" ca="1" si="586"/>
        <v>2358936.3328978764</v>
      </c>
      <c r="BH673" s="24">
        <f t="shared" ca="1" si="587"/>
        <v>938.55262901323738</v>
      </c>
      <c r="BI673">
        <f t="shared" ca="1" si="588"/>
        <v>0</v>
      </c>
      <c r="BJ673" s="24">
        <f t="shared" ca="1" si="589"/>
        <v>6569.8684030926606</v>
      </c>
      <c r="BK673">
        <f t="shared" ca="1" si="590"/>
        <v>1</v>
      </c>
      <c r="BL673" s="25">
        <f t="shared" ca="1" si="591"/>
        <v>547.48903359105498</v>
      </c>
      <c r="BM673" s="32">
        <f t="shared" ca="1" si="570"/>
        <v>35533.083968763938</v>
      </c>
      <c r="BN673" s="23">
        <f t="shared" ca="1" si="592"/>
        <v>0</v>
      </c>
      <c r="BO673" s="24">
        <f t="shared" ca="1" si="593"/>
        <v>0</v>
      </c>
      <c r="BP673" s="25">
        <f t="shared" ca="1" si="594"/>
        <v>0</v>
      </c>
      <c r="BQ673" s="34">
        <f t="shared" ca="1" si="595"/>
        <v>65897</v>
      </c>
      <c r="BR673" s="23">
        <f t="shared" ca="1" si="596"/>
        <v>35533.083968763938</v>
      </c>
      <c r="BS673" s="24">
        <f t="shared" ca="1" si="597"/>
        <v>0</v>
      </c>
      <c r="BT673" s="24">
        <f t="shared" ca="1" si="602"/>
        <v>0</v>
      </c>
      <c r="BU673" s="24">
        <f t="shared" ca="1" si="598"/>
        <v>0</v>
      </c>
      <c r="BV673" s="24">
        <f t="shared" ca="1" si="603"/>
        <v>0</v>
      </c>
      <c r="BW673" s="24">
        <f t="shared" ca="1" si="599"/>
        <v>-547.48903359105498</v>
      </c>
      <c r="BX673" s="25">
        <f t="shared" ca="1" si="604"/>
        <v>-6851.949334340261</v>
      </c>
      <c r="BY673" s="23">
        <f t="shared" ca="1" si="571"/>
        <v>4029.791450110356</v>
      </c>
      <c r="BZ673" s="24">
        <f t="shared" ca="1" si="572"/>
        <v>0</v>
      </c>
      <c r="CA673" s="24">
        <f t="shared" ca="1" si="605"/>
        <v>0</v>
      </c>
      <c r="CB673" s="24">
        <f t="shared" ca="1" si="573"/>
        <v>0</v>
      </c>
      <c r="CC673" s="24">
        <f t="shared" ca="1" si="606"/>
        <v>0</v>
      </c>
      <c r="CD673" s="24">
        <f t="shared" ca="1" si="574"/>
        <v>-62.293759004026981</v>
      </c>
      <c r="CE673" s="25">
        <f t="shared" ca="1" si="607"/>
        <v>-794.18657104080239</v>
      </c>
      <c r="CF673" s="23">
        <f t="shared" ca="1" si="608"/>
        <v>2321132.8660245128</v>
      </c>
      <c r="CG673" s="25">
        <f t="array" aca="1" ref="CG673" ca="1">SUM(BF662:BF673/(1+inflation/100)^(AP662:AP673/12))</f>
        <v>267980.53702225379</v>
      </c>
      <c r="CH673" s="32">
        <f ca="1">IFERROR(IF(MOD(AP673-ap_months_since_start,12)=0,ap_drawdown/100*(AQ673+AV673+BA673-BC673),CH672),0)</f>
        <v>5770.0008799433563</v>
      </c>
    </row>
    <row r="674" spans="40:86" x14ac:dyDescent="0.25">
      <c r="AN674" s="32">
        <f t="shared" ca="1" si="569"/>
        <v>110.41666666666667</v>
      </c>
      <c r="AO674" s="53">
        <f t="shared" ca="1" si="600"/>
        <v>65898</v>
      </c>
      <c r="AP674" s="22">
        <v>667</v>
      </c>
      <c r="AQ674" s="32">
        <f t="shared" ca="1" si="601"/>
        <v>35533.083968763938</v>
      </c>
      <c r="AR674" s="23">
        <f t="array" aca="1" ref="AR674" ca="1">SUM(IF(lsc_start_date=AO674,lsc_amount,0))</f>
        <v>0</v>
      </c>
      <c r="AS674" s="24">
        <f t="shared" ca="1" si="575"/>
        <v>0</v>
      </c>
      <c r="AT674" s="24">
        <f t="shared" ca="1" si="576"/>
        <v>0</v>
      </c>
      <c r="AU674" s="24">
        <f t="shared" ca="1" si="577"/>
        <v>0</v>
      </c>
      <c r="AV674" s="25">
        <f t="shared" ca="1" si="578"/>
        <v>0</v>
      </c>
      <c r="AW674" s="23">
        <f t="array" aca="1" ref="AW674" ca="1">SUM(IF(rcs_start_date&lt;=AO674,1,0)*IF(rcs_end_date&gt;=AO674,1,0)*rcs_amount*(1+rcs_escalation/100)^(INT((AP674-rcs_months_since_start)/12))*IF(MOD((AP674-rcs_months_since_start),rcs_frequency)=0,1,0)*IF(rcs_frequency=13,0,1))+SUM(IF(rcs_start_date=AO674,rcs_amount,0)*IF(rcs_frequency=13,1,0))</f>
        <v>0</v>
      </c>
      <c r="AX674" s="24">
        <f t="shared" ca="1" si="579"/>
        <v>0</v>
      </c>
      <c r="AY674" s="24">
        <f t="shared" ca="1" si="580"/>
        <v>0</v>
      </c>
      <c r="AZ674" s="24">
        <f t="shared" ca="1" si="581"/>
        <v>0</v>
      </c>
      <c r="BA674" s="25">
        <f t="shared" ca="1" si="582"/>
        <v>0</v>
      </c>
      <c r="BB674" s="23">
        <f t="array" aca="1" ref="BB674" ca="1">SUM(IF(w_start_date&lt;=AO674,1,0)*IF(w_end_date&gt;=AO674,1,0)*w_amount*(1+w_escalation/100)^(INT((AP674-w_months_since_start)/12))*IF(MOD(AP674-w_months_since_start,w_frequency)=0,1,0)*IF(w_frequency=13,0,1))+SUM(IF(w_start_date=AO674,w_amount,0)*IF(w_frequency=13,1,0))</f>
        <v>0</v>
      </c>
      <c r="BC674" s="25">
        <f t="shared" ca="1" si="583"/>
        <v>0</v>
      </c>
      <c r="BD674" s="24" t="b">
        <f t="shared" ca="1" si="584"/>
        <v>1</v>
      </c>
      <c r="BE674" s="24" t="b">
        <f t="shared" ca="1" si="585"/>
        <v>1</v>
      </c>
      <c r="BF674" s="23">
        <f t="array" aca="1" ref="BF674" ca="1">SUM(IF(BD674,1,0)*IF(ap_start_date&lt;=AO674,1,0)*IF(ap_end_date&gt;=AO674,1,0)*ap_amount*(1+ap_escalation/100)^(INT((AP674-ap_months_since_start)/12))*IF(MOD(AP674-ap_months_since_start,ap_frequency)=0,1,0))</f>
        <v>196578.0277414897</v>
      </c>
      <c r="BG674" s="24">
        <f t="shared" ca="1" si="586"/>
        <v>2358936.3328978764</v>
      </c>
      <c r="BH674" s="24">
        <f t="shared" ca="1" si="587"/>
        <v>938.55262901323738</v>
      </c>
      <c r="BI674">
        <f t="shared" ca="1" si="588"/>
        <v>0</v>
      </c>
      <c r="BJ674" s="24">
        <f t="shared" ca="1" si="589"/>
        <v>6569.8684030926606</v>
      </c>
      <c r="BK674">
        <f t="shared" ca="1" si="590"/>
        <v>1</v>
      </c>
      <c r="BL674" s="25">
        <f t="shared" ca="1" si="591"/>
        <v>547.48903359105498</v>
      </c>
      <c r="BM674" s="32">
        <f t="shared" ca="1" si="570"/>
        <v>35237.747429278068</v>
      </c>
      <c r="BN674" s="23">
        <f t="shared" ca="1" si="592"/>
        <v>0</v>
      </c>
      <c r="BO674" s="24">
        <f t="shared" ca="1" si="593"/>
        <v>0</v>
      </c>
      <c r="BP674" s="25">
        <f t="shared" ca="1" si="594"/>
        <v>0</v>
      </c>
      <c r="BQ674" s="34">
        <f t="shared" ca="1" si="595"/>
        <v>65927</v>
      </c>
      <c r="BR674" s="23">
        <f t="shared" ca="1" si="596"/>
        <v>35237.747429278068</v>
      </c>
      <c r="BS674" s="24">
        <f t="shared" ca="1" si="597"/>
        <v>0</v>
      </c>
      <c r="BT674" s="24">
        <f t="shared" ca="1" si="602"/>
        <v>0</v>
      </c>
      <c r="BU674" s="24">
        <f t="shared" ca="1" si="598"/>
        <v>0</v>
      </c>
      <c r="BV674" s="24">
        <f t="shared" ca="1" si="603"/>
        <v>0</v>
      </c>
      <c r="BW674" s="24">
        <f t="shared" ca="1" si="599"/>
        <v>-547.48903359105498</v>
      </c>
      <c r="BX674" s="25">
        <f t="shared" ca="1" si="604"/>
        <v>-6795.5331480907407</v>
      </c>
      <c r="BY674" s="23">
        <f t="shared" ca="1" si="571"/>
        <v>3983.2573149167069</v>
      </c>
      <c r="BZ674" s="24">
        <f t="shared" ca="1" si="572"/>
        <v>0</v>
      </c>
      <c r="CA674" s="24">
        <f t="shared" ca="1" si="605"/>
        <v>0</v>
      </c>
      <c r="CB674" s="24">
        <f t="shared" ca="1" si="573"/>
        <v>0</v>
      </c>
      <c r="CC674" s="24">
        <f t="shared" ca="1" si="606"/>
        <v>0</v>
      </c>
      <c r="CD674" s="24">
        <f t="shared" ca="1" si="574"/>
        <v>-62.090490893891371</v>
      </c>
      <c r="CE674" s="25">
        <f t="shared" ca="1" si="607"/>
        <v>-785.04889109877433</v>
      </c>
      <c r="CF674" s="23">
        <f t="shared" ca="1" si="608"/>
        <v>2328693.5593991857</v>
      </c>
      <c r="CG674" s="25">
        <f t="array" aca="1" ref="CG674" ca="1">SUM(BF663:BF674/(1+inflation/100)^(AP663:AP674/12))</f>
        <v>267980.53702225385</v>
      </c>
      <c r="CH674" s="32">
        <f ca="1">IFERROR(IF(MOD(AP674-ap_months_since_start,12)=0,ap_drawdown/100*(AQ674+AV674+BA674-BC674),CH673),0)</f>
        <v>5770.0008799433563</v>
      </c>
    </row>
    <row r="675" spans="40:86" x14ac:dyDescent="0.25">
      <c r="AN675" s="32">
        <f t="shared" ca="1" si="569"/>
        <v>110.5</v>
      </c>
      <c r="AO675" s="53">
        <f t="shared" ca="1" si="600"/>
        <v>65928</v>
      </c>
      <c r="AP675" s="22">
        <v>668</v>
      </c>
      <c r="AQ675" s="32">
        <f t="shared" ca="1" si="601"/>
        <v>35237.747429278068</v>
      </c>
      <c r="AR675" s="23">
        <f t="array" aca="1" ref="AR675" ca="1">SUM(IF(lsc_start_date=AO675,lsc_amount,0))</f>
        <v>0</v>
      </c>
      <c r="AS675" s="24">
        <f t="shared" ca="1" si="575"/>
        <v>0</v>
      </c>
      <c r="AT675" s="24">
        <f t="shared" ca="1" si="576"/>
        <v>0</v>
      </c>
      <c r="AU675" s="24">
        <f t="shared" ca="1" si="577"/>
        <v>0</v>
      </c>
      <c r="AV675" s="25">
        <f t="shared" ca="1" si="578"/>
        <v>0</v>
      </c>
      <c r="AW675" s="23">
        <f t="array" aca="1" ref="AW675" ca="1">SUM(IF(rcs_start_date&lt;=AO675,1,0)*IF(rcs_end_date&gt;=AO675,1,0)*rcs_amount*(1+rcs_escalation/100)^(INT((AP675-rcs_months_since_start)/12))*IF(MOD((AP675-rcs_months_since_start),rcs_frequency)=0,1,0)*IF(rcs_frequency=13,0,1))+SUM(IF(rcs_start_date=AO675,rcs_amount,0)*IF(rcs_frequency=13,1,0))</f>
        <v>0</v>
      </c>
      <c r="AX675" s="24">
        <f t="shared" ca="1" si="579"/>
        <v>0</v>
      </c>
      <c r="AY675" s="24">
        <f t="shared" ca="1" si="580"/>
        <v>0</v>
      </c>
      <c r="AZ675" s="24">
        <f t="shared" ca="1" si="581"/>
        <v>0</v>
      </c>
      <c r="BA675" s="25">
        <f t="shared" ca="1" si="582"/>
        <v>0</v>
      </c>
      <c r="BB675" s="23">
        <f t="array" aca="1" ref="BB675" ca="1">SUM(IF(w_start_date&lt;=AO675,1,0)*IF(w_end_date&gt;=AO675,1,0)*w_amount*(1+w_escalation/100)^(INT((AP675-w_months_since_start)/12))*IF(MOD(AP675-w_months_since_start,w_frequency)=0,1,0)*IF(w_frequency=13,0,1))+SUM(IF(w_start_date=AO675,w_amount,0)*IF(w_frequency=13,1,0))</f>
        <v>0</v>
      </c>
      <c r="BC675" s="25">
        <f t="shared" ca="1" si="583"/>
        <v>0</v>
      </c>
      <c r="BD675" s="24" t="b">
        <f t="shared" ca="1" si="584"/>
        <v>1</v>
      </c>
      <c r="BE675" s="24" t="b">
        <f t="shared" ca="1" si="585"/>
        <v>1</v>
      </c>
      <c r="BF675" s="23">
        <f t="array" aca="1" ref="BF675" ca="1">SUM(IF(BD675,1,0)*IF(ap_start_date&lt;=AO675,1,0)*IF(ap_end_date&gt;=AO675,1,0)*ap_amount*(1+ap_escalation/100)^(INT((AP675-ap_months_since_start)/12))*IF(MOD(AP675-ap_months_since_start,ap_frequency)=0,1,0))</f>
        <v>196578.0277414897</v>
      </c>
      <c r="BG675" s="24">
        <f t="shared" ca="1" si="586"/>
        <v>2358936.3328978764</v>
      </c>
      <c r="BH675" s="24">
        <f t="shared" ca="1" si="587"/>
        <v>938.55262901323738</v>
      </c>
      <c r="BI675">
        <f t="shared" ca="1" si="588"/>
        <v>0</v>
      </c>
      <c r="BJ675" s="24">
        <f t="shared" ca="1" si="589"/>
        <v>6569.8684030926606</v>
      </c>
      <c r="BK675">
        <f t="shared" ca="1" si="590"/>
        <v>1</v>
      </c>
      <c r="BL675" s="25">
        <f t="shared" ca="1" si="591"/>
        <v>547.48903359105498</v>
      </c>
      <c r="BM675" s="32">
        <f t="shared" ca="1" si="570"/>
        <v>34940.28230386506</v>
      </c>
      <c r="BN675" s="23">
        <f t="shared" ca="1" si="592"/>
        <v>0</v>
      </c>
      <c r="BO675" s="24">
        <f t="shared" ca="1" si="593"/>
        <v>0</v>
      </c>
      <c r="BP675" s="25">
        <f t="shared" ca="1" si="594"/>
        <v>0</v>
      </c>
      <c r="BQ675" s="34">
        <f t="shared" ca="1" si="595"/>
        <v>65958</v>
      </c>
      <c r="BR675" s="23">
        <f t="shared" ca="1" si="596"/>
        <v>34940.28230386506</v>
      </c>
      <c r="BS675" s="24">
        <f t="shared" ca="1" si="597"/>
        <v>0</v>
      </c>
      <c r="BT675" s="24">
        <f t="shared" ca="1" si="602"/>
        <v>0</v>
      </c>
      <c r="BU675" s="24">
        <f t="shared" ca="1" si="598"/>
        <v>0</v>
      </c>
      <c r="BV675" s="24">
        <f t="shared" ca="1" si="603"/>
        <v>0</v>
      </c>
      <c r="BW675" s="24">
        <f t="shared" ca="1" si="599"/>
        <v>-547.48903359105498</v>
      </c>
      <c r="BX675" s="25">
        <f t="shared" ca="1" si="604"/>
        <v>-6739.1169618412205</v>
      </c>
      <c r="BY675" s="23">
        <f t="shared" ca="1" si="571"/>
        <v>3936.7441303015294</v>
      </c>
      <c r="BZ675" s="24">
        <f t="shared" ca="1" si="572"/>
        <v>0</v>
      </c>
      <c r="CA675" s="24">
        <f t="shared" ca="1" si="605"/>
        <v>0</v>
      </c>
      <c r="CB675" s="24">
        <f t="shared" ca="1" si="573"/>
        <v>0</v>
      </c>
      <c r="CC675" s="24">
        <f t="shared" ca="1" si="606"/>
        <v>0</v>
      </c>
      <c r="CD675" s="24">
        <f t="shared" ca="1" si="574"/>
        <v>-61.887886059262989</v>
      </c>
      <c r="CE675" s="25">
        <f t="shared" ca="1" si="607"/>
        <v>-775.94102793073012</v>
      </c>
      <c r="CF675" s="23">
        <f t="shared" ca="1" si="608"/>
        <v>2336254.2527738586</v>
      </c>
      <c r="CG675" s="25">
        <f t="array" aca="1" ref="CG675" ca="1">SUM(BF664:BF675/(1+inflation/100)^(AP664:AP675/12))</f>
        <v>267980.53702225385</v>
      </c>
      <c r="CH675" s="32">
        <f ca="1">IFERROR(IF(MOD(AP675-ap_months_since_start,12)=0,ap_drawdown/100*(AQ675+AV675+BA675-BC675),CH674),0)</f>
        <v>5770.0008799433563</v>
      </c>
    </row>
    <row r="676" spans="40:86" x14ac:dyDescent="0.25">
      <c r="AN676" s="32">
        <f t="shared" ca="1" si="569"/>
        <v>110.58333333333333</v>
      </c>
      <c r="AO676" s="53">
        <f t="shared" ca="1" si="600"/>
        <v>65959</v>
      </c>
      <c r="AP676" s="22">
        <v>669</v>
      </c>
      <c r="AQ676" s="32">
        <f t="shared" ca="1" si="601"/>
        <v>34940.28230386506</v>
      </c>
      <c r="AR676" s="23">
        <f t="array" aca="1" ref="AR676" ca="1">SUM(IF(lsc_start_date=AO676,lsc_amount,0))</f>
        <v>0</v>
      </c>
      <c r="AS676" s="24">
        <f t="shared" ca="1" si="575"/>
        <v>0</v>
      </c>
      <c r="AT676" s="24">
        <f t="shared" ca="1" si="576"/>
        <v>0</v>
      </c>
      <c r="AU676" s="24">
        <f t="shared" ca="1" si="577"/>
        <v>0</v>
      </c>
      <c r="AV676" s="25">
        <f t="shared" ca="1" si="578"/>
        <v>0</v>
      </c>
      <c r="AW676" s="23">
        <f t="array" aca="1" ref="AW676" ca="1">SUM(IF(rcs_start_date&lt;=AO676,1,0)*IF(rcs_end_date&gt;=AO676,1,0)*rcs_amount*(1+rcs_escalation/100)^(INT((AP676-rcs_months_since_start)/12))*IF(MOD((AP676-rcs_months_since_start),rcs_frequency)=0,1,0)*IF(rcs_frequency=13,0,1))+SUM(IF(rcs_start_date=AO676,rcs_amount,0)*IF(rcs_frequency=13,1,0))</f>
        <v>0</v>
      </c>
      <c r="AX676" s="24">
        <f t="shared" ca="1" si="579"/>
        <v>0</v>
      </c>
      <c r="AY676" s="24">
        <f t="shared" ca="1" si="580"/>
        <v>0</v>
      </c>
      <c r="AZ676" s="24">
        <f t="shared" ca="1" si="581"/>
        <v>0</v>
      </c>
      <c r="BA676" s="25">
        <f t="shared" ca="1" si="582"/>
        <v>0</v>
      </c>
      <c r="BB676" s="23">
        <f t="array" aca="1" ref="BB676" ca="1">SUM(IF(w_start_date&lt;=AO676,1,0)*IF(w_end_date&gt;=AO676,1,0)*w_amount*(1+w_escalation/100)^(INT((AP676-w_months_since_start)/12))*IF(MOD(AP676-w_months_since_start,w_frequency)=0,1,0)*IF(w_frequency=13,0,1))+SUM(IF(w_start_date=AO676,w_amount,0)*IF(w_frequency=13,1,0))</f>
        <v>0</v>
      </c>
      <c r="BC676" s="25">
        <f t="shared" ca="1" si="583"/>
        <v>0</v>
      </c>
      <c r="BD676" s="24" t="b">
        <f t="shared" ca="1" si="584"/>
        <v>1</v>
      </c>
      <c r="BE676" s="24" t="b">
        <f t="shared" ca="1" si="585"/>
        <v>1</v>
      </c>
      <c r="BF676" s="23">
        <f t="array" aca="1" ref="BF676" ca="1">SUM(IF(BD676,1,0)*IF(ap_start_date&lt;=AO676,1,0)*IF(ap_end_date&gt;=AO676,1,0)*ap_amount*(1+ap_escalation/100)^(INT((AP676-ap_months_since_start)/12))*IF(MOD(AP676-ap_months_since_start,ap_frequency)=0,1,0))</f>
        <v>196578.0277414897</v>
      </c>
      <c r="BG676" s="24">
        <f t="shared" ca="1" si="586"/>
        <v>2358936.3328978764</v>
      </c>
      <c r="BH676" s="24">
        <f t="shared" ca="1" si="587"/>
        <v>938.55262901323738</v>
      </c>
      <c r="BI676">
        <f t="shared" ca="1" si="588"/>
        <v>0</v>
      </c>
      <c r="BJ676" s="24">
        <f t="shared" ca="1" si="589"/>
        <v>6569.8684030926606</v>
      </c>
      <c r="BK676">
        <f t="shared" ca="1" si="590"/>
        <v>1</v>
      </c>
      <c r="BL676" s="25">
        <f t="shared" ca="1" si="591"/>
        <v>547.48903359105498</v>
      </c>
      <c r="BM676" s="32">
        <f t="shared" ca="1" si="570"/>
        <v>34640.673251117922</v>
      </c>
      <c r="BN676" s="23">
        <f t="shared" ca="1" si="592"/>
        <v>0</v>
      </c>
      <c r="BO676" s="24">
        <f t="shared" ca="1" si="593"/>
        <v>0</v>
      </c>
      <c r="BP676" s="25">
        <f t="shared" ca="1" si="594"/>
        <v>0</v>
      </c>
      <c r="BQ676" s="34">
        <f t="shared" ca="1" si="595"/>
        <v>65989</v>
      </c>
      <c r="BR676" s="23">
        <f t="shared" ca="1" si="596"/>
        <v>34640.673251117922</v>
      </c>
      <c r="BS676" s="24">
        <f t="shared" ca="1" si="597"/>
        <v>0</v>
      </c>
      <c r="BT676" s="24">
        <f t="shared" ca="1" si="602"/>
        <v>0</v>
      </c>
      <c r="BU676" s="24">
        <f t="shared" ca="1" si="598"/>
        <v>0</v>
      </c>
      <c r="BV676" s="24">
        <f t="shared" ca="1" si="603"/>
        <v>0</v>
      </c>
      <c r="BW676" s="24">
        <f t="shared" ca="1" si="599"/>
        <v>-547.48903359105498</v>
      </c>
      <c r="BX676" s="25">
        <f t="shared" ca="1" si="604"/>
        <v>-6682.7007755917002</v>
      </c>
      <c r="BY676" s="23">
        <f t="shared" ca="1" si="571"/>
        <v>3890.2513147035079</v>
      </c>
      <c r="BZ676" s="24">
        <f t="shared" ca="1" si="572"/>
        <v>0</v>
      </c>
      <c r="CA676" s="24">
        <f t="shared" ca="1" si="605"/>
        <v>0</v>
      </c>
      <c r="CB676" s="24">
        <f t="shared" ca="1" si="573"/>
        <v>0</v>
      </c>
      <c r="CC676" s="24">
        <f t="shared" ca="1" si="606"/>
        <v>0</v>
      </c>
      <c r="CD676" s="24">
        <f t="shared" ca="1" si="574"/>
        <v>-61.685942335835747</v>
      </c>
      <c r="CE676" s="25">
        <f t="shared" ca="1" si="607"/>
        <v>-766.86288424282588</v>
      </c>
      <c r="CF676" s="23">
        <f t="shared" ca="1" si="608"/>
        <v>2343814.9461485315</v>
      </c>
      <c r="CG676" s="25">
        <f t="array" aca="1" ref="CG676" ca="1">SUM(BF665:BF676/(1+inflation/100)^(AP665:AP676/12))</f>
        <v>267980.53702225385</v>
      </c>
      <c r="CH676" s="32">
        <f ca="1">IFERROR(IF(MOD(AP676-ap_months_since_start,12)=0,ap_drawdown/100*(AQ676+AV676+BA676-BC676),CH675),0)</f>
        <v>5770.0008799433563</v>
      </c>
    </row>
    <row r="677" spans="40:86" x14ac:dyDescent="0.25">
      <c r="AN677" s="32">
        <f t="shared" ca="1" si="569"/>
        <v>110.66666666666667</v>
      </c>
      <c r="AO677" s="53">
        <f t="shared" ca="1" si="600"/>
        <v>65990</v>
      </c>
      <c r="AP677" s="22">
        <v>670</v>
      </c>
      <c r="AQ677" s="32">
        <f t="shared" ca="1" si="601"/>
        <v>34640.673251117922</v>
      </c>
      <c r="AR677" s="23">
        <f t="array" aca="1" ref="AR677" ca="1">SUM(IF(lsc_start_date=AO677,lsc_amount,0))</f>
        <v>0</v>
      </c>
      <c r="AS677" s="24">
        <f t="shared" ca="1" si="575"/>
        <v>0</v>
      </c>
      <c r="AT677" s="24">
        <f t="shared" ca="1" si="576"/>
        <v>0</v>
      </c>
      <c r="AU677" s="24">
        <f t="shared" ca="1" si="577"/>
        <v>0</v>
      </c>
      <c r="AV677" s="25">
        <f t="shared" ca="1" si="578"/>
        <v>0</v>
      </c>
      <c r="AW677" s="23">
        <f t="array" aca="1" ref="AW677" ca="1">SUM(IF(rcs_start_date&lt;=AO677,1,0)*IF(rcs_end_date&gt;=AO677,1,0)*rcs_amount*(1+rcs_escalation/100)^(INT((AP677-rcs_months_since_start)/12))*IF(MOD((AP677-rcs_months_since_start),rcs_frequency)=0,1,0)*IF(rcs_frequency=13,0,1))+SUM(IF(rcs_start_date=AO677,rcs_amount,0)*IF(rcs_frequency=13,1,0))</f>
        <v>0</v>
      </c>
      <c r="AX677" s="24">
        <f t="shared" ca="1" si="579"/>
        <v>0</v>
      </c>
      <c r="AY677" s="24">
        <f t="shared" ca="1" si="580"/>
        <v>0</v>
      </c>
      <c r="AZ677" s="24">
        <f t="shared" ca="1" si="581"/>
        <v>0</v>
      </c>
      <c r="BA677" s="25">
        <f t="shared" ca="1" si="582"/>
        <v>0</v>
      </c>
      <c r="BB677" s="23">
        <f t="array" aca="1" ref="BB677" ca="1">SUM(IF(w_start_date&lt;=AO677,1,0)*IF(w_end_date&gt;=AO677,1,0)*w_amount*(1+w_escalation/100)^(INT((AP677-w_months_since_start)/12))*IF(MOD(AP677-w_months_since_start,w_frequency)=0,1,0)*IF(w_frequency=13,0,1))+SUM(IF(w_start_date=AO677,w_amount,0)*IF(w_frequency=13,1,0))</f>
        <v>0</v>
      </c>
      <c r="BC677" s="25">
        <f t="shared" ca="1" si="583"/>
        <v>0</v>
      </c>
      <c r="BD677" s="24" t="b">
        <f t="shared" ca="1" si="584"/>
        <v>1</v>
      </c>
      <c r="BE677" s="24" t="b">
        <f t="shared" ca="1" si="585"/>
        <v>1</v>
      </c>
      <c r="BF677" s="23">
        <f t="array" aca="1" ref="BF677" ca="1">SUM(IF(BD677,1,0)*IF(ap_start_date&lt;=AO677,1,0)*IF(ap_end_date&gt;=AO677,1,0)*ap_amount*(1+ap_escalation/100)^(INT((AP677-ap_months_since_start)/12))*IF(MOD(AP677-ap_months_since_start,ap_frequency)=0,1,0))</f>
        <v>196578.0277414897</v>
      </c>
      <c r="BG677" s="24">
        <f t="shared" ca="1" si="586"/>
        <v>2358936.3328978764</v>
      </c>
      <c r="BH677" s="24">
        <f t="shared" ca="1" si="587"/>
        <v>938.55262901323738</v>
      </c>
      <c r="BI677">
        <f t="shared" ca="1" si="588"/>
        <v>0</v>
      </c>
      <c r="BJ677" s="24">
        <f t="shared" ca="1" si="589"/>
        <v>6569.8684030926606</v>
      </c>
      <c r="BK677">
        <f t="shared" ca="1" si="590"/>
        <v>1</v>
      </c>
      <c r="BL677" s="25">
        <f t="shared" ca="1" si="591"/>
        <v>547.48903359105498</v>
      </c>
      <c r="BM677" s="32">
        <f t="shared" ca="1" si="570"/>
        <v>34338.904819059193</v>
      </c>
      <c r="BN677" s="23">
        <f t="shared" ca="1" si="592"/>
        <v>0</v>
      </c>
      <c r="BO677" s="24">
        <f t="shared" ca="1" si="593"/>
        <v>0</v>
      </c>
      <c r="BP677" s="25">
        <f t="shared" ca="1" si="594"/>
        <v>0</v>
      </c>
      <c r="BQ677" s="34">
        <f t="shared" ca="1" si="595"/>
        <v>66019</v>
      </c>
      <c r="BR677" s="23">
        <f t="shared" ca="1" si="596"/>
        <v>34338.904819059193</v>
      </c>
      <c r="BS677" s="24">
        <f t="shared" ca="1" si="597"/>
        <v>0</v>
      </c>
      <c r="BT677" s="24">
        <f t="shared" ca="1" si="602"/>
        <v>0</v>
      </c>
      <c r="BU677" s="24">
        <f t="shared" ca="1" si="598"/>
        <v>0</v>
      </c>
      <c r="BV677" s="24">
        <f t="shared" ca="1" si="603"/>
        <v>0</v>
      </c>
      <c r="BW677" s="24">
        <f t="shared" ca="1" si="599"/>
        <v>-547.48903359105498</v>
      </c>
      <c r="BX677" s="25">
        <f t="shared" ca="1" si="604"/>
        <v>-6626.28458934218</v>
      </c>
      <c r="BY677" s="23">
        <f t="shared" ca="1" si="571"/>
        <v>3843.7782864468791</v>
      </c>
      <c r="BZ677" s="24">
        <f t="shared" ca="1" si="572"/>
        <v>0</v>
      </c>
      <c r="CA677" s="24">
        <f t="shared" ca="1" si="605"/>
        <v>0</v>
      </c>
      <c r="CB677" s="24">
        <f t="shared" ca="1" si="573"/>
        <v>0</v>
      </c>
      <c r="CC677" s="24">
        <f t="shared" ca="1" si="606"/>
        <v>0</v>
      </c>
      <c r="CD677" s="24">
        <f t="shared" ca="1" si="574"/>
        <v>-61.484657566365847</v>
      </c>
      <c r="CE677" s="25">
        <f t="shared" ca="1" si="607"/>
        <v>-757.81436305869204</v>
      </c>
      <c r="CF677" s="23">
        <f t="shared" ca="1" si="608"/>
        <v>2351375.6395232035</v>
      </c>
      <c r="CG677" s="25">
        <f t="array" aca="1" ref="CG677" ca="1">SUM(BF666:BF677/(1+inflation/100)^(AP666:AP677/12))</f>
        <v>267980.53702225385</v>
      </c>
      <c r="CH677" s="32">
        <f ca="1">IFERROR(IF(MOD(AP677-ap_months_since_start,12)=0,ap_drawdown/100*(AQ677+AV677+BA677-BC677),CH676),0)</f>
        <v>5770.0008799433563</v>
      </c>
    </row>
    <row r="678" spans="40:86" x14ac:dyDescent="0.25">
      <c r="AN678" s="32">
        <f t="shared" ca="1" si="569"/>
        <v>110.75</v>
      </c>
      <c r="AO678" s="53">
        <f t="shared" ca="1" si="600"/>
        <v>66020</v>
      </c>
      <c r="AP678" s="22">
        <v>671</v>
      </c>
      <c r="AQ678" s="32">
        <f t="shared" ca="1" si="601"/>
        <v>34338.904819059193</v>
      </c>
      <c r="AR678" s="23">
        <f t="array" aca="1" ref="AR678" ca="1">SUM(IF(lsc_start_date=AO678,lsc_amount,0))</f>
        <v>0</v>
      </c>
      <c r="AS678" s="24">
        <f t="shared" ca="1" si="575"/>
        <v>0</v>
      </c>
      <c r="AT678" s="24">
        <f t="shared" ca="1" si="576"/>
        <v>0</v>
      </c>
      <c r="AU678" s="24">
        <f t="shared" ca="1" si="577"/>
        <v>0</v>
      </c>
      <c r="AV678" s="25">
        <f t="shared" ca="1" si="578"/>
        <v>0</v>
      </c>
      <c r="AW678" s="23">
        <f t="array" aca="1" ref="AW678" ca="1">SUM(IF(rcs_start_date&lt;=AO678,1,0)*IF(rcs_end_date&gt;=AO678,1,0)*rcs_amount*(1+rcs_escalation/100)^(INT((AP678-rcs_months_since_start)/12))*IF(MOD((AP678-rcs_months_since_start),rcs_frequency)=0,1,0)*IF(rcs_frequency=13,0,1))+SUM(IF(rcs_start_date=AO678,rcs_amount,0)*IF(rcs_frequency=13,1,0))</f>
        <v>0</v>
      </c>
      <c r="AX678" s="24">
        <f t="shared" ca="1" si="579"/>
        <v>0</v>
      </c>
      <c r="AY678" s="24">
        <f t="shared" ca="1" si="580"/>
        <v>0</v>
      </c>
      <c r="AZ678" s="24">
        <f t="shared" ca="1" si="581"/>
        <v>0</v>
      </c>
      <c r="BA678" s="25">
        <f t="shared" ca="1" si="582"/>
        <v>0</v>
      </c>
      <c r="BB678" s="23">
        <f t="array" aca="1" ref="BB678" ca="1">SUM(IF(w_start_date&lt;=AO678,1,0)*IF(w_end_date&gt;=AO678,1,0)*w_amount*(1+w_escalation/100)^(INT((AP678-w_months_since_start)/12))*IF(MOD(AP678-w_months_since_start,w_frequency)=0,1,0)*IF(w_frequency=13,0,1))+SUM(IF(w_start_date=AO678,w_amount,0)*IF(w_frequency=13,1,0))</f>
        <v>0</v>
      </c>
      <c r="BC678" s="25">
        <f t="shared" ca="1" si="583"/>
        <v>0</v>
      </c>
      <c r="BD678" s="24" t="b">
        <f t="shared" ca="1" si="584"/>
        <v>1</v>
      </c>
      <c r="BE678" s="24" t="b">
        <f t="shared" ca="1" si="585"/>
        <v>1</v>
      </c>
      <c r="BF678" s="23">
        <f t="array" aca="1" ref="BF678" ca="1">SUM(IF(BD678,1,0)*IF(ap_start_date&lt;=AO678,1,0)*IF(ap_end_date&gt;=AO678,1,0)*ap_amount*(1+ap_escalation/100)^(INT((AP678-ap_months_since_start)/12))*IF(MOD(AP678-ap_months_since_start,ap_frequency)=0,1,0))</f>
        <v>196578.0277414897</v>
      </c>
      <c r="BG678" s="24">
        <f t="shared" ca="1" si="586"/>
        <v>2358936.3328978764</v>
      </c>
      <c r="BH678" s="24">
        <f t="shared" ca="1" si="587"/>
        <v>938.55262901323738</v>
      </c>
      <c r="BI678">
        <f t="shared" ca="1" si="588"/>
        <v>0</v>
      </c>
      <c r="BJ678" s="24">
        <f t="shared" ca="1" si="589"/>
        <v>6569.8684030926606</v>
      </c>
      <c r="BK678">
        <f t="shared" ca="1" si="590"/>
        <v>1</v>
      </c>
      <c r="BL678" s="25">
        <f t="shared" ca="1" si="591"/>
        <v>547.48903359105498</v>
      </c>
      <c r="BM678" s="32">
        <f t="shared" ca="1" si="570"/>
        <v>34034.961444344015</v>
      </c>
      <c r="BN678" s="23">
        <f t="shared" ca="1" si="592"/>
        <v>0</v>
      </c>
      <c r="BO678" s="24">
        <f t="shared" ca="1" si="593"/>
        <v>0</v>
      </c>
      <c r="BP678" s="25">
        <f t="shared" ca="1" si="594"/>
        <v>0</v>
      </c>
      <c r="BQ678" s="34">
        <f t="shared" ca="1" si="595"/>
        <v>66050</v>
      </c>
      <c r="BR678" s="23">
        <f t="shared" ca="1" si="596"/>
        <v>34034.961444344015</v>
      </c>
      <c r="BS678" s="24">
        <f t="shared" ca="1" si="597"/>
        <v>0</v>
      </c>
      <c r="BT678" s="24">
        <f t="shared" ca="1" si="602"/>
        <v>0</v>
      </c>
      <c r="BU678" s="24">
        <f t="shared" ca="1" si="598"/>
        <v>0</v>
      </c>
      <c r="BV678" s="24">
        <f t="shared" ca="1" si="603"/>
        <v>0</v>
      </c>
      <c r="BW678" s="24">
        <f t="shared" ca="1" si="599"/>
        <v>-547.48903359105498</v>
      </c>
      <c r="BX678" s="25">
        <f t="shared" ca="1" si="604"/>
        <v>-6569.8684030926597</v>
      </c>
      <c r="BY678" s="23">
        <f t="shared" ca="1" si="571"/>
        <v>3797.3244637339103</v>
      </c>
      <c r="BZ678" s="24">
        <f t="shared" ca="1" si="572"/>
        <v>0</v>
      </c>
      <c r="CA678" s="24">
        <f t="shared" ca="1" si="605"/>
        <v>0</v>
      </c>
      <c r="CB678" s="24">
        <f t="shared" ca="1" si="573"/>
        <v>0</v>
      </c>
      <c r="CC678" s="24">
        <f t="shared" ca="1" si="606"/>
        <v>0</v>
      </c>
      <c r="CD678" s="24">
        <f t="shared" ca="1" si="574"/>
        <v>-61.284029600648736</v>
      </c>
      <c r="CE678" s="25">
        <f t="shared" ca="1" si="607"/>
        <v>-748.79536771839912</v>
      </c>
      <c r="CF678" s="23">
        <f t="shared" ca="1" si="608"/>
        <v>2358936.3328978764</v>
      </c>
      <c r="CG678" s="25">
        <f t="array" aca="1" ref="CG678" ca="1">SUM(BF667:BF678/(1+inflation/100)^(AP667:AP678/12))</f>
        <v>267980.53702225385</v>
      </c>
      <c r="CH678" s="32">
        <f ca="1">IFERROR(IF(MOD(AP678-ap_months_since_start,12)=0,ap_drawdown/100*(AQ678+AV678+BA678-BC678),CH677),0)</f>
        <v>5770.0008799433563</v>
      </c>
    </row>
    <row r="679" spans="40:86" x14ac:dyDescent="0.25">
      <c r="AN679" s="32">
        <f t="shared" ca="1" si="569"/>
        <v>110.83333333333333</v>
      </c>
      <c r="AO679" s="53">
        <f t="shared" ca="1" si="600"/>
        <v>66051</v>
      </c>
      <c r="AP679" s="22">
        <v>672</v>
      </c>
      <c r="AQ679" s="32">
        <f t="shared" ca="1" si="601"/>
        <v>34034.961444344015</v>
      </c>
      <c r="AR679" s="23">
        <f t="array" aca="1" ref="AR679" ca="1">SUM(IF(lsc_start_date=AO679,lsc_amount,0))</f>
        <v>0</v>
      </c>
      <c r="AS679" s="24">
        <f t="shared" ca="1" si="575"/>
        <v>0</v>
      </c>
      <c r="AT679" s="24">
        <f t="shared" ca="1" si="576"/>
        <v>0</v>
      </c>
      <c r="AU679" s="24">
        <f t="shared" ca="1" si="577"/>
        <v>0</v>
      </c>
      <c r="AV679" s="25">
        <f t="shared" ca="1" si="578"/>
        <v>0</v>
      </c>
      <c r="AW679" s="23">
        <f t="array" aca="1" ref="AW679" ca="1">SUM(IF(rcs_start_date&lt;=AO679,1,0)*IF(rcs_end_date&gt;=AO679,1,0)*rcs_amount*(1+rcs_escalation/100)^(INT((AP679-rcs_months_since_start)/12))*IF(MOD((AP679-rcs_months_since_start),rcs_frequency)=0,1,0)*IF(rcs_frequency=13,0,1))+SUM(IF(rcs_start_date=AO679,rcs_amount,0)*IF(rcs_frequency=13,1,0))</f>
        <v>0</v>
      </c>
      <c r="AX679" s="24">
        <f t="shared" ca="1" si="579"/>
        <v>0</v>
      </c>
      <c r="AY679" s="24">
        <f t="shared" ca="1" si="580"/>
        <v>0</v>
      </c>
      <c r="AZ679" s="24">
        <f t="shared" ca="1" si="581"/>
        <v>0</v>
      </c>
      <c r="BA679" s="25">
        <f t="shared" ca="1" si="582"/>
        <v>0</v>
      </c>
      <c r="BB679" s="23">
        <f t="array" aca="1" ref="BB679" ca="1">SUM(IF(w_start_date&lt;=AO679,1,0)*IF(w_end_date&gt;=AO679,1,0)*w_amount*(1+w_escalation/100)^(INT((AP679-w_months_since_start)/12))*IF(MOD(AP679-w_months_since_start,w_frequency)=0,1,0)*IF(w_frequency=13,0,1))+SUM(IF(w_start_date=AO679,w_amount,0)*IF(w_frequency=13,1,0))</f>
        <v>0</v>
      </c>
      <c r="BC679" s="25">
        <f t="shared" ca="1" si="583"/>
        <v>0</v>
      </c>
      <c r="BD679" s="24" t="b">
        <f t="shared" ca="1" si="584"/>
        <v>1</v>
      </c>
      <c r="BE679" s="24" t="b">
        <f t="shared" ca="1" si="585"/>
        <v>1</v>
      </c>
      <c r="BF679" s="23">
        <f t="array" aca="1" ref="BF679" ca="1">SUM(IF(BD679,1,0)*IF(ap_start_date&lt;=AO679,1,0)*IF(ap_end_date&gt;=AO679,1,0)*ap_amount*(1+ap_escalation/100)^(INT((AP679-ap_months_since_start)/12))*IF(MOD(AP679-ap_months_since_start,ap_frequency)=0,1,0))</f>
        <v>204441.14885114928</v>
      </c>
      <c r="BG679" s="24">
        <f t="shared" ca="1" si="586"/>
        <v>2453293.7862137915</v>
      </c>
      <c r="BH679" s="24">
        <f t="shared" ca="1" si="587"/>
        <v>850.87403610860042</v>
      </c>
      <c r="BI679">
        <f t="shared" ca="1" si="588"/>
        <v>0</v>
      </c>
      <c r="BJ679" s="24">
        <f t="shared" ca="1" si="589"/>
        <v>5956.1182527602023</v>
      </c>
      <c r="BK679">
        <f t="shared" ca="1" si="590"/>
        <v>1</v>
      </c>
      <c r="BL679" s="25">
        <f t="shared" ca="1" si="591"/>
        <v>496.34318773001684</v>
      </c>
      <c r="BM679" s="32">
        <f t="shared" ca="1" si="570"/>
        <v>33780.341921965897</v>
      </c>
      <c r="BN679" s="23">
        <f t="shared" ca="1" si="592"/>
        <v>0</v>
      </c>
      <c r="BO679" s="24">
        <f t="shared" ca="1" si="593"/>
        <v>0</v>
      </c>
      <c r="BP679" s="25">
        <f t="shared" ca="1" si="594"/>
        <v>0</v>
      </c>
      <c r="BQ679" s="34">
        <f t="shared" ca="1" si="595"/>
        <v>66080</v>
      </c>
      <c r="BR679" s="23">
        <f t="shared" ca="1" si="596"/>
        <v>33780.341921965897</v>
      </c>
      <c r="BS679" s="24">
        <f t="shared" ca="1" si="597"/>
        <v>0</v>
      </c>
      <c r="BT679" s="24">
        <f t="shared" ca="1" si="602"/>
        <v>0</v>
      </c>
      <c r="BU679" s="24">
        <f t="shared" ca="1" si="598"/>
        <v>0</v>
      </c>
      <c r="BV679" s="24">
        <f t="shared" ca="1" si="603"/>
        <v>0</v>
      </c>
      <c r="BW679" s="24">
        <f t="shared" ca="1" si="599"/>
        <v>-496.34318773001684</v>
      </c>
      <c r="BX679" s="25">
        <f t="shared" ca="1" si="604"/>
        <v>-6518.722557231622</v>
      </c>
      <c r="BY679" s="23">
        <f t="shared" ca="1" si="571"/>
        <v>3756.6180458907834</v>
      </c>
      <c r="BZ679" s="24">
        <f t="shared" ca="1" si="572"/>
        <v>0</v>
      </c>
      <c r="CA679" s="24">
        <f t="shared" ca="1" si="605"/>
        <v>0</v>
      </c>
      <c r="CB679" s="24">
        <f t="shared" ca="1" si="573"/>
        <v>0</v>
      </c>
      <c r="CC679" s="24">
        <f t="shared" ca="1" si="606"/>
        <v>0</v>
      </c>
      <c r="CD679" s="24">
        <f t="shared" ca="1" si="574"/>
        <v>-55.377648429452854</v>
      </c>
      <c r="CE679" s="25">
        <f t="shared" ca="1" si="607"/>
        <v>-740.64559760053601</v>
      </c>
      <c r="CF679" s="23">
        <f t="shared" ca="1" si="608"/>
        <v>2366799.4540075357</v>
      </c>
      <c r="CG679" s="25">
        <f t="array" aca="1" ref="CG679" ca="1">SUM(BF668:BF679/(1+inflation/100)^(AP668:AP679/12))</f>
        <v>267980.53702225385</v>
      </c>
      <c r="CH679" s="32">
        <f ca="1">IFERROR(IF(MOD(AP679-ap_months_since_start,12)=0,ap_drawdown/100*(AQ679+AV679+BA679-BC679),CH678),0)</f>
        <v>5230.9735067593474</v>
      </c>
    </row>
    <row r="680" spans="40:86" x14ac:dyDescent="0.25">
      <c r="AN680" s="32">
        <f t="shared" ca="1" si="569"/>
        <v>110.91666666666667</v>
      </c>
      <c r="AO680" s="53">
        <f t="shared" ca="1" si="600"/>
        <v>66081</v>
      </c>
      <c r="AP680" s="22">
        <v>673</v>
      </c>
      <c r="AQ680" s="32">
        <f t="shared" ca="1" si="601"/>
        <v>33780.341921965897</v>
      </c>
      <c r="AR680" s="23">
        <f t="array" aca="1" ref="AR680" ca="1">SUM(IF(lsc_start_date=AO680,lsc_amount,0))</f>
        <v>0</v>
      </c>
      <c r="AS680" s="24">
        <f t="shared" ca="1" si="575"/>
        <v>0</v>
      </c>
      <c r="AT680" s="24">
        <f t="shared" ca="1" si="576"/>
        <v>0</v>
      </c>
      <c r="AU680" s="24">
        <f t="shared" ca="1" si="577"/>
        <v>0</v>
      </c>
      <c r="AV680" s="25">
        <f t="shared" ca="1" si="578"/>
        <v>0</v>
      </c>
      <c r="AW680" s="23">
        <f t="array" aca="1" ref="AW680" ca="1">SUM(IF(rcs_start_date&lt;=AO680,1,0)*IF(rcs_end_date&gt;=AO680,1,0)*rcs_amount*(1+rcs_escalation/100)^(INT((AP680-rcs_months_since_start)/12))*IF(MOD((AP680-rcs_months_since_start),rcs_frequency)=0,1,0)*IF(rcs_frequency=13,0,1))+SUM(IF(rcs_start_date=AO680,rcs_amount,0)*IF(rcs_frequency=13,1,0))</f>
        <v>0</v>
      </c>
      <c r="AX680" s="24">
        <f t="shared" ca="1" si="579"/>
        <v>0</v>
      </c>
      <c r="AY680" s="24">
        <f t="shared" ca="1" si="580"/>
        <v>0</v>
      </c>
      <c r="AZ680" s="24">
        <f t="shared" ca="1" si="581"/>
        <v>0</v>
      </c>
      <c r="BA680" s="25">
        <f t="shared" ca="1" si="582"/>
        <v>0</v>
      </c>
      <c r="BB680" s="23">
        <f t="array" aca="1" ref="BB680" ca="1">SUM(IF(w_start_date&lt;=AO680,1,0)*IF(w_end_date&gt;=AO680,1,0)*w_amount*(1+w_escalation/100)^(INT((AP680-w_months_since_start)/12))*IF(MOD(AP680-w_months_since_start,w_frequency)=0,1,0)*IF(w_frequency=13,0,1))+SUM(IF(w_start_date=AO680,w_amount,0)*IF(w_frequency=13,1,0))</f>
        <v>0</v>
      </c>
      <c r="BC680" s="25">
        <f t="shared" ca="1" si="583"/>
        <v>0</v>
      </c>
      <c r="BD680" s="24" t="b">
        <f t="shared" ca="1" si="584"/>
        <v>1</v>
      </c>
      <c r="BE680" s="24" t="b">
        <f t="shared" ca="1" si="585"/>
        <v>1</v>
      </c>
      <c r="BF680" s="23">
        <f t="array" aca="1" ref="BF680" ca="1">SUM(IF(BD680,1,0)*IF(ap_start_date&lt;=AO680,1,0)*IF(ap_end_date&gt;=AO680,1,0)*ap_amount*(1+ap_escalation/100)^(INT((AP680-ap_months_since_start)/12))*IF(MOD(AP680-ap_months_since_start,ap_frequency)=0,1,0))</f>
        <v>204441.14885114928</v>
      </c>
      <c r="BG680" s="24">
        <f t="shared" ca="1" si="586"/>
        <v>2453293.7862137915</v>
      </c>
      <c r="BH680" s="24">
        <f t="shared" ca="1" si="587"/>
        <v>850.87403610860042</v>
      </c>
      <c r="BI680">
        <f t="shared" ca="1" si="588"/>
        <v>0</v>
      </c>
      <c r="BJ680" s="24">
        <f t="shared" ca="1" si="589"/>
        <v>5956.1182527602023</v>
      </c>
      <c r="BK680">
        <f t="shared" ca="1" si="590"/>
        <v>1</v>
      </c>
      <c r="BL680" s="25">
        <f t="shared" ca="1" si="591"/>
        <v>496.34318773001684</v>
      </c>
      <c r="BM680" s="32">
        <f t="shared" ca="1" si="570"/>
        <v>33523.8872743674</v>
      </c>
      <c r="BN680" s="23">
        <f t="shared" ca="1" si="592"/>
        <v>0</v>
      </c>
      <c r="BO680" s="24">
        <f t="shared" ca="1" si="593"/>
        <v>0</v>
      </c>
      <c r="BP680" s="25">
        <f t="shared" ca="1" si="594"/>
        <v>0</v>
      </c>
      <c r="BQ680" s="34">
        <f t="shared" ca="1" si="595"/>
        <v>66111</v>
      </c>
      <c r="BR680" s="23">
        <f t="shared" ca="1" si="596"/>
        <v>33523.8872743674</v>
      </c>
      <c r="BS680" s="24">
        <f t="shared" ca="1" si="597"/>
        <v>0</v>
      </c>
      <c r="BT680" s="24">
        <f t="shared" ca="1" si="602"/>
        <v>0</v>
      </c>
      <c r="BU680" s="24">
        <f t="shared" ca="1" si="598"/>
        <v>0</v>
      </c>
      <c r="BV680" s="24">
        <f t="shared" ca="1" si="603"/>
        <v>0</v>
      </c>
      <c r="BW680" s="24">
        <f t="shared" ca="1" si="599"/>
        <v>-496.34318773001684</v>
      </c>
      <c r="BX680" s="25">
        <f t="shared" ca="1" si="604"/>
        <v>-6467.5767113705842</v>
      </c>
      <c r="BY680" s="23">
        <f t="shared" ca="1" si="571"/>
        <v>3715.9334373656757</v>
      </c>
      <c r="BZ680" s="24">
        <f t="shared" ca="1" si="572"/>
        <v>0</v>
      </c>
      <c r="CA680" s="24">
        <f t="shared" ca="1" si="605"/>
        <v>0</v>
      </c>
      <c r="CB680" s="24">
        <f t="shared" ca="1" si="573"/>
        <v>0</v>
      </c>
      <c r="CC680" s="24">
        <f t="shared" ca="1" si="606"/>
        <v>0</v>
      </c>
      <c r="CD680" s="24">
        <f t="shared" ca="1" si="574"/>
        <v>-55.196947984978429</v>
      </c>
      <c r="CE680" s="25">
        <f t="shared" ca="1" si="607"/>
        <v>-732.52242065021301</v>
      </c>
      <c r="CF680" s="23">
        <f t="shared" ca="1" si="608"/>
        <v>2374662.5751171955</v>
      </c>
      <c r="CG680" s="25">
        <f t="array" aca="1" ref="CG680" ca="1">SUM(BF669:BF680/(1+inflation/100)^(AP669:AP680/12))</f>
        <v>267980.53702225385</v>
      </c>
      <c r="CH680" s="32">
        <f ca="1">IFERROR(IF(MOD(AP680-ap_months_since_start,12)=0,ap_drawdown/100*(AQ680+AV680+BA680-BC680),CH679),0)</f>
        <v>5230.9735067593474</v>
      </c>
    </row>
    <row r="681" spans="40:86" x14ac:dyDescent="0.25">
      <c r="AN681" s="32">
        <f t="shared" ca="1" si="569"/>
        <v>111</v>
      </c>
      <c r="AO681" s="53">
        <f t="shared" ca="1" si="600"/>
        <v>66112</v>
      </c>
      <c r="AP681" s="22">
        <v>674</v>
      </c>
      <c r="AQ681" s="32">
        <f t="shared" ca="1" si="601"/>
        <v>33523.8872743674</v>
      </c>
      <c r="AR681" s="23">
        <f t="array" aca="1" ref="AR681" ca="1">SUM(IF(lsc_start_date=AO681,lsc_amount,0))</f>
        <v>0</v>
      </c>
      <c r="AS681" s="24">
        <f t="shared" ca="1" si="575"/>
        <v>0</v>
      </c>
      <c r="AT681" s="24">
        <f t="shared" ca="1" si="576"/>
        <v>0</v>
      </c>
      <c r="AU681" s="24">
        <f t="shared" ca="1" si="577"/>
        <v>0</v>
      </c>
      <c r="AV681" s="25">
        <f t="shared" ca="1" si="578"/>
        <v>0</v>
      </c>
      <c r="AW681" s="23">
        <f t="array" aca="1" ref="AW681" ca="1">SUM(IF(rcs_start_date&lt;=AO681,1,0)*IF(rcs_end_date&gt;=AO681,1,0)*rcs_amount*(1+rcs_escalation/100)^(INT((AP681-rcs_months_since_start)/12))*IF(MOD((AP681-rcs_months_since_start),rcs_frequency)=0,1,0)*IF(rcs_frequency=13,0,1))+SUM(IF(rcs_start_date=AO681,rcs_amount,0)*IF(rcs_frequency=13,1,0))</f>
        <v>0</v>
      </c>
      <c r="AX681" s="24">
        <f t="shared" ca="1" si="579"/>
        <v>0</v>
      </c>
      <c r="AY681" s="24">
        <f t="shared" ca="1" si="580"/>
        <v>0</v>
      </c>
      <c r="AZ681" s="24">
        <f t="shared" ca="1" si="581"/>
        <v>0</v>
      </c>
      <c r="BA681" s="25">
        <f t="shared" ca="1" si="582"/>
        <v>0</v>
      </c>
      <c r="BB681" s="23">
        <f t="array" aca="1" ref="BB681" ca="1">SUM(IF(w_start_date&lt;=AO681,1,0)*IF(w_end_date&gt;=AO681,1,0)*w_amount*(1+w_escalation/100)^(INT((AP681-w_months_since_start)/12))*IF(MOD(AP681-w_months_since_start,w_frequency)=0,1,0)*IF(w_frequency=13,0,1))+SUM(IF(w_start_date=AO681,w_amount,0)*IF(w_frequency=13,1,0))</f>
        <v>0</v>
      </c>
      <c r="BC681" s="25">
        <f t="shared" ca="1" si="583"/>
        <v>0</v>
      </c>
      <c r="BD681" s="24" t="b">
        <f t="shared" ca="1" si="584"/>
        <v>1</v>
      </c>
      <c r="BE681" s="24" t="b">
        <f t="shared" ca="1" si="585"/>
        <v>1</v>
      </c>
      <c r="BF681" s="23">
        <f t="array" aca="1" ref="BF681" ca="1">SUM(IF(BD681,1,0)*IF(ap_start_date&lt;=AO681,1,0)*IF(ap_end_date&gt;=AO681,1,0)*ap_amount*(1+ap_escalation/100)^(INT((AP681-ap_months_since_start)/12))*IF(MOD(AP681-ap_months_since_start,ap_frequency)=0,1,0))</f>
        <v>204441.14885114928</v>
      </c>
      <c r="BG681" s="24">
        <f t="shared" ca="1" si="586"/>
        <v>2453293.7862137915</v>
      </c>
      <c r="BH681" s="24">
        <f t="shared" ca="1" si="587"/>
        <v>850.87403610860042</v>
      </c>
      <c r="BI681">
        <f t="shared" ca="1" si="588"/>
        <v>0</v>
      </c>
      <c r="BJ681" s="24">
        <f t="shared" ca="1" si="589"/>
        <v>5956.1182527602023</v>
      </c>
      <c r="BK681">
        <f t="shared" ca="1" si="590"/>
        <v>1</v>
      </c>
      <c r="BL681" s="25">
        <f t="shared" ca="1" si="591"/>
        <v>496.34318773001684</v>
      </c>
      <c r="BM681" s="32">
        <f t="shared" ca="1" si="570"/>
        <v>33265.584275207737</v>
      </c>
      <c r="BN681" s="23">
        <f t="shared" ca="1" si="592"/>
        <v>0</v>
      </c>
      <c r="BO681" s="24">
        <f t="shared" ca="1" si="593"/>
        <v>0</v>
      </c>
      <c r="BP681" s="25">
        <f t="shared" ca="1" si="594"/>
        <v>0</v>
      </c>
      <c r="BQ681" s="34">
        <f t="shared" ca="1" si="595"/>
        <v>66142</v>
      </c>
      <c r="BR681" s="23">
        <f t="shared" ca="1" si="596"/>
        <v>33265.584275207737</v>
      </c>
      <c r="BS681" s="24">
        <f t="shared" ca="1" si="597"/>
        <v>0</v>
      </c>
      <c r="BT681" s="24">
        <f t="shared" ca="1" si="602"/>
        <v>0</v>
      </c>
      <c r="BU681" s="24">
        <f t="shared" ca="1" si="598"/>
        <v>0</v>
      </c>
      <c r="BV681" s="24">
        <f t="shared" ca="1" si="603"/>
        <v>0</v>
      </c>
      <c r="BW681" s="24">
        <f t="shared" ca="1" si="599"/>
        <v>-496.34318773001684</v>
      </c>
      <c r="BX681" s="25">
        <f t="shared" ca="1" si="604"/>
        <v>-6416.4308655095465</v>
      </c>
      <c r="BY681" s="23">
        <f t="shared" ca="1" si="571"/>
        <v>3675.2701317196916</v>
      </c>
      <c r="BZ681" s="24">
        <f t="shared" ca="1" si="572"/>
        <v>0</v>
      </c>
      <c r="CA681" s="24">
        <f t="shared" ca="1" si="605"/>
        <v>0</v>
      </c>
      <c r="CB681" s="24">
        <f t="shared" ca="1" si="573"/>
        <v>0</v>
      </c>
      <c r="CC681" s="24">
        <f t="shared" ca="1" si="606"/>
        <v>0</v>
      </c>
      <c r="CD681" s="24">
        <f t="shared" ca="1" si="574"/>
        <v>-55.016837176423238</v>
      </c>
      <c r="CE681" s="25">
        <f t="shared" ca="1" si="607"/>
        <v>-724.42575009239852</v>
      </c>
      <c r="CF681" s="23">
        <f t="shared" ca="1" si="608"/>
        <v>2382525.6962268553</v>
      </c>
      <c r="CG681" s="25">
        <f t="array" aca="1" ref="CG681" ca="1">SUM(BF670:BF681/(1+inflation/100)^(AP670:AP681/12))</f>
        <v>267980.53702225385</v>
      </c>
      <c r="CH681" s="32">
        <f ca="1">IFERROR(IF(MOD(AP681-ap_months_since_start,12)=0,ap_drawdown/100*(AQ681+AV681+BA681-BC681),CH680),0)</f>
        <v>5230.9735067593474</v>
      </c>
    </row>
    <row r="682" spans="40:86" x14ac:dyDescent="0.25">
      <c r="AN682" s="32">
        <f t="shared" ca="1" si="569"/>
        <v>111.08333333333333</v>
      </c>
      <c r="AO682" s="53">
        <f t="shared" ca="1" si="600"/>
        <v>66143</v>
      </c>
      <c r="AP682" s="22">
        <v>675</v>
      </c>
      <c r="AQ682" s="32">
        <f t="shared" ca="1" si="601"/>
        <v>33265.584275207737</v>
      </c>
      <c r="AR682" s="23">
        <f t="array" aca="1" ref="AR682" ca="1">SUM(IF(lsc_start_date=AO682,lsc_amount,0))</f>
        <v>0</v>
      </c>
      <c r="AS682" s="24">
        <f t="shared" ca="1" si="575"/>
        <v>0</v>
      </c>
      <c r="AT682" s="24">
        <f t="shared" ca="1" si="576"/>
        <v>0</v>
      </c>
      <c r="AU682" s="24">
        <f t="shared" ca="1" si="577"/>
        <v>0</v>
      </c>
      <c r="AV682" s="25">
        <f t="shared" ca="1" si="578"/>
        <v>0</v>
      </c>
      <c r="AW682" s="23">
        <f t="array" aca="1" ref="AW682" ca="1">SUM(IF(rcs_start_date&lt;=AO682,1,0)*IF(rcs_end_date&gt;=AO682,1,0)*rcs_amount*(1+rcs_escalation/100)^(INT((AP682-rcs_months_since_start)/12))*IF(MOD((AP682-rcs_months_since_start),rcs_frequency)=0,1,0)*IF(rcs_frequency=13,0,1))+SUM(IF(rcs_start_date=AO682,rcs_amount,0)*IF(rcs_frequency=13,1,0))</f>
        <v>0</v>
      </c>
      <c r="AX682" s="24">
        <f t="shared" ca="1" si="579"/>
        <v>0</v>
      </c>
      <c r="AY682" s="24">
        <f t="shared" ca="1" si="580"/>
        <v>0</v>
      </c>
      <c r="AZ682" s="24">
        <f t="shared" ca="1" si="581"/>
        <v>0</v>
      </c>
      <c r="BA682" s="25">
        <f t="shared" ca="1" si="582"/>
        <v>0</v>
      </c>
      <c r="BB682" s="23">
        <f t="array" aca="1" ref="BB682" ca="1">SUM(IF(w_start_date&lt;=AO682,1,0)*IF(w_end_date&gt;=AO682,1,0)*w_amount*(1+w_escalation/100)^(INT((AP682-w_months_since_start)/12))*IF(MOD(AP682-w_months_since_start,w_frequency)=0,1,0)*IF(w_frequency=13,0,1))+SUM(IF(w_start_date=AO682,w_amount,0)*IF(w_frequency=13,1,0))</f>
        <v>0</v>
      </c>
      <c r="BC682" s="25">
        <f t="shared" ca="1" si="583"/>
        <v>0</v>
      </c>
      <c r="BD682" s="24" t="b">
        <f t="shared" ca="1" si="584"/>
        <v>1</v>
      </c>
      <c r="BE682" s="24" t="b">
        <f t="shared" ca="1" si="585"/>
        <v>1</v>
      </c>
      <c r="BF682" s="23">
        <f t="array" aca="1" ref="BF682" ca="1">SUM(IF(BD682,1,0)*IF(ap_start_date&lt;=AO682,1,0)*IF(ap_end_date&gt;=AO682,1,0)*ap_amount*(1+ap_escalation/100)^(INT((AP682-ap_months_since_start)/12))*IF(MOD(AP682-ap_months_since_start,ap_frequency)=0,1,0))</f>
        <v>204441.14885114928</v>
      </c>
      <c r="BG682" s="24">
        <f t="shared" ca="1" si="586"/>
        <v>2453293.7862137915</v>
      </c>
      <c r="BH682" s="24">
        <f t="shared" ca="1" si="587"/>
        <v>850.87403610860042</v>
      </c>
      <c r="BI682">
        <f t="shared" ca="1" si="588"/>
        <v>0</v>
      </c>
      <c r="BJ682" s="24">
        <f t="shared" ca="1" si="589"/>
        <v>5956.1182527602023</v>
      </c>
      <c r="BK682">
        <f t="shared" ca="1" si="590"/>
        <v>1</v>
      </c>
      <c r="BL682" s="25">
        <f t="shared" ca="1" si="591"/>
        <v>496.34318773001684</v>
      </c>
      <c r="BM682" s="32">
        <f t="shared" ca="1" si="570"/>
        <v>33005.419602819602</v>
      </c>
      <c r="BN682" s="23">
        <f t="shared" ca="1" si="592"/>
        <v>0</v>
      </c>
      <c r="BO682" s="24">
        <f t="shared" ca="1" si="593"/>
        <v>0</v>
      </c>
      <c r="BP682" s="25">
        <f t="shared" ca="1" si="594"/>
        <v>0</v>
      </c>
      <c r="BQ682" s="34">
        <f t="shared" ca="1" si="595"/>
        <v>66170</v>
      </c>
      <c r="BR682" s="23">
        <f t="shared" ca="1" si="596"/>
        <v>33005.419602819602</v>
      </c>
      <c r="BS682" s="24">
        <f t="shared" ca="1" si="597"/>
        <v>0</v>
      </c>
      <c r="BT682" s="24">
        <f t="shared" ca="1" si="602"/>
        <v>0</v>
      </c>
      <c r="BU682" s="24">
        <f t="shared" ca="1" si="598"/>
        <v>0</v>
      </c>
      <c r="BV682" s="24">
        <f t="shared" ca="1" si="603"/>
        <v>0</v>
      </c>
      <c r="BW682" s="24">
        <f t="shared" ca="1" si="599"/>
        <v>-496.34318773001684</v>
      </c>
      <c r="BX682" s="25">
        <f t="shared" ca="1" si="604"/>
        <v>-6365.2850196485088</v>
      </c>
      <c r="BY682" s="23">
        <f t="shared" ca="1" si="571"/>
        <v>3634.6276224598755</v>
      </c>
      <c r="BZ682" s="24">
        <f t="shared" ca="1" si="572"/>
        <v>0</v>
      </c>
      <c r="CA682" s="24">
        <f t="shared" ca="1" si="605"/>
        <v>0</v>
      </c>
      <c r="CB682" s="24">
        <f t="shared" ca="1" si="573"/>
        <v>0</v>
      </c>
      <c r="CC682" s="24">
        <f t="shared" ca="1" si="606"/>
        <v>0</v>
      </c>
      <c r="CD682" s="24">
        <f t="shared" ca="1" si="574"/>
        <v>-54.837314079771375</v>
      </c>
      <c r="CE682" s="25">
        <f t="shared" ca="1" si="607"/>
        <v>-716.35549943521278</v>
      </c>
      <c r="CF682" s="23">
        <f t="shared" ca="1" si="608"/>
        <v>2390388.8173365146</v>
      </c>
      <c r="CG682" s="25">
        <f t="array" aca="1" ref="CG682" ca="1">SUM(BF671:BF682/(1+inflation/100)^(AP671:AP682/12))</f>
        <v>267980.53702225385</v>
      </c>
      <c r="CH682" s="32">
        <f ca="1">IFERROR(IF(MOD(AP682-ap_months_since_start,12)=0,ap_drawdown/100*(AQ682+AV682+BA682-BC682),CH681),0)</f>
        <v>5230.9735067593474</v>
      </c>
    </row>
    <row r="683" spans="40:86" x14ac:dyDescent="0.25">
      <c r="AN683" s="32">
        <f t="shared" ca="1" si="569"/>
        <v>111.16666666666667</v>
      </c>
      <c r="AO683" s="53">
        <f t="shared" ca="1" si="600"/>
        <v>66171</v>
      </c>
      <c r="AP683" s="22">
        <v>676</v>
      </c>
      <c r="AQ683" s="32">
        <f t="shared" ca="1" si="601"/>
        <v>33005.419602819602</v>
      </c>
      <c r="AR683" s="23">
        <f t="array" aca="1" ref="AR683" ca="1">SUM(IF(lsc_start_date=AO683,lsc_amount,0))</f>
        <v>0</v>
      </c>
      <c r="AS683" s="24">
        <f t="shared" ca="1" si="575"/>
        <v>0</v>
      </c>
      <c r="AT683" s="24">
        <f t="shared" ca="1" si="576"/>
        <v>0</v>
      </c>
      <c r="AU683" s="24">
        <f t="shared" ca="1" si="577"/>
        <v>0</v>
      </c>
      <c r="AV683" s="25">
        <f t="shared" ca="1" si="578"/>
        <v>0</v>
      </c>
      <c r="AW683" s="23">
        <f t="array" aca="1" ref="AW683" ca="1">SUM(IF(rcs_start_date&lt;=AO683,1,0)*IF(rcs_end_date&gt;=AO683,1,0)*rcs_amount*(1+rcs_escalation/100)^(INT((AP683-rcs_months_since_start)/12))*IF(MOD((AP683-rcs_months_since_start),rcs_frequency)=0,1,0)*IF(rcs_frequency=13,0,1))+SUM(IF(rcs_start_date=AO683,rcs_amount,0)*IF(rcs_frequency=13,1,0))</f>
        <v>0</v>
      </c>
      <c r="AX683" s="24">
        <f t="shared" ca="1" si="579"/>
        <v>0</v>
      </c>
      <c r="AY683" s="24">
        <f t="shared" ca="1" si="580"/>
        <v>0</v>
      </c>
      <c r="AZ683" s="24">
        <f t="shared" ca="1" si="581"/>
        <v>0</v>
      </c>
      <c r="BA683" s="25">
        <f t="shared" ca="1" si="582"/>
        <v>0</v>
      </c>
      <c r="BB683" s="23">
        <f t="array" aca="1" ref="BB683" ca="1">SUM(IF(w_start_date&lt;=AO683,1,0)*IF(w_end_date&gt;=AO683,1,0)*w_amount*(1+w_escalation/100)^(INT((AP683-w_months_since_start)/12))*IF(MOD(AP683-w_months_since_start,w_frequency)=0,1,0)*IF(w_frequency=13,0,1))+SUM(IF(w_start_date=AO683,w_amount,0)*IF(w_frequency=13,1,0))</f>
        <v>0</v>
      </c>
      <c r="BC683" s="25">
        <f t="shared" ca="1" si="583"/>
        <v>0</v>
      </c>
      <c r="BD683" s="24" t="b">
        <f t="shared" ca="1" si="584"/>
        <v>1</v>
      </c>
      <c r="BE683" s="24" t="b">
        <f t="shared" ca="1" si="585"/>
        <v>1</v>
      </c>
      <c r="BF683" s="23">
        <f t="array" aca="1" ref="BF683" ca="1">SUM(IF(BD683,1,0)*IF(ap_start_date&lt;=AO683,1,0)*IF(ap_end_date&gt;=AO683,1,0)*ap_amount*(1+ap_escalation/100)^(INT((AP683-ap_months_since_start)/12))*IF(MOD(AP683-ap_months_since_start,ap_frequency)=0,1,0))</f>
        <v>204441.14885114928</v>
      </c>
      <c r="BG683" s="24">
        <f t="shared" ca="1" si="586"/>
        <v>2453293.7862137915</v>
      </c>
      <c r="BH683" s="24">
        <f t="shared" ca="1" si="587"/>
        <v>850.87403610860042</v>
      </c>
      <c r="BI683">
        <f t="shared" ca="1" si="588"/>
        <v>0</v>
      </c>
      <c r="BJ683" s="24">
        <f t="shared" ca="1" si="589"/>
        <v>5956.1182527602023</v>
      </c>
      <c r="BK683">
        <f t="shared" ca="1" si="590"/>
        <v>1</v>
      </c>
      <c r="BL683" s="25">
        <f t="shared" ca="1" si="591"/>
        <v>496.34318773001684</v>
      </c>
      <c r="BM683" s="32">
        <f t="shared" ca="1" si="570"/>
        <v>32743.379839522131</v>
      </c>
      <c r="BN683" s="23">
        <f t="shared" ca="1" si="592"/>
        <v>0</v>
      </c>
      <c r="BO683" s="24">
        <f t="shared" ca="1" si="593"/>
        <v>0</v>
      </c>
      <c r="BP683" s="25">
        <f t="shared" ca="1" si="594"/>
        <v>0</v>
      </c>
      <c r="BQ683" s="34">
        <f t="shared" ca="1" si="595"/>
        <v>66201</v>
      </c>
      <c r="BR683" s="23">
        <f t="shared" ca="1" si="596"/>
        <v>32743.379839522131</v>
      </c>
      <c r="BS683" s="24">
        <f t="shared" ca="1" si="597"/>
        <v>0</v>
      </c>
      <c r="BT683" s="24">
        <f t="shared" ca="1" si="602"/>
        <v>0</v>
      </c>
      <c r="BU683" s="24">
        <f t="shared" ca="1" si="598"/>
        <v>0</v>
      </c>
      <c r="BV683" s="24">
        <f t="shared" ca="1" si="603"/>
        <v>0</v>
      </c>
      <c r="BW683" s="24">
        <f t="shared" ca="1" si="599"/>
        <v>-496.34318773001684</v>
      </c>
      <c r="BX683" s="25">
        <f t="shared" ca="1" si="604"/>
        <v>-6314.139173787471</v>
      </c>
      <c r="BY683" s="23">
        <f t="shared" ca="1" si="571"/>
        <v>3594.0054030327065</v>
      </c>
      <c r="BZ683" s="24">
        <f t="shared" ca="1" si="572"/>
        <v>0</v>
      </c>
      <c r="CA683" s="24">
        <f t="shared" ca="1" si="605"/>
        <v>0</v>
      </c>
      <c r="CB683" s="24">
        <f t="shared" ca="1" si="573"/>
        <v>0</v>
      </c>
      <c r="CC683" s="24">
        <f t="shared" ca="1" si="606"/>
        <v>0</v>
      </c>
      <c r="CD683" s="24">
        <f t="shared" ca="1" si="574"/>
        <v>-54.658376777285142</v>
      </c>
      <c r="CE683" s="25">
        <f t="shared" ca="1" si="607"/>
        <v>-708.31158246900395</v>
      </c>
      <c r="CF683" s="23">
        <f t="shared" ca="1" si="608"/>
        <v>2398251.9384461744</v>
      </c>
      <c r="CG683" s="25">
        <f t="array" aca="1" ref="CG683" ca="1">SUM(BF672:BF683/(1+inflation/100)^(AP672:AP683/12))</f>
        <v>267980.53702225385</v>
      </c>
      <c r="CH683" s="32">
        <f ca="1">IFERROR(IF(MOD(AP683-ap_months_since_start,12)=0,ap_drawdown/100*(AQ683+AV683+BA683-BC683),CH682),0)</f>
        <v>5230.9735067593474</v>
      </c>
    </row>
    <row r="684" spans="40:86" x14ac:dyDescent="0.25">
      <c r="AN684" s="32">
        <f t="shared" ca="1" si="569"/>
        <v>111.25</v>
      </c>
      <c r="AO684" s="53">
        <f t="shared" ca="1" si="600"/>
        <v>66202</v>
      </c>
      <c r="AP684" s="22">
        <v>677</v>
      </c>
      <c r="AQ684" s="32">
        <f t="shared" ca="1" si="601"/>
        <v>32743.379839522131</v>
      </c>
      <c r="AR684" s="23">
        <f t="array" aca="1" ref="AR684" ca="1">SUM(IF(lsc_start_date=AO684,lsc_amount,0))</f>
        <v>0</v>
      </c>
      <c r="AS684" s="24">
        <f t="shared" ca="1" si="575"/>
        <v>0</v>
      </c>
      <c r="AT684" s="24">
        <f t="shared" ca="1" si="576"/>
        <v>0</v>
      </c>
      <c r="AU684" s="24">
        <f t="shared" ca="1" si="577"/>
        <v>0</v>
      </c>
      <c r="AV684" s="25">
        <f t="shared" ca="1" si="578"/>
        <v>0</v>
      </c>
      <c r="AW684" s="23">
        <f t="array" aca="1" ref="AW684" ca="1">SUM(IF(rcs_start_date&lt;=AO684,1,0)*IF(rcs_end_date&gt;=AO684,1,0)*rcs_amount*(1+rcs_escalation/100)^(INT((AP684-rcs_months_since_start)/12))*IF(MOD((AP684-rcs_months_since_start),rcs_frequency)=0,1,0)*IF(rcs_frequency=13,0,1))+SUM(IF(rcs_start_date=AO684,rcs_amount,0)*IF(rcs_frequency=13,1,0))</f>
        <v>0</v>
      </c>
      <c r="AX684" s="24">
        <f t="shared" ca="1" si="579"/>
        <v>0</v>
      </c>
      <c r="AY684" s="24">
        <f t="shared" ca="1" si="580"/>
        <v>0</v>
      </c>
      <c r="AZ684" s="24">
        <f t="shared" ca="1" si="581"/>
        <v>0</v>
      </c>
      <c r="BA684" s="25">
        <f t="shared" ca="1" si="582"/>
        <v>0</v>
      </c>
      <c r="BB684" s="23">
        <f t="array" aca="1" ref="BB684" ca="1">SUM(IF(w_start_date&lt;=AO684,1,0)*IF(w_end_date&gt;=AO684,1,0)*w_amount*(1+w_escalation/100)^(INT((AP684-w_months_since_start)/12))*IF(MOD(AP684-w_months_since_start,w_frequency)=0,1,0)*IF(w_frequency=13,0,1))+SUM(IF(w_start_date=AO684,w_amount,0)*IF(w_frequency=13,1,0))</f>
        <v>0</v>
      </c>
      <c r="BC684" s="25">
        <f t="shared" ca="1" si="583"/>
        <v>0</v>
      </c>
      <c r="BD684" s="24" t="b">
        <f t="shared" ca="1" si="584"/>
        <v>1</v>
      </c>
      <c r="BE684" s="24" t="b">
        <f t="shared" ca="1" si="585"/>
        <v>1</v>
      </c>
      <c r="BF684" s="23">
        <f t="array" aca="1" ref="BF684" ca="1">SUM(IF(BD684,1,0)*IF(ap_start_date&lt;=AO684,1,0)*IF(ap_end_date&gt;=AO684,1,0)*ap_amount*(1+ap_escalation/100)^(INT((AP684-ap_months_since_start)/12))*IF(MOD(AP684-ap_months_since_start,ap_frequency)=0,1,0))</f>
        <v>204441.14885114928</v>
      </c>
      <c r="BG684" s="24">
        <f t="shared" ca="1" si="586"/>
        <v>2453293.7862137915</v>
      </c>
      <c r="BH684" s="24">
        <f t="shared" ca="1" si="587"/>
        <v>850.87403610860042</v>
      </c>
      <c r="BI684">
        <f t="shared" ca="1" si="588"/>
        <v>0</v>
      </c>
      <c r="BJ684" s="24">
        <f t="shared" ca="1" si="589"/>
        <v>5956.1182527602023</v>
      </c>
      <c r="BK684">
        <f t="shared" ca="1" si="590"/>
        <v>1</v>
      </c>
      <c r="BL684" s="25">
        <f t="shared" ca="1" si="591"/>
        <v>496.34318773001684</v>
      </c>
      <c r="BM684" s="32">
        <f t="shared" ca="1" si="570"/>
        <v>32479.451470928889</v>
      </c>
      <c r="BN684" s="23">
        <f t="shared" ca="1" si="592"/>
        <v>0</v>
      </c>
      <c r="BO684" s="24">
        <f t="shared" ca="1" si="593"/>
        <v>0</v>
      </c>
      <c r="BP684" s="25">
        <f t="shared" ca="1" si="594"/>
        <v>0</v>
      </c>
      <c r="BQ684" s="34">
        <f t="shared" ca="1" si="595"/>
        <v>66231</v>
      </c>
      <c r="BR684" s="23">
        <f t="shared" ca="1" si="596"/>
        <v>32479.451470928889</v>
      </c>
      <c r="BS684" s="24">
        <f t="shared" ca="1" si="597"/>
        <v>0</v>
      </c>
      <c r="BT684" s="24">
        <f t="shared" ca="1" si="602"/>
        <v>0</v>
      </c>
      <c r="BU684" s="24">
        <f t="shared" ca="1" si="598"/>
        <v>0</v>
      </c>
      <c r="BV684" s="24">
        <f t="shared" ca="1" si="603"/>
        <v>0</v>
      </c>
      <c r="BW684" s="24">
        <f t="shared" ca="1" si="599"/>
        <v>-496.34318773001684</v>
      </c>
      <c r="BX684" s="25">
        <f t="shared" ca="1" si="604"/>
        <v>-6262.9933279264324</v>
      </c>
      <c r="BY684" s="23">
        <f t="shared" ca="1" si="571"/>
        <v>3553.4029668175585</v>
      </c>
      <c r="BZ684" s="24">
        <f t="shared" ca="1" si="572"/>
        <v>0</v>
      </c>
      <c r="CA684" s="24">
        <f t="shared" ca="1" si="605"/>
        <v>0</v>
      </c>
      <c r="CB684" s="24">
        <f t="shared" ca="1" si="573"/>
        <v>0</v>
      </c>
      <c r="CC684" s="24">
        <f t="shared" ca="1" si="606"/>
        <v>0</v>
      </c>
      <c r="CD684" s="24">
        <f t="shared" ca="1" si="574"/>
        <v>-54.480023357484647</v>
      </c>
      <c r="CE684" s="25">
        <f t="shared" ca="1" si="607"/>
        <v>-700.29391326542736</v>
      </c>
      <c r="CF684" s="23">
        <f t="shared" ca="1" si="608"/>
        <v>2406115.0595558337</v>
      </c>
      <c r="CG684" s="25">
        <f t="array" aca="1" ref="CG684" ca="1">SUM(BF673:BF684/(1+inflation/100)^(AP673:AP684/12))</f>
        <v>267980.53702225385</v>
      </c>
      <c r="CH684" s="32">
        <f ca="1">IFERROR(IF(MOD(AP684-ap_months_since_start,12)=0,ap_drawdown/100*(AQ684+AV684+BA684-BC684),CH683),0)</f>
        <v>5230.9735067593474</v>
      </c>
    </row>
    <row r="685" spans="40:86" x14ac:dyDescent="0.25">
      <c r="AN685" s="32">
        <f t="shared" ca="1" si="569"/>
        <v>111.33333333333333</v>
      </c>
      <c r="AO685" s="53">
        <f t="shared" ca="1" si="600"/>
        <v>66232</v>
      </c>
      <c r="AP685" s="22">
        <v>678</v>
      </c>
      <c r="AQ685" s="32">
        <f t="shared" ca="1" si="601"/>
        <v>32479.451470928889</v>
      </c>
      <c r="AR685" s="23">
        <f t="array" aca="1" ref="AR685" ca="1">SUM(IF(lsc_start_date=AO685,lsc_amount,0))</f>
        <v>0</v>
      </c>
      <c r="AS685" s="24">
        <f t="shared" ca="1" si="575"/>
        <v>0</v>
      </c>
      <c r="AT685" s="24">
        <f t="shared" ca="1" si="576"/>
        <v>0</v>
      </c>
      <c r="AU685" s="24">
        <f t="shared" ca="1" si="577"/>
        <v>0</v>
      </c>
      <c r="AV685" s="25">
        <f t="shared" ca="1" si="578"/>
        <v>0</v>
      </c>
      <c r="AW685" s="23">
        <f t="array" aca="1" ref="AW685" ca="1">SUM(IF(rcs_start_date&lt;=AO685,1,0)*IF(rcs_end_date&gt;=AO685,1,0)*rcs_amount*(1+rcs_escalation/100)^(INT((AP685-rcs_months_since_start)/12))*IF(MOD((AP685-rcs_months_since_start),rcs_frequency)=0,1,0)*IF(rcs_frequency=13,0,1))+SUM(IF(rcs_start_date=AO685,rcs_amount,0)*IF(rcs_frequency=13,1,0))</f>
        <v>0</v>
      </c>
      <c r="AX685" s="24">
        <f t="shared" ca="1" si="579"/>
        <v>0</v>
      </c>
      <c r="AY685" s="24">
        <f t="shared" ca="1" si="580"/>
        <v>0</v>
      </c>
      <c r="AZ685" s="24">
        <f t="shared" ca="1" si="581"/>
        <v>0</v>
      </c>
      <c r="BA685" s="25">
        <f t="shared" ca="1" si="582"/>
        <v>0</v>
      </c>
      <c r="BB685" s="23">
        <f t="array" aca="1" ref="BB685" ca="1">SUM(IF(w_start_date&lt;=AO685,1,0)*IF(w_end_date&gt;=AO685,1,0)*w_amount*(1+w_escalation/100)^(INT((AP685-w_months_since_start)/12))*IF(MOD(AP685-w_months_since_start,w_frequency)=0,1,0)*IF(w_frequency=13,0,1))+SUM(IF(w_start_date=AO685,w_amount,0)*IF(w_frequency=13,1,0))</f>
        <v>0</v>
      </c>
      <c r="BC685" s="25">
        <f t="shared" ca="1" si="583"/>
        <v>0</v>
      </c>
      <c r="BD685" s="24" t="b">
        <f t="shared" ca="1" si="584"/>
        <v>1</v>
      </c>
      <c r="BE685" s="24" t="b">
        <f t="shared" ca="1" si="585"/>
        <v>1</v>
      </c>
      <c r="BF685" s="23">
        <f t="array" aca="1" ref="BF685" ca="1">SUM(IF(BD685,1,0)*IF(ap_start_date&lt;=AO685,1,0)*IF(ap_end_date&gt;=AO685,1,0)*ap_amount*(1+ap_escalation/100)^(INT((AP685-ap_months_since_start)/12))*IF(MOD(AP685-ap_months_since_start,ap_frequency)=0,1,0))</f>
        <v>204441.14885114928</v>
      </c>
      <c r="BG685" s="24">
        <f t="shared" ca="1" si="586"/>
        <v>2453293.7862137915</v>
      </c>
      <c r="BH685" s="24">
        <f t="shared" ca="1" si="587"/>
        <v>850.87403610860042</v>
      </c>
      <c r="BI685">
        <f t="shared" ca="1" si="588"/>
        <v>0</v>
      </c>
      <c r="BJ685" s="24">
        <f t="shared" ca="1" si="589"/>
        <v>5956.1182527602023</v>
      </c>
      <c r="BK685">
        <f t="shared" ca="1" si="590"/>
        <v>1</v>
      </c>
      <c r="BL685" s="25">
        <f t="shared" ca="1" si="591"/>
        <v>496.34318773001684</v>
      </c>
      <c r="BM685" s="32">
        <f t="shared" ca="1" si="570"/>
        <v>32213.620885250897</v>
      </c>
      <c r="BN685" s="23">
        <f t="shared" ca="1" si="592"/>
        <v>0</v>
      </c>
      <c r="BO685" s="24">
        <f t="shared" ca="1" si="593"/>
        <v>0</v>
      </c>
      <c r="BP685" s="25">
        <f t="shared" ca="1" si="594"/>
        <v>0</v>
      </c>
      <c r="BQ685" s="34">
        <f t="shared" ca="1" si="595"/>
        <v>66262</v>
      </c>
      <c r="BR685" s="23">
        <f t="shared" ca="1" si="596"/>
        <v>32213.620885250897</v>
      </c>
      <c r="BS685" s="24">
        <f t="shared" ca="1" si="597"/>
        <v>0</v>
      </c>
      <c r="BT685" s="24">
        <f t="shared" ca="1" si="602"/>
        <v>0</v>
      </c>
      <c r="BU685" s="24">
        <f t="shared" ca="1" si="598"/>
        <v>0</v>
      </c>
      <c r="BV685" s="24">
        <f t="shared" ca="1" si="603"/>
        <v>0</v>
      </c>
      <c r="BW685" s="24">
        <f t="shared" ca="1" si="599"/>
        <v>-496.34318773001684</v>
      </c>
      <c r="BX685" s="25">
        <f t="shared" ca="1" si="604"/>
        <v>-6211.8474820653946</v>
      </c>
      <c r="BY685" s="23">
        <f t="shared" ca="1" si="571"/>
        <v>3512.8198071201923</v>
      </c>
      <c r="BZ685" s="24">
        <f t="shared" ca="1" si="572"/>
        <v>0</v>
      </c>
      <c r="CA685" s="24">
        <f t="shared" ca="1" si="605"/>
        <v>0</v>
      </c>
      <c r="CB685" s="24">
        <f t="shared" ca="1" si="573"/>
        <v>0</v>
      </c>
      <c r="CC685" s="24">
        <f t="shared" ca="1" si="606"/>
        <v>0</v>
      </c>
      <c r="CD685" s="24">
        <f t="shared" ca="1" si="574"/>
        <v>-54.302251915127108</v>
      </c>
      <c r="CE685" s="25">
        <f t="shared" ca="1" si="607"/>
        <v>-692.3024061765276</v>
      </c>
      <c r="CF685" s="23">
        <f t="shared" ca="1" si="608"/>
        <v>2413978.1806654935</v>
      </c>
      <c r="CG685" s="25">
        <f t="array" aca="1" ref="CG685" ca="1">SUM(BF674:BF685/(1+inflation/100)^(AP674:AP685/12))</f>
        <v>267980.53702225379</v>
      </c>
      <c r="CH685" s="32">
        <f ca="1">IFERROR(IF(MOD(AP685-ap_months_since_start,12)=0,ap_drawdown/100*(AQ685+AV685+BA685-BC685),CH684),0)</f>
        <v>5230.9735067593474</v>
      </c>
    </row>
    <row r="686" spans="40:86" x14ac:dyDescent="0.25">
      <c r="AN686" s="32">
        <f t="shared" ca="1" si="569"/>
        <v>111.41666666666667</v>
      </c>
      <c r="AO686" s="53">
        <f t="shared" ca="1" si="600"/>
        <v>66263</v>
      </c>
      <c r="AP686" s="22">
        <v>679</v>
      </c>
      <c r="AQ686" s="32">
        <f t="shared" ca="1" si="601"/>
        <v>32213.620885250897</v>
      </c>
      <c r="AR686" s="23">
        <f t="array" aca="1" ref="AR686" ca="1">SUM(IF(lsc_start_date=AO686,lsc_amount,0))</f>
        <v>0</v>
      </c>
      <c r="AS686" s="24">
        <f t="shared" ca="1" si="575"/>
        <v>0</v>
      </c>
      <c r="AT686" s="24">
        <f t="shared" ca="1" si="576"/>
        <v>0</v>
      </c>
      <c r="AU686" s="24">
        <f t="shared" ca="1" si="577"/>
        <v>0</v>
      </c>
      <c r="AV686" s="25">
        <f t="shared" ca="1" si="578"/>
        <v>0</v>
      </c>
      <c r="AW686" s="23">
        <f t="array" aca="1" ref="AW686" ca="1">SUM(IF(rcs_start_date&lt;=AO686,1,0)*IF(rcs_end_date&gt;=AO686,1,0)*rcs_amount*(1+rcs_escalation/100)^(INT((AP686-rcs_months_since_start)/12))*IF(MOD((AP686-rcs_months_since_start),rcs_frequency)=0,1,0)*IF(rcs_frequency=13,0,1))+SUM(IF(rcs_start_date=AO686,rcs_amount,0)*IF(rcs_frequency=13,1,0))</f>
        <v>0</v>
      </c>
      <c r="AX686" s="24">
        <f t="shared" ca="1" si="579"/>
        <v>0</v>
      </c>
      <c r="AY686" s="24">
        <f t="shared" ca="1" si="580"/>
        <v>0</v>
      </c>
      <c r="AZ686" s="24">
        <f t="shared" ca="1" si="581"/>
        <v>0</v>
      </c>
      <c r="BA686" s="25">
        <f t="shared" ca="1" si="582"/>
        <v>0</v>
      </c>
      <c r="BB686" s="23">
        <f t="array" aca="1" ref="BB686" ca="1">SUM(IF(w_start_date&lt;=AO686,1,0)*IF(w_end_date&gt;=AO686,1,0)*w_amount*(1+w_escalation/100)^(INT((AP686-w_months_since_start)/12))*IF(MOD(AP686-w_months_since_start,w_frequency)=0,1,0)*IF(w_frequency=13,0,1))+SUM(IF(w_start_date=AO686,w_amount,0)*IF(w_frequency=13,1,0))</f>
        <v>0</v>
      </c>
      <c r="BC686" s="25">
        <f t="shared" ca="1" si="583"/>
        <v>0</v>
      </c>
      <c r="BD686" s="24" t="b">
        <f t="shared" ca="1" si="584"/>
        <v>1</v>
      </c>
      <c r="BE686" s="24" t="b">
        <f t="shared" ca="1" si="585"/>
        <v>1</v>
      </c>
      <c r="BF686" s="23">
        <f t="array" aca="1" ref="BF686" ca="1">SUM(IF(BD686,1,0)*IF(ap_start_date&lt;=AO686,1,0)*IF(ap_end_date&gt;=AO686,1,0)*ap_amount*(1+ap_escalation/100)^(INT((AP686-ap_months_since_start)/12))*IF(MOD(AP686-ap_months_since_start,ap_frequency)=0,1,0))</f>
        <v>204441.14885114928</v>
      </c>
      <c r="BG686" s="24">
        <f t="shared" ca="1" si="586"/>
        <v>2453293.7862137915</v>
      </c>
      <c r="BH686" s="24">
        <f t="shared" ca="1" si="587"/>
        <v>850.87403610860042</v>
      </c>
      <c r="BI686">
        <f t="shared" ca="1" si="588"/>
        <v>0</v>
      </c>
      <c r="BJ686" s="24">
        <f t="shared" ca="1" si="589"/>
        <v>5956.1182527602023</v>
      </c>
      <c r="BK686">
        <f t="shared" ca="1" si="590"/>
        <v>1</v>
      </c>
      <c r="BL686" s="25">
        <f t="shared" ca="1" si="591"/>
        <v>496.34318773001684</v>
      </c>
      <c r="BM686" s="32">
        <f t="shared" ca="1" si="570"/>
        <v>31945.874372594604</v>
      </c>
      <c r="BN686" s="23">
        <f t="shared" ca="1" si="592"/>
        <v>0</v>
      </c>
      <c r="BO686" s="24">
        <f t="shared" ca="1" si="593"/>
        <v>0</v>
      </c>
      <c r="BP686" s="25">
        <f t="shared" ca="1" si="594"/>
        <v>0</v>
      </c>
      <c r="BQ686" s="34">
        <f t="shared" ca="1" si="595"/>
        <v>66292</v>
      </c>
      <c r="BR686" s="23">
        <f t="shared" ca="1" si="596"/>
        <v>31945.874372594604</v>
      </c>
      <c r="BS686" s="24">
        <f t="shared" ca="1" si="597"/>
        <v>0</v>
      </c>
      <c r="BT686" s="24">
        <f t="shared" ca="1" si="602"/>
        <v>0</v>
      </c>
      <c r="BU686" s="24">
        <f t="shared" ca="1" si="598"/>
        <v>0</v>
      </c>
      <c r="BV686" s="24">
        <f t="shared" ca="1" si="603"/>
        <v>0</v>
      </c>
      <c r="BW686" s="24">
        <f t="shared" ca="1" si="599"/>
        <v>-496.34318773001684</v>
      </c>
      <c r="BX686" s="25">
        <f t="shared" ca="1" si="604"/>
        <v>-6160.701636204356</v>
      </c>
      <c r="BY686" s="23">
        <f t="shared" ca="1" si="571"/>
        <v>3472.2554171662182</v>
      </c>
      <c r="BZ686" s="24">
        <f t="shared" ca="1" si="572"/>
        <v>0</v>
      </c>
      <c r="CA686" s="24">
        <f t="shared" ca="1" si="605"/>
        <v>0</v>
      </c>
      <c r="CB686" s="24">
        <f t="shared" ca="1" si="573"/>
        <v>0</v>
      </c>
      <c r="CC686" s="24">
        <f t="shared" ca="1" si="606"/>
        <v>0</v>
      </c>
      <c r="CD686" s="24">
        <f t="shared" ca="1" si="574"/>
        <v>-54.125060551186756</v>
      </c>
      <c r="CE686" s="25">
        <f t="shared" ca="1" si="607"/>
        <v>-684.33697583382286</v>
      </c>
      <c r="CF686" s="23">
        <f t="shared" ca="1" si="608"/>
        <v>2421841.3017751528</v>
      </c>
      <c r="CG686" s="25">
        <f t="array" aca="1" ref="CG686" ca="1">SUM(BF675:BF686/(1+inflation/100)^(AP675:AP686/12))</f>
        <v>267980.53702225385</v>
      </c>
      <c r="CH686" s="32">
        <f ca="1">IFERROR(IF(MOD(AP686-ap_months_since_start,12)=0,ap_drawdown/100*(AQ686+AV686+BA686-BC686),CH685),0)</f>
        <v>5230.9735067593474</v>
      </c>
    </row>
    <row r="687" spans="40:86" x14ac:dyDescent="0.25">
      <c r="AN687" s="32">
        <f t="shared" ca="1" si="569"/>
        <v>111.5</v>
      </c>
      <c r="AO687" s="53">
        <f t="shared" ca="1" si="600"/>
        <v>66293</v>
      </c>
      <c r="AP687" s="22">
        <v>680</v>
      </c>
      <c r="AQ687" s="32">
        <f t="shared" ca="1" si="601"/>
        <v>31945.874372594604</v>
      </c>
      <c r="AR687" s="23">
        <f t="array" aca="1" ref="AR687" ca="1">SUM(IF(lsc_start_date=AO687,lsc_amount,0))</f>
        <v>0</v>
      </c>
      <c r="AS687" s="24">
        <f t="shared" ca="1" si="575"/>
        <v>0</v>
      </c>
      <c r="AT687" s="24">
        <f t="shared" ca="1" si="576"/>
        <v>0</v>
      </c>
      <c r="AU687" s="24">
        <f t="shared" ca="1" si="577"/>
        <v>0</v>
      </c>
      <c r="AV687" s="25">
        <f t="shared" ca="1" si="578"/>
        <v>0</v>
      </c>
      <c r="AW687" s="23">
        <f t="array" aca="1" ref="AW687" ca="1">SUM(IF(rcs_start_date&lt;=AO687,1,0)*IF(rcs_end_date&gt;=AO687,1,0)*rcs_amount*(1+rcs_escalation/100)^(INT((AP687-rcs_months_since_start)/12))*IF(MOD((AP687-rcs_months_since_start),rcs_frequency)=0,1,0)*IF(rcs_frequency=13,0,1))+SUM(IF(rcs_start_date=AO687,rcs_amount,0)*IF(rcs_frequency=13,1,0))</f>
        <v>0</v>
      </c>
      <c r="AX687" s="24">
        <f t="shared" ca="1" si="579"/>
        <v>0</v>
      </c>
      <c r="AY687" s="24">
        <f t="shared" ca="1" si="580"/>
        <v>0</v>
      </c>
      <c r="AZ687" s="24">
        <f t="shared" ca="1" si="581"/>
        <v>0</v>
      </c>
      <c r="BA687" s="25">
        <f t="shared" ca="1" si="582"/>
        <v>0</v>
      </c>
      <c r="BB687" s="23">
        <f t="array" aca="1" ref="BB687" ca="1">SUM(IF(w_start_date&lt;=AO687,1,0)*IF(w_end_date&gt;=AO687,1,0)*w_amount*(1+w_escalation/100)^(INT((AP687-w_months_since_start)/12))*IF(MOD(AP687-w_months_since_start,w_frequency)=0,1,0)*IF(w_frequency=13,0,1))+SUM(IF(w_start_date=AO687,w_amount,0)*IF(w_frequency=13,1,0))</f>
        <v>0</v>
      </c>
      <c r="BC687" s="25">
        <f t="shared" ca="1" si="583"/>
        <v>0</v>
      </c>
      <c r="BD687" s="24" t="b">
        <f t="shared" ca="1" si="584"/>
        <v>1</v>
      </c>
      <c r="BE687" s="24" t="b">
        <f t="shared" ca="1" si="585"/>
        <v>1</v>
      </c>
      <c r="BF687" s="23">
        <f t="array" aca="1" ref="BF687" ca="1">SUM(IF(BD687,1,0)*IF(ap_start_date&lt;=AO687,1,0)*IF(ap_end_date&gt;=AO687,1,0)*ap_amount*(1+ap_escalation/100)^(INT((AP687-ap_months_since_start)/12))*IF(MOD(AP687-ap_months_since_start,ap_frequency)=0,1,0))</f>
        <v>204441.14885114928</v>
      </c>
      <c r="BG687" s="24">
        <f t="shared" ca="1" si="586"/>
        <v>2453293.7862137915</v>
      </c>
      <c r="BH687" s="24">
        <f t="shared" ca="1" si="587"/>
        <v>850.87403610860042</v>
      </c>
      <c r="BI687">
        <f t="shared" ca="1" si="588"/>
        <v>0</v>
      </c>
      <c r="BJ687" s="24">
        <f t="shared" ca="1" si="589"/>
        <v>5956.1182527602023</v>
      </c>
      <c r="BK687">
        <f t="shared" ca="1" si="590"/>
        <v>1</v>
      </c>
      <c r="BL687" s="25">
        <f t="shared" ca="1" si="591"/>
        <v>496.34318773001684</v>
      </c>
      <c r="BM687" s="32">
        <f t="shared" ca="1" si="570"/>
        <v>31676.198124254832</v>
      </c>
      <c r="BN687" s="23">
        <f t="shared" ca="1" si="592"/>
        <v>0</v>
      </c>
      <c r="BO687" s="24">
        <f t="shared" ca="1" si="593"/>
        <v>0</v>
      </c>
      <c r="BP687" s="25">
        <f t="shared" ca="1" si="594"/>
        <v>0</v>
      </c>
      <c r="BQ687" s="34">
        <f t="shared" ca="1" si="595"/>
        <v>66323</v>
      </c>
      <c r="BR687" s="23">
        <f t="shared" ca="1" si="596"/>
        <v>31676.198124254832</v>
      </c>
      <c r="BS687" s="24">
        <f t="shared" ca="1" si="597"/>
        <v>0</v>
      </c>
      <c r="BT687" s="24">
        <f t="shared" ca="1" si="602"/>
        <v>0</v>
      </c>
      <c r="BU687" s="24">
        <f t="shared" ca="1" si="598"/>
        <v>0</v>
      </c>
      <c r="BV687" s="24">
        <f t="shared" ca="1" si="603"/>
        <v>0</v>
      </c>
      <c r="BW687" s="24">
        <f t="shared" ca="1" si="599"/>
        <v>-496.34318773001684</v>
      </c>
      <c r="BX687" s="25">
        <f t="shared" ca="1" si="604"/>
        <v>-6109.5557903433182</v>
      </c>
      <c r="BY687" s="23">
        <f t="shared" ca="1" si="571"/>
        <v>3431.7092900945649</v>
      </c>
      <c r="BZ687" s="24">
        <f t="shared" ca="1" si="572"/>
        <v>0</v>
      </c>
      <c r="CA687" s="24">
        <f t="shared" ca="1" si="605"/>
        <v>0</v>
      </c>
      <c r="CB687" s="24">
        <f t="shared" ca="1" si="573"/>
        <v>0</v>
      </c>
      <c r="CC687" s="24">
        <f t="shared" ca="1" si="606"/>
        <v>0</v>
      </c>
      <c r="CD687" s="24">
        <f t="shared" ca="1" si="574"/>
        <v>-53.94844737283443</v>
      </c>
      <c r="CE687" s="25">
        <f t="shared" ca="1" si="607"/>
        <v>-676.39753714739425</v>
      </c>
      <c r="CF687" s="23">
        <f t="shared" ca="1" si="608"/>
        <v>2429704.4228848126</v>
      </c>
      <c r="CG687" s="25">
        <f t="array" aca="1" ref="CG687" ca="1">SUM(BF676:BF687/(1+inflation/100)^(AP676:AP687/12))</f>
        <v>267980.53702225385</v>
      </c>
      <c r="CH687" s="32">
        <f ca="1">IFERROR(IF(MOD(AP687-ap_months_since_start,12)=0,ap_drawdown/100*(AQ687+AV687+BA687-BC687),CH686),0)</f>
        <v>5230.9735067593474</v>
      </c>
    </row>
    <row r="688" spans="40:86" x14ac:dyDescent="0.25">
      <c r="AN688" s="32">
        <f t="shared" ca="1" si="569"/>
        <v>111.58333333333333</v>
      </c>
      <c r="AO688" s="53">
        <f t="shared" ca="1" si="600"/>
        <v>66324</v>
      </c>
      <c r="AP688" s="22">
        <v>681</v>
      </c>
      <c r="AQ688" s="32">
        <f t="shared" ca="1" si="601"/>
        <v>31676.198124254832</v>
      </c>
      <c r="AR688" s="23">
        <f t="array" aca="1" ref="AR688" ca="1">SUM(IF(lsc_start_date=AO688,lsc_amount,0))</f>
        <v>0</v>
      </c>
      <c r="AS688" s="24">
        <f t="shared" ca="1" si="575"/>
        <v>0</v>
      </c>
      <c r="AT688" s="24">
        <f t="shared" ca="1" si="576"/>
        <v>0</v>
      </c>
      <c r="AU688" s="24">
        <f t="shared" ca="1" si="577"/>
        <v>0</v>
      </c>
      <c r="AV688" s="25">
        <f t="shared" ca="1" si="578"/>
        <v>0</v>
      </c>
      <c r="AW688" s="23">
        <f t="array" aca="1" ref="AW688" ca="1">SUM(IF(rcs_start_date&lt;=AO688,1,0)*IF(rcs_end_date&gt;=AO688,1,0)*rcs_amount*(1+rcs_escalation/100)^(INT((AP688-rcs_months_since_start)/12))*IF(MOD((AP688-rcs_months_since_start),rcs_frequency)=0,1,0)*IF(rcs_frequency=13,0,1))+SUM(IF(rcs_start_date=AO688,rcs_amount,0)*IF(rcs_frequency=13,1,0))</f>
        <v>0</v>
      </c>
      <c r="AX688" s="24">
        <f t="shared" ca="1" si="579"/>
        <v>0</v>
      </c>
      <c r="AY688" s="24">
        <f t="shared" ca="1" si="580"/>
        <v>0</v>
      </c>
      <c r="AZ688" s="24">
        <f t="shared" ca="1" si="581"/>
        <v>0</v>
      </c>
      <c r="BA688" s="25">
        <f t="shared" ca="1" si="582"/>
        <v>0</v>
      </c>
      <c r="BB688" s="23">
        <f t="array" aca="1" ref="BB688" ca="1">SUM(IF(w_start_date&lt;=AO688,1,0)*IF(w_end_date&gt;=AO688,1,0)*w_amount*(1+w_escalation/100)^(INT((AP688-w_months_since_start)/12))*IF(MOD(AP688-w_months_since_start,w_frequency)=0,1,0)*IF(w_frequency=13,0,1))+SUM(IF(w_start_date=AO688,w_amount,0)*IF(w_frequency=13,1,0))</f>
        <v>0</v>
      </c>
      <c r="BC688" s="25">
        <f t="shared" ca="1" si="583"/>
        <v>0</v>
      </c>
      <c r="BD688" s="24" t="b">
        <f t="shared" ca="1" si="584"/>
        <v>1</v>
      </c>
      <c r="BE688" s="24" t="b">
        <f t="shared" ca="1" si="585"/>
        <v>1</v>
      </c>
      <c r="BF688" s="23">
        <f t="array" aca="1" ref="BF688" ca="1">SUM(IF(BD688,1,0)*IF(ap_start_date&lt;=AO688,1,0)*IF(ap_end_date&gt;=AO688,1,0)*ap_amount*(1+ap_escalation/100)^(INT((AP688-ap_months_since_start)/12))*IF(MOD(AP688-ap_months_since_start,ap_frequency)=0,1,0))</f>
        <v>204441.14885114928</v>
      </c>
      <c r="BG688" s="24">
        <f t="shared" ca="1" si="586"/>
        <v>2453293.7862137915</v>
      </c>
      <c r="BH688" s="24">
        <f t="shared" ca="1" si="587"/>
        <v>850.87403610860042</v>
      </c>
      <c r="BI688">
        <f t="shared" ca="1" si="588"/>
        <v>0</v>
      </c>
      <c r="BJ688" s="24">
        <f t="shared" ca="1" si="589"/>
        <v>5956.1182527602023</v>
      </c>
      <c r="BK688">
        <f t="shared" ca="1" si="590"/>
        <v>1</v>
      </c>
      <c r="BL688" s="25">
        <f t="shared" ca="1" si="591"/>
        <v>496.34318773001684</v>
      </c>
      <c r="BM688" s="32">
        <f t="shared" ca="1" si="570"/>
        <v>31404.57823200259</v>
      </c>
      <c r="BN688" s="23">
        <f t="shared" ca="1" si="592"/>
        <v>0</v>
      </c>
      <c r="BO688" s="24">
        <f t="shared" ca="1" si="593"/>
        <v>0</v>
      </c>
      <c r="BP688" s="25">
        <f t="shared" ca="1" si="594"/>
        <v>0</v>
      </c>
      <c r="BQ688" s="34">
        <f t="shared" ca="1" si="595"/>
        <v>66354</v>
      </c>
      <c r="BR688" s="23">
        <f t="shared" ca="1" si="596"/>
        <v>31404.57823200259</v>
      </c>
      <c r="BS688" s="24">
        <f t="shared" ca="1" si="597"/>
        <v>0</v>
      </c>
      <c r="BT688" s="24">
        <f t="shared" ca="1" si="602"/>
        <v>0</v>
      </c>
      <c r="BU688" s="24">
        <f t="shared" ca="1" si="598"/>
        <v>0</v>
      </c>
      <c r="BV688" s="24">
        <f t="shared" ca="1" si="603"/>
        <v>0</v>
      </c>
      <c r="BW688" s="24">
        <f t="shared" ca="1" si="599"/>
        <v>-496.34318773001684</v>
      </c>
      <c r="BX688" s="25">
        <f t="shared" ca="1" si="604"/>
        <v>-6058.4099444822796</v>
      </c>
      <c r="BY688" s="23">
        <f t="shared" ca="1" si="571"/>
        <v>3391.1809189509327</v>
      </c>
      <c r="BZ688" s="24">
        <f t="shared" ca="1" si="572"/>
        <v>0</v>
      </c>
      <c r="CA688" s="24">
        <f t="shared" ca="1" si="605"/>
        <v>0</v>
      </c>
      <c r="CB688" s="24">
        <f t="shared" ca="1" si="573"/>
        <v>0</v>
      </c>
      <c r="CC688" s="24">
        <f t="shared" ca="1" si="606"/>
        <v>0</v>
      </c>
      <c r="CD688" s="24">
        <f t="shared" ca="1" si="574"/>
        <v>-53.772410493417411</v>
      </c>
      <c r="CE688" s="25">
        <f t="shared" ca="1" si="607"/>
        <v>-668.48400530497588</v>
      </c>
      <c r="CF688" s="23">
        <f t="shared" ca="1" si="608"/>
        <v>2437567.5439944719</v>
      </c>
      <c r="CG688" s="25">
        <f t="array" aca="1" ref="CG688" ca="1">SUM(BF677:BF688/(1+inflation/100)^(AP677:AP688/12))</f>
        <v>267980.53702225385</v>
      </c>
      <c r="CH688" s="32">
        <f ca="1">IFERROR(IF(MOD(AP688-ap_months_since_start,12)=0,ap_drawdown/100*(AQ688+AV688+BA688-BC688),CH687),0)</f>
        <v>5230.9735067593474</v>
      </c>
    </row>
    <row r="689" spans="40:86" x14ac:dyDescent="0.25">
      <c r="AN689" s="32">
        <f t="shared" ca="1" si="569"/>
        <v>111.66666666666667</v>
      </c>
      <c r="AO689" s="53">
        <f t="shared" ca="1" si="600"/>
        <v>66355</v>
      </c>
      <c r="AP689" s="22">
        <v>682</v>
      </c>
      <c r="AQ689" s="32">
        <f t="shared" ca="1" si="601"/>
        <v>31404.57823200259</v>
      </c>
      <c r="AR689" s="23">
        <f t="array" aca="1" ref="AR689" ca="1">SUM(IF(lsc_start_date=AO689,lsc_amount,0))</f>
        <v>0</v>
      </c>
      <c r="AS689" s="24">
        <f t="shared" ca="1" si="575"/>
        <v>0</v>
      </c>
      <c r="AT689" s="24">
        <f t="shared" ca="1" si="576"/>
        <v>0</v>
      </c>
      <c r="AU689" s="24">
        <f t="shared" ca="1" si="577"/>
        <v>0</v>
      </c>
      <c r="AV689" s="25">
        <f t="shared" ca="1" si="578"/>
        <v>0</v>
      </c>
      <c r="AW689" s="23">
        <f t="array" aca="1" ref="AW689" ca="1">SUM(IF(rcs_start_date&lt;=AO689,1,0)*IF(rcs_end_date&gt;=AO689,1,0)*rcs_amount*(1+rcs_escalation/100)^(INT((AP689-rcs_months_since_start)/12))*IF(MOD((AP689-rcs_months_since_start),rcs_frequency)=0,1,0)*IF(rcs_frequency=13,0,1))+SUM(IF(rcs_start_date=AO689,rcs_amount,0)*IF(rcs_frequency=13,1,0))</f>
        <v>0</v>
      </c>
      <c r="AX689" s="24">
        <f t="shared" ca="1" si="579"/>
        <v>0</v>
      </c>
      <c r="AY689" s="24">
        <f t="shared" ca="1" si="580"/>
        <v>0</v>
      </c>
      <c r="AZ689" s="24">
        <f t="shared" ca="1" si="581"/>
        <v>0</v>
      </c>
      <c r="BA689" s="25">
        <f t="shared" ca="1" si="582"/>
        <v>0</v>
      </c>
      <c r="BB689" s="23">
        <f t="array" aca="1" ref="BB689" ca="1">SUM(IF(w_start_date&lt;=AO689,1,0)*IF(w_end_date&gt;=AO689,1,0)*w_amount*(1+w_escalation/100)^(INT((AP689-w_months_since_start)/12))*IF(MOD(AP689-w_months_since_start,w_frequency)=0,1,0)*IF(w_frequency=13,0,1))+SUM(IF(w_start_date=AO689,w_amount,0)*IF(w_frequency=13,1,0))</f>
        <v>0</v>
      </c>
      <c r="BC689" s="25">
        <f t="shared" ca="1" si="583"/>
        <v>0</v>
      </c>
      <c r="BD689" s="24" t="b">
        <f t="shared" ca="1" si="584"/>
        <v>1</v>
      </c>
      <c r="BE689" s="24" t="b">
        <f t="shared" ca="1" si="585"/>
        <v>1</v>
      </c>
      <c r="BF689" s="23">
        <f t="array" aca="1" ref="BF689" ca="1">SUM(IF(BD689,1,0)*IF(ap_start_date&lt;=AO689,1,0)*IF(ap_end_date&gt;=AO689,1,0)*ap_amount*(1+ap_escalation/100)^(INT((AP689-ap_months_since_start)/12))*IF(MOD(AP689-ap_months_since_start,ap_frequency)=0,1,0))</f>
        <v>204441.14885114928</v>
      </c>
      <c r="BG689" s="24">
        <f t="shared" ca="1" si="586"/>
        <v>2453293.7862137915</v>
      </c>
      <c r="BH689" s="24">
        <f t="shared" ca="1" si="587"/>
        <v>850.87403610860042</v>
      </c>
      <c r="BI689">
        <f t="shared" ca="1" si="588"/>
        <v>0</v>
      </c>
      <c r="BJ689" s="24">
        <f t="shared" ca="1" si="589"/>
        <v>5956.1182527602023</v>
      </c>
      <c r="BK689">
        <f t="shared" ca="1" si="590"/>
        <v>1</v>
      </c>
      <c r="BL689" s="25">
        <f t="shared" ca="1" si="591"/>
        <v>496.34318773001684</v>
      </c>
      <c r="BM689" s="32">
        <f t="shared" ca="1" si="570"/>
        <v>31131.000687367792</v>
      </c>
      <c r="BN689" s="23">
        <f t="shared" ca="1" si="592"/>
        <v>0</v>
      </c>
      <c r="BO689" s="24">
        <f t="shared" ca="1" si="593"/>
        <v>0</v>
      </c>
      <c r="BP689" s="25">
        <f t="shared" ca="1" si="594"/>
        <v>0</v>
      </c>
      <c r="BQ689" s="34">
        <f t="shared" ca="1" si="595"/>
        <v>66384</v>
      </c>
      <c r="BR689" s="23">
        <f t="shared" ca="1" si="596"/>
        <v>31131.000687367792</v>
      </c>
      <c r="BS689" s="24">
        <f t="shared" ca="1" si="597"/>
        <v>0</v>
      </c>
      <c r="BT689" s="24">
        <f t="shared" ca="1" si="602"/>
        <v>0</v>
      </c>
      <c r="BU689" s="24">
        <f t="shared" ca="1" si="598"/>
        <v>0</v>
      </c>
      <c r="BV689" s="24">
        <f t="shared" ca="1" si="603"/>
        <v>0</v>
      </c>
      <c r="BW689" s="24">
        <f t="shared" ca="1" si="599"/>
        <v>-496.34318773001684</v>
      </c>
      <c r="BX689" s="25">
        <f t="shared" ca="1" si="604"/>
        <v>-6007.2640986212409</v>
      </c>
      <c r="BY689" s="23">
        <f t="shared" ca="1" si="571"/>
        <v>3350.6697966812494</v>
      </c>
      <c r="BZ689" s="24">
        <f t="shared" ca="1" si="572"/>
        <v>0</v>
      </c>
      <c r="CA689" s="24">
        <f t="shared" ca="1" si="605"/>
        <v>0</v>
      </c>
      <c r="CB689" s="24">
        <f t="shared" ca="1" si="573"/>
        <v>0</v>
      </c>
      <c r="CC689" s="24">
        <f t="shared" ca="1" si="606"/>
        <v>0</v>
      </c>
      <c r="CD689" s="24">
        <f t="shared" ca="1" si="574"/>
        <v>-53.596948032439187</v>
      </c>
      <c r="CE689" s="25">
        <f t="shared" ca="1" si="607"/>
        <v>-660.59629577104931</v>
      </c>
      <c r="CF689" s="23">
        <f t="shared" ca="1" si="608"/>
        <v>2445430.6651041317</v>
      </c>
      <c r="CG689" s="25">
        <f t="array" aca="1" ref="CG689" ca="1">SUM(BF678:BF689/(1+inflation/100)^(AP678:AP689/12))</f>
        <v>267980.53702225385</v>
      </c>
      <c r="CH689" s="32">
        <f ca="1">IFERROR(IF(MOD(AP689-ap_months_since_start,12)=0,ap_drawdown/100*(AQ689+AV689+BA689-BC689),CH688),0)</f>
        <v>5230.9735067593474</v>
      </c>
    </row>
    <row r="690" spans="40:86" x14ac:dyDescent="0.25">
      <c r="AN690" s="32">
        <f t="shared" ca="1" si="569"/>
        <v>111.75</v>
      </c>
      <c r="AO690" s="53">
        <f t="shared" ca="1" si="600"/>
        <v>66385</v>
      </c>
      <c r="AP690" s="22">
        <v>683</v>
      </c>
      <c r="AQ690" s="32">
        <f t="shared" ca="1" si="601"/>
        <v>31131.000687367792</v>
      </c>
      <c r="AR690" s="23">
        <f t="array" aca="1" ref="AR690" ca="1">SUM(IF(lsc_start_date=AO690,lsc_amount,0))</f>
        <v>0</v>
      </c>
      <c r="AS690" s="24">
        <f t="shared" ca="1" si="575"/>
        <v>0</v>
      </c>
      <c r="AT690" s="24">
        <f t="shared" ca="1" si="576"/>
        <v>0</v>
      </c>
      <c r="AU690" s="24">
        <f t="shared" ca="1" si="577"/>
        <v>0</v>
      </c>
      <c r="AV690" s="25">
        <f t="shared" ca="1" si="578"/>
        <v>0</v>
      </c>
      <c r="AW690" s="23">
        <f t="array" aca="1" ref="AW690" ca="1">SUM(IF(rcs_start_date&lt;=AO690,1,0)*IF(rcs_end_date&gt;=AO690,1,0)*rcs_amount*(1+rcs_escalation/100)^(INT((AP690-rcs_months_since_start)/12))*IF(MOD((AP690-rcs_months_since_start),rcs_frequency)=0,1,0)*IF(rcs_frequency=13,0,1))+SUM(IF(rcs_start_date=AO690,rcs_amount,0)*IF(rcs_frequency=13,1,0))</f>
        <v>0</v>
      </c>
      <c r="AX690" s="24">
        <f t="shared" ca="1" si="579"/>
        <v>0</v>
      </c>
      <c r="AY690" s="24">
        <f t="shared" ca="1" si="580"/>
        <v>0</v>
      </c>
      <c r="AZ690" s="24">
        <f t="shared" ca="1" si="581"/>
        <v>0</v>
      </c>
      <c r="BA690" s="25">
        <f t="shared" ca="1" si="582"/>
        <v>0</v>
      </c>
      <c r="BB690" s="23">
        <f t="array" aca="1" ref="BB690" ca="1">SUM(IF(w_start_date&lt;=AO690,1,0)*IF(w_end_date&gt;=AO690,1,0)*w_amount*(1+w_escalation/100)^(INT((AP690-w_months_since_start)/12))*IF(MOD(AP690-w_months_since_start,w_frequency)=0,1,0)*IF(w_frequency=13,0,1))+SUM(IF(w_start_date=AO690,w_amount,0)*IF(w_frequency=13,1,0))</f>
        <v>0</v>
      </c>
      <c r="BC690" s="25">
        <f t="shared" ca="1" si="583"/>
        <v>0</v>
      </c>
      <c r="BD690" s="24" t="b">
        <f t="shared" ca="1" si="584"/>
        <v>1</v>
      </c>
      <c r="BE690" s="24" t="b">
        <f t="shared" ca="1" si="585"/>
        <v>1</v>
      </c>
      <c r="BF690" s="23">
        <f t="array" aca="1" ref="BF690" ca="1">SUM(IF(BD690,1,0)*IF(ap_start_date&lt;=AO690,1,0)*IF(ap_end_date&gt;=AO690,1,0)*ap_amount*(1+ap_escalation/100)^(INT((AP690-ap_months_since_start)/12))*IF(MOD(AP690-ap_months_since_start,ap_frequency)=0,1,0))</f>
        <v>204441.14885114928</v>
      </c>
      <c r="BG690" s="24">
        <f t="shared" ca="1" si="586"/>
        <v>2453293.7862137915</v>
      </c>
      <c r="BH690" s="24">
        <f t="shared" ca="1" si="587"/>
        <v>850.87403610860042</v>
      </c>
      <c r="BI690">
        <f t="shared" ca="1" si="588"/>
        <v>0</v>
      </c>
      <c r="BJ690" s="24">
        <f t="shared" ca="1" si="589"/>
        <v>5956.1182527602023</v>
      </c>
      <c r="BK690">
        <f t="shared" ca="1" si="590"/>
        <v>1</v>
      </c>
      <c r="BL690" s="25">
        <f t="shared" ca="1" si="591"/>
        <v>496.34318773001684</v>
      </c>
      <c r="BM690" s="32">
        <f t="shared" ca="1" si="570"/>
        <v>30855.451380916777</v>
      </c>
      <c r="BN690" s="23">
        <f t="shared" ca="1" si="592"/>
        <v>0</v>
      </c>
      <c r="BO690" s="24">
        <f t="shared" ca="1" si="593"/>
        <v>0</v>
      </c>
      <c r="BP690" s="25">
        <f t="shared" ca="1" si="594"/>
        <v>0</v>
      </c>
      <c r="BQ690" s="34">
        <f t="shared" ca="1" si="595"/>
        <v>66415</v>
      </c>
      <c r="BR690" s="23">
        <f t="shared" ca="1" si="596"/>
        <v>30855.451380916777</v>
      </c>
      <c r="BS690" s="24">
        <f t="shared" ca="1" si="597"/>
        <v>0</v>
      </c>
      <c r="BT690" s="24">
        <f t="shared" ca="1" si="602"/>
        <v>0</v>
      </c>
      <c r="BU690" s="24">
        <f t="shared" ca="1" si="598"/>
        <v>0</v>
      </c>
      <c r="BV690" s="24">
        <f t="shared" ca="1" si="603"/>
        <v>0</v>
      </c>
      <c r="BW690" s="24">
        <f t="shared" ca="1" si="599"/>
        <v>-496.34318773001684</v>
      </c>
      <c r="BX690" s="25">
        <f t="shared" ca="1" si="604"/>
        <v>-5956.1182527602032</v>
      </c>
      <c r="BY690" s="23">
        <f t="shared" ca="1" si="571"/>
        <v>3310.1754161251297</v>
      </c>
      <c r="BZ690" s="24">
        <f t="shared" ca="1" si="572"/>
        <v>0</v>
      </c>
      <c r="CA690" s="24">
        <f t="shared" ca="1" si="605"/>
        <v>0</v>
      </c>
      <c r="CB690" s="24">
        <f t="shared" ca="1" si="573"/>
        <v>0</v>
      </c>
      <c r="CC690" s="24">
        <f t="shared" ca="1" si="606"/>
        <v>0</v>
      </c>
      <c r="CD690" s="24">
        <f t="shared" ca="1" si="574"/>
        <v>-53.422058115539386</v>
      </c>
      <c r="CE690" s="25">
        <f t="shared" ca="1" si="607"/>
        <v>-652.73432428593992</v>
      </c>
      <c r="CF690" s="23">
        <f t="shared" ca="1" si="608"/>
        <v>2453293.7862137915</v>
      </c>
      <c r="CG690" s="25">
        <f t="array" aca="1" ref="CG690" ca="1">SUM(BF679:BF690/(1+inflation/100)^(AP679:AP690/12))</f>
        <v>267980.53702225385</v>
      </c>
      <c r="CH690" s="32">
        <f ca="1">IFERROR(IF(MOD(AP690-ap_months_since_start,12)=0,ap_drawdown/100*(AQ690+AV690+BA690-BC690),CH689),0)</f>
        <v>5230.9735067593474</v>
      </c>
    </row>
    <row r="691" spans="40:86" x14ac:dyDescent="0.25">
      <c r="AN691" s="32">
        <f t="shared" ca="1" si="569"/>
        <v>111.83333333333333</v>
      </c>
      <c r="AO691" s="53">
        <f t="shared" ca="1" si="600"/>
        <v>66416</v>
      </c>
      <c r="AP691" s="22">
        <v>684</v>
      </c>
      <c r="AQ691" s="32">
        <f t="shared" ca="1" si="601"/>
        <v>30855.451380916777</v>
      </c>
      <c r="AR691" s="23">
        <f t="array" aca="1" ref="AR691" ca="1">SUM(IF(lsc_start_date=AO691,lsc_amount,0))</f>
        <v>0</v>
      </c>
      <c r="AS691" s="24">
        <f t="shared" ca="1" si="575"/>
        <v>0</v>
      </c>
      <c r="AT691" s="24">
        <f t="shared" ca="1" si="576"/>
        <v>0</v>
      </c>
      <c r="AU691" s="24">
        <f t="shared" ca="1" si="577"/>
        <v>0</v>
      </c>
      <c r="AV691" s="25">
        <f t="shared" ca="1" si="578"/>
        <v>0</v>
      </c>
      <c r="AW691" s="23">
        <f t="array" aca="1" ref="AW691" ca="1">SUM(IF(rcs_start_date&lt;=AO691,1,0)*IF(rcs_end_date&gt;=AO691,1,0)*rcs_amount*(1+rcs_escalation/100)^(INT((AP691-rcs_months_since_start)/12))*IF(MOD((AP691-rcs_months_since_start),rcs_frequency)=0,1,0)*IF(rcs_frequency=13,0,1))+SUM(IF(rcs_start_date=AO691,rcs_amount,0)*IF(rcs_frequency=13,1,0))</f>
        <v>0</v>
      </c>
      <c r="AX691" s="24">
        <f t="shared" ca="1" si="579"/>
        <v>0</v>
      </c>
      <c r="AY691" s="24">
        <f t="shared" ca="1" si="580"/>
        <v>0</v>
      </c>
      <c r="AZ691" s="24">
        <f t="shared" ca="1" si="581"/>
        <v>0</v>
      </c>
      <c r="BA691" s="25">
        <f t="shared" ca="1" si="582"/>
        <v>0</v>
      </c>
      <c r="BB691" s="23">
        <f t="array" aca="1" ref="BB691" ca="1">SUM(IF(w_start_date&lt;=AO691,1,0)*IF(w_end_date&gt;=AO691,1,0)*w_amount*(1+w_escalation/100)^(INT((AP691-w_months_since_start)/12))*IF(MOD(AP691-w_months_since_start,w_frequency)=0,1,0)*IF(w_frequency=13,0,1))+SUM(IF(w_start_date=AO691,w_amount,0)*IF(w_frequency=13,1,0))</f>
        <v>0</v>
      </c>
      <c r="BC691" s="25">
        <f t="shared" ca="1" si="583"/>
        <v>0</v>
      </c>
      <c r="BD691" s="24" t="b">
        <f t="shared" ca="1" si="584"/>
        <v>1</v>
      </c>
      <c r="BE691" s="24" t="b">
        <f t="shared" ca="1" si="585"/>
        <v>1</v>
      </c>
      <c r="BF691" s="23">
        <f t="array" aca="1" ref="BF691" ca="1">SUM(IF(BD691,1,0)*IF(ap_start_date&lt;=AO691,1,0)*IF(ap_end_date&gt;=AO691,1,0)*ap_amount*(1+ap_escalation/100)^(INT((AP691-ap_months_since_start)/12))*IF(MOD(AP691-ap_months_since_start,ap_frequency)=0,1,0))</f>
        <v>212618.79480519524</v>
      </c>
      <c r="BG691" s="24">
        <f t="shared" ca="1" si="586"/>
        <v>2551425.5376623427</v>
      </c>
      <c r="BH691" s="24">
        <f t="shared" ca="1" si="587"/>
        <v>771.38628452291948</v>
      </c>
      <c r="BI691">
        <f t="shared" ca="1" si="588"/>
        <v>0</v>
      </c>
      <c r="BJ691" s="24">
        <f t="shared" ca="1" si="589"/>
        <v>5399.7039916604353</v>
      </c>
      <c r="BK691">
        <f t="shared" ca="1" si="590"/>
        <v>1</v>
      </c>
      <c r="BL691" s="25">
        <f t="shared" ca="1" si="591"/>
        <v>449.97533263836965</v>
      </c>
      <c r="BM691" s="32">
        <f t="shared" ca="1" si="570"/>
        <v>30624.618144739401</v>
      </c>
      <c r="BN691" s="23">
        <f t="shared" ca="1" si="592"/>
        <v>0</v>
      </c>
      <c r="BO691" s="24">
        <f t="shared" ca="1" si="593"/>
        <v>0</v>
      </c>
      <c r="BP691" s="25">
        <f t="shared" ca="1" si="594"/>
        <v>0</v>
      </c>
      <c r="BQ691" s="34">
        <f t="shared" ca="1" si="595"/>
        <v>66445</v>
      </c>
      <c r="BR691" s="23">
        <f t="shared" ca="1" si="596"/>
        <v>30624.618144739401</v>
      </c>
      <c r="BS691" s="24">
        <f t="shared" ca="1" si="597"/>
        <v>0</v>
      </c>
      <c r="BT691" s="24">
        <f t="shared" ca="1" si="602"/>
        <v>0</v>
      </c>
      <c r="BU691" s="24">
        <f t="shared" ca="1" si="598"/>
        <v>0</v>
      </c>
      <c r="BV691" s="24">
        <f t="shared" ca="1" si="603"/>
        <v>0</v>
      </c>
      <c r="BW691" s="24">
        <f t="shared" ca="1" si="599"/>
        <v>-449.97533263836965</v>
      </c>
      <c r="BX691" s="25">
        <f t="shared" ca="1" si="604"/>
        <v>-5909.7503976685557</v>
      </c>
      <c r="BY691" s="23">
        <f t="shared" ca="1" si="571"/>
        <v>3274.6911205613142</v>
      </c>
      <c r="BZ691" s="24">
        <f t="shared" ca="1" si="572"/>
        <v>0</v>
      </c>
      <c r="CA691" s="24">
        <f t="shared" ca="1" si="605"/>
        <v>0</v>
      </c>
      <c r="CB691" s="24">
        <f t="shared" ca="1" si="573"/>
        <v>0</v>
      </c>
      <c r="CC691" s="24">
        <f t="shared" ca="1" si="606"/>
        <v>0</v>
      </c>
      <c r="CD691" s="24">
        <f t="shared" ca="1" si="574"/>
        <v>-48.273391485158143</v>
      </c>
      <c r="CE691" s="25">
        <f t="shared" ca="1" si="607"/>
        <v>-645.63006734164526</v>
      </c>
      <c r="CF691" s="23">
        <f t="shared" ca="1" si="608"/>
        <v>2461471.4321678374</v>
      </c>
      <c r="CG691" s="25">
        <f t="array" aca="1" ref="CG691" ca="1">SUM(BF680:BF691/(1+inflation/100)^(AP680:AP691/12))</f>
        <v>267980.53702225379</v>
      </c>
      <c r="CH691" s="32">
        <f ca="1">IFERROR(IF(MOD(AP691-ap_months_since_start,12)=0,ap_drawdown/100*(AQ691+AV691+BA691-BC691),CH690),0)</f>
        <v>4742.3015000799769</v>
      </c>
    </row>
    <row r="692" spans="40:86" x14ac:dyDescent="0.25">
      <c r="AN692" s="32">
        <f t="shared" ca="1" si="569"/>
        <v>111.91666666666667</v>
      </c>
      <c r="AO692" s="53">
        <f t="shared" ca="1" si="600"/>
        <v>66446</v>
      </c>
      <c r="AP692" s="22">
        <v>685</v>
      </c>
      <c r="AQ692" s="32">
        <f t="shared" ca="1" si="601"/>
        <v>30624.618144739401</v>
      </c>
      <c r="AR692" s="23">
        <f t="array" aca="1" ref="AR692" ca="1">SUM(IF(lsc_start_date=AO692,lsc_amount,0))</f>
        <v>0</v>
      </c>
      <c r="AS692" s="24">
        <f t="shared" ca="1" si="575"/>
        <v>0</v>
      </c>
      <c r="AT692" s="24">
        <f t="shared" ca="1" si="576"/>
        <v>0</v>
      </c>
      <c r="AU692" s="24">
        <f t="shared" ca="1" si="577"/>
        <v>0</v>
      </c>
      <c r="AV692" s="25">
        <f t="shared" ca="1" si="578"/>
        <v>0</v>
      </c>
      <c r="AW692" s="23">
        <f t="array" aca="1" ref="AW692" ca="1">SUM(IF(rcs_start_date&lt;=AO692,1,0)*IF(rcs_end_date&gt;=AO692,1,0)*rcs_amount*(1+rcs_escalation/100)^(INT((AP692-rcs_months_since_start)/12))*IF(MOD((AP692-rcs_months_since_start),rcs_frequency)=0,1,0)*IF(rcs_frequency=13,0,1))+SUM(IF(rcs_start_date=AO692,rcs_amount,0)*IF(rcs_frequency=13,1,0))</f>
        <v>0</v>
      </c>
      <c r="AX692" s="24">
        <f t="shared" ca="1" si="579"/>
        <v>0</v>
      </c>
      <c r="AY692" s="24">
        <f t="shared" ca="1" si="580"/>
        <v>0</v>
      </c>
      <c r="AZ692" s="24">
        <f t="shared" ca="1" si="581"/>
        <v>0</v>
      </c>
      <c r="BA692" s="25">
        <f t="shared" ca="1" si="582"/>
        <v>0</v>
      </c>
      <c r="BB692" s="23">
        <f t="array" aca="1" ref="BB692" ca="1">SUM(IF(w_start_date&lt;=AO692,1,0)*IF(w_end_date&gt;=AO692,1,0)*w_amount*(1+w_escalation/100)^(INT((AP692-w_months_since_start)/12))*IF(MOD(AP692-w_months_since_start,w_frequency)=0,1,0)*IF(w_frequency=13,0,1))+SUM(IF(w_start_date=AO692,w_amount,0)*IF(w_frequency=13,1,0))</f>
        <v>0</v>
      </c>
      <c r="BC692" s="25">
        <f t="shared" ca="1" si="583"/>
        <v>0</v>
      </c>
      <c r="BD692" s="24" t="b">
        <f t="shared" ca="1" si="584"/>
        <v>1</v>
      </c>
      <c r="BE692" s="24" t="b">
        <f t="shared" ca="1" si="585"/>
        <v>1</v>
      </c>
      <c r="BF692" s="23">
        <f t="array" aca="1" ref="BF692" ca="1">SUM(IF(BD692,1,0)*IF(ap_start_date&lt;=AO692,1,0)*IF(ap_end_date&gt;=AO692,1,0)*ap_amount*(1+ap_escalation/100)^(INT((AP692-ap_months_since_start)/12))*IF(MOD(AP692-ap_months_since_start,ap_frequency)=0,1,0))</f>
        <v>212618.79480519524</v>
      </c>
      <c r="BG692" s="24">
        <f t="shared" ca="1" si="586"/>
        <v>2551425.5376623427</v>
      </c>
      <c r="BH692" s="24">
        <f t="shared" ca="1" si="587"/>
        <v>771.38628452291948</v>
      </c>
      <c r="BI692">
        <f t="shared" ca="1" si="588"/>
        <v>0</v>
      </c>
      <c r="BJ692" s="24">
        <f t="shared" ca="1" si="589"/>
        <v>5399.7039916604353</v>
      </c>
      <c r="BK692">
        <f t="shared" ca="1" si="590"/>
        <v>1</v>
      </c>
      <c r="BL692" s="25">
        <f t="shared" ca="1" si="591"/>
        <v>449.97533263836965</v>
      </c>
      <c r="BM692" s="32">
        <f t="shared" ca="1" si="570"/>
        <v>30392.121218796787</v>
      </c>
      <c r="BN692" s="23">
        <f t="shared" ca="1" si="592"/>
        <v>0</v>
      </c>
      <c r="BO692" s="24">
        <f t="shared" ca="1" si="593"/>
        <v>0</v>
      </c>
      <c r="BP692" s="25">
        <f t="shared" ca="1" si="594"/>
        <v>0</v>
      </c>
      <c r="BQ692" s="34">
        <f t="shared" ca="1" si="595"/>
        <v>66476</v>
      </c>
      <c r="BR692" s="23">
        <f t="shared" ca="1" si="596"/>
        <v>30392.121218796787</v>
      </c>
      <c r="BS692" s="24">
        <f t="shared" ca="1" si="597"/>
        <v>0</v>
      </c>
      <c r="BT692" s="24">
        <f t="shared" ca="1" si="602"/>
        <v>0</v>
      </c>
      <c r="BU692" s="24">
        <f t="shared" ca="1" si="598"/>
        <v>0</v>
      </c>
      <c r="BV692" s="24">
        <f t="shared" ca="1" si="603"/>
        <v>0</v>
      </c>
      <c r="BW692" s="24">
        <f t="shared" ca="1" si="599"/>
        <v>-449.97533263836965</v>
      </c>
      <c r="BX692" s="25">
        <f t="shared" ca="1" si="604"/>
        <v>-5863.3825425769082</v>
      </c>
      <c r="BY692" s="23">
        <f t="shared" ca="1" si="571"/>
        <v>3239.2258364538689</v>
      </c>
      <c r="BZ692" s="24">
        <f t="shared" ca="1" si="572"/>
        <v>0</v>
      </c>
      <c r="CA692" s="24">
        <f t="shared" ca="1" si="605"/>
        <v>0</v>
      </c>
      <c r="CB692" s="24">
        <f t="shared" ca="1" si="573"/>
        <v>0</v>
      </c>
      <c r="CC692" s="24">
        <f t="shared" ca="1" si="606"/>
        <v>0</v>
      </c>
      <c r="CD692" s="24">
        <f t="shared" ca="1" si="574"/>
        <v>-48.115872638745408</v>
      </c>
      <c r="CE692" s="25">
        <f t="shared" ca="1" si="607"/>
        <v>-638.54899199541228</v>
      </c>
      <c r="CF692" s="23">
        <f t="shared" ca="1" si="608"/>
        <v>2469649.0781218833</v>
      </c>
      <c r="CG692" s="25">
        <f t="array" aca="1" ref="CG692" ca="1">SUM(BF681:BF692/(1+inflation/100)^(AP681:AP692/12))</f>
        <v>267980.53702225385</v>
      </c>
      <c r="CH692" s="32">
        <f ca="1">IFERROR(IF(MOD(AP692-ap_months_since_start,12)=0,ap_drawdown/100*(AQ692+AV692+BA692-BC692),CH691),0)</f>
        <v>4742.3015000799769</v>
      </c>
    </row>
    <row r="693" spans="40:86" x14ac:dyDescent="0.25">
      <c r="AN693" s="32">
        <f t="shared" ca="1" si="569"/>
        <v>112</v>
      </c>
      <c r="AO693" s="53">
        <f t="shared" ca="1" si="600"/>
        <v>66477</v>
      </c>
      <c r="AP693" s="22">
        <v>686</v>
      </c>
      <c r="AQ693" s="32">
        <f t="shared" ca="1" si="601"/>
        <v>30392.121218796787</v>
      </c>
      <c r="AR693" s="23">
        <f t="array" aca="1" ref="AR693" ca="1">SUM(IF(lsc_start_date=AO693,lsc_amount,0))</f>
        <v>0</v>
      </c>
      <c r="AS693" s="24">
        <f t="shared" ca="1" si="575"/>
        <v>0</v>
      </c>
      <c r="AT693" s="24">
        <f t="shared" ca="1" si="576"/>
        <v>0</v>
      </c>
      <c r="AU693" s="24">
        <f t="shared" ca="1" si="577"/>
        <v>0</v>
      </c>
      <c r="AV693" s="25">
        <f t="shared" ca="1" si="578"/>
        <v>0</v>
      </c>
      <c r="AW693" s="23">
        <f t="array" aca="1" ref="AW693" ca="1">SUM(IF(rcs_start_date&lt;=AO693,1,0)*IF(rcs_end_date&gt;=AO693,1,0)*rcs_amount*(1+rcs_escalation/100)^(INT((AP693-rcs_months_since_start)/12))*IF(MOD((AP693-rcs_months_since_start),rcs_frequency)=0,1,0)*IF(rcs_frequency=13,0,1))+SUM(IF(rcs_start_date=AO693,rcs_amount,0)*IF(rcs_frequency=13,1,0))</f>
        <v>0</v>
      </c>
      <c r="AX693" s="24">
        <f t="shared" ca="1" si="579"/>
        <v>0</v>
      </c>
      <c r="AY693" s="24">
        <f t="shared" ca="1" si="580"/>
        <v>0</v>
      </c>
      <c r="AZ693" s="24">
        <f t="shared" ca="1" si="581"/>
        <v>0</v>
      </c>
      <c r="BA693" s="25">
        <f t="shared" ca="1" si="582"/>
        <v>0</v>
      </c>
      <c r="BB693" s="23">
        <f t="array" aca="1" ref="BB693" ca="1">SUM(IF(w_start_date&lt;=AO693,1,0)*IF(w_end_date&gt;=AO693,1,0)*w_amount*(1+w_escalation/100)^(INT((AP693-w_months_since_start)/12))*IF(MOD(AP693-w_months_since_start,w_frequency)=0,1,0)*IF(w_frequency=13,0,1))+SUM(IF(w_start_date=AO693,w_amount,0)*IF(w_frequency=13,1,0))</f>
        <v>0</v>
      </c>
      <c r="BC693" s="25">
        <f t="shared" ca="1" si="583"/>
        <v>0</v>
      </c>
      <c r="BD693" s="24" t="b">
        <f t="shared" ca="1" si="584"/>
        <v>1</v>
      </c>
      <c r="BE693" s="24" t="b">
        <f t="shared" ca="1" si="585"/>
        <v>1</v>
      </c>
      <c r="BF693" s="23">
        <f t="array" aca="1" ref="BF693" ca="1">SUM(IF(BD693,1,0)*IF(ap_start_date&lt;=AO693,1,0)*IF(ap_end_date&gt;=AO693,1,0)*ap_amount*(1+ap_escalation/100)^(INT((AP693-ap_months_since_start)/12))*IF(MOD(AP693-ap_months_since_start,ap_frequency)=0,1,0))</f>
        <v>212618.79480519524</v>
      </c>
      <c r="BG693" s="24">
        <f t="shared" ca="1" si="586"/>
        <v>2551425.5376623427</v>
      </c>
      <c r="BH693" s="24">
        <f t="shared" ca="1" si="587"/>
        <v>771.38628452291948</v>
      </c>
      <c r="BI693">
        <f t="shared" ca="1" si="588"/>
        <v>0</v>
      </c>
      <c r="BJ693" s="24">
        <f t="shared" ca="1" si="589"/>
        <v>5399.7039916604353</v>
      </c>
      <c r="BK693">
        <f t="shared" ca="1" si="590"/>
        <v>1</v>
      </c>
      <c r="BL693" s="25">
        <f t="shared" ca="1" si="591"/>
        <v>449.97533263836965</v>
      </c>
      <c r="BM693" s="32">
        <f t="shared" ca="1" si="570"/>
        <v>30157.948612338896</v>
      </c>
      <c r="BN693" s="23">
        <f t="shared" ca="1" si="592"/>
        <v>0</v>
      </c>
      <c r="BO693" s="24">
        <f t="shared" ca="1" si="593"/>
        <v>0</v>
      </c>
      <c r="BP693" s="25">
        <f t="shared" ca="1" si="594"/>
        <v>0</v>
      </c>
      <c r="BQ693" s="34">
        <f t="shared" ca="1" si="595"/>
        <v>66507</v>
      </c>
      <c r="BR693" s="23">
        <f t="shared" ca="1" si="596"/>
        <v>30157.948612338896</v>
      </c>
      <c r="BS693" s="24">
        <f t="shared" ca="1" si="597"/>
        <v>0</v>
      </c>
      <c r="BT693" s="24">
        <f t="shared" ca="1" si="602"/>
        <v>0</v>
      </c>
      <c r="BU693" s="24">
        <f t="shared" ca="1" si="598"/>
        <v>0</v>
      </c>
      <c r="BV693" s="24">
        <f t="shared" ca="1" si="603"/>
        <v>0</v>
      </c>
      <c r="BW693" s="24">
        <f t="shared" ca="1" si="599"/>
        <v>-449.97533263836965</v>
      </c>
      <c r="BX693" s="25">
        <f t="shared" ca="1" si="604"/>
        <v>-5817.0146874852608</v>
      </c>
      <c r="BY693" s="23">
        <f t="shared" ca="1" si="571"/>
        <v>3203.7791223336408</v>
      </c>
      <c r="BZ693" s="24">
        <f t="shared" ca="1" si="572"/>
        <v>0</v>
      </c>
      <c r="CA693" s="24">
        <f t="shared" ca="1" si="605"/>
        <v>0</v>
      </c>
      <c r="CB693" s="24">
        <f t="shared" ca="1" si="573"/>
        <v>0</v>
      </c>
      <c r="CC693" s="24">
        <f t="shared" ca="1" si="606"/>
        <v>0</v>
      </c>
      <c r="CD693" s="24">
        <f t="shared" ca="1" si="574"/>
        <v>-47.958867785367282</v>
      </c>
      <c r="CE693" s="25">
        <f t="shared" ca="1" si="607"/>
        <v>-631.4910226043562</v>
      </c>
      <c r="CF693" s="23">
        <f t="shared" ca="1" si="608"/>
        <v>2477826.7240759293</v>
      </c>
      <c r="CG693" s="25">
        <f t="array" aca="1" ref="CG693" ca="1">SUM(BF682:BF693/(1+inflation/100)^(AP682:AP693/12))</f>
        <v>267980.53702225379</v>
      </c>
      <c r="CH693" s="32">
        <f ca="1">IFERROR(IF(MOD(AP693-ap_months_since_start,12)=0,ap_drawdown/100*(AQ693+AV693+BA693-BC693),CH692),0)</f>
        <v>4742.3015000799769</v>
      </c>
    </row>
    <row r="694" spans="40:86" x14ac:dyDescent="0.25">
      <c r="AN694" s="32">
        <f t="shared" ca="1" si="569"/>
        <v>112.08333333333333</v>
      </c>
      <c r="AO694" s="53">
        <f t="shared" ca="1" si="600"/>
        <v>66508</v>
      </c>
      <c r="AP694" s="22">
        <v>687</v>
      </c>
      <c r="AQ694" s="32">
        <f t="shared" ca="1" si="601"/>
        <v>30157.948612338896</v>
      </c>
      <c r="AR694" s="23">
        <f t="array" aca="1" ref="AR694" ca="1">SUM(IF(lsc_start_date=AO694,lsc_amount,0))</f>
        <v>0</v>
      </c>
      <c r="AS694" s="24">
        <f t="shared" ca="1" si="575"/>
        <v>0</v>
      </c>
      <c r="AT694" s="24">
        <f t="shared" ca="1" si="576"/>
        <v>0</v>
      </c>
      <c r="AU694" s="24">
        <f t="shared" ca="1" si="577"/>
        <v>0</v>
      </c>
      <c r="AV694" s="25">
        <f t="shared" ca="1" si="578"/>
        <v>0</v>
      </c>
      <c r="AW694" s="23">
        <f t="array" aca="1" ref="AW694" ca="1">SUM(IF(rcs_start_date&lt;=AO694,1,0)*IF(rcs_end_date&gt;=AO694,1,0)*rcs_amount*(1+rcs_escalation/100)^(INT((AP694-rcs_months_since_start)/12))*IF(MOD((AP694-rcs_months_since_start),rcs_frequency)=0,1,0)*IF(rcs_frequency=13,0,1))+SUM(IF(rcs_start_date=AO694,rcs_amount,0)*IF(rcs_frequency=13,1,0))</f>
        <v>0</v>
      </c>
      <c r="AX694" s="24">
        <f t="shared" ca="1" si="579"/>
        <v>0</v>
      </c>
      <c r="AY694" s="24">
        <f t="shared" ca="1" si="580"/>
        <v>0</v>
      </c>
      <c r="AZ694" s="24">
        <f t="shared" ca="1" si="581"/>
        <v>0</v>
      </c>
      <c r="BA694" s="25">
        <f t="shared" ca="1" si="582"/>
        <v>0</v>
      </c>
      <c r="BB694" s="23">
        <f t="array" aca="1" ref="BB694" ca="1">SUM(IF(w_start_date&lt;=AO694,1,0)*IF(w_end_date&gt;=AO694,1,0)*w_amount*(1+w_escalation/100)^(INT((AP694-w_months_since_start)/12))*IF(MOD(AP694-w_months_since_start,w_frequency)=0,1,0)*IF(w_frequency=13,0,1))+SUM(IF(w_start_date=AO694,w_amount,0)*IF(w_frequency=13,1,0))</f>
        <v>0</v>
      </c>
      <c r="BC694" s="25">
        <f t="shared" ca="1" si="583"/>
        <v>0</v>
      </c>
      <c r="BD694" s="24" t="b">
        <f t="shared" ca="1" si="584"/>
        <v>1</v>
      </c>
      <c r="BE694" s="24" t="b">
        <f t="shared" ca="1" si="585"/>
        <v>1</v>
      </c>
      <c r="BF694" s="23">
        <f t="array" aca="1" ref="BF694" ca="1">SUM(IF(BD694,1,0)*IF(ap_start_date&lt;=AO694,1,0)*IF(ap_end_date&gt;=AO694,1,0)*ap_amount*(1+ap_escalation/100)^(INT((AP694-ap_months_since_start)/12))*IF(MOD(AP694-ap_months_since_start,ap_frequency)=0,1,0))</f>
        <v>212618.79480519524</v>
      </c>
      <c r="BG694" s="24">
        <f t="shared" ca="1" si="586"/>
        <v>2551425.5376623427</v>
      </c>
      <c r="BH694" s="24">
        <f t="shared" ca="1" si="587"/>
        <v>771.38628452291948</v>
      </c>
      <c r="BI694">
        <f t="shared" ca="1" si="588"/>
        <v>0</v>
      </c>
      <c r="BJ694" s="24">
        <f t="shared" ca="1" si="589"/>
        <v>5399.7039916604353</v>
      </c>
      <c r="BK694">
        <f t="shared" ca="1" si="590"/>
        <v>1</v>
      </c>
      <c r="BL694" s="25">
        <f t="shared" ca="1" si="591"/>
        <v>449.97533263836965</v>
      </c>
      <c r="BM694" s="32">
        <f t="shared" ca="1" si="570"/>
        <v>29922.088248194479</v>
      </c>
      <c r="BN694" s="23">
        <f t="shared" ca="1" si="592"/>
        <v>0</v>
      </c>
      <c r="BO694" s="24">
        <f t="shared" ca="1" si="593"/>
        <v>0</v>
      </c>
      <c r="BP694" s="25">
        <f t="shared" ca="1" si="594"/>
        <v>0</v>
      </c>
      <c r="BQ694" s="34">
        <f t="shared" ca="1" si="595"/>
        <v>66535</v>
      </c>
      <c r="BR694" s="23">
        <f t="shared" ca="1" si="596"/>
        <v>29922.088248194479</v>
      </c>
      <c r="BS694" s="24">
        <f t="shared" ca="1" si="597"/>
        <v>0</v>
      </c>
      <c r="BT694" s="24">
        <f t="shared" ca="1" si="602"/>
        <v>0</v>
      </c>
      <c r="BU694" s="24">
        <f t="shared" ca="1" si="598"/>
        <v>0</v>
      </c>
      <c r="BV694" s="24">
        <f t="shared" ca="1" si="603"/>
        <v>0</v>
      </c>
      <c r="BW694" s="24">
        <f t="shared" ca="1" si="599"/>
        <v>-449.97533263836965</v>
      </c>
      <c r="BX694" s="25">
        <f t="shared" ca="1" si="604"/>
        <v>-5770.6468323936133</v>
      </c>
      <c r="BY694" s="23">
        <f t="shared" ca="1" si="571"/>
        <v>3168.3505366843688</v>
      </c>
      <c r="BZ694" s="24">
        <f t="shared" ca="1" si="572"/>
        <v>0</v>
      </c>
      <c r="CA694" s="24">
        <f t="shared" ca="1" si="605"/>
        <v>0</v>
      </c>
      <c r="CB694" s="24">
        <f t="shared" ca="1" si="573"/>
        <v>0</v>
      </c>
      <c r="CC694" s="24">
        <f t="shared" ca="1" si="606"/>
        <v>0</v>
      </c>
      <c r="CD694" s="24">
        <f t="shared" ca="1" si="574"/>
        <v>-47.802375247834846</v>
      </c>
      <c r="CE694" s="25">
        <f t="shared" ca="1" si="607"/>
        <v>-624.45608377241979</v>
      </c>
      <c r="CF694" s="23">
        <f t="shared" ca="1" si="608"/>
        <v>2486004.3700299752</v>
      </c>
      <c r="CG694" s="25">
        <f t="array" aca="1" ref="CG694" ca="1">SUM(BF683:BF694/(1+inflation/100)^(AP683:AP694/12))</f>
        <v>267980.53702225385</v>
      </c>
      <c r="CH694" s="32">
        <f ca="1">IFERROR(IF(MOD(AP694-ap_months_since_start,12)=0,ap_drawdown/100*(AQ694+AV694+BA694-BC694),CH693),0)</f>
        <v>4742.3015000799769</v>
      </c>
    </row>
    <row r="695" spans="40:86" x14ac:dyDescent="0.25">
      <c r="AN695" s="32">
        <f t="shared" ca="1" si="569"/>
        <v>112.16666666666667</v>
      </c>
      <c r="AO695" s="53">
        <f t="shared" ca="1" si="600"/>
        <v>66536</v>
      </c>
      <c r="AP695" s="22">
        <v>688</v>
      </c>
      <c r="AQ695" s="32">
        <f t="shared" ca="1" si="601"/>
        <v>29922.088248194479</v>
      </c>
      <c r="AR695" s="23">
        <f t="array" aca="1" ref="AR695" ca="1">SUM(IF(lsc_start_date=AO695,lsc_amount,0))</f>
        <v>0</v>
      </c>
      <c r="AS695" s="24">
        <f t="shared" ca="1" si="575"/>
        <v>0</v>
      </c>
      <c r="AT695" s="24">
        <f t="shared" ca="1" si="576"/>
        <v>0</v>
      </c>
      <c r="AU695" s="24">
        <f t="shared" ca="1" si="577"/>
        <v>0</v>
      </c>
      <c r="AV695" s="25">
        <f t="shared" ca="1" si="578"/>
        <v>0</v>
      </c>
      <c r="AW695" s="23">
        <f t="array" aca="1" ref="AW695" ca="1">SUM(IF(rcs_start_date&lt;=AO695,1,0)*IF(rcs_end_date&gt;=AO695,1,0)*rcs_amount*(1+rcs_escalation/100)^(INT((AP695-rcs_months_since_start)/12))*IF(MOD((AP695-rcs_months_since_start),rcs_frequency)=0,1,0)*IF(rcs_frequency=13,0,1))+SUM(IF(rcs_start_date=AO695,rcs_amount,0)*IF(rcs_frequency=13,1,0))</f>
        <v>0</v>
      </c>
      <c r="AX695" s="24">
        <f t="shared" ca="1" si="579"/>
        <v>0</v>
      </c>
      <c r="AY695" s="24">
        <f t="shared" ca="1" si="580"/>
        <v>0</v>
      </c>
      <c r="AZ695" s="24">
        <f t="shared" ca="1" si="581"/>
        <v>0</v>
      </c>
      <c r="BA695" s="25">
        <f t="shared" ca="1" si="582"/>
        <v>0</v>
      </c>
      <c r="BB695" s="23">
        <f t="array" aca="1" ref="BB695" ca="1">SUM(IF(w_start_date&lt;=AO695,1,0)*IF(w_end_date&gt;=AO695,1,0)*w_amount*(1+w_escalation/100)^(INT((AP695-w_months_since_start)/12))*IF(MOD(AP695-w_months_since_start,w_frequency)=0,1,0)*IF(w_frequency=13,0,1))+SUM(IF(w_start_date=AO695,w_amount,0)*IF(w_frequency=13,1,0))</f>
        <v>0</v>
      </c>
      <c r="BC695" s="25">
        <f t="shared" ca="1" si="583"/>
        <v>0</v>
      </c>
      <c r="BD695" s="24" t="b">
        <f t="shared" ca="1" si="584"/>
        <v>1</v>
      </c>
      <c r="BE695" s="24" t="b">
        <f t="shared" ca="1" si="585"/>
        <v>1</v>
      </c>
      <c r="BF695" s="23">
        <f t="array" aca="1" ref="BF695" ca="1">SUM(IF(BD695,1,0)*IF(ap_start_date&lt;=AO695,1,0)*IF(ap_end_date&gt;=AO695,1,0)*ap_amount*(1+ap_escalation/100)^(INT((AP695-ap_months_since_start)/12))*IF(MOD(AP695-ap_months_since_start,ap_frequency)=0,1,0))</f>
        <v>212618.79480519524</v>
      </c>
      <c r="BG695" s="24">
        <f t="shared" ca="1" si="586"/>
        <v>2551425.5376623427</v>
      </c>
      <c r="BH695" s="24">
        <f t="shared" ca="1" si="587"/>
        <v>771.38628452291948</v>
      </c>
      <c r="BI695">
        <f t="shared" ca="1" si="588"/>
        <v>0</v>
      </c>
      <c r="BJ695" s="24">
        <f t="shared" ca="1" si="589"/>
        <v>5399.7039916604353</v>
      </c>
      <c r="BK695">
        <f t="shared" ca="1" si="590"/>
        <v>1</v>
      </c>
      <c r="BL695" s="25">
        <f t="shared" ca="1" si="591"/>
        <v>449.97533263836965</v>
      </c>
      <c r="BM695" s="32">
        <f t="shared" ca="1" si="570"/>
        <v>29684.527962148211</v>
      </c>
      <c r="BN695" s="23">
        <f t="shared" ca="1" si="592"/>
        <v>0</v>
      </c>
      <c r="BO695" s="24">
        <f t="shared" ca="1" si="593"/>
        <v>0</v>
      </c>
      <c r="BP695" s="25">
        <f t="shared" ca="1" si="594"/>
        <v>0</v>
      </c>
      <c r="BQ695" s="34">
        <f t="shared" ca="1" si="595"/>
        <v>66566</v>
      </c>
      <c r="BR695" s="23">
        <f t="shared" ca="1" si="596"/>
        <v>29684.527962148211</v>
      </c>
      <c r="BS695" s="24">
        <f t="shared" ca="1" si="597"/>
        <v>0</v>
      </c>
      <c r="BT695" s="24">
        <f t="shared" ca="1" si="602"/>
        <v>0</v>
      </c>
      <c r="BU695" s="24">
        <f t="shared" ca="1" si="598"/>
        <v>0</v>
      </c>
      <c r="BV695" s="24">
        <f t="shared" ca="1" si="603"/>
        <v>0</v>
      </c>
      <c r="BW695" s="24">
        <f t="shared" ca="1" si="599"/>
        <v>-449.97533263836965</v>
      </c>
      <c r="BX695" s="25">
        <f t="shared" ca="1" si="604"/>
        <v>-5724.2789773019667</v>
      </c>
      <c r="BY695" s="23">
        <f t="shared" ca="1" si="571"/>
        <v>3132.9396379369796</v>
      </c>
      <c r="BZ695" s="24">
        <f t="shared" ca="1" si="572"/>
        <v>0</v>
      </c>
      <c r="CA695" s="24">
        <f t="shared" ca="1" si="605"/>
        <v>0</v>
      </c>
      <c r="CB695" s="24">
        <f t="shared" ca="1" si="573"/>
        <v>0</v>
      </c>
      <c r="CC695" s="24">
        <f t="shared" ca="1" si="606"/>
        <v>0</v>
      </c>
      <c r="CD695" s="24">
        <f t="shared" ca="1" si="574"/>
        <v>-47.646393354432156</v>
      </c>
      <c r="CE695" s="25">
        <f t="shared" ca="1" si="607"/>
        <v>-617.44410034956672</v>
      </c>
      <c r="CF695" s="23">
        <f t="shared" ca="1" si="608"/>
        <v>2494182.0159840211</v>
      </c>
      <c r="CG695" s="25">
        <f t="array" aca="1" ref="CG695" ca="1">SUM(BF684:BF695/(1+inflation/100)^(AP684:AP695/12))</f>
        <v>267980.53702225385</v>
      </c>
      <c r="CH695" s="32">
        <f ca="1">IFERROR(IF(MOD(AP695-ap_months_since_start,12)=0,ap_drawdown/100*(AQ695+AV695+BA695-BC695),CH694),0)</f>
        <v>4742.3015000799769</v>
      </c>
    </row>
    <row r="696" spans="40:86" x14ac:dyDescent="0.25">
      <c r="AN696" s="32">
        <f t="shared" ca="1" si="569"/>
        <v>112.25</v>
      </c>
      <c r="AO696" s="53">
        <f t="shared" ca="1" si="600"/>
        <v>66567</v>
      </c>
      <c r="AP696" s="22">
        <v>689</v>
      </c>
      <c r="AQ696" s="32">
        <f t="shared" ca="1" si="601"/>
        <v>29684.527962148211</v>
      </c>
      <c r="AR696" s="23">
        <f t="array" aca="1" ref="AR696" ca="1">SUM(IF(lsc_start_date=AO696,lsc_amount,0))</f>
        <v>0</v>
      </c>
      <c r="AS696" s="24">
        <f t="shared" ca="1" si="575"/>
        <v>0</v>
      </c>
      <c r="AT696" s="24">
        <f t="shared" ca="1" si="576"/>
        <v>0</v>
      </c>
      <c r="AU696" s="24">
        <f t="shared" ca="1" si="577"/>
        <v>0</v>
      </c>
      <c r="AV696" s="25">
        <f t="shared" ca="1" si="578"/>
        <v>0</v>
      </c>
      <c r="AW696" s="23">
        <f t="array" aca="1" ref="AW696" ca="1">SUM(IF(rcs_start_date&lt;=AO696,1,0)*IF(rcs_end_date&gt;=AO696,1,0)*rcs_amount*(1+rcs_escalation/100)^(INT((AP696-rcs_months_since_start)/12))*IF(MOD((AP696-rcs_months_since_start),rcs_frequency)=0,1,0)*IF(rcs_frequency=13,0,1))+SUM(IF(rcs_start_date=AO696,rcs_amount,0)*IF(rcs_frequency=13,1,0))</f>
        <v>0</v>
      </c>
      <c r="AX696" s="24">
        <f t="shared" ca="1" si="579"/>
        <v>0</v>
      </c>
      <c r="AY696" s="24">
        <f t="shared" ca="1" si="580"/>
        <v>0</v>
      </c>
      <c r="AZ696" s="24">
        <f t="shared" ca="1" si="581"/>
        <v>0</v>
      </c>
      <c r="BA696" s="25">
        <f t="shared" ca="1" si="582"/>
        <v>0</v>
      </c>
      <c r="BB696" s="23">
        <f t="array" aca="1" ref="BB696" ca="1">SUM(IF(w_start_date&lt;=AO696,1,0)*IF(w_end_date&gt;=AO696,1,0)*w_amount*(1+w_escalation/100)^(INT((AP696-w_months_since_start)/12))*IF(MOD(AP696-w_months_since_start,w_frequency)=0,1,0)*IF(w_frequency=13,0,1))+SUM(IF(w_start_date=AO696,w_amount,0)*IF(w_frequency=13,1,0))</f>
        <v>0</v>
      </c>
      <c r="BC696" s="25">
        <f t="shared" ca="1" si="583"/>
        <v>0</v>
      </c>
      <c r="BD696" s="24" t="b">
        <f t="shared" ca="1" si="584"/>
        <v>1</v>
      </c>
      <c r="BE696" s="24" t="b">
        <f t="shared" ca="1" si="585"/>
        <v>1</v>
      </c>
      <c r="BF696" s="23">
        <f t="array" aca="1" ref="BF696" ca="1">SUM(IF(BD696,1,0)*IF(ap_start_date&lt;=AO696,1,0)*IF(ap_end_date&gt;=AO696,1,0)*ap_amount*(1+ap_escalation/100)^(INT((AP696-ap_months_since_start)/12))*IF(MOD(AP696-ap_months_since_start,ap_frequency)=0,1,0))</f>
        <v>212618.79480519524</v>
      </c>
      <c r="BG696" s="24">
        <f t="shared" ca="1" si="586"/>
        <v>2551425.5376623427</v>
      </c>
      <c r="BH696" s="24">
        <f t="shared" ca="1" si="587"/>
        <v>771.38628452291948</v>
      </c>
      <c r="BI696">
        <f t="shared" ca="1" si="588"/>
        <v>0</v>
      </c>
      <c r="BJ696" s="24">
        <f t="shared" ca="1" si="589"/>
        <v>5399.7039916604353</v>
      </c>
      <c r="BK696">
        <f t="shared" ca="1" si="590"/>
        <v>1</v>
      </c>
      <c r="BL696" s="25">
        <f t="shared" ca="1" si="591"/>
        <v>449.97533263836965</v>
      </c>
      <c r="BM696" s="32">
        <f t="shared" ca="1" si="570"/>
        <v>29445.255502313335</v>
      </c>
      <c r="BN696" s="23">
        <f t="shared" ca="1" si="592"/>
        <v>0</v>
      </c>
      <c r="BO696" s="24">
        <f t="shared" ca="1" si="593"/>
        <v>0</v>
      </c>
      <c r="BP696" s="25">
        <f t="shared" ca="1" si="594"/>
        <v>0</v>
      </c>
      <c r="BQ696" s="34">
        <f t="shared" ca="1" si="595"/>
        <v>66596</v>
      </c>
      <c r="BR696" s="23">
        <f t="shared" ca="1" si="596"/>
        <v>29445.255502313335</v>
      </c>
      <c r="BS696" s="24">
        <f t="shared" ca="1" si="597"/>
        <v>0</v>
      </c>
      <c r="BT696" s="24">
        <f t="shared" ca="1" si="602"/>
        <v>0</v>
      </c>
      <c r="BU696" s="24">
        <f t="shared" ca="1" si="598"/>
        <v>0</v>
      </c>
      <c r="BV696" s="24">
        <f t="shared" ca="1" si="603"/>
        <v>0</v>
      </c>
      <c r="BW696" s="24">
        <f t="shared" ca="1" si="599"/>
        <v>-449.97533263836965</v>
      </c>
      <c r="BX696" s="25">
        <f t="shared" ca="1" si="604"/>
        <v>-5677.9111222103193</v>
      </c>
      <c r="BY696" s="23">
        <f t="shared" ca="1" si="571"/>
        <v>3097.5459844639208</v>
      </c>
      <c r="BZ696" s="24">
        <f t="shared" ca="1" si="572"/>
        <v>0</v>
      </c>
      <c r="CA696" s="24">
        <f t="shared" ca="1" si="605"/>
        <v>0</v>
      </c>
      <c r="CB696" s="24">
        <f t="shared" ca="1" si="573"/>
        <v>0</v>
      </c>
      <c r="CC696" s="24">
        <f t="shared" ca="1" si="606"/>
        <v>0</v>
      </c>
      <c r="CD696" s="24">
        <f t="shared" ca="1" si="574"/>
        <v>-47.490920438898073</v>
      </c>
      <c r="CE696" s="25">
        <f t="shared" ca="1" si="607"/>
        <v>-610.45499743098014</v>
      </c>
      <c r="CF696" s="23">
        <f t="shared" ca="1" si="608"/>
        <v>2502359.6619380671</v>
      </c>
      <c r="CG696" s="25">
        <f t="array" aca="1" ref="CG696" ca="1">SUM(BF685:BF696/(1+inflation/100)^(AP685:AP696/12))</f>
        <v>267980.53702225385</v>
      </c>
      <c r="CH696" s="32">
        <f ca="1">IFERROR(IF(MOD(AP696-ap_months_since_start,12)=0,ap_drawdown/100*(AQ696+AV696+BA696-BC696),CH695),0)</f>
        <v>4742.3015000799769</v>
      </c>
    </row>
    <row r="697" spans="40:86" x14ac:dyDescent="0.25">
      <c r="AN697" s="32">
        <f t="shared" ca="1" si="569"/>
        <v>112.33333333333333</v>
      </c>
      <c r="AO697" s="53">
        <f t="shared" ca="1" si="600"/>
        <v>66597</v>
      </c>
      <c r="AP697" s="22">
        <v>690</v>
      </c>
      <c r="AQ697" s="32">
        <f t="shared" ca="1" si="601"/>
        <v>29445.255502313335</v>
      </c>
      <c r="AR697" s="23">
        <f t="array" aca="1" ref="AR697" ca="1">SUM(IF(lsc_start_date=AO697,lsc_amount,0))</f>
        <v>0</v>
      </c>
      <c r="AS697" s="24">
        <f t="shared" ca="1" si="575"/>
        <v>0</v>
      </c>
      <c r="AT697" s="24">
        <f t="shared" ca="1" si="576"/>
        <v>0</v>
      </c>
      <c r="AU697" s="24">
        <f t="shared" ca="1" si="577"/>
        <v>0</v>
      </c>
      <c r="AV697" s="25">
        <f t="shared" ca="1" si="578"/>
        <v>0</v>
      </c>
      <c r="AW697" s="23">
        <f t="array" aca="1" ref="AW697" ca="1">SUM(IF(rcs_start_date&lt;=AO697,1,0)*IF(rcs_end_date&gt;=AO697,1,0)*rcs_amount*(1+rcs_escalation/100)^(INT((AP697-rcs_months_since_start)/12))*IF(MOD((AP697-rcs_months_since_start),rcs_frequency)=0,1,0)*IF(rcs_frequency=13,0,1))+SUM(IF(rcs_start_date=AO697,rcs_amount,0)*IF(rcs_frequency=13,1,0))</f>
        <v>0</v>
      </c>
      <c r="AX697" s="24">
        <f t="shared" ca="1" si="579"/>
        <v>0</v>
      </c>
      <c r="AY697" s="24">
        <f t="shared" ca="1" si="580"/>
        <v>0</v>
      </c>
      <c r="AZ697" s="24">
        <f t="shared" ca="1" si="581"/>
        <v>0</v>
      </c>
      <c r="BA697" s="25">
        <f t="shared" ca="1" si="582"/>
        <v>0</v>
      </c>
      <c r="BB697" s="23">
        <f t="array" aca="1" ref="BB697" ca="1">SUM(IF(w_start_date&lt;=AO697,1,0)*IF(w_end_date&gt;=AO697,1,0)*w_amount*(1+w_escalation/100)^(INT((AP697-w_months_since_start)/12))*IF(MOD(AP697-w_months_since_start,w_frequency)=0,1,0)*IF(w_frequency=13,0,1))+SUM(IF(w_start_date=AO697,w_amount,0)*IF(w_frequency=13,1,0))</f>
        <v>0</v>
      </c>
      <c r="BC697" s="25">
        <f t="shared" ca="1" si="583"/>
        <v>0</v>
      </c>
      <c r="BD697" s="24" t="b">
        <f t="shared" ca="1" si="584"/>
        <v>1</v>
      </c>
      <c r="BE697" s="24" t="b">
        <f t="shared" ca="1" si="585"/>
        <v>1</v>
      </c>
      <c r="BF697" s="23">
        <f t="array" aca="1" ref="BF697" ca="1">SUM(IF(BD697,1,0)*IF(ap_start_date&lt;=AO697,1,0)*IF(ap_end_date&gt;=AO697,1,0)*ap_amount*(1+ap_escalation/100)^(INT((AP697-ap_months_since_start)/12))*IF(MOD(AP697-ap_months_since_start,ap_frequency)=0,1,0))</f>
        <v>212618.79480519524</v>
      </c>
      <c r="BG697" s="24">
        <f t="shared" ca="1" si="586"/>
        <v>2551425.5376623427</v>
      </c>
      <c r="BH697" s="24">
        <f t="shared" ca="1" si="587"/>
        <v>771.38628452291948</v>
      </c>
      <c r="BI697">
        <f t="shared" ca="1" si="588"/>
        <v>0</v>
      </c>
      <c r="BJ697" s="24">
        <f t="shared" ca="1" si="589"/>
        <v>5399.7039916604353</v>
      </c>
      <c r="BK697">
        <f t="shared" ca="1" si="590"/>
        <v>1</v>
      </c>
      <c r="BL697" s="25">
        <f t="shared" ca="1" si="591"/>
        <v>449.97533263836965</v>
      </c>
      <c r="BM697" s="32">
        <f t="shared" ca="1" si="570"/>
        <v>29204.25852849978</v>
      </c>
      <c r="BN697" s="23">
        <f t="shared" ca="1" si="592"/>
        <v>0</v>
      </c>
      <c r="BO697" s="24">
        <f t="shared" ca="1" si="593"/>
        <v>0</v>
      </c>
      <c r="BP697" s="25">
        <f t="shared" ca="1" si="594"/>
        <v>0</v>
      </c>
      <c r="BQ697" s="34">
        <f t="shared" ca="1" si="595"/>
        <v>66627</v>
      </c>
      <c r="BR697" s="23">
        <f t="shared" ca="1" si="596"/>
        <v>29204.25852849978</v>
      </c>
      <c r="BS697" s="24">
        <f t="shared" ca="1" si="597"/>
        <v>0</v>
      </c>
      <c r="BT697" s="24">
        <f t="shared" ca="1" si="602"/>
        <v>0</v>
      </c>
      <c r="BU697" s="24">
        <f t="shared" ca="1" si="598"/>
        <v>0</v>
      </c>
      <c r="BV697" s="24">
        <f t="shared" ca="1" si="603"/>
        <v>0</v>
      </c>
      <c r="BW697" s="24">
        <f t="shared" ca="1" si="599"/>
        <v>-449.97533263836965</v>
      </c>
      <c r="BX697" s="25">
        <f t="shared" ca="1" si="604"/>
        <v>-5631.5432671186727</v>
      </c>
      <c r="BY697" s="23">
        <f t="shared" ca="1" si="571"/>
        <v>3062.1691345734566</v>
      </c>
      <c r="BZ697" s="24">
        <f t="shared" ca="1" si="572"/>
        <v>0</v>
      </c>
      <c r="CA697" s="24">
        <f t="shared" ca="1" si="605"/>
        <v>0</v>
      </c>
      <c r="CB697" s="24">
        <f t="shared" ca="1" si="573"/>
        <v>0</v>
      </c>
      <c r="CC697" s="24">
        <f t="shared" ca="1" si="606"/>
        <v>0</v>
      </c>
      <c r="CD697" s="24">
        <f t="shared" ca="1" si="574"/>
        <v>-47.335954840408668</v>
      </c>
      <c r="CE697" s="25">
        <f t="shared" ca="1" si="607"/>
        <v>-603.4887003562618</v>
      </c>
      <c r="CF697" s="23">
        <f t="shared" ca="1" si="608"/>
        <v>2510537.307892113</v>
      </c>
      <c r="CG697" s="25">
        <f t="array" aca="1" ref="CG697" ca="1">SUM(BF686:BF697/(1+inflation/100)^(AP686:AP697/12))</f>
        <v>267980.53702225379</v>
      </c>
      <c r="CH697" s="32">
        <f ca="1">IFERROR(IF(MOD(AP697-ap_months_since_start,12)=0,ap_drawdown/100*(AQ697+AV697+BA697-BC697),CH696),0)</f>
        <v>4742.3015000799769</v>
      </c>
    </row>
    <row r="698" spans="40:86" x14ac:dyDescent="0.25">
      <c r="AN698" s="32">
        <f t="shared" ca="1" si="569"/>
        <v>112.41666666666667</v>
      </c>
      <c r="AO698" s="53">
        <f t="shared" ca="1" si="600"/>
        <v>66628</v>
      </c>
      <c r="AP698" s="22">
        <v>691</v>
      </c>
      <c r="AQ698" s="32">
        <f t="shared" ca="1" si="601"/>
        <v>29204.25852849978</v>
      </c>
      <c r="AR698" s="23">
        <f t="array" aca="1" ref="AR698" ca="1">SUM(IF(lsc_start_date=AO698,lsc_amount,0))</f>
        <v>0</v>
      </c>
      <c r="AS698" s="24">
        <f t="shared" ca="1" si="575"/>
        <v>0</v>
      </c>
      <c r="AT698" s="24">
        <f t="shared" ca="1" si="576"/>
        <v>0</v>
      </c>
      <c r="AU698" s="24">
        <f t="shared" ca="1" si="577"/>
        <v>0</v>
      </c>
      <c r="AV698" s="25">
        <f t="shared" ca="1" si="578"/>
        <v>0</v>
      </c>
      <c r="AW698" s="23">
        <f t="array" aca="1" ref="AW698" ca="1">SUM(IF(rcs_start_date&lt;=AO698,1,0)*IF(rcs_end_date&gt;=AO698,1,0)*rcs_amount*(1+rcs_escalation/100)^(INT((AP698-rcs_months_since_start)/12))*IF(MOD((AP698-rcs_months_since_start),rcs_frequency)=0,1,0)*IF(rcs_frequency=13,0,1))+SUM(IF(rcs_start_date=AO698,rcs_amount,0)*IF(rcs_frequency=13,1,0))</f>
        <v>0</v>
      </c>
      <c r="AX698" s="24">
        <f t="shared" ca="1" si="579"/>
        <v>0</v>
      </c>
      <c r="AY698" s="24">
        <f t="shared" ca="1" si="580"/>
        <v>0</v>
      </c>
      <c r="AZ698" s="24">
        <f t="shared" ca="1" si="581"/>
        <v>0</v>
      </c>
      <c r="BA698" s="25">
        <f t="shared" ca="1" si="582"/>
        <v>0</v>
      </c>
      <c r="BB698" s="23">
        <f t="array" aca="1" ref="BB698" ca="1">SUM(IF(w_start_date&lt;=AO698,1,0)*IF(w_end_date&gt;=AO698,1,0)*w_amount*(1+w_escalation/100)^(INT((AP698-w_months_since_start)/12))*IF(MOD(AP698-w_months_since_start,w_frequency)=0,1,0)*IF(w_frequency=13,0,1))+SUM(IF(w_start_date=AO698,w_amount,0)*IF(w_frequency=13,1,0))</f>
        <v>0</v>
      </c>
      <c r="BC698" s="25">
        <f t="shared" ca="1" si="583"/>
        <v>0</v>
      </c>
      <c r="BD698" s="24" t="b">
        <f t="shared" ca="1" si="584"/>
        <v>1</v>
      </c>
      <c r="BE698" s="24" t="b">
        <f t="shared" ca="1" si="585"/>
        <v>1</v>
      </c>
      <c r="BF698" s="23">
        <f t="array" aca="1" ref="BF698" ca="1">SUM(IF(BD698,1,0)*IF(ap_start_date&lt;=AO698,1,0)*IF(ap_end_date&gt;=AO698,1,0)*ap_amount*(1+ap_escalation/100)^(INT((AP698-ap_months_since_start)/12))*IF(MOD(AP698-ap_months_since_start,ap_frequency)=0,1,0))</f>
        <v>212618.79480519524</v>
      </c>
      <c r="BG698" s="24">
        <f t="shared" ca="1" si="586"/>
        <v>2551425.5376623427</v>
      </c>
      <c r="BH698" s="24">
        <f t="shared" ca="1" si="587"/>
        <v>771.38628452291948</v>
      </c>
      <c r="BI698">
        <f t="shared" ca="1" si="588"/>
        <v>0</v>
      </c>
      <c r="BJ698" s="24">
        <f t="shared" ca="1" si="589"/>
        <v>5399.7039916604353</v>
      </c>
      <c r="BK698">
        <f t="shared" ca="1" si="590"/>
        <v>1</v>
      </c>
      <c r="BL698" s="25">
        <f t="shared" ca="1" si="591"/>
        <v>449.97533263836965</v>
      </c>
      <c r="BM698" s="32">
        <f t="shared" ca="1" si="570"/>
        <v>28961.524611577741</v>
      </c>
      <c r="BN698" s="23">
        <f t="shared" ca="1" si="592"/>
        <v>0</v>
      </c>
      <c r="BO698" s="24">
        <f t="shared" ca="1" si="593"/>
        <v>0</v>
      </c>
      <c r="BP698" s="25">
        <f t="shared" ca="1" si="594"/>
        <v>0</v>
      </c>
      <c r="BQ698" s="34">
        <f t="shared" ca="1" si="595"/>
        <v>66657</v>
      </c>
      <c r="BR698" s="23">
        <f t="shared" ca="1" si="596"/>
        <v>28961.524611577741</v>
      </c>
      <c r="BS698" s="24">
        <f t="shared" ca="1" si="597"/>
        <v>0</v>
      </c>
      <c r="BT698" s="24">
        <f t="shared" ca="1" si="602"/>
        <v>0</v>
      </c>
      <c r="BU698" s="24">
        <f t="shared" ca="1" si="598"/>
        <v>0</v>
      </c>
      <c r="BV698" s="24">
        <f t="shared" ca="1" si="603"/>
        <v>0</v>
      </c>
      <c r="BW698" s="24">
        <f t="shared" ca="1" si="599"/>
        <v>-449.97533263836965</v>
      </c>
      <c r="BX698" s="25">
        <f t="shared" ca="1" si="604"/>
        <v>-5585.1754120270252</v>
      </c>
      <c r="BY698" s="23">
        <f t="shared" ca="1" si="571"/>
        <v>3026.808646503991</v>
      </c>
      <c r="BZ698" s="24">
        <f t="shared" ca="1" si="572"/>
        <v>0</v>
      </c>
      <c r="CA698" s="24">
        <f t="shared" ca="1" si="605"/>
        <v>0</v>
      </c>
      <c r="CB698" s="24">
        <f t="shared" ca="1" si="573"/>
        <v>0</v>
      </c>
      <c r="CC698" s="24">
        <f t="shared" ca="1" si="606"/>
        <v>0</v>
      </c>
      <c r="CD698" s="24">
        <f t="shared" ca="1" si="574"/>
        <v>-47.181494903559269</v>
      </c>
      <c r="CE698" s="25">
        <f t="shared" ca="1" si="607"/>
        <v>-596.54513470863424</v>
      </c>
      <c r="CF698" s="23">
        <f t="shared" ca="1" si="608"/>
        <v>2518714.9538461589</v>
      </c>
      <c r="CG698" s="25">
        <f t="array" aca="1" ref="CG698" ca="1">SUM(BF687:BF698/(1+inflation/100)^(AP687:AP698/12))</f>
        <v>267980.53702225379</v>
      </c>
      <c r="CH698" s="32">
        <f ca="1">IFERROR(IF(MOD(AP698-ap_months_since_start,12)=0,ap_drawdown/100*(AQ698+AV698+BA698-BC698),CH697),0)</f>
        <v>4742.3015000799769</v>
      </c>
    </row>
    <row r="699" spans="40:86" x14ac:dyDescent="0.25">
      <c r="AN699" s="32">
        <f t="shared" ca="1" si="569"/>
        <v>112.5</v>
      </c>
      <c r="AO699" s="53">
        <f t="shared" ca="1" si="600"/>
        <v>66658</v>
      </c>
      <c r="AP699" s="22">
        <v>692</v>
      </c>
      <c r="AQ699" s="32">
        <f t="shared" ca="1" si="601"/>
        <v>28961.524611577741</v>
      </c>
      <c r="AR699" s="23">
        <f t="array" aca="1" ref="AR699" ca="1">SUM(IF(lsc_start_date=AO699,lsc_amount,0))</f>
        <v>0</v>
      </c>
      <c r="AS699" s="24">
        <f t="shared" ca="1" si="575"/>
        <v>0</v>
      </c>
      <c r="AT699" s="24">
        <f t="shared" ca="1" si="576"/>
        <v>0</v>
      </c>
      <c r="AU699" s="24">
        <f t="shared" ca="1" si="577"/>
        <v>0</v>
      </c>
      <c r="AV699" s="25">
        <f t="shared" ca="1" si="578"/>
        <v>0</v>
      </c>
      <c r="AW699" s="23">
        <f t="array" aca="1" ref="AW699" ca="1">SUM(IF(rcs_start_date&lt;=AO699,1,0)*IF(rcs_end_date&gt;=AO699,1,0)*rcs_amount*(1+rcs_escalation/100)^(INT((AP699-rcs_months_since_start)/12))*IF(MOD((AP699-rcs_months_since_start),rcs_frequency)=0,1,0)*IF(rcs_frequency=13,0,1))+SUM(IF(rcs_start_date=AO699,rcs_amount,0)*IF(rcs_frequency=13,1,0))</f>
        <v>0</v>
      </c>
      <c r="AX699" s="24">
        <f t="shared" ca="1" si="579"/>
        <v>0</v>
      </c>
      <c r="AY699" s="24">
        <f t="shared" ca="1" si="580"/>
        <v>0</v>
      </c>
      <c r="AZ699" s="24">
        <f t="shared" ca="1" si="581"/>
        <v>0</v>
      </c>
      <c r="BA699" s="25">
        <f t="shared" ca="1" si="582"/>
        <v>0</v>
      </c>
      <c r="BB699" s="23">
        <f t="array" aca="1" ref="BB699" ca="1">SUM(IF(w_start_date&lt;=AO699,1,0)*IF(w_end_date&gt;=AO699,1,0)*w_amount*(1+w_escalation/100)^(INT((AP699-w_months_since_start)/12))*IF(MOD(AP699-w_months_since_start,w_frequency)=0,1,0)*IF(w_frequency=13,0,1))+SUM(IF(w_start_date=AO699,w_amount,0)*IF(w_frequency=13,1,0))</f>
        <v>0</v>
      </c>
      <c r="BC699" s="25">
        <f t="shared" ca="1" si="583"/>
        <v>0</v>
      </c>
      <c r="BD699" s="24" t="b">
        <f t="shared" ca="1" si="584"/>
        <v>1</v>
      </c>
      <c r="BE699" s="24" t="b">
        <f t="shared" ca="1" si="585"/>
        <v>1</v>
      </c>
      <c r="BF699" s="23">
        <f t="array" aca="1" ref="BF699" ca="1">SUM(IF(BD699,1,0)*IF(ap_start_date&lt;=AO699,1,0)*IF(ap_end_date&gt;=AO699,1,0)*ap_amount*(1+ap_escalation/100)^(INT((AP699-ap_months_since_start)/12))*IF(MOD(AP699-ap_months_since_start,ap_frequency)=0,1,0))</f>
        <v>212618.79480519524</v>
      </c>
      <c r="BG699" s="24">
        <f t="shared" ca="1" si="586"/>
        <v>2551425.5376623427</v>
      </c>
      <c r="BH699" s="24">
        <f t="shared" ca="1" si="587"/>
        <v>771.38628452291948</v>
      </c>
      <c r="BI699">
        <f t="shared" ca="1" si="588"/>
        <v>0</v>
      </c>
      <c r="BJ699" s="24">
        <f t="shared" ca="1" si="589"/>
        <v>5399.7039916604353</v>
      </c>
      <c r="BK699">
        <f t="shared" ca="1" si="590"/>
        <v>1</v>
      </c>
      <c r="BL699" s="25">
        <f t="shared" ca="1" si="591"/>
        <v>449.97533263836965</v>
      </c>
      <c r="BM699" s="32">
        <f t="shared" ca="1" si="570"/>
        <v>28717.041232836651</v>
      </c>
      <c r="BN699" s="23">
        <f t="shared" ca="1" si="592"/>
        <v>0</v>
      </c>
      <c r="BO699" s="24">
        <f t="shared" ca="1" si="593"/>
        <v>0</v>
      </c>
      <c r="BP699" s="25">
        <f t="shared" ca="1" si="594"/>
        <v>0</v>
      </c>
      <c r="BQ699" s="34">
        <f t="shared" ca="1" si="595"/>
        <v>66688</v>
      </c>
      <c r="BR699" s="23">
        <f t="shared" ca="1" si="596"/>
        <v>28717.041232836651</v>
      </c>
      <c r="BS699" s="24">
        <f t="shared" ca="1" si="597"/>
        <v>0</v>
      </c>
      <c r="BT699" s="24">
        <f t="shared" ca="1" si="602"/>
        <v>0</v>
      </c>
      <c r="BU699" s="24">
        <f t="shared" ca="1" si="598"/>
        <v>0</v>
      </c>
      <c r="BV699" s="24">
        <f t="shared" ca="1" si="603"/>
        <v>0</v>
      </c>
      <c r="BW699" s="24">
        <f t="shared" ca="1" si="599"/>
        <v>-449.97533263836965</v>
      </c>
      <c r="BX699" s="25">
        <f t="shared" ca="1" si="604"/>
        <v>-5538.8075569353778</v>
      </c>
      <c r="BY699" s="23">
        <f t="shared" ca="1" si="571"/>
        <v>2991.4640784183607</v>
      </c>
      <c r="BZ699" s="24">
        <f t="shared" ca="1" si="572"/>
        <v>0</v>
      </c>
      <c r="CA699" s="24">
        <f t="shared" ca="1" si="605"/>
        <v>0</v>
      </c>
      <c r="CB699" s="24">
        <f t="shared" ca="1" si="573"/>
        <v>0</v>
      </c>
      <c r="CC699" s="24">
        <f t="shared" ca="1" si="606"/>
        <v>0</v>
      </c>
      <c r="CD699" s="24">
        <f t="shared" ca="1" si="574"/>
        <v>-47.027538978346954</v>
      </c>
      <c r="CE699" s="25">
        <f t="shared" ca="1" si="607"/>
        <v>-589.62422631414665</v>
      </c>
      <c r="CF699" s="23">
        <f t="shared" ca="1" si="608"/>
        <v>2526892.5998002049</v>
      </c>
      <c r="CG699" s="25">
        <f t="array" aca="1" ref="CG699" ca="1">SUM(BF688:BF699/(1+inflation/100)^(AP688:AP699/12))</f>
        <v>267980.53702225379</v>
      </c>
      <c r="CH699" s="32">
        <f ca="1">IFERROR(IF(MOD(AP699-ap_months_since_start,12)=0,ap_drawdown/100*(AQ699+AV699+BA699-BC699),CH698),0)</f>
        <v>4742.3015000799769</v>
      </c>
    </row>
    <row r="700" spans="40:86" x14ac:dyDescent="0.25">
      <c r="AN700" s="32">
        <f t="shared" ca="1" si="569"/>
        <v>112.58333333333333</v>
      </c>
      <c r="AO700" s="53">
        <f t="shared" ca="1" si="600"/>
        <v>66689</v>
      </c>
      <c r="AP700" s="22">
        <v>693</v>
      </c>
      <c r="AQ700" s="32">
        <f t="shared" ca="1" si="601"/>
        <v>28717.041232836651</v>
      </c>
      <c r="AR700" s="23">
        <f t="array" aca="1" ref="AR700" ca="1">SUM(IF(lsc_start_date=AO700,lsc_amount,0))</f>
        <v>0</v>
      </c>
      <c r="AS700" s="24">
        <f t="shared" ca="1" si="575"/>
        <v>0</v>
      </c>
      <c r="AT700" s="24">
        <f t="shared" ca="1" si="576"/>
        <v>0</v>
      </c>
      <c r="AU700" s="24">
        <f t="shared" ca="1" si="577"/>
        <v>0</v>
      </c>
      <c r="AV700" s="25">
        <f t="shared" ca="1" si="578"/>
        <v>0</v>
      </c>
      <c r="AW700" s="23">
        <f t="array" aca="1" ref="AW700" ca="1">SUM(IF(rcs_start_date&lt;=AO700,1,0)*IF(rcs_end_date&gt;=AO700,1,0)*rcs_amount*(1+rcs_escalation/100)^(INT((AP700-rcs_months_since_start)/12))*IF(MOD((AP700-rcs_months_since_start),rcs_frequency)=0,1,0)*IF(rcs_frequency=13,0,1))+SUM(IF(rcs_start_date=AO700,rcs_amount,0)*IF(rcs_frequency=13,1,0))</f>
        <v>0</v>
      </c>
      <c r="AX700" s="24">
        <f t="shared" ca="1" si="579"/>
        <v>0</v>
      </c>
      <c r="AY700" s="24">
        <f t="shared" ca="1" si="580"/>
        <v>0</v>
      </c>
      <c r="AZ700" s="24">
        <f t="shared" ca="1" si="581"/>
        <v>0</v>
      </c>
      <c r="BA700" s="25">
        <f t="shared" ca="1" si="582"/>
        <v>0</v>
      </c>
      <c r="BB700" s="23">
        <f t="array" aca="1" ref="BB700" ca="1">SUM(IF(w_start_date&lt;=AO700,1,0)*IF(w_end_date&gt;=AO700,1,0)*w_amount*(1+w_escalation/100)^(INT((AP700-w_months_since_start)/12))*IF(MOD(AP700-w_months_since_start,w_frequency)=0,1,0)*IF(w_frequency=13,0,1))+SUM(IF(w_start_date=AO700,w_amount,0)*IF(w_frequency=13,1,0))</f>
        <v>0</v>
      </c>
      <c r="BC700" s="25">
        <f t="shared" ca="1" si="583"/>
        <v>0</v>
      </c>
      <c r="BD700" s="24" t="b">
        <f t="shared" ca="1" si="584"/>
        <v>1</v>
      </c>
      <c r="BE700" s="24" t="b">
        <f t="shared" ca="1" si="585"/>
        <v>1</v>
      </c>
      <c r="BF700" s="23">
        <f t="array" aca="1" ref="BF700" ca="1">SUM(IF(BD700,1,0)*IF(ap_start_date&lt;=AO700,1,0)*IF(ap_end_date&gt;=AO700,1,0)*ap_amount*(1+ap_escalation/100)^(INT((AP700-ap_months_since_start)/12))*IF(MOD(AP700-ap_months_since_start,ap_frequency)=0,1,0))</f>
        <v>212618.79480519524</v>
      </c>
      <c r="BG700" s="24">
        <f t="shared" ca="1" si="586"/>
        <v>2551425.5376623427</v>
      </c>
      <c r="BH700" s="24">
        <f t="shared" ca="1" si="587"/>
        <v>771.38628452291948</v>
      </c>
      <c r="BI700">
        <f t="shared" ca="1" si="588"/>
        <v>0</v>
      </c>
      <c r="BJ700" s="24">
        <f t="shared" ca="1" si="589"/>
        <v>5399.7039916604353</v>
      </c>
      <c r="BK700">
        <f t="shared" ca="1" si="590"/>
        <v>1</v>
      </c>
      <c r="BL700" s="25">
        <f t="shared" ca="1" si="591"/>
        <v>449.97533263836965</v>
      </c>
      <c r="BM700" s="32">
        <f t="shared" ca="1" si="570"/>
        <v>28470.795783339556</v>
      </c>
      <c r="BN700" s="23">
        <f t="shared" ca="1" si="592"/>
        <v>0</v>
      </c>
      <c r="BO700" s="24">
        <f t="shared" ca="1" si="593"/>
        <v>0</v>
      </c>
      <c r="BP700" s="25">
        <f t="shared" ca="1" si="594"/>
        <v>0</v>
      </c>
      <c r="BQ700" s="34">
        <f t="shared" ca="1" si="595"/>
        <v>66719</v>
      </c>
      <c r="BR700" s="23">
        <f t="shared" ca="1" si="596"/>
        <v>28470.795783339556</v>
      </c>
      <c r="BS700" s="24">
        <f t="shared" ca="1" si="597"/>
        <v>0</v>
      </c>
      <c r="BT700" s="24">
        <f t="shared" ca="1" si="602"/>
        <v>0</v>
      </c>
      <c r="BU700" s="24">
        <f t="shared" ca="1" si="598"/>
        <v>0</v>
      </c>
      <c r="BV700" s="24">
        <f t="shared" ca="1" si="603"/>
        <v>0</v>
      </c>
      <c r="BW700" s="24">
        <f t="shared" ca="1" si="599"/>
        <v>-449.97533263836965</v>
      </c>
      <c r="BX700" s="25">
        <f t="shared" ca="1" si="604"/>
        <v>-5492.4397018437312</v>
      </c>
      <c r="BY700" s="23">
        <f t="shared" ca="1" si="571"/>
        <v>2956.134988398137</v>
      </c>
      <c r="BZ700" s="24">
        <f t="shared" ca="1" si="572"/>
        <v>0</v>
      </c>
      <c r="CA700" s="24">
        <f t="shared" ca="1" si="605"/>
        <v>0</v>
      </c>
      <c r="CB700" s="24">
        <f t="shared" ca="1" si="573"/>
        <v>0</v>
      </c>
      <c r="CC700" s="24">
        <f t="shared" ca="1" si="606"/>
        <v>0</v>
      </c>
      <c r="CD700" s="24">
        <f t="shared" ca="1" si="574"/>
        <v>-46.874085420152817</v>
      </c>
      <c r="CE700" s="25">
        <f t="shared" ca="1" si="607"/>
        <v>-582.72590124088219</v>
      </c>
      <c r="CF700" s="23">
        <f t="shared" ca="1" si="608"/>
        <v>2535070.2457542508</v>
      </c>
      <c r="CG700" s="25">
        <f t="array" aca="1" ref="CG700" ca="1">SUM(BF689:BF700/(1+inflation/100)^(AP689:AP700/12))</f>
        <v>267980.53702225379</v>
      </c>
      <c r="CH700" s="32">
        <f ca="1">IFERROR(IF(MOD(AP700-ap_months_since_start,12)=0,ap_drawdown/100*(AQ700+AV700+BA700-BC700),CH699),0)</f>
        <v>4742.3015000799769</v>
      </c>
    </row>
    <row r="701" spans="40:86" x14ac:dyDescent="0.25">
      <c r="AN701" s="32">
        <f t="shared" ca="1" si="569"/>
        <v>112.66666666666667</v>
      </c>
      <c r="AO701" s="53">
        <f t="shared" ca="1" si="600"/>
        <v>66720</v>
      </c>
      <c r="AP701" s="22">
        <v>694</v>
      </c>
      <c r="AQ701" s="32">
        <f t="shared" ca="1" si="601"/>
        <v>28470.795783339556</v>
      </c>
      <c r="AR701" s="23">
        <f t="array" aca="1" ref="AR701" ca="1">SUM(IF(lsc_start_date=AO701,lsc_amount,0))</f>
        <v>0</v>
      </c>
      <c r="AS701" s="24">
        <f t="shared" ca="1" si="575"/>
        <v>0</v>
      </c>
      <c r="AT701" s="24">
        <f t="shared" ca="1" si="576"/>
        <v>0</v>
      </c>
      <c r="AU701" s="24">
        <f t="shared" ca="1" si="577"/>
        <v>0</v>
      </c>
      <c r="AV701" s="25">
        <f t="shared" ca="1" si="578"/>
        <v>0</v>
      </c>
      <c r="AW701" s="23">
        <f t="array" aca="1" ref="AW701" ca="1">SUM(IF(rcs_start_date&lt;=AO701,1,0)*IF(rcs_end_date&gt;=AO701,1,0)*rcs_amount*(1+rcs_escalation/100)^(INT((AP701-rcs_months_since_start)/12))*IF(MOD((AP701-rcs_months_since_start),rcs_frequency)=0,1,0)*IF(rcs_frequency=13,0,1))+SUM(IF(rcs_start_date=AO701,rcs_amount,0)*IF(rcs_frequency=13,1,0))</f>
        <v>0</v>
      </c>
      <c r="AX701" s="24">
        <f t="shared" ca="1" si="579"/>
        <v>0</v>
      </c>
      <c r="AY701" s="24">
        <f t="shared" ca="1" si="580"/>
        <v>0</v>
      </c>
      <c r="AZ701" s="24">
        <f t="shared" ca="1" si="581"/>
        <v>0</v>
      </c>
      <c r="BA701" s="25">
        <f t="shared" ca="1" si="582"/>
        <v>0</v>
      </c>
      <c r="BB701" s="23">
        <f t="array" aca="1" ref="BB701" ca="1">SUM(IF(w_start_date&lt;=AO701,1,0)*IF(w_end_date&gt;=AO701,1,0)*w_amount*(1+w_escalation/100)^(INT((AP701-w_months_since_start)/12))*IF(MOD(AP701-w_months_since_start,w_frequency)=0,1,0)*IF(w_frequency=13,0,1))+SUM(IF(w_start_date=AO701,w_amount,0)*IF(w_frequency=13,1,0))</f>
        <v>0</v>
      </c>
      <c r="BC701" s="25">
        <f t="shared" ca="1" si="583"/>
        <v>0</v>
      </c>
      <c r="BD701" s="24" t="b">
        <f t="shared" ca="1" si="584"/>
        <v>1</v>
      </c>
      <c r="BE701" s="24" t="b">
        <f t="shared" ca="1" si="585"/>
        <v>1</v>
      </c>
      <c r="BF701" s="23">
        <f t="array" aca="1" ref="BF701" ca="1">SUM(IF(BD701,1,0)*IF(ap_start_date&lt;=AO701,1,0)*IF(ap_end_date&gt;=AO701,1,0)*ap_amount*(1+ap_escalation/100)^(INT((AP701-ap_months_since_start)/12))*IF(MOD(AP701-ap_months_since_start,ap_frequency)=0,1,0))</f>
        <v>212618.79480519524</v>
      </c>
      <c r="BG701" s="24">
        <f t="shared" ca="1" si="586"/>
        <v>2551425.5376623427</v>
      </c>
      <c r="BH701" s="24">
        <f t="shared" ca="1" si="587"/>
        <v>771.38628452291948</v>
      </c>
      <c r="BI701">
        <f t="shared" ca="1" si="588"/>
        <v>0</v>
      </c>
      <c r="BJ701" s="24">
        <f t="shared" ca="1" si="589"/>
        <v>5399.7039916604353</v>
      </c>
      <c r="BK701">
        <f t="shared" ca="1" si="590"/>
        <v>1</v>
      </c>
      <c r="BL701" s="25">
        <f t="shared" ca="1" si="591"/>
        <v>449.97533263836965</v>
      </c>
      <c r="BM701" s="32">
        <f t="shared" ca="1" si="570"/>
        <v>28222.775563272808</v>
      </c>
      <c r="BN701" s="23">
        <f t="shared" ca="1" si="592"/>
        <v>0</v>
      </c>
      <c r="BO701" s="24">
        <f t="shared" ca="1" si="593"/>
        <v>0</v>
      </c>
      <c r="BP701" s="25">
        <f t="shared" ca="1" si="594"/>
        <v>0</v>
      </c>
      <c r="BQ701" s="34">
        <f t="shared" ca="1" si="595"/>
        <v>66749</v>
      </c>
      <c r="BR701" s="23">
        <f t="shared" ca="1" si="596"/>
        <v>28222.775563272808</v>
      </c>
      <c r="BS701" s="24">
        <f t="shared" ca="1" si="597"/>
        <v>0</v>
      </c>
      <c r="BT701" s="24">
        <f t="shared" ca="1" si="602"/>
        <v>0</v>
      </c>
      <c r="BU701" s="24">
        <f t="shared" ca="1" si="598"/>
        <v>0</v>
      </c>
      <c r="BV701" s="24">
        <f t="shared" ca="1" si="603"/>
        <v>0</v>
      </c>
      <c r="BW701" s="24">
        <f t="shared" ca="1" si="599"/>
        <v>-449.97533263836965</v>
      </c>
      <c r="BX701" s="25">
        <f t="shared" ca="1" si="604"/>
        <v>-5446.0718467520837</v>
      </c>
      <c r="BY701" s="23">
        <f t="shared" ca="1" si="571"/>
        <v>2920.8209344379229</v>
      </c>
      <c r="BZ701" s="24">
        <f t="shared" ca="1" si="572"/>
        <v>0</v>
      </c>
      <c r="CA701" s="24">
        <f t="shared" ca="1" si="605"/>
        <v>0</v>
      </c>
      <c r="CB701" s="24">
        <f t="shared" ca="1" si="573"/>
        <v>0</v>
      </c>
      <c r="CC701" s="24">
        <f t="shared" ca="1" si="606"/>
        <v>0</v>
      </c>
      <c r="CD701" s="24">
        <f t="shared" ca="1" si="574"/>
        <v>-46.721132589724434</v>
      </c>
      <c r="CE701" s="25">
        <f t="shared" ca="1" si="607"/>
        <v>-575.85008579816747</v>
      </c>
      <c r="CF701" s="23">
        <f t="shared" ca="1" si="608"/>
        <v>2543247.8917082967</v>
      </c>
      <c r="CG701" s="25">
        <f t="array" aca="1" ref="CG701" ca="1">SUM(BF690:BF701/(1+inflation/100)^(AP690:AP701/12))</f>
        <v>267980.53702225379</v>
      </c>
      <c r="CH701" s="32">
        <f ca="1">IFERROR(IF(MOD(AP701-ap_months_since_start,12)=0,ap_drawdown/100*(AQ701+AV701+BA701-BC701),CH700),0)</f>
        <v>4742.3015000799769</v>
      </c>
    </row>
    <row r="702" spans="40:86" x14ac:dyDescent="0.25">
      <c r="AN702" s="32">
        <f t="shared" ca="1" si="569"/>
        <v>112.75</v>
      </c>
      <c r="AO702" s="53">
        <f t="shared" ca="1" si="600"/>
        <v>66750</v>
      </c>
      <c r="AP702" s="22">
        <v>695</v>
      </c>
      <c r="AQ702" s="32">
        <f t="shared" ca="1" si="601"/>
        <v>28222.775563272808</v>
      </c>
      <c r="AR702" s="23">
        <f t="array" aca="1" ref="AR702" ca="1">SUM(IF(lsc_start_date=AO702,lsc_amount,0))</f>
        <v>0</v>
      </c>
      <c r="AS702" s="24">
        <f t="shared" ca="1" si="575"/>
        <v>0</v>
      </c>
      <c r="AT702" s="24">
        <f t="shared" ca="1" si="576"/>
        <v>0</v>
      </c>
      <c r="AU702" s="24">
        <f t="shared" ca="1" si="577"/>
        <v>0</v>
      </c>
      <c r="AV702" s="25">
        <f t="shared" ca="1" si="578"/>
        <v>0</v>
      </c>
      <c r="AW702" s="23">
        <f t="array" aca="1" ref="AW702" ca="1">SUM(IF(rcs_start_date&lt;=AO702,1,0)*IF(rcs_end_date&gt;=AO702,1,0)*rcs_amount*(1+rcs_escalation/100)^(INT((AP702-rcs_months_since_start)/12))*IF(MOD((AP702-rcs_months_since_start),rcs_frequency)=0,1,0)*IF(rcs_frequency=13,0,1))+SUM(IF(rcs_start_date=AO702,rcs_amount,0)*IF(rcs_frequency=13,1,0))</f>
        <v>0</v>
      </c>
      <c r="AX702" s="24">
        <f t="shared" ca="1" si="579"/>
        <v>0</v>
      </c>
      <c r="AY702" s="24">
        <f t="shared" ca="1" si="580"/>
        <v>0</v>
      </c>
      <c r="AZ702" s="24">
        <f t="shared" ca="1" si="581"/>
        <v>0</v>
      </c>
      <c r="BA702" s="25">
        <f t="shared" ca="1" si="582"/>
        <v>0</v>
      </c>
      <c r="BB702" s="23">
        <f t="array" aca="1" ref="BB702" ca="1">SUM(IF(w_start_date&lt;=AO702,1,0)*IF(w_end_date&gt;=AO702,1,0)*w_amount*(1+w_escalation/100)^(INT((AP702-w_months_since_start)/12))*IF(MOD(AP702-w_months_since_start,w_frequency)=0,1,0)*IF(w_frequency=13,0,1))+SUM(IF(w_start_date=AO702,w_amount,0)*IF(w_frequency=13,1,0))</f>
        <v>0</v>
      </c>
      <c r="BC702" s="25">
        <f t="shared" ca="1" si="583"/>
        <v>0</v>
      </c>
      <c r="BD702" s="24" t="b">
        <f t="shared" ca="1" si="584"/>
        <v>1</v>
      </c>
      <c r="BE702" s="24" t="b">
        <f t="shared" ca="1" si="585"/>
        <v>1</v>
      </c>
      <c r="BF702" s="23">
        <f t="array" aca="1" ref="BF702" ca="1">SUM(IF(BD702,1,0)*IF(ap_start_date&lt;=AO702,1,0)*IF(ap_end_date&gt;=AO702,1,0)*ap_amount*(1+ap_escalation/100)^(INT((AP702-ap_months_since_start)/12))*IF(MOD(AP702-ap_months_since_start,ap_frequency)=0,1,0))</f>
        <v>212618.79480519524</v>
      </c>
      <c r="BG702" s="24">
        <f t="shared" ca="1" si="586"/>
        <v>2551425.5376623427</v>
      </c>
      <c r="BH702" s="24">
        <f t="shared" ca="1" si="587"/>
        <v>771.38628452291948</v>
      </c>
      <c r="BI702">
        <f t="shared" ca="1" si="588"/>
        <v>0</v>
      </c>
      <c r="BJ702" s="24">
        <f t="shared" ca="1" si="589"/>
        <v>5399.7039916604353</v>
      </c>
      <c r="BK702">
        <f t="shared" ca="1" si="590"/>
        <v>1</v>
      </c>
      <c r="BL702" s="25">
        <f t="shared" ca="1" si="591"/>
        <v>449.97533263836965</v>
      </c>
      <c r="BM702" s="32">
        <f t="shared" ca="1" si="570"/>
        <v>27972.967781291096</v>
      </c>
      <c r="BN702" s="23">
        <f t="shared" ca="1" si="592"/>
        <v>0</v>
      </c>
      <c r="BO702" s="24">
        <f t="shared" ca="1" si="593"/>
        <v>0</v>
      </c>
      <c r="BP702" s="25">
        <f t="shared" ca="1" si="594"/>
        <v>0</v>
      </c>
      <c r="BQ702" s="34">
        <f t="shared" ca="1" si="595"/>
        <v>66780</v>
      </c>
      <c r="BR702" s="23">
        <f t="shared" ca="1" si="596"/>
        <v>27972.967781291096</v>
      </c>
      <c r="BS702" s="24">
        <f t="shared" ca="1" si="597"/>
        <v>0</v>
      </c>
      <c r="BT702" s="24">
        <f t="shared" ca="1" si="602"/>
        <v>0</v>
      </c>
      <c r="BU702" s="24">
        <f t="shared" ca="1" si="598"/>
        <v>0</v>
      </c>
      <c r="BV702" s="24">
        <f t="shared" ca="1" si="603"/>
        <v>0</v>
      </c>
      <c r="BW702" s="24">
        <f t="shared" ca="1" si="599"/>
        <v>-449.97533263836965</v>
      </c>
      <c r="BX702" s="25">
        <f t="shared" ca="1" si="604"/>
        <v>-5399.7039916604363</v>
      </c>
      <c r="BY702" s="23">
        <f t="shared" ca="1" si="571"/>
        <v>2885.5214744396371</v>
      </c>
      <c r="BZ702" s="24">
        <f t="shared" ca="1" si="572"/>
        <v>0</v>
      </c>
      <c r="CA702" s="24">
        <f t="shared" ca="1" si="605"/>
        <v>0</v>
      </c>
      <c r="CB702" s="24">
        <f t="shared" ca="1" si="573"/>
        <v>0</v>
      </c>
      <c r="CC702" s="24">
        <f t="shared" ca="1" si="606"/>
        <v>0</v>
      </c>
      <c r="CD702" s="24">
        <f t="shared" ca="1" si="574"/>
        <v>-46.568678853158403</v>
      </c>
      <c r="CE702" s="25">
        <f t="shared" ca="1" si="607"/>
        <v>-568.99670653578642</v>
      </c>
      <c r="CF702" s="23">
        <f t="shared" ca="1" si="608"/>
        <v>2551425.5376623427</v>
      </c>
      <c r="CG702" s="25">
        <f t="array" aca="1" ref="CG702" ca="1">SUM(BF691:BF702/(1+inflation/100)^(AP691:AP702/12))</f>
        <v>267980.53702225379</v>
      </c>
      <c r="CH702" s="32">
        <f ca="1">IFERROR(IF(MOD(AP702-ap_months_since_start,12)=0,ap_drawdown/100*(AQ702+AV702+BA702-BC702),CH701),0)</f>
        <v>4742.3015000799769</v>
      </c>
    </row>
    <row r="703" spans="40:86" x14ac:dyDescent="0.25">
      <c r="AN703" s="32">
        <f t="shared" ca="1" si="569"/>
        <v>112.83333333333333</v>
      </c>
      <c r="AO703" s="53">
        <f t="shared" ca="1" si="600"/>
        <v>66781</v>
      </c>
      <c r="AP703" s="22">
        <v>696</v>
      </c>
      <c r="AQ703" s="32">
        <f t="shared" ca="1" si="601"/>
        <v>27972.967781291096</v>
      </c>
      <c r="AR703" s="23">
        <f t="array" aca="1" ref="AR703" ca="1">SUM(IF(lsc_start_date=AO703,lsc_amount,0))</f>
        <v>0</v>
      </c>
      <c r="AS703" s="24">
        <f t="shared" ca="1" si="575"/>
        <v>0</v>
      </c>
      <c r="AT703" s="24">
        <f t="shared" ca="1" si="576"/>
        <v>0</v>
      </c>
      <c r="AU703" s="24">
        <f t="shared" ca="1" si="577"/>
        <v>0</v>
      </c>
      <c r="AV703" s="25">
        <f t="shared" ca="1" si="578"/>
        <v>0</v>
      </c>
      <c r="AW703" s="23">
        <f t="array" aca="1" ref="AW703" ca="1">SUM(IF(rcs_start_date&lt;=AO703,1,0)*IF(rcs_end_date&gt;=AO703,1,0)*rcs_amount*(1+rcs_escalation/100)^(INT((AP703-rcs_months_since_start)/12))*IF(MOD((AP703-rcs_months_since_start),rcs_frequency)=0,1,0)*IF(rcs_frequency=13,0,1))+SUM(IF(rcs_start_date=AO703,rcs_amount,0)*IF(rcs_frequency=13,1,0))</f>
        <v>0</v>
      </c>
      <c r="AX703" s="24">
        <f t="shared" ca="1" si="579"/>
        <v>0</v>
      </c>
      <c r="AY703" s="24">
        <f t="shared" ca="1" si="580"/>
        <v>0</v>
      </c>
      <c r="AZ703" s="24">
        <f t="shared" ca="1" si="581"/>
        <v>0</v>
      </c>
      <c r="BA703" s="25">
        <f t="shared" ca="1" si="582"/>
        <v>0</v>
      </c>
      <c r="BB703" s="23">
        <f t="array" aca="1" ref="BB703" ca="1">SUM(IF(w_start_date&lt;=AO703,1,0)*IF(w_end_date&gt;=AO703,1,0)*w_amount*(1+w_escalation/100)^(INT((AP703-w_months_since_start)/12))*IF(MOD(AP703-w_months_since_start,w_frequency)=0,1,0)*IF(w_frequency=13,0,1))+SUM(IF(w_start_date=AO703,w_amount,0)*IF(w_frequency=13,1,0))</f>
        <v>0</v>
      </c>
      <c r="BC703" s="25">
        <f t="shared" ca="1" si="583"/>
        <v>0</v>
      </c>
      <c r="BD703" s="24" t="b">
        <f t="shared" ca="1" si="584"/>
        <v>1</v>
      </c>
      <c r="BE703" s="24" t="b">
        <f t="shared" ca="1" si="585"/>
        <v>1</v>
      </c>
      <c r="BF703" s="23">
        <f t="array" aca="1" ref="BF703" ca="1">SUM(IF(BD703,1,0)*IF(ap_start_date&lt;=AO703,1,0)*IF(ap_end_date&gt;=AO703,1,0)*ap_amount*(1+ap_escalation/100)^(INT((AP703-ap_months_since_start)/12))*IF(MOD(AP703-ap_months_since_start,ap_frequency)=0,1,0))</f>
        <v>221123.54659740307</v>
      </c>
      <c r="BG703" s="24">
        <f t="shared" ca="1" si="586"/>
        <v>2653482.5591688366</v>
      </c>
      <c r="BH703" s="24">
        <f t="shared" ca="1" si="587"/>
        <v>699.32419453227749</v>
      </c>
      <c r="BI703">
        <f t="shared" ca="1" si="588"/>
        <v>0</v>
      </c>
      <c r="BJ703" s="24">
        <f t="shared" ca="1" si="589"/>
        <v>4895.2693617259411</v>
      </c>
      <c r="BK703">
        <f t="shared" ca="1" si="590"/>
        <v>1</v>
      </c>
      <c r="BL703" s="25">
        <f t="shared" ca="1" si="591"/>
        <v>407.93911347716181</v>
      </c>
      <c r="BM703" s="32">
        <f t="shared" ca="1" si="570"/>
        <v>27763.698741641449</v>
      </c>
      <c r="BN703" s="23">
        <f t="shared" ca="1" si="592"/>
        <v>0</v>
      </c>
      <c r="BO703" s="24">
        <f t="shared" ca="1" si="593"/>
        <v>0</v>
      </c>
      <c r="BP703" s="25">
        <f t="shared" ca="1" si="594"/>
        <v>0</v>
      </c>
      <c r="BQ703" s="34">
        <f t="shared" ca="1" si="595"/>
        <v>66810</v>
      </c>
      <c r="BR703" s="23">
        <f t="shared" ca="1" si="596"/>
        <v>27763.698741641449</v>
      </c>
      <c r="BS703" s="24">
        <f t="shared" ca="1" si="597"/>
        <v>0</v>
      </c>
      <c r="BT703" s="24">
        <f t="shared" ca="1" si="602"/>
        <v>0</v>
      </c>
      <c r="BU703" s="24">
        <f t="shared" ca="1" si="598"/>
        <v>0</v>
      </c>
      <c r="BV703" s="24">
        <f t="shared" ca="1" si="603"/>
        <v>0</v>
      </c>
      <c r="BW703" s="24">
        <f t="shared" ca="1" si="599"/>
        <v>-407.93911347716181</v>
      </c>
      <c r="BX703" s="25">
        <f t="shared" ca="1" si="604"/>
        <v>-5357.6677724992287</v>
      </c>
      <c r="BY703" s="23">
        <f t="shared" ca="1" si="571"/>
        <v>2854.5893684382568</v>
      </c>
      <c r="BZ703" s="24">
        <f t="shared" ca="1" si="572"/>
        <v>0</v>
      </c>
      <c r="CA703" s="24">
        <f t="shared" ca="1" si="605"/>
        <v>0</v>
      </c>
      <c r="CB703" s="24">
        <f t="shared" ca="1" si="573"/>
        <v>0</v>
      </c>
      <c r="CC703" s="24">
        <f t="shared" ca="1" si="606"/>
        <v>0</v>
      </c>
      <c r="CD703" s="24">
        <f t="shared" ca="1" si="574"/>
        <v>-42.080521502244707</v>
      </c>
      <c r="CE703" s="25">
        <f t="shared" ca="1" si="607"/>
        <v>-562.80383655287301</v>
      </c>
      <c r="CF703" s="23">
        <f t="shared" ca="1" si="608"/>
        <v>2559930.2894545505</v>
      </c>
      <c r="CG703" s="25">
        <f t="array" aca="1" ref="CG703" ca="1">SUM(BF692:BF703/(1+inflation/100)^(AP692:AP703/12))</f>
        <v>267980.53702225379</v>
      </c>
      <c r="CH703" s="32">
        <f ca="1">IFERROR(IF(MOD(AP703-ap_months_since_start,12)=0,ap_drawdown/100*(AQ703+AV703+BA703-BC703),CH702),0)</f>
        <v>4299.2807148804104</v>
      </c>
    </row>
    <row r="704" spans="40:86" x14ac:dyDescent="0.25">
      <c r="AN704" s="32">
        <f t="shared" ca="1" si="569"/>
        <v>112.91666666666667</v>
      </c>
      <c r="AO704" s="53">
        <f t="shared" ca="1" si="600"/>
        <v>66811</v>
      </c>
      <c r="AP704" s="22">
        <v>697</v>
      </c>
      <c r="AQ704" s="32">
        <f t="shared" ca="1" si="601"/>
        <v>27763.698741641449</v>
      </c>
      <c r="AR704" s="23">
        <f t="array" aca="1" ref="AR704" ca="1">SUM(IF(lsc_start_date=AO704,lsc_amount,0))</f>
        <v>0</v>
      </c>
      <c r="AS704" s="24">
        <f t="shared" ca="1" si="575"/>
        <v>0</v>
      </c>
      <c r="AT704" s="24">
        <f t="shared" ca="1" si="576"/>
        <v>0</v>
      </c>
      <c r="AU704" s="24">
        <f t="shared" ca="1" si="577"/>
        <v>0</v>
      </c>
      <c r="AV704" s="25">
        <f t="shared" ca="1" si="578"/>
        <v>0</v>
      </c>
      <c r="AW704" s="23">
        <f t="array" aca="1" ref="AW704" ca="1">SUM(IF(rcs_start_date&lt;=AO704,1,0)*IF(rcs_end_date&gt;=AO704,1,0)*rcs_amount*(1+rcs_escalation/100)^(INT((AP704-rcs_months_since_start)/12))*IF(MOD((AP704-rcs_months_since_start),rcs_frequency)=0,1,0)*IF(rcs_frequency=13,0,1))+SUM(IF(rcs_start_date=AO704,rcs_amount,0)*IF(rcs_frequency=13,1,0))</f>
        <v>0</v>
      </c>
      <c r="AX704" s="24">
        <f t="shared" ca="1" si="579"/>
        <v>0</v>
      </c>
      <c r="AY704" s="24">
        <f t="shared" ca="1" si="580"/>
        <v>0</v>
      </c>
      <c r="AZ704" s="24">
        <f t="shared" ca="1" si="581"/>
        <v>0</v>
      </c>
      <c r="BA704" s="25">
        <f t="shared" ca="1" si="582"/>
        <v>0</v>
      </c>
      <c r="BB704" s="23">
        <f t="array" aca="1" ref="BB704" ca="1">SUM(IF(w_start_date&lt;=AO704,1,0)*IF(w_end_date&gt;=AO704,1,0)*w_amount*(1+w_escalation/100)^(INT((AP704-w_months_since_start)/12))*IF(MOD(AP704-w_months_since_start,w_frequency)=0,1,0)*IF(w_frequency=13,0,1))+SUM(IF(w_start_date=AO704,w_amount,0)*IF(w_frequency=13,1,0))</f>
        <v>0</v>
      </c>
      <c r="BC704" s="25">
        <f t="shared" ca="1" si="583"/>
        <v>0</v>
      </c>
      <c r="BD704" s="24" t="b">
        <f t="shared" ca="1" si="584"/>
        <v>1</v>
      </c>
      <c r="BE704" s="24" t="b">
        <f t="shared" ca="1" si="585"/>
        <v>1</v>
      </c>
      <c r="BF704" s="23">
        <f t="array" aca="1" ref="BF704" ca="1">SUM(IF(BD704,1,0)*IF(ap_start_date&lt;=AO704,1,0)*IF(ap_end_date&gt;=AO704,1,0)*ap_amount*(1+ap_escalation/100)^(INT((AP704-ap_months_since_start)/12))*IF(MOD(AP704-ap_months_since_start,ap_frequency)=0,1,0))</f>
        <v>221123.54659740307</v>
      </c>
      <c r="BG704" s="24">
        <f t="shared" ca="1" si="586"/>
        <v>2653482.5591688366</v>
      </c>
      <c r="BH704" s="24">
        <f t="shared" ca="1" si="587"/>
        <v>699.32419453227749</v>
      </c>
      <c r="BI704">
        <f t="shared" ca="1" si="588"/>
        <v>0</v>
      </c>
      <c r="BJ704" s="24">
        <f t="shared" ca="1" si="589"/>
        <v>4895.2693617259411</v>
      </c>
      <c r="BK704">
        <f t="shared" ca="1" si="590"/>
        <v>1</v>
      </c>
      <c r="BL704" s="25">
        <f t="shared" ca="1" si="591"/>
        <v>407.93911347716181</v>
      </c>
      <c r="BM704" s="32">
        <f t="shared" ca="1" si="570"/>
        <v>27552.921432362986</v>
      </c>
      <c r="BN704" s="23">
        <f t="shared" ca="1" si="592"/>
        <v>0</v>
      </c>
      <c r="BO704" s="24">
        <f t="shared" ca="1" si="593"/>
        <v>0</v>
      </c>
      <c r="BP704" s="25">
        <f t="shared" ca="1" si="594"/>
        <v>0</v>
      </c>
      <c r="BQ704" s="34">
        <f t="shared" ca="1" si="595"/>
        <v>66841</v>
      </c>
      <c r="BR704" s="23">
        <f t="shared" ca="1" si="596"/>
        <v>27552.921432362986</v>
      </c>
      <c r="BS704" s="24">
        <f t="shared" ca="1" si="597"/>
        <v>0</v>
      </c>
      <c r="BT704" s="24">
        <f t="shared" ca="1" si="602"/>
        <v>0</v>
      </c>
      <c r="BU704" s="24">
        <f t="shared" ca="1" si="598"/>
        <v>0</v>
      </c>
      <c r="BV704" s="24">
        <f t="shared" ca="1" si="603"/>
        <v>0</v>
      </c>
      <c r="BW704" s="24">
        <f t="shared" ca="1" si="599"/>
        <v>-407.93911347716181</v>
      </c>
      <c r="BX704" s="25">
        <f t="shared" ca="1" si="604"/>
        <v>-5315.6315533380211</v>
      </c>
      <c r="BY704" s="23">
        <f t="shared" ca="1" si="571"/>
        <v>2823.6738349621078</v>
      </c>
      <c r="BZ704" s="24">
        <f t="shared" ca="1" si="572"/>
        <v>0</v>
      </c>
      <c r="CA704" s="24">
        <f t="shared" ca="1" si="605"/>
        <v>0</v>
      </c>
      <c r="CB704" s="24">
        <f t="shared" ca="1" si="573"/>
        <v>0</v>
      </c>
      <c r="CC704" s="24">
        <f t="shared" ca="1" si="606"/>
        <v>0</v>
      </c>
      <c r="CD704" s="24">
        <f t="shared" ca="1" si="574"/>
        <v>-41.943210345942042</v>
      </c>
      <c r="CE704" s="25">
        <f t="shared" ca="1" si="607"/>
        <v>-556.63117426006966</v>
      </c>
      <c r="CF704" s="23">
        <f t="shared" ca="1" si="608"/>
        <v>2568435.0412467583</v>
      </c>
      <c r="CG704" s="25">
        <f t="array" aca="1" ref="CG704" ca="1">SUM(BF693:BF704/(1+inflation/100)^(AP693:AP704/12))</f>
        <v>267980.53702225379</v>
      </c>
      <c r="CH704" s="32">
        <f ca="1">IFERROR(IF(MOD(AP704-ap_months_since_start,12)=0,ap_drawdown/100*(AQ704+AV704+BA704-BC704),CH703),0)</f>
        <v>4299.2807148804104</v>
      </c>
    </row>
    <row r="705" spans="40:86" x14ac:dyDescent="0.25">
      <c r="AN705" s="32">
        <f t="shared" ca="1" si="569"/>
        <v>113</v>
      </c>
      <c r="AO705" s="53">
        <f t="shared" ca="1" si="600"/>
        <v>66842</v>
      </c>
      <c r="AP705" s="22">
        <v>698</v>
      </c>
      <c r="AQ705" s="32">
        <f t="shared" ca="1" si="601"/>
        <v>27552.921432362986</v>
      </c>
      <c r="AR705" s="23">
        <f t="array" aca="1" ref="AR705" ca="1">SUM(IF(lsc_start_date=AO705,lsc_amount,0))</f>
        <v>0</v>
      </c>
      <c r="AS705" s="24">
        <f t="shared" ca="1" si="575"/>
        <v>0</v>
      </c>
      <c r="AT705" s="24">
        <f t="shared" ca="1" si="576"/>
        <v>0</v>
      </c>
      <c r="AU705" s="24">
        <f t="shared" ca="1" si="577"/>
        <v>0</v>
      </c>
      <c r="AV705" s="25">
        <f t="shared" ca="1" si="578"/>
        <v>0</v>
      </c>
      <c r="AW705" s="23">
        <f t="array" aca="1" ref="AW705" ca="1">SUM(IF(rcs_start_date&lt;=AO705,1,0)*IF(rcs_end_date&gt;=AO705,1,0)*rcs_amount*(1+rcs_escalation/100)^(INT((AP705-rcs_months_since_start)/12))*IF(MOD((AP705-rcs_months_since_start),rcs_frequency)=0,1,0)*IF(rcs_frequency=13,0,1))+SUM(IF(rcs_start_date=AO705,rcs_amount,0)*IF(rcs_frequency=13,1,0))</f>
        <v>0</v>
      </c>
      <c r="AX705" s="24">
        <f t="shared" ca="1" si="579"/>
        <v>0</v>
      </c>
      <c r="AY705" s="24">
        <f t="shared" ca="1" si="580"/>
        <v>0</v>
      </c>
      <c r="AZ705" s="24">
        <f t="shared" ca="1" si="581"/>
        <v>0</v>
      </c>
      <c r="BA705" s="25">
        <f t="shared" ca="1" si="582"/>
        <v>0</v>
      </c>
      <c r="BB705" s="23">
        <f t="array" aca="1" ref="BB705" ca="1">SUM(IF(w_start_date&lt;=AO705,1,0)*IF(w_end_date&gt;=AO705,1,0)*w_amount*(1+w_escalation/100)^(INT((AP705-w_months_since_start)/12))*IF(MOD(AP705-w_months_since_start,w_frequency)=0,1,0)*IF(w_frequency=13,0,1))+SUM(IF(w_start_date=AO705,w_amount,0)*IF(w_frequency=13,1,0))</f>
        <v>0</v>
      </c>
      <c r="BC705" s="25">
        <f t="shared" ca="1" si="583"/>
        <v>0</v>
      </c>
      <c r="BD705" s="24" t="b">
        <f t="shared" ca="1" si="584"/>
        <v>1</v>
      </c>
      <c r="BE705" s="24" t="b">
        <f t="shared" ca="1" si="585"/>
        <v>1</v>
      </c>
      <c r="BF705" s="23">
        <f t="array" aca="1" ref="BF705" ca="1">SUM(IF(BD705,1,0)*IF(ap_start_date&lt;=AO705,1,0)*IF(ap_end_date&gt;=AO705,1,0)*ap_amount*(1+ap_escalation/100)^(INT((AP705-ap_months_since_start)/12))*IF(MOD(AP705-ap_months_since_start,ap_frequency)=0,1,0))</f>
        <v>221123.54659740307</v>
      </c>
      <c r="BG705" s="24">
        <f t="shared" ca="1" si="586"/>
        <v>2653482.5591688366</v>
      </c>
      <c r="BH705" s="24">
        <f t="shared" ca="1" si="587"/>
        <v>699.32419453227749</v>
      </c>
      <c r="BI705">
        <f t="shared" ca="1" si="588"/>
        <v>0</v>
      </c>
      <c r="BJ705" s="24">
        <f t="shared" ca="1" si="589"/>
        <v>4895.2693617259411</v>
      </c>
      <c r="BK705">
        <f t="shared" ca="1" si="590"/>
        <v>1</v>
      </c>
      <c r="BL705" s="25">
        <f t="shared" ca="1" si="591"/>
        <v>407.93911347716181</v>
      </c>
      <c r="BM705" s="32">
        <f t="shared" ca="1" si="570"/>
        <v>27340.624982868849</v>
      </c>
      <c r="BN705" s="23">
        <f t="shared" ca="1" si="592"/>
        <v>0</v>
      </c>
      <c r="BO705" s="24">
        <f t="shared" ca="1" si="593"/>
        <v>0</v>
      </c>
      <c r="BP705" s="25">
        <f t="shared" ca="1" si="594"/>
        <v>0</v>
      </c>
      <c r="BQ705" s="34">
        <f t="shared" ca="1" si="595"/>
        <v>66872</v>
      </c>
      <c r="BR705" s="23">
        <f t="shared" ca="1" si="596"/>
        <v>27340.624982868849</v>
      </c>
      <c r="BS705" s="24">
        <f t="shared" ca="1" si="597"/>
        <v>0</v>
      </c>
      <c r="BT705" s="24">
        <f t="shared" ca="1" si="602"/>
        <v>0</v>
      </c>
      <c r="BU705" s="24">
        <f t="shared" ca="1" si="598"/>
        <v>0</v>
      </c>
      <c r="BV705" s="24">
        <f t="shared" ca="1" si="603"/>
        <v>0</v>
      </c>
      <c r="BW705" s="24">
        <f t="shared" ca="1" si="599"/>
        <v>-407.93911347716181</v>
      </c>
      <c r="BX705" s="25">
        <f t="shared" ca="1" si="604"/>
        <v>-5273.5953341768136</v>
      </c>
      <c r="BY705" s="23">
        <f t="shared" ca="1" si="571"/>
        <v>2792.7744891769926</v>
      </c>
      <c r="BZ705" s="24">
        <f t="shared" ca="1" si="572"/>
        <v>0</v>
      </c>
      <c r="CA705" s="24">
        <f t="shared" ca="1" si="605"/>
        <v>0</v>
      </c>
      <c r="CB705" s="24">
        <f t="shared" ca="1" si="573"/>
        <v>0</v>
      </c>
      <c r="CC705" s="24">
        <f t="shared" ca="1" si="606"/>
        <v>0</v>
      </c>
      <c r="CD705" s="24">
        <f t="shared" ca="1" si="574"/>
        <v>-41.806347243821548</v>
      </c>
      <c r="CE705" s="25">
        <f t="shared" ca="1" si="607"/>
        <v>-550.4786537185239</v>
      </c>
      <c r="CF705" s="23">
        <f t="shared" ca="1" si="608"/>
        <v>2576939.7930389661</v>
      </c>
      <c r="CG705" s="25">
        <f t="array" aca="1" ref="CG705" ca="1">SUM(BF694:BF705/(1+inflation/100)^(AP694:AP705/12))</f>
        <v>267980.53702225385</v>
      </c>
      <c r="CH705" s="32">
        <f ca="1">IFERROR(IF(MOD(AP705-ap_months_since_start,12)=0,ap_drawdown/100*(AQ705+AV705+BA705-BC705),CH704),0)</f>
        <v>4299.2807148804104</v>
      </c>
    </row>
    <row r="706" spans="40:86" x14ac:dyDescent="0.25">
      <c r="AN706" s="32">
        <f t="shared" ca="1" si="569"/>
        <v>113.08333333333333</v>
      </c>
      <c r="AO706" s="53">
        <f t="shared" ca="1" si="600"/>
        <v>66873</v>
      </c>
      <c r="AP706" s="22">
        <v>699</v>
      </c>
      <c r="AQ706" s="32">
        <f t="shared" ca="1" si="601"/>
        <v>27340.624982868849</v>
      </c>
      <c r="AR706" s="23">
        <f t="array" aca="1" ref="AR706" ca="1">SUM(IF(lsc_start_date=AO706,lsc_amount,0))</f>
        <v>0</v>
      </c>
      <c r="AS706" s="24">
        <f t="shared" ca="1" si="575"/>
        <v>0</v>
      </c>
      <c r="AT706" s="24">
        <f t="shared" ca="1" si="576"/>
        <v>0</v>
      </c>
      <c r="AU706" s="24">
        <f t="shared" ca="1" si="577"/>
        <v>0</v>
      </c>
      <c r="AV706" s="25">
        <f t="shared" ca="1" si="578"/>
        <v>0</v>
      </c>
      <c r="AW706" s="23">
        <f t="array" aca="1" ref="AW706" ca="1">SUM(IF(rcs_start_date&lt;=AO706,1,0)*IF(rcs_end_date&gt;=AO706,1,0)*rcs_amount*(1+rcs_escalation/100)^(INT((AP706-rcs_months_since_start)/12))*IF(MOD((AP706-rcs_months_since_start),rcs_frequency)=0,1,0)*IF(rcs_frequency=13,0,1))+SUM(IF(rcs_start_date=AO706,rcs_amount,0)*IF(rcs_frequency=13,1,0))</f>
        <v>0</v>
      </c>
      <c r="AX706" s="24">
        <f t="shared" ca="1" si="579"/>
        <v>0</v>
      </c>
      <c r="AY706" s="24">
        <f t="shared" ca="1" si="580"/>
        <v>0</v>
      </c>
      <c r="AZ706" s="24">
        <f t="shared" ca="1" si="581"/>
        <v>0</v>
      </c>
      <c r="BA706" s="25">
        <f t="shared" ca="1" si="582"/>
        <v>0</v>
      </c>
      <c r="BB706" s="23">
        <f t="array" aca="1" ref="BB706" ca="1">SUM(IF(w_start_date&lt;=AO706,1,0)*IF(w_end_date&gt;=AO706,1,0)*w_amount*(1+w_escalation/100)^(INT((AP706-w_months_since_start)/12))*IF(MOD(AP706-w_months_since_start,w_frequency)=0,1,0)*IF(w_frequency=13,0,1))+SUM(IF(w_start_date=AO706,w_amount,0)*IF(w_frequency=13,1,0))</f>
        <v>0</v>
      </c>
      <c r="BC706" s="25">
        <f t="shared" ca="1" si="583"/>
        <v>0</v>
      </c>
      <c r="BD706" s="24" t="b">
        <f t="shared" ca="1" si="584"/>
        <v>1</v>
      </c>
      <c r="BE706" s="24" t="b">
        <f t="shared" ca="1" si="585"/>
        <v>1</v>
      </c>
      <c r="BF706" s="23">
        <f t="array" aca="1" ref="BF706" ca="1">SUM(IF(BD706,1,0)*IF(ap_start_date&lt;=AO706,1,0)*IF(ap_end_date&gt;=AO706,1,0)*ap_amount*(1+ap_escalation/100)^(INT((AP706-ap_months_since_start)/12))*IF(MOD(AP706-ap_months_since_start,ap_frequency)=0,1,0))</f>
        <v>221123.54659740307</v>
      </c>
      <c r="BG706" s="24">
        <f t="shared" ca="1" si="586"/>
        <v>2653482.5591688366</v>
      </c>
      <c r="BH706" s="24">
        <f t="shared" ca="1" si="587"/>
        <v>699.32419453227749</v>
      </c>
      <c r="BI706">
        <f t="shared" ca="1" si="588"/>
        <v>0</v>
      </c>
      <c r="BJ706" s="24">
        <f t="shared" ca="1" si="589"/>
        <v>4895.2693617259411</v>
      </c>
      <c r="BK706">
        <f t="shared" ca="1" si="590"/>
        <v>1</v>
      </c>
      <c r="BL706" s="25">
        <f t="shared" ca="1" si="591"/>
        <v>407.93911347716181</v>
      </c>
      <c r="BM706" s="32">
        <f t="shared" ca="1" si="570"/>
        <v>27126.79844422434</v>
      </c>
      <c r="BN706" s="23">
        <f t="shared" ca="1" si="592"/>
        <v>0</v>
      </c>
      <c r="BO706" s="24">
        <f t="shared" ca="1" si="593"/>
        <v>0</v>
      </c>
      <c r="BP706" s="25">
        <f t="shared" ca="1" si="594"/>
        <v>0</v>
      </c>
      <c r="BQ706" s="34">
        <f t="shared" ca="1" si="595"/>
        <v>66900</v>
      </c>
      <c r="BR706" s="23">
        <f t="shared" ca="1" si="596"/>
        <v>27126.79844422434</v>
      </c>
      <c r="BS706" s="24">
        <f t="shared" ca="1" si="597"/>
        <v>0</v>
      </c>
      <c r="BT706" s="24">
        <f t="shared" ca="1" si="602"/>
        <v>0</v>
      </c>
      <c r="BU706" s="24">
        <f t="shared" ca="1" si="598"/>
        <v>0</v>
      </c>
      <c r="BV706" s="24">
        <f t="shared" ca="1" si="603"/>
        <v>0</v>
      </c>
      <c r="BW706" s="24">
        <f t="shared" ca="1" si="599"/>
        <v>-407.93911347716181</v>
      </c>
      <c r="BX706" s="25">
        <f t="shared" ca="1" si="604"/>
        <v>-5231.559115015606</v>
      </c>
      <c r="BY706" s="23">
        <f t="shared" ca="1" si="571"/>
        <v>2761.8909462076376</v>
      </c>
      <c r="BZ706" s="24">
        <f t="shared" ca="1" si="572"/>
        <v>0</v>
      </c>
      <c r="CA706" s="24">
        <f t="shared" ca="1" si="605"/>
        <v>0</v>
      </c>
      <c r="CB706" s="24">
        <f t="shared" ca="1" si="573"/>
        <v>0</v>
      </c>
      <c r="CC706" s="24">
        <f t="shared" ca="1" si="606"/>
        <v>0</v>
      </c>
      <c r="CD706" s="24">
        <f t="shared" ca="1" si="574"/>
        <v>-41.66993073385666</v>
      </c>
      <c r="CE706" s="25">
        <f t="shared" ca="1" si="607"/>
        <v>-544.34620920454574</v>
      </c>
      <c r="CF706" s="23">
        <f t="shared" ca="1" si="608"/>
        <v>2585444.544831174</v>
      </c>
      <c r="CG706" s="25">
        <f t="array" aca="1" ref="CG706" ca="1">SUM(BF695:BF706/(1+inflation/100)^(AP695:AP706/12))</f>
        <v>267980.53702225379</v>
      </c>
      <c r="CH706" s="32">
        <f ca="1">IFERROR(IF(MOD(AP706-ap_months_since_start,12)=0,ap_drawdown/100*(AQ706+AV706+BA706-BC706),CH705),0)</f>
        <v>4299.2807148804104</v>
      </c>
    </row>
    <row r="707" spans="40:86" x14ac:dyDescent="0.25">
      <c r="AN707" s="32">
        <f t="shared" ca="1" si="569"/>
        <v>113.16666666666667</v>
      </c>
      <c r="AO707" s="53">
        <f t="shared" ca="1" si="600"/>
        <v>66901</v>
      </c>
      <c r="AP707" s="22">
        <v>700</v>
      </c>
      <c r="AQ707" s="32">
        <f t="shared" ca="1" si="601"/>
        <v>27126.79844422434</v>
      </c>
      <c r="AR707" s="23">
        <f t="array" aca="1" ref="AR707" ca="1">SUM(IF(lsc_start_date=AO707,lsc_amount,0))</f>
        <v>0</v>
      </c>
      <c r="AS707" s="24">
        <f t="shared" ca="1" si="575"/>
        <v>0</v>
      </c>
      <c r="AT707" s="24">
        <f t="shared" ca="1" si="576"/>
        <v>0</v>
      </c>
      <c r="AU707" s="24">
        <f t="shared" ca="1" si="577"/>
        <v>0</v>
      </c>
      <c r="AV707" s="25">
        <f t="shared" ca="1" si="578"/>
        <v>0</v>
      </c>
      <c r="AW707" s="23">
        <f t="array" aca="1" ref="AW707" ca="1">SUM(IF(rcs_start_date&lt;=AO707,1,0)*IF(rcs_end_date&gt;=AO707,1,0)*rcs_amount*(1+rcs_escalation/100)^(INT((AP707-rcs_months_since_start)/12))*IF(MOD((AP707-rcs_months_since_start),rcs_frequency)=0,1,0)*IF(rcs_frequency=13,0,1))+SUM(IF(rcs_start_date=AO707,rcs_amount,0)*IF(rcs_frequency=13,1,0))</f>
        <v>0</v>
      </c>
      <c r="AX707" s="24">
        <f t="shared" ca="1" si="579"/>
        <v>0</v>
      </c>
      <c r="AY707" s="24">
        <f t="shared" ca="1" si="580"/>
        <v>0</v>
      </c>
      <c r="AZ707" s="24">
        <f t="shared" ca="1" si="581"/>
        <v>0</v>
      </c>
      <c r="BA707" s="25">
        <f t="shared" ca="1" si="582"/>
        <v>0</v>
      </c>
      <c r="BB707" s="23">
        <f t="array" aca="1" ref="BB707" ca="1">SUM(IF(w_start_date&lt;=AO707,1,0)*IF(w_end_date&gt;=AO707,1,0)*w_amount*(1+w_escalation/100)^(INT((AP707-w_months_since_start)/12))*IF(MOD(AP707-w_months_since_start,w_frequency)=0,1,0)*IF(w_frequency=13,0,1))+SUM(IF(w_start_date=AO707,w_amount,0)*IF(w_frequency=13,1,0))</f>
        <v>0</v>
      </c>
      <c r="BC707" s="25">
        <f t="shared" ca="1" si="583"/>
        <v>0</v>
      </c>
      <c r="BD707" s="24" t="b">
        <f t="shared" ca="1" si="584"/>
        <v>1</v>
      </c>
      <c r="BE707" s="24" t="b">
        <f t="shared" ca="1" si="585"/>
        <v>1</v>
      </c>
      <c r="BF707" s="23">
        <f t="array" aca="1" ref="BF707" ca="1">SUM(IF(BD707,1,0)*IF(ap_start_date&lt;=AO707,1,0)*IF(ap_end_date&gt;=AO707,1,0)*ap_amount*(1+ap_escalation/100)^(INT((AP707-ap_months_since_start)/12))*IF(MOD(AP707-ap_months_since_start,ap_frequency)=0,1,0))</f>
        <v>221123.54659740307</v>
      </c>
      <c r="BG707" s="24">
        <f t="shared" ca="1" si="586"/>
        <v>2653482.5591688366</v>
      </c>
      <c r="BH707" s="24">
        <f t="shared" ca="1" si="587"/>
        <v>699.32419453227749</v>
      </c>
      <c r="BI707">
        <f t="shared" ca="1" si="588"/>
        <v>0</v>
      </c>
      <c r="BJ707" s="24">
        <f t="shared" ca="1" si="589"/>
        <v>4895.2693617259411</v>
      </c>
      <c r="BK707">
        <f t="shared" ca="1" si="590"/>
        <v>1</v>
      </c>
      <c r="BL707" s="25">
        <f t="shared" ca="1" si="591"/>
        <v>407.93911347716181</v>
      </c>
      <c r="BM707" s="32">
        <f t="shared" ca="1" si="570"/>
        <v>26911.430788582249</v>
      </c>
      <c r="BN707" s="23">
        <f t="shared" ca="1" si="592"/>
        <v>0</v>
      </c>
      <c r="BO707" s="24">
        <f t="shared" ca="1" si="593"/>
        <v>0</v>
      </c>
      <c r="BP707" s="25">
        <f t="shared" ca="1" si="594"/>
        <v>0</v>
      </c>
      <c r="BQ707" s="34">
        <f t="shared" ca="1" si="595"/>
        <v>66931</v>
      </c>
      <c r="BR707" s="23">
        <f t="shared" ca="1" si="596"/>
        <v>26911.430788582249</v>
      </c>
      <c r="BS707" s="24">
        <f t="shared" ca="1" si="597"/>
        <v>0</v>
      </c>
      <c r="BT707" s="24">
        <f t="shared" ca="1" si="602"/>
        <v>0</v>
      </c>
      <c r="BU707" s="24">
        <f t="shared" ca="1" si="598"/>
        <v>0</v>
      </c>
      <c r="BV707" s="24">
        <f t="shared" ca="1" si="603"/>
        <v>0</v>
      </c>
      <c r="BW707" s="24">
        <f t="shared" ca="1" si="599"/>
        <v>-407.93911347716181</v>
      </c>
      <c r="BX707" s="25">
        <f t="shared" ca="1" si="604"/>
        <v>-5189.5228958543976</v>
      </c>
      <c r="BY707" s="23">
        <f t="shared" ca="1" si="571"/>
        <v>2731.0228211327426</v>
      </c>
      <c r="BZ707" s="24">
        <f t="shared" ca="1" si="572"/>
        <v>0</v>
      </c>
      <c r="CA707" s="24">
        <f t="shared" ca="1" si="605"/>
        <v>0</v>
      </c>
      <c r="CB707" s="24">
        <f t="shared" ca="1" si="573"/>
        <v>0</v>
      </c>
      <c r="CC707" s="24">
        <f t="shared" ca="1" si="606"/>
        <v>0</v>
      </c>
      <c r="CD707" s="24">
        <f t="shared" ca="1" si="574"/>
        <v>-41.533959358791542</v>
      </c>
      <c r="CE707" s="25">
        <f t="shared" ca="1" si="607"/>
        <v>-538.23377520890517</v>
      </c>
      <c r="CF707" s="23">
        <f t="shared" ca="1" si="608"/>
        <v>2593949.2966233818</v>
      </c>
      <c r="CG707" s="25">
        <f t="array" aca="1" ref="CG707" ca="1">SUM(BF696:BF707/(1+inflation/100)^(AP696:AP707/12))</f>
        <v>267980.53702225385</v>
      </c>
      <c r="CH707" s="32">
        <f ca="1">IFERROR(IF(MOD(AP707-ap_months_since_start,12)=0,ap_drawdown/100*(AQ707+AV707+BA707-BC707),CH706),0)</f>
        <v>4299.2807148804104</v>
      </c>
    </row>
    <row r="708" spans="40:86" x14ac:dyDescent="0.25">
      <c r="AN708" s="32">
        <f t="shared" ca="1" si="569"/>
        <v>113.25</v>
      </c>
      <c r="AO708" s="53">
        <f t="shared" ca="1" si="600"/>
        <v>66932</v>
      </c>
      <c r="AP708" s="22">
        <v>701</v>
      </c>
      <c r="AQ708" s="32">
        <f t="shared" ca="1" si="601"/>
        <v>26911.430788582249</v>
      </c>
      <c r="AR708" s="23">
        <f t="array" aca="1" ref="AR708" ca="1">SUM(IF(lsc_start_date=AO708,lsc_amount,0))</f>
        <v>0</v>
      </c>
      <c r="AS708" s="24">
        <f t="shared" ca="1" si="575"/>
        <v>0</v>
      </c>
      <c r="AT708" s="24">
        <f t="shared" ca="1" si="576"/>
        <v>0</v>
      </c>
      <c r="AU708" s="24">
        <f t="shared" ca="1" si="577"/>
        <v>0</v>
      </c>
      <c r="AV708" s="25">
        <f t="shared" ca="1" si="578"/>
        <v>0</v>
      </c>
      <c r="AW708" s="23">
        <f t="array" aca="1" ref="AW708" ca="1">SUM(IF(rcs_start_date&lt;=AO708,1,0)*IF(rcs_end_date&gt;=AO708,1,0)*rcs_amount*(1+rcs_escalation/100)^(INT((AP708-rcs_months_since_start)/12))*IF(MOD((AP708-rcs_months_since_start),rcs_frequency)=0,1,0)*IF(rcs_frequency=13,0,1))+SUM(IF(rcs_start_date=AO708,rcs_amount,0)*IF(rcs_frequency=13,1,0))</f>
        <v>0</v>
      </c>
      <c r="AX708" s="24">
        <f t="shared" ca="1" si="579"/>
        <v>0</v>
      </c>
      <c r="AY708" s="24">
        <f t="shared" ca="1" si="580"/>
        <v>0</v>
      </c>
      <c r="AZ708" s="24">
        <f t="shared" ca="1" si="581"/>
        <v>0</v>
      </c>
      <c r="BA708" s="25">
        <f t="shared" ca="1" si="582"/>
        <v>0</v>
      </c>
      <c r="BB708" s="23">
        <f t="array" aca="1" ref="BB708" ca="1">SUM(IF(w_start_date&lt;=AO708,1,0)*IF(w_end_date&gt;=AO708,1,0)*w_amount*(1+w_escalation/100)^(INT((AP708-w_months_since_start)/12))*IF(MOD(AP708-w_months_since_start,w_frequency)=0,1,0)*IF(w_frequency=13,0,1))+SUM(IF(w_start_date=AO708,w_amount,0)*IF(w_frequency=13,1,0))</f>
        <v>0</v>
      </c>
      <c r="BC708" s="25">
        <f t="shared" ca="1" si="583"/>
        <v>0</v>
      </c>
      <c r="BD708" s="24" t="b">
        <f t="shared" ca="1" si="584"/>
        <v>1</v>
      </c>
      <c r="BE708" s="24" t="b">
        <f t="shared" ca="1" si="585"/>
        <v>1</v>
      </c>
      <c r="BF708" s="23">
        <f t="array" aca="1" ref="BF708" ca="1">SUM(IF(BD708,1,0)*IF(ap_start_date&lt;=AO708,1,0)*IF(ap_end_date&gt;=AO708,1,0)*ap_amount*(1+ap_escalation/100)^(INT((AP708-ap_months_since_start)/12))*IF(MOD(AP708-ap_months_since_start,ap_frequency)=0,1,0))</f>
        <v>221123.54659740307</v>
      </c>
      <c r="BG708" s="24">
        <f t="shared" ca="1" si="586"/>
        <v>2653482.5591688366</v>
      </c>
      <c r="BH708" s="24">
        <f t="shared" ca="1" si="587"/>
        <v>699.32419453227749</v>
      </c>
      <c r="BI708">
        <f t="shared" ca="1" si="588"/>
        <v>0</v>
      </c>
      <c r="BJ708" s="24">
        <f t="shared" ca="1" si="589"/>
        <v>4895.2693617259411</v>
      </c>
      <c r="BK708">
        <f t="shared" ca="1" si="590"/>
        <v>1</v>
      </c>
      <c r="BL708" s="25">
        <f t="shared" ca="1" si="591"/>
        <v>407.93911347716181</v>
      </c>
      <c r="BM708" s="32">
        <f t="shared" ca="1" si="570"/>
        <v>26694.510908614109</v>
      </c>
      <c r="BN708" s="23">
        <f t="shared" ca="1" si="592"/>
        <v>0</v>
      </c>
      <c r="BO708" s="24">
        <f t="shared" ca="1" si="593"/>
        <v>0</v>
      </c>
      <c r="BP708" s="25">
        <f t="shared" ca="1" si="594"/>
        <v>0</v>
      </c>
      <c r="BQ708" s="34">
        <f t="shared" ca="1" si="595"/>
        <v>66961</v>
      </c>
      <c r="BR708" s="23">
        <f t="shared" ca="1" si="596"/>
        <v>26694.510908614109</v>
      </c>
      <c r="BS708" s="24">
        <f t="shared" ca="1" si="597"/>
        <v>0</v>
      </c>
      <c r="BT708" s="24">
        <f t="shared" ca="1" si="602"/>
        <v>0</v>
      </c>
      <c r="BU708" s="24">
        <f t="shared" ca="1" si="598"/>
        <v>0</v>
      </c>
      <c r="BV708" s="24">
        <f t="shared" ca="1" si="603"/>
        <v>0</v>
      </c>
      <c r="BW708" s="24">
        <f t="shared" ca="1" si="599"/>
        <v>-407.93911347716181</v>
      </c>
      <c r="BX708" s="25">
        <f t="shared" ca="1" si="604"/>
        <v>-5147.48667669319</v>
      </c>
      <c r="BY708" s="23">
        <f t="shared" ca="1" si="571"/>
        <v>2700.169728980019</v>
      </c>
      <c r="BZ708" s="24">
        <f t="shared" ca="1" si="572"/>
        <v>0</v>
      </c>
      <c r="CA708" s="24">
        <f t="shared" ca="1" si="605"/>
        <v>0</v>
      </c>
      <c r="CB708" s="24">
        <f t="shared" ca="1" si="573"/>
        <v>0</v>
      </c>
      <c r="CC708" s="24">
        <f t="shared" ca="1" si="606"/>
        <v>0</v>
      </c>
      <c r="CD708" s="24">
        <f t="shared" ca="1" si="574"/>
        <v>-41.398431666125511</v>
      </c>
      <c r="CE708" s="25">
        <f t="shared" ca="1" si="607"/>
        <v>-532.14128643613253</v>
      </c>
      <c r="CF708" s="23">
        <f t="shared" ca="1" si="608"/>
        <v>2602454.0484155896</v>
      </c>
      <c r="CG708" s="25">
        <f t="array" aca="1" ref="CG708" ca="1">SUM(BF697:BF708/(1+inflation/100)^(AP697:AP708/12))</f>
        <v>267980.53702225379</v>
      </c>
      <c r="CH708" s="32">
        <f ca="1">IFERROR(IF(MOD(AP708-ap_months_since_start,12)=0,ap_drawdown/100*(AQ708+AV708+BA708-BC708),CH707),0)</f>
        <v>4299.2807148804104</v>
      </c>
    </row>
    <row r="709" spans="40:86" x14ac:dyDescent="0.25">
      <c r="AN709" s="32">
        <f t="shared" ca="1" si="569"/>
        <v>113.33333333333333</v>
      </c>
      <c r="AO709" s="53">
        <f t="shared" ca="1" si="600"/>
        <v>66962</v>
      </c>
      <c r="AP709" s="22">
        <v>702</v>
      </c>
      <c r="AQ709" s="32">
        <f t="shared" ca="1" si="601"/>
        <v>26694.510908614109</v>
      </c>
      <c r="AR709" s="23">
        <f t="array" aca="1" ref="AR709" ca="1">SUM(IF(lsc_start_date=AO709,lsc_amount,0))</f>
        <v>0</v>
      </c>
      <c r="AS709" s="24">
        <f t="shared" ca="1" si="575"/>
        <v>0</v>
      </c>
      <c r="AT709" s="24">
        <f t="shared" ca="1" si="576"/>
        <v>0</v>
      </c>
      <c r="AU709" s="24">
        <f t="shared" ca="1" si="577"/>
        <v>0</v>
      </c>
      <c r="AV709" s="25">
        <f t="shared" ca="1" si="578"/>
        <v>0</v>
      </c>
      <c r="AW709" s="23">
        <f t="array" aca="1" ref="AW709" ca="1">SUM(IF(rcs_start_date&lt;=AO709,1,0)*IF(rcs_end_date&gt;=AO709,1,0)*rcs_amount*(1+rcs_escalation/100)^(INT((AP709-rcs_months_since_start)/12))*IF(MOD((AP709-rcs_months_since_start),rcs_frequency)=0,1,0)*IF(rcs_frequency=13,0,1))+SUM(IF(rcs_start_date=AO709,rcs_amount,0)*IF(rcs_frequency=13,1,0))</f>
        <v>0</v>
      </c>
      <c r="AX709" s="24">
        <f t="shared" ca="1" si="579"/>
        <v>0</v>
      </c>
      <c r="AY709" s="24">
        <f t="shared" ca="1" si="580"/>
        <v>0</v>
      </c>
      <c r="AZ709" s="24">
        <f t="shared" ca="1" si="581"/>
        <v>0</v>
      </c>
      <c r="BA709" s="25">
        <f t="shared" ca="1" si="582"/>
        <v>0</v>
      </c>
      <c r="BB709" s="23">
        <f t="array" aca="1" ref="BB709" ca="1">SUM(IF(w_start_date&lt;=AO709,1,0)*IF(w_end_date&gt;=AO709,1,0)*w_amount*(1+w_escalation/100)^(INT((AP709-w_months_since_start)/12))*IF(MOD(AP709-w_months_since_start,w_frequency)=0,1,0)*IF(w_frequency=13,0,1))+SUM(IF(w_start_date=AO709,w_amount,0)*IF(w_frequency=13,1,0))</f>
        <v>0</v>
      </c>
      <c r="BC709" s="25">
        <f t="shared" ca="1" si="583"/>
        <v>0</v>
      </c>
      <c r="BD709" s="24" t="b">
        <f t="shared" ca="1" si="584"/>
        <v>1</v>
      </c>
      <c r="BE709" s="24" t="b">
        <f t="shared" ca="1" si="585"/>
        <v>1</v>
      </c>
      <c r="BF709" s="23">
        <f t="array" aca="1" ref="BF709" ca="1">SUM(IF(BD709,1,0)*IF(ap_start_date&lt;=AO709,1,0)*IF(ap_end_date&gt;=AO709,1,0)*ap_amount*(1+ap_escalation/100)^(INT((AP709-ap_months_since_start)/12))*IF(MOD(AP709-ap_months_since_start,ap_frequency)=0,1,0))</f>
        <v>221123.54659740307</v>
      </c>
      <c r="BG709" s="24">
        <f t="shared" ca="1" si="586"/>
        <v>2653482.5591688366</v>
      </c>
      <c r="BH709" s="24">
        <f t="shared" ca="1" si="587"/>
        <v>699.32419453227749</v>
      </c>
      <c r="BI709">
        <f t="shared" ca="1" si="588"/>
        <v>0</v>
      </c>
      <c r="BJ709" s="24">
        <f t="shared" ca="1" si="589"/>
        <v>4895.2693617259411</v>
      </c>
      <c r="BK709">
        <f t="shared" ca="1" si="590"/>
        <v>1</v>
      </c>
      <c r="BL709" s="25">
        <f t="shared" ca="1" si="591"/>
        <v>407.93911347716181</v>
      </c>
      <c r="BM709" s="32">
        <f t="shared" ca="1" si="570"/>
        <v>26476.027616937339</v>
      </c>
      <c r="BN709" s="23">
        <f t="shared" ca="1" si="592"/>
        <v>0</v>
      </c>
      <c r="BO709" s="24">
        <f t="shared" ca="1" si="593"/>
        <v>0</v>
      </c>
      <c r="BP709" s="25">
        <f t="shared" ca="1" si="594"/>
        <v>0</v>
      </c>
      <c r="BQ709" s="34">
        <f t="shared" ca="1" si="595"/>
        <v>66992</v>
      </c>
      <c r="BR709" s="23">
        <f t="shared" ca="1" si="596"/>
        <v>26476.027616937339</v>
      </c>
      <c r="BS709" s="24">
        <f t="shared" ca="1" si="597"/>
        <v>0</v>
      </c>
      <c r="BT709" s="24">
        <f t="shared" ca="1" si="602"/>
        <v>0</v>
      </c>
      <c r="BU709" s="24">
        <f t="shared" ca="1" si="598"/>
        <v>0</v>
      </c>
      <c r="BV709" s="24">
        <f t="shared" ca="1" si="603"/>
        <v>0</v>
      </c>
      <c r="BW709" s="24">
        <f t="shared" ca="1" si="599"/>
        <v>-407.93911347716181</v>
      </c>
      <c r="BX709" s="25">
        <f t="shared" ca="1" si="604"/>
        <v>-5105.4504575319816</v>
      </c>
      <c r="BY709" s="23">
        <f t="shared" ca="1" si="571"/>
        <v>2669.3312847212378</v>
      </c>
      <c r="BZ709" s="24">
        <f t="shared" ca="1" si="572"/>
        <v>0</v>
      </c>
      <c r="CA709" s="24">
        <f t="shared" ca="1" si="605"/>
        <v>0</v>
      </c>
      <c r="CB709" s="24">
        <f t="shared" ca="1" si="573"/>
        <v>0</v>
      </c>
      <c r="CC709" s="24">
        <f t="shared" ca="1" si="606"/>
        <v>0</v>
      </c>
      <c r="CD709" s="24">
        <f t="shared" ca="1" si="574"/>
        <v>-41.263346208097424</v>
      </c>
      <c r="CE709" s="25">
        <f t="shared" ca="1" si="607"/>
        <v>-526.06867780382129</v>
      </c>
      <c r="CF709" s="23">
        <f t="shared" ca="1" si="608"/>
        <v>2610958.8002077974</v>
      </c>
      <c r="CG709" s="25">
        <f t="array" aca="1" ref="CG709" ca="1">SUM(BF698:BF709/(1+inflation/100)^(AP698:AP709/12))</f>
        <v>267980.53702225379</v>
      </c>
      <c r="CH709" s="32">
        <f ca="1">IFERROR(IF(MOD(AP709-ap_months_since_start,12)=0,ap_drawdown/100*(AQ709+AV709+BA709-BC709),CH708),0)</f>
        <v>4299.2807148804104</v>
      </c>
    </row>
    <row r="710" spans="40:86" x14ac:dyDescent="0.25">
      <c r="AN710" s="32">
        <f t="shared" ca="1" si="569"/>
        <v>113.41666666666667</v>
      </c>
      <c r="AO710" s="53">
        <f t="shared" ca="1" si="600"/>
        <v>66993</v>
      </c>
      <c r="AP710" s="22">
        <v>703</v>
      </c>
      <c r="AQ710" s="32">
        <f t="shared" ca="1" si="601"/>
        <v>26476.027616937339</v>
      </c>
      <c r="AR710" s="23">
        <f t="array" aca="1" ref="AR710" ca="1">SUM(IF(lsc_start_date=AO710,lsc_amount,0))</f>
        <v>0</v>
      </c>
      <c r="AS710" s="24">
        <f t="shared" ca="1" si="575"/>
        <v>0</v>
      </c>
      <c r="AT710" s="24">
        <f t="shared" ca="1" si="576"/>
        <v>0</v>
      </c>
      <c r="AU710" s="24">
        <f t="shared" ca="1" si="577"/>
        <v>0</v>
      </c>
      <c r="AV710" s="25">
        <f t="shared" ca="1" si="578"/>
        <v>0</v>
      </c>
      <c r="AW710" s="23">
        <f t="array" aca="1" ref="AW710" ca="1">SUM(IF(rcs_start_date&lt;=AO710,1,0)*IF(rcs_end_date&gt;=AO710,1,0)*rcs_amount*(1+rcs_escalation/100)^(INT((AP710-rcs_months_since_start)/12))*IF(MOD((AP710-rcs_months_since_start),rcs_frequency)=0,1,0)*IF(rcs_frequency=13,0,1))+SUM(IF(rcs_start_date=AO710,rcs_amount,0)*IF(rcs_frequency=13,1,0))</f>
        <v>0</v>
      </c>
      <c r="AX710" s="24">
        <f t="shared" ca="1" si="579"/>
        <v>0</v>
      </c>
      <c r="AY710" s="24">
        <f t="shared" ca="1" si="580"/>
        <v>0</v>
      </c>
      <c r="AZ710" s="24">
        <f t="shared" ca="1" si="581"/>
        <v>0</v>
      </c>
      <c r="BA710" s="25">
        <f t="shared" ca="1" si="582"/>
        <v>0</v>
      </c>
      <c r="BB710" s="23">
        <f t="array" aca="1" ref="BB710" ca="1">SUM(IF(w_start_date&lt;=AO710,1,0)*IF(w_end_date&gt;=AO710,1,0)*w_amount*(1+w_escalation/100)^(INT((AP710-w_months_since_start)/12))*IF(MOD(AP710-w_months_since_start,w_frequency)=0,1,0)*IF(w_frequency=13,0,1))+SUM(IF(w_start_date=AO710,w_amount,0)*IF(w_frequency=13,1,0))</f>
        <v>0</v>
      </c>
      <c r="BC710" s="25">
        <f t="shared" ca="1" si="583"/>
        <v>0</v>
      </c>
      <c r="BD710" s="24" t="b">
        <f t="shared" ca="1" si="584"/>
        <v>1</v>
      </c>
      <c r="BE710" s="24" t="b">
        <f t="shared" ca="1" si="585"/>
        <v>1</v>
      </c>
      <c r="BF710" s="23">
        <f t="array" aca="1" ref="BF710" ca="1">SUM(IF(BD710,1,0)*IF(ap_start_date&lt;=AO710,1,0)*IF(ap_end_date&gt;=AO710,1,0)*ap_amount*(1+ap_escalation/100)^(INT((AP710-ap_months_since_start)/12))*IF(MOD(AP710-ap_months_since_start,ap_frequency)=0,1,0))</f>
        <v>221123.54659740307</v>
      </c>
      <c r="BG710" s="24">
        <f t="shared" ca="1" si="586"/>
        <v>2653482.5591688366</v>
      </c>
      <c r="BH710" s="24">
        <f t="shared" ca="1" si="587"/>
        <v>699.32419453227749</v>
      </c>
      <c r="BI710">
        <f t="shared" ca="1" si="588"/>
        <v>0</v>
      </c>
      <c r="BJ710" s="24">
        <f t="shared" ca="1" si="589"/>
        <v>4895.2693617259411</v>
      </c>
      <c r="BK710">
        <f t="shared" ca="1" si="590"/>
        <v>1</v>
      </c>
      <c r="BL710" s="25">
        <f t="shared" ca="1" si="591"/>
        <v>407.93911347716181</v>
      </c>
      <c r="BM710" s="32">
        <f t="shared" ca="1" si="570"/>
        <v>26255.969645538284</v>
      </c>
      <c r="BN710" s="23">
        <f t="shared" ca="1" si="592"/>
        <v>0</v>
      </c>
      <c r="BO710" s="24">
        <f t="shared" ca="1" si="593"/>
        <v>0</v>
      </c>
      <c r="BP710" s="25">
        <f t="shared" ca="1" si="594"/>
        <v>0</v>
      </c>
      <c r="BQ710" s="34">
        <f t="shared" ca="1" si="595"/>
        <v>67022</v>
      </c>
      <c r="BR710" s="23">
        <f t="shared" ca="1" si="596"/>
        <v>26255.969645538284</v>
      </c>
      <c r="BS710" s="24">
        <f t="shared" ca="1" si="597"/>
        <v>0</v>
      </c>
      <c r="BT710" s="24">
        <f t="shared" ca="1" si="602"/>
        <v>0</v>
      </c>
      <c r="BU710" s="24">
        <f t="shared" ca="1" si="598"/>
        <v>0</v>
      </c>
      <c r="BV710" s="24">
        <f t="shared" ca="1" si="603"/>
        <v>0</v>
      </c>
      <c r="BW710" s="24">
        <f t="shared" ca="1" si="599"/>
        <v>-407.93911347716181</v>
      </c>
      <c r="BX710" s="25">
        <f t="shared" ca="1" si="604"/>
        <v>-5063.414238370774</v>
      </c>
      <c r="BY710" s="23">
        <f t="shared" ca="1" si="571"/>
        <v>2638.5071032672681</v>
      </c>
      <c r="BZ710" s="24">
        <f t="shared" ca="1" si="572"/>
        <v>0</v>
      </c>
      <c r="CA710" s="24">
        <f t="shared" ca="1" si="605"/>
        <v>0</v>
      </c>
      <c r="CB710" s="24">
        <f t="shared" ca="1" si="573"/>
        <v>0</v>
      </c>
      <c r="CC710" s="24">
        <f t="shared" ca="1" si="606"/>
        <v>0</v>
      </c>
      <c r="CD710" s="24">
        <f t="shared" ca="1" si="574"/>
        <v>-41.12870154167026</v>
      </c>
      <c r="CE710" s="25">
        <f t="shared" ca="1" si="607"/>
        <v>-520.01588444193226</v>
      </c>
      <c r="CF710" s="23">
        <f t="shared" ca="1" si="608"/>
        <v>2619463.5520000053</v>
      </c>
      <c r="CG710" s="25">
        <f t="array" aca="1" ref="CG710" ca="1">SUM(BF699:BF710/(1+inflation/100)^(AP699:AP710/12))</f>
        <v>267980.53702225379</v>
      </c>
      <c r="CH710" s="32">
        <f ca="1">IFERROR(IF(MOD(AP710-ap_months_since_start,12)=0,ap_drawdown/100*(AQ710+AV710+BA710-BC710),CH709),0)</f>
        <v>4299.2807148804104</v>
      </c>
    </row>
    <row r="711" spans="40:86" x14ac:dyDescent="0.25">
      <c r="AN711" s="32">
        <f t="shared" ca="1" si="569"/>
        <v>113.5</v>
      </c>
      <c r="AO711" s="53">
        <f t="shared" ca="1" si="600"/>
        <v>67023</v>
      </c>
      <c r="AP711" s="22">
        <v>704</v>
      </c>
      <c r="AQ711" s="32">
        <f t="shared" ca="1" si="601"/>
        <v>26255.969645538284</v>
      </c>
      <c r="AR711" s="23">
        <f t="array" aca="1" ref="AR711" ca="1">SUM(IF(lsc_start_date=AO711,lsc_amount,0))</f>
        <v>0</v>
      </c>
      <c r="AS711" s="24">
        <f t="shared" ca="1" si="575"/>
        <v>0</v>
      </c>
      <c r="AT711" s="24">
        <f t="shared" ca="1" si="576"/>
        <v>0</v>
      </c>
      <c r="AU711" s="24">
        <f t="shared" ca="1" si="577"/>
        <v>0</v>
      </c>
      <c r="AV711" s="25">
        <f t="shared" ca="1" si="578"/>
        <v>0</v>
      </c>
      <c r="AW711" s="23">
        <f t="array" aca="1" ref="AW711" ca="1">SUM(IF(rcs_start_date&lt;=AO711,1,0)*IF(rcs_end_date&gt;=AO711,1,0)*rcs_amount*(1+rcs_escalation/100)^(INT((AP711-rcs_months_since_start)/12))*IF(MOD((AP711-rcs_months_since_start),rcs_frequency)=0,1,0)*IF(rcs_frequency=13,0,1))+SUM(IF(rcs_start_date=AO711,rcs_amount,0)*IF(rcs_frequency=13,1,0))</f>
        <v>0</v>
      </c>
      <c r="AX711" s="24">
        <f t="shared" ca="1" si="579"/>
        <v>0</v>
      </c>
      <c r="AY711" s="24">
        <f t="shared" ca="1" si="580"/>
        <v>0</v>
      </c>
      <c r="AZ711" s="24">
        <f t="shared" ca="1" si="581"/>
        <v>0</v>
      </c>
      <c r="BA711" s="25">
        <f t="shared" ca="1" si="582"/>
        <v>0</v>
      </c>
      <c r="BB711" s="23">
        <f t="array" aca="1" ref="BB711" ca="1">SUM(IF(w_start_date&lt;=AO711,1,0)*IF(w_end_date&gt;=AO711,1,0)*w_amount*(1+w_escalation/100)^(INT((AP711-w_months_since_start)/12))*IF(MOD(AP711-w_months_since_start,w_frequency)=0,1,0)*IF(w_frequency=13,0,1))+SUM(IF(w_start_date=AO711,w_amount,0)*IF(w_frequency=13,1,0))</f>
        <v>0</v>
      </c>
      <c r="BC711" s="25">
        <f t="shared" ca="1" si="583"/>
        <v>0</v>
      </c>
      <c r="BD711" s="24" t="b">
        <f t="shared" ca="1" si="584"/>
        <v>1</v>
      </c>
      <c r="BE711" s="24" t="b">
        <f t="shared" ca="1" si="585"/>
        <v>1</v>
      </c>
      <c r="BF711" s="23">
        <f t="array" aca="1" ref="BF711" ca="1">SUM(IF(BD711,1,0)*IF(ap_start_date&lt;=AO711,1,0)*IF(ap_end_date&gt;=AO711,1,0)*ap_amount*(1+ap_escalation/100)^(INT((AP711-ap_months_since_start)/12))*IF(MOD(AP711-ap_months_since_start,ap_frequency)=0,1,0))</f>
        <v>221123.54659740307</v>
      </c>
      <c r="BG711" s="24">
        <f t="shared" ca="1" si="586"/>
        <v>2653482.5591688366</v>
      </c>
      <c r="BH711" s="24">
        <f t="shared" ca="1" si="587"/>
        <v>699.32419453227749</v>
      </c>
      <c r="BI711">
        <f t="shared" ca="1" si="588"/>
        <v>0</v>
      </c>
      <c r="BJ711" s="24">
        <f t="shared" ca="1" si="589"/>
        <v>4895.2693617259411</v>
      </c>
      <c r="BK711">
        <f t="shared" ca="1" si="590"/>
        <v>1</v>
      </c>
      <c r="BL711" s="25">
        <f t="shared" ca="1" si="591"/>
        <v>407.93911347716181</v>
      </c>
      <c r="BM711" s="32">
        <f t="shared" ca="1" si="570"/>
        <v>26034.32564519106</v>
      </c>
      <c r="BN711" s="23">
        <f t="shared" ca="1" si="592"/>
        <v>0</v>
      </c>
      <c r="BO711" s="24">
        <f t="shared" ca="1" si="593"/>
        <v>0</v>
      </c>
      <c r="BP711" s="25">
        <f t="shared" ca="1" si="594"/>
        <v>0</v>
      </c>
      <c r="BQ711" s="34">
        <f t="shared" ca="1" si="595"/>
        <v>67053</v>
      </c>
      <c r="BR711" s="23">
        <f t="shared" ca="1" si="596"/>
        <v>26034.32564519106</v>
      </c>
      <c r="BS711" s="24">
        <f t="shared" ca="1" si="597"/>
        <v>0</v>
      </c>
      <c r="BT711" s="24">
        <f t="shared" ca="1" si="602"/>
        <v>0</v>
      </c>
      <c r="BU711" s="24">
        <f t="shared" ca="1" si="598"/>
        <v>0</v>
      </c>
      <c r="BV711" s="24">
        <f t="shared" ca="1" si="603"/>
        <v>0</v>
      </c>
      <c r="BW711" s="24">
        <f t="shared" ca="1" si="599"/>
        <v>-407.93911347716181</v>
      </c>
      <c r="BX711" s="25">
        <f t="shared" ca="1" si="604"/>
        <v>-5021.3780192095655</v>
      </c>
      <c r="BY711" s="23">
        <f t="shared" ca="1" si="571"/>
        <v>2607.6967994631073</v>
      </c>
      <c r="BZ711" s="24">
        <f t="shared" ca="1" si="572"/>
        <v>0</v>
      </c>
      <c r="CA711" s="24">
        <f t="shared" ca="1" si="605"/>
        <v>0</v>
      </c>
      <c r="CB711" s="24">
        <f t="shared" ca="1" si="573"/>
        <v>0</v>
      </c>
      <c r="CC711" s="24">
        <f t="shared" ca="1" si="606"/>
        <v>0</v>
      </c>
      <c r="CD711" s="24">
        <f t="shared" ca="1" si="574"/>
        <v>-40.994496228515764</v>
      </c>
      <c r="CE711" s="25">
        <f t="shared" ca="1" si="607"/>
        <v>-513.98284169210115</v>
      </c>
      <c r="CF711" s="23">
        <f t="shared" ca="1" si="608"/>
        <v>2627968.3037922131</v>
      </c>
      <c r="CG711" s="25">
        <f t="array" aca="1" ref="CG711" ca="1">SUM(BF700:BF711/(1+inflation/100)^(AP700:AP711/12))</f>
        <v>267980.53702225385</v>
      </c>
      <c r="CH711" s="32">
        <f ca="1">IFERROR(IF(MOD(AP711-ap_months_since_start,12)=0,ap_drawdown/100*(AQ711+AV711+BA711-BC711),CH710),0)</f>
        <v>4299.2807148804104</v>
      </c>
    </row>
    <row r="712" spans="40:86" x14ac:dyDescent="0.25">
      <c r="AN712" s="32">
        <f t="shared" ref="AN712:AN775" ca="1" si="609">IF(AND(Date_of_birth&lt;&gt;"",Date_of_birth&lt;&gt;"Please enter date of birth"),YEARFRAC(Date_of_birth,AO712),AP712/12)</f>
        <v>113.58333333333333</v>
      </c>
      <c r="AO712" s="53">
        <f t="shared" ca="1" si="600"/>
        <v>67054</v>
      </c>
      <c r="AP712" s="22">
        <v>705</v>
      </c>
      <c r="AQ712" s="32">
        <f t="shared" ca="1" si="601"/>
        <v>26034.32564519106</v>
      </c>
      <c r="AR712" s="23">
        <f t="array" aca="1" ref="AR712" ca="1">SUM(IF(lsc_start_date=AO712,lsc_amount,0))</f>
        <v>0</v>
      </c>
      <c r="AS712" s="24">
        <f t="shared" ca="1" si="575"/>
        <v>0</v>
      </c>
      <c r="AT712" s="24">
        <f t="shared" ca="1" si="576"/>
        <v>0</v>
      </c>
      <c r="AU712" s="24">
        <f t="shared" ca="1" si="577"/>
        <v>0</v>
      </c>
      <c r="AV712" s="25">
        <f t="shared" ca="1" si="578"/>
        <v>0</v>
      </c>
      <c r="AW712" s="23">
        <f t="array" aca="1" ref="AW712" ca="1">SUM(IF(rcs_start_date&lt;=AO712,1,0)*IF(rcs_end_date&gt;=AO712,1,0)*rcs_amount*(1+rcs_escalation/100)^(INT((AP712-rcs_months_since_start)/12))*IF(MOD((AP712-rcs_months_since_start),rcs_frequency)=0,1,0)*IF(rcs_frequency=13,0,1))+SUM(IF(rcs_start_date=AO712,rcs_amount,0)*IF(rcs_frequency=13,1,0))</f>
        <v>0</v>
      </c>
      <c r="AX712" s="24">
        <f t="shared" ca="1" si="579"/>
        <v>0</v>
      </c>
      <c r="AY712" s="24">
        <f t="shared" ca="1" si="580"/>
        <v>0</v>
      </c>
      <c r="AZ712" s="24">
        <f t="shared" ca="1" si="581"/>
        <v>0</v>
      </c>
      <c r="BA712" s="25">
        <f t="shared" ca="1" si="582"/>
        <v>0</v>
      </c>
      <c r="BB712" s="23">
        <f t="array" aca="1" ref="BB712" ca="1">SUM(IF(w_start_date&lt;=AO712,1,0)*IF(w_end_date&gt;=AO712,1,0)*w_amount*(1+w_escalation/100)^(INT((AP712-w_months_since_start)/12))*IF(MOD(AP712-w_months_since_start,w_frequency)=0,1,0)*IF(w_frequency=13,0,1))+SUM(IF(w_start_date=AO712,w_amount,0)*IF(w_frequency=13,1,0))</f>
        <v>0</v>
      </c>
      <c r="BC712" s="25">
        <f t="shared" ca="1" si="583"/>
        <v>0</v>
      </c>
      <c r="BD712" s="24" t="b">
        <f t="shared" ca="1" si="584"/>
        <v>1</v>
      </c>
      <c r="BE712" s="24" t="b">
        <f t="shared" ca="1" si="585"/>
        <v>1</v>
      </c>
      <c r="BF712" s="23">
        <f t="array" aca="1" ref="BF712" ca="1">SUM(IF(BD712,1,0)*IF(ap_start_date&lt;=AO712,1,0)*IF(ap_end_date&gt;=AO712,1,0)*ap_amount*(1+ap_escalation/100)^(INT((AP712-ap_months_since_start)/12))*IF(MOD(AP712-ap_months_since_start,ap_frequency)=0,1,0))</f>
        <v>221123.54659740307</v>
      </c>
      <c r="BG712" s="24">
        <f t="shared" ca="1" si="586"/>
        <v>2653482.5591688366</v>
      </c>
      <c r="BH712" s="24">
        <f t="shared" ca="1" si="587"/>
        <v>699.32419453227749</v>
      </c>
      <c r="BI712">
        <f t="shared" ca="1" si="588"/>
        <v>0</v>
      </c>
      <c r="BJ712" s="24">
        <f t="shared" ca="1" si="589"/>
        <v>4895.2693617259411</v>
      </c>
      <c r="BK712">
        <f t="shared" ca="1" si="590"/>
        <v>1</v>
      </c>
      <c r="BL712" s="25">
        <f t="shared" ca="1" si="591"/>
        <v>407.93911347716181</v>
      </c>
      <c r="BM712" s="32">
        <f t="shared" ref="BM712:BM775" ca="1" si="610">(AQ712+AV712+BA712-BC712-BL712)*(1+NomRetn/100)^(1/12)</f>
        <v>25811.084184872252</v>
      </c>
      <c r="BN712" s="23">
        <f t="shared" ca="1" si="592"/>
        <v>0</v>
      </c>
      <c r="BO712" s="24">
        <f t="shared" ca="1" si="593"/>
        <v>0</v>
      </c>
      <c r="BP712" s="25">
        <f t="shared" ca="1" si="594"/>
        <v>0</v>
      </c>
      <c r="BQ712" s="34">
        <f t="shared" ca="1" si="595"/>
        <v>67084</v>
      </c>
      <c r="BR712" s="23">
        <f t="shared" ca="1" si="596"/>
        <v>25811.084184872252</v>
      </c>
      <c r="BS712" s="24">
        <f t="shared" ca="1" si="597"/>
        <v>0</v>
      </c>
      <c r="BT712" s="24">
        <f t="shared" ca="1" si="602"/>
        <v>0</v>
      </c>
      <c r="BU712" s="24">
        <f t="shared" ca="1" si="598"/>
        <v>0</v>
      </c>
      <c r="BV712" s="24">
        <f t="shared" ca="1" si="603"/>
        <v>0</v>
      </c>
      <c r="BW712" s="24">
        <f t="shared" ca="1" si="599"/>
        <v>-407.93911347716181</v>
      </c>
      <c r="BX712" s="25">
        <f t="shared" ca="1" si="604"/>
        <v>-4979.341800048358</v>
      </c>
      <c r="BY712" s="23">
        <f t="shared" ref="BY712:BY775" ca="1" si="611">BR712*(1+inflation/100)^(-$AP712/12)</f>
        <v>2576.8999880829124</v>
      </c>
      <c r="BZ712" s="24">
        <f t="shared" ref="BZ712:BZ775" ca="1" si="612">BS712*(1+inflation/100)^(-(AP712-1)/12)</f>
        <v>0</v>
      </c>
      <c r="CA712" s="24">
        <f t="shared" ca="1" si="605"/>
        <v>0</v>
      </c>
      <c r="CB712" s="24">
        <f t="shared" ref="CB712:CB775" ca="1" si="613">BU712*(1+inflation/100)^(-($AP712-1)/12)</f>
        <v>0</v>
      </c>
      <c r="CC712" s="24">
        <f t="shared" ca="1" si="606"/>
        <v>0</v>
      </c>
      <c r="CD712" s="24">
        <f t="shared" ref="CD712:CD775" ca="1" si="614">BW712*(1+inflation/100)^(-($AP712-1)/12)</f>
        <v>-40.860728834998994</v>
      </c>
      <c r="CE712" s="25">
        <f t="shared" ca="1" si="607"/>
        <v>-507.96948510694727</v>
      </c>
      <c r="CF712" s="23">
        <f t="shared" ca="1" si="608"/>
        <v>2636473.0555844209</v>
      </c>
      <c r="CG712" s="25">
        <f t="array" aca="1" ref="CG712" ca="1">SUM(BF701:BF712/(1+inflation/100)^(AP701:AP712/12))</f>
        <v>267980.53702225385</v>
      </c>
      <c r="CH712" s="32">
        <f ca="1">IFERROR(IF(MOD(AP712-ap_months_since_start,12)=0,ap_drawdown/100*(AQ712+AV712+BA712-BC712),CH711),0)</f>
        <v>4299.2807148804104</v>
      </c>
    </row>
    <row r="713" spans="40:86" x14ac:dyDescent="0.25">
      <c r="AN713" s="32">
        <f t="shared" ca="1" si="609"/>
        <v>113.66666666666667</v>
      </c>
      <c r="AO713" s="53">
        <f t="shared" ca="1" si="600"/>
        <v>67085</v>
      </c>
      <c r="AP713" s="22">
        <v>706</v>
      </c>
      <c r="AQ713" s="32">
        <f t="shared" ca="1" si="601"/>
        <v>25811.084184872252</v>
      </c>
      <c r="AR713" s="23">
        <f t="array" aca="1" ref="AR713" ca="1">SUM(IF(lsc_start_date=AO713,lsc_amount,0))</f>
        <v>0</v>
      </c>
      <c r="AS713" s="24">
        <f t="shared" ref="AS713:AS776" ca="1" si="615">AR713*$D$34/100</f>
        <v>0</v>
      </c>
      <c r="AT713" s="24">
        <f t="shared" ref="AT713:AT776" ca="1" si="616">AR713*$D$33/100</f>
        <v>0</v>
      </c>
      <c r="AU713" s="24">
        <f t="shared" ref="AU713:AU776" ca="1" si="617">AR713*$D$35/100</f>
        <v>0</v>
      </c>
      <c r="AV713" s="25">
        <f t="shared" ref="AV713:AV776" ca="1" si="618">AR713-AS713-AT713-AU713</f>
        <v>0</v>
      </c>
      <c r="AW713" s="23">
        <f t="array" aca="1" ref="AW713" ca="1">SUM(IF(rcs_start_date&lt;=AO713,1,0)*IF(rcs_end_date&gt;=AO713,1,0)*rcs_amount*(1+rcs_escalation/100)^(INT((AP713-rcs_months_since_start)/12))*IF(MOD((AP713-rcs_months_since_start),rcs_frequency)=0,1,0)*IF(rcs_frequency=13,0,1))+SUM(IF(rcs_start_date=AO713,rcs_amount,0)*IF(rcs_frequency=13,1,0))</f>
        <v>0</v>
      </c>
      <c r="AX713" s="24">
        <f t="shared" ref="AX713:AX776" ca="1" si="619">AW713*$D$34/100</f>
        <v>0</v>
      </c>
      <c r="AY713" s="24">
        <f t="shared" ref="AY713:AY776" ca="1" si="620">AW713*$D$33/100</f>
        <v>0</v>
      </c>
      <c r="AZ713" s="24">
        <f t="shared" ref="AZ713:AZ776" ca="1" si="621">AW713*$D$35/100</f>
        <v>0</v>
      </c>
      <c r="BA713" s="25">
        <f t="shared" ref="BA713:BA776" ca="1" si="622">AW713-AX713-AY713-AZ713</f>
        <v>0</v>
      </c>
      <c r="BB713" s="23">
        <f t="array" aca="1" ref="BB713" ca="1">SUM(IF(w_start_date&lt;=AO713,1,0)*IF(w_end_date&gt;=AO713,1,0)*w_amount*(1+w_escalation/100)^(INT((AP713-w_months_since_start)/12))*IF(MOD(AP713-w_months_since_start,w_frequency)=0,1,0)*IF(w_frequency=13,0,1))+SUM(IF(w_start_date=AO713,w_amount,0)*IF(w_frequency=13,1,0))</f>
        <v>0</v>
      </c>
      <c r="BC713" s="25">
        <f t="shared" ref="BC713:BC776" ca="1" si="623">IF(BB713&gt;AQ713+AV713+BA713,AQ713+AV713+BA713,BB713)</f>
        <v>0</v>
      </c>
      <c r="BD713" s="24" t="b">
        <f t="shared" ref="BD713:BD776" ca="1" si="624">AND($DV$11&lt;=AO713,$DV$11&lt;&gt;0)</f>
        <v>1</v>
      </c>
      <c r="BE713" s="24" t="b">
        <f t="shared" ref="BE713:BE776" ca="1" si="625">$DW$11&lt;&gt;""</f>
        <v>1</v>
      </c>
      <c r="BF713" s="23">
        <f t="array" aca="1" ref="BF713" ca="1">SUM(IF(BD713,1,0)*IF(ap_start_date&lt;=AO713,1,0)*IF(ap_end_date&gt;=AO713,1,0)*ap_amount*(1+ap_escalation/100)^(INT((AP713-ap_months_since_start)/12))*IF(MOD(AP713-ap_months_since_start,ap_frequency)=0,1,0))</f>
        <v>221123.54659740307</v>
      </c>
      <c r="BG713" s="24">
        <f t="shared" ref="BG713:BG776" ca="1" si="626">IF(MOD(YEAR(AO713)*12+MONTH(AO713)-YEAR(Earliest_annuity_payment)*12-MONTH(Earliest_annuity_payment),12)=0,SUM(BF713:BF724),BG712)</f>
        <v>2653482.5591688366</v>
      </c>
      <c r="BH713" s="24">
        <f t="shared" ref="BH713:BH776" ca="1" si="627">IF(AO713&gt;=Earliest_annuity_payment,IF(MOD(YEAR(AO713)*12+MONTH(AO713)-YEAR(Earliest_annuity_payment)*12-MONTH(Earliest_annuity_payment),12)=0,(AQ713+AV713+BA713-BC713)*Annuity_min,BH712),0)</f>
        <v>699.32419453227749</v>
      </c>
      <c r="BI713">
        <f t="shared" ref="BI713:BI776" ca="1" si="628">IF(AND(BH713&gt;BG713,BD713),1,0)</f>
        <v>0</v>
      </c>
      <c r="BJ713" s="24">
        <f t="shared" ref="BJ713:BJ776" ca="1" si="629">IF(AO713&gt;=Earliest_annuity_payment,IF(MOD(YEAR(AO713)*12+MONTH(AO713)-YEAR(Earliest_annuity_payment)*12-MONTH(Earliest_annuity_payment),12)=0,(AQ713+AV713+BA713-BC713)*Annuity_cap,BJ712),0)</f>
        <v>4895.2693617259411</v>
      </c>
      <c r="BK713">
        <f t="shared" ref="BK713:BK776" ca="1" si="630">IF(BJ713&lt;BG713,1,0)</f>
        <v>1</v>
      </c>
      <c r="BL713" s="25">
        <f t="shared" ref="BL713:BL776" ca="1" si="631">IF(BJ713&lt;BG713,BF713/BG713*BJ713,IF(AND(BH713&gt;BG713,BG713&lt;&gt;0),BF713/BG713*BH713,BF713))</f>
        <v>407.93911347716181</v>
      </c>
      <c r="BM713" s="32">
        <f t="shared" ca="1" si="610"/>
        <v>25586.233751171359</v>
      </c>
      <c r="BN713" s="23">
        <f t="shared" ref="BN713:BN776" ca="1" si="632">BM713*$E$34/1200</f>
        <v>0</v>
      </c>
      <c r="BO713" s="24">
        <f t="shared" ref="BO713:BO776" ca="1" si="633">BM713*$E$33/1200</f>
        <v>0</v>
      </c>
      <c r="BP713" s="25">
        <f t="shared" ref="BP713:BP776" ca="1" si="634">BM713*$E$35/1200</f>
        <v>0</v>
      </c>
      <c r="BQ713" s="34">
        <f t="shared" ref="BQ713:BQ776" ca="1" si="635">EOMONTH(AO713,0)</f>
        <v>67114</v>
      </c>
      <c r="BR713" s="23">
        <f t="shared" ref="BR713:BR776" ca="1" si="636">BM713-BN713-BO713-BP713</f>
        <v>25586.233751171359</v>
      </c>
      <c r="BS713" s="24">
        <f t="shared" ref="BS713:BS776" ca="1" si="637">AV713+BA713</f>
        <v>0</v>
      </c>
      <c r="BT713" s="24">
        <f t="shared" ca="1" si="602"/>
        <v>0</v>
      </c>
      <c r="BU713" s="24">
        <f t="shared" ref="BU713:BU776" ca="1" si="638">-BC713</f>
        <v>0</v>
      </c>
      <c r="BV713" s="24">
        <f t="shared" ca="1" si="603"/>
        <v>0</v>
      </c>
      <c r="BW713" s="24">
        <f t="shared" ref="BW713:BW776" ca="1" si="639">-BL713</f>
        <v>-407.93911347716181</v>
      </c>
      <c r="BX713" s="25">
        <f t="shared" ca="1" si="604"/>
        <v>-4937.3055808871504</v>
      </c>
      <c r="BY713" s="23">
        <f t="shared" ca="1" si="611"/>
        <v>2546.116283825027</v>
      </c>
      <c r="BZ713" s="24">
        <f t="shared" ca="1" si="612"/>
        <v>0</v>
      </c>
      <c r="CA713" s="24">
        <f t="shared" ca="1" si="605"/>
        <v>0</v>
      </c>
      <c r="CB713" s="24">
        <f t="shared" ca="1" si="613"/>
        <v>0</v>
      </c>
      <c r="CC713" s="24">
        <f t="shared" ca="1" si="606"/>
        <v>0</v>
      </c>
      <c r="CD713" s="24">
        <f t="shared" ca="1" si="614"/>
        <v>-40.727397932163036</v>
      </c>
      <c r="CE713" s="25">
        <f t="shared" ca="1" si="607"/>
        <v>-501.97575044938588</v>
      </c>
      <c r="CF713" s="23">
        <f t="shared" ca="1" si="608"/>
        <v>2644977.8073766287</v>
      </c>
      <c r="CG713" s="25">
        <f t="array" aca="1" ref="CG713" ca="1">SUM(BF702:BF713/(1+inflation/100)^(AP702:AP713/12))</f>
        <v>267980.53702225379</v>
      </c>
      <c r="CH713" s="32">
        <f ca="1">IFERROR(IF(MOD(AP713-ap_months_since_start,12)=0,ap_drawdown/100*(AQ713+AV713+BA713-BC713),CH712),0)</f>
        <v>4299.2807148804104</v>
      </c>
    </row>
    <row r="714" spans="40:86" x14ac:dyDescent="0.25">
      <c r="AN714" s="32">
        <f t="shared" ca="1" si="609"/>
        <v>113.75</v>
      </c>
      <c r="AO714" s="53">
        <f t="shared" ref="AO714:AO777" ca="1" si="640">DATE(YEAR(AO713),MONTH(AO713)+1,1)</f>
        <v>67115</v>
      </c>
      <c r="AP714" s="22">
        <v>707</v>
      </c>
      <c r="AQ714" s="32">
        <f t="shared" ref="AQ714:AQ777" ca="1" si="641">IF(BR713&lt;0,0,BR713)</f>
        <v>25586.233751171359</v>
      </c>
      <c r="AR714" s="23">
        <f t="array" aca="1" ref="AR714" ca="1">SUM(IF(lsc_start_date=AO714,lsc_amount,0))</f>
        <v>0</v>
      </c>
      <c r="AS714" s="24">
        <f t="shared" ca="1" si="615"/>
        <v>0</v>
      </c>
      <c r="AT714" s="24">
        <f t="shared" ca="1" si="616"/>
        <v>0</v>
      </c>
      <c r="AU714" s="24">
        <f t="shared" ca="1" si="617"/>
        <v>0</v>
      </c>
      <c r="AV714" s="25">
        <f t="shared" ca="1" si="618"/>
        <v>0</v>
      </c>
      <c r="AW714" s="23">
        <f t="array" aca="1" ref="AW714" ca="1">SUM(IF(rcs_start_date&lt;=AO714,1,0)*IF(rcs_end_date&gt;=AO714,1,0)*rcs_amount*(1+rcs_escalation/100)^(INT((AP714-rcs_months_since_start)/12))*IF(MOD((AP714-rcs_months_since_start),rcs_frequency)=0,1,0)*IF(rcs_frequency=13,0,1))+SUM(IF(rcs_start_date=AO714,rcs_amount,0)*IF(rcs_frequency=13,1,0))</f>
        <v>0</v>
      </c>
      <c r="AX714" s="24">
        <f t="shared" ca="1" si="619"/>
        <v>0</v>
      </c>
      <c r="AY714" s="24">
        <f t="shared" ca="1" si="620"/>
        <v>0</v>
      </c>
      <c r="AZ714" s="24">
        <f t="shared" ca="1" si="621"/>
        <v>0</v>
      </c>
      <c r="BA714" s="25">
        <f t="shared" ca="1" si="622"/>
        <v>0</v>
      </c>
      <c r="BB714" s="23">
        <f t="array" aca="1" ref="BB714" ca="1">SUM(IF(w_start_date&lt;=AO714,1,0)*IF(w_end_date&gt;=AO714,1,0)*w_amount*(1+w_escalation/100)^(INT((AP714-w_months_since_start)/12))*IF(MOD(AP714-w_months_since_start,w_frequency)=0,1,0)*IF(w_frequency=13,0,1))+SUM(IF(w_start_date=AO714,w_amount,0)*IF(w_frequency=13,1,0))</f>
        <v>0</v>
      </c>
      <c r="BC714" s="25">
        <f t="shared" ca="1" si="623"/>
        <v>0</v>
      </c>
      <c r="BD714" s="24" t="b">
        <f t="shared" ca="1" si="624"/>
        <v>1</v>
      </c>
      <c r="BE714" s="24" t="b">
        <f t="shared" ca="1" si="625"/>
        <v>1</v>
      </c>
      <c r="BF714" s="23">
        <f t="array" aca="1" ref="BF714" ca="1">SUM(IF(BD714,1,0)*IF(ap_start_date&lt;=AO714,1,0)*IF(ap_end_date&gt;=AO714,1,0)*ap_amount*(1+ap_escalation/100)^(INT((AP714-ap_months_since_start)/12))*IF(MOD(AP714-ap_months_since_start,ap_frequency)=0,1,0))</f>
        <v>221123.54659740307</v>
      </c>
      <c r="BG714" s="24">
        <f t="shared" ca="1" si="626"/>
        <v>2653482.5591688366</v>
      </c>
      <c r="BH714" s="24">
        <f t="shared" ca="1" si="627"/>
        <v>699.32419453227749</v>
      </c>
      <c r="BI714">
        <f t="shared" ca="1" si="628"/>
        <v>0</v>
      </c>
      <c r="BJ714" s="24">
        <f t="shared" ca="1" si="629"/>
        <v>4895.2693617259411</v>
      </c>
      <c r="BK714">
        <f t="shared" ca="1" si="630"/>
        <v>1</v>
      </c>
      <c r="BL714" s="25">
        <f t="shared" ca="1" si="631"/>
        <v>407.93911347716181</v>
      </c>
      <c r="BM714" s="32">
        <f t="shared" ca="1" si="610"/>
        <v>25359.762747697012</v>
      </c>
      <c r="BN714" s="23">
        <f t="shared" ca="1" si="632"/>
        <v>0</v>
      </c>
      <c r="BO714" s="24">
        <f t="shared" ca="1" si="633"/>
        <v>0</v>
      </c>
      <c r="BP714" s="25">
        <f t="shared" ca="1" si="634"/>
        <v>0</v>
      </c>
      <c r="BQ714" s="34">
        <f t="shared" ca="1" si="635"/>
        <v>67145</v>
      </c>
      <c r="BR714" s="23">
        <f t="shared" ca="1" si="636"/>
        <v>25359.762747697012</v>
      </c>
      <c r="BS714" s="24">
        <f t="shared" ca="1" si="637"/>
        <v>0</v>
      </c>
      <c r="BT714" s="24">
        <f t="shared" ca="1" si="602"/>
        <v>0</v>
      </c>
      <c r="BU714" s="24">
        <f t="shared" ca="1" si="638"/>
        <v>0</v>
      </c>
      <c r="BV714" s="24">
        <f t="shared" ca="1" si="603"/>
        <v>0</v>
      </c>
      <c r="BW714" s="24">
        <f t="shared" ca="1" si="639"/>
        <v>-407.93911347716181</v>
      </c>
      <c r="BX714" s="25">
        <f t="shared" ca="1" si="604"/>
        <v>-4895.269361725942</v>
      </c>
      <c r="BY714" s="23">
        <f t="shared" ca="1" si="611"/>
        <v>2515.3453013070039</v>
      </c>
      <c r="BZ714" s="24">
        <f t="shared" ca="1" si="612"/>
        <v>0</v>
      </c>
      <c r="CA714" s="24">
        <f t="shared" ca="1" si="605"/>
        <v>0</v>
      </c>
      <c r="CB714" s="24">
        <f t="shared" ca="1" si="613"/>
        <v>0</v>
      </c>
      <c r="CC714" s="24">
        <f t="shared" ca="1" si="606"/>
        <v>0</v>
      </c>
      <c r="CD714" s="24">
        <f t="shared" ca="1" si="614"/>
        <v>-40.594502095713736</v>
      </c>
      <c r="CE714" s="25">
        <f t="shared" ca="1" si="607"/>
        <v>-496.00157369194119</v>
      </c>
      <c r="CF714" s="23">
        <f t="shared" ca="1" si="608"/>
        <v>2653482.5591688366</v>
      </c>
      <c r="CG714" s="25">
        <f t="array" aca="1" ref="CG714" ca="1">SUM(BF703:BF714/(1+inflation/100)^(AP703:AP714/12))</f>
        <v>267980.53702225385</v>
      </c>
      <c r="CH714" s="32">
        <f ca="1">IFERROR(IF(MOD(AP714-ap_months_since_start,12)=0,ap_drawdown/100*(AQ714+AV714+BA714-BC714),CH713),0)</f>
        <v>4299.2807148804104</v>
      </c>
    </row>
    <row r="715" spans="40:86" x14ac:dyDescent="0.25">
      <c r="AN715" s="32">
        <f t="shared" ca="1" si="609"/>
        <v>113.83333333333333</v>
      </c>
      <c r="AO715" s="53">
        <f t="shared" ca="1" si="640"/>
        <v>67146</v>
      </c>
      <c r="AP715" s="22">
        <v>708</v>
      </c>
      <c r="AQ715" s="32">
        <f t="shared" ca="1" si="641"/>
        <v>25359.762747697012</v>
      </c>
      <c r="AR715" s="23">
        <f t="array" aca="1" ref="AR715" ca="1">SUM(IF(lsc_start_date=AO715,lsc_amount,0))</f>
        <v>0</v>
      </c>
      <c r="AS715" s="24">
        <f t="shared" ca="1" si="615"/>
        <v>0</v>
      </c>
      <c r="AT715" s="24">
        <f t="shared" ca="1" si="616"/>
        <v>0</v>
      </c>
      <c r="AU715" s="24">
        <f t="shared" ca="1" si="617"/>
        <v>0</v>
      </c>
      <c r="AV715" s="25">
        <f t="shared" ca="1" si="618"/>
        <v>0</v>
      </c>
      <c r="AW715" s="23">
        <f t="array" aca="1" ref="AW715" ca="1">SUM(IF(rcs_start_date&lt;=AO715,1,0)*IF(rcs_end_date&gt;=AO715,1,0)*rcs_amount*(1+rcs_escalation/100)^(INT((AP715-rcs_months_since_start)/12))*IF(MOD((AP715-rcs_months_since_start),rcs_frequency)=0,1,0)*IF(rcs_frequency=13,0,1))+SUM(IF(rcs_start_date=AO715,rcs_amount,0)*IF(rcs_frequency=13,1,0))</f>
        <v>0</v>
      </c>
      <c r="AX715" s="24">
        <f t="shared" ca="1" si="619"/>
        <v>0</v>
      </c>
      <c r="AY715" s="24">
        <f t="shared" ca="1" si="620"/>
        <v>0</v>
      </c>
      <c r="AZ715" s="24">
        <f t="shared" ca="1" si="621"/>
        <v>0</v>
      </c>
      <c r="BA715" s="25">
        <f t="shared" ca="1" si="622"/>
        <v>0</v>
      </c>
      <c r="BB715" s="23">
        <f t="array" aca="1" ref="BB715" ca="1">SUM(IF(w_start_date&lt;=AO715,1,0)*IF(w_end_date&gt;=AO715,1,0)*w_amount*(1+w_escalation/100)^(INT((AP715-w_months_since_start)/12))*IF(MOD(AP715-w_months_since_start,w_frequency)=0,1,0)*IF(w_frequency=13,0,1))+SUM(IF(w_start_date=AO715,w_amount,0)*IF(w_frequency=13,1,0))</f>
        <v>0</v>
      </c>
      <c r="BC715" s="25">
        <f t="shared" ca="1" si="623"/>
        <v>0</v>
      </c>
      <c r="BD715" s="24" t="b">
        <f t="shared" ca="1" si="624"/>
        <v>1</v>
      </c>
      <c r="BE715" s="24" t="b">
        <f t="shared" ca="1" si="625"/>
        <v>1</v>
      </c>
      <c r="BF715" s="23">
        <f t="array" aca="1" ref="BF715" ca="1">SUM(IF(BD715,1,0)*IF(ap_start_date&lt;=AO715,1,0)*IF(ap_end_date&gt;=AO715,1,0)*ap_amount*(1+ap_escalation/100)^(INT((AP715-ap_months_since_start)/12))*IF(MOD(AP715-ap_months_since_start,ap_frequency)=0,1,0))</f>
        <v>229968.48846129922</v>
      </c>
      <c r="BG715" s="24">
        <f t="shared" ca="1" si="626"/>
        <v>2759621.8615355915</v>
      </c>
      <c r="BH715" s="24">
        <f t="shared" ca="1" si="627"/>
        <v>633.99406869242534</v>
      </c>
      <c r="BI715">
        <f t="shared" ca="1" si="628"/>
        <v>0</v>
      </c>
      <c r="BJ715" s="24">
        <f t="shared" ca="1" si="629"/>
        <v>4437.9584808469772</v>
      </c>
      <c r="BK715">
        <f t="shared" ca="1" si="630"/>
        <v>1</v>
      </c>
      <c r="BL715" s="25">
        <f t="shared" ca="1" si="631"/>
        <v>369.82987340391463</v>
      </c>
      <c r="BM715" s="32">
        <f t="shared" ca="1" si="610"/>
        <v>25170.04340016668</v>
      </c>
      <c r="BN715" s="23">
        <f t="shared" ca="1" si="632"/>
        <v>0</v>
      </c>
      <c r="BO715" s="24">
        <f t="shared" ca="1" si="633"/>
        <v>0</v>
      </c>
      <c r="BP715" s="25">
        <f t="shared" ca="1" si="634"/>
        <v>0</v>
      </c>
      <c r="BQ715" s="34">
        <f t="shared" ca="1" si="635"/>
        <v>67175</v>
      </c>
      <c r="BR715" s="23">
        <f t="shared" ca="1" si="636"/>
        <v>25170.04340016668</v>
      </c>
      <c r="BS715" s="24">
        <f t="shared" ca="1" si="637"/>
        <v>0</v>
      </c>
      <c r="BT715" s="24">
        <f t="shared" ca="1" si="602"/>
        <v>0</v>
      </c>
      <c r="BU715" s="24">
        <f t="shared" ca="1" si="638"/>
        <v>0</v>
      </c>
      <c r="BV715" s="24">
        <f t="shared" ca="1" si="603"/>
        <v>0</v>
      </c>
      <c r="BW715" s="24">
        <f t="shared" ca="1" si="639"/>
        <v>-369.82987340391463</v>
      </c>
      <c r="BX715" s="25">
        <f t="shared" ca="1" si="604"/>
        <v>-4857.1601216526942</v>
      </c>
      <c r="BY715" s="23">
        <f t="shared" ca="1" si="611"/>
        <v>2488.381396106744</v>
      </c>
      <c r="BZ715" s="24">
        <f t="shared" ca="1" si="612"/>
        <v>0</v>
      </c>
      <c r="CA715" s="24">
        <f t="shared" ca="1" si="605"/>
        <v>0</v>
      </c>
      <c r="CB715" s="24">
        <f t="shared" ca="1" si="613"/>
        <v>0</v>
      </c>
      <c r="CC715" s="24">
        <f t="shared" ca="1" si="606"/>
        <v>0</v>
      </c>
      <c r="CD715" s="24">
        <f t="shared" ca="1" si="614"/>
        <v>-36.682118977393792</v>
      </c>
      <c r="CE715" s="25">
        <f t="shared" ca="1" si="607"/>
        <v>-490.6031711670903</v>
      </c>
      <c r="CF715" s="23">
        <f t="shared" ca="1" si="608"/>
        <v>2662327.5010327329</v>
      </c>
      <c r="CG715" s="25">
        <f t="array" aca="1" ref="CG715" ca="1">SUM(BF704:BF715/(1+inflation/100)^(AP704:AP715/12))</f>
        <v>267980.53702225379</v>
      </c>
      <c r="CH715" s="32">
        <f ca="1">IFERROR(IF(MOD(AP715-ap_months_since_start,12)=0,ap_drawdown/100*(AQ715+AV715+BA715-BC715),CH714),0)</f>
        <v>3897.6464623834836</v>
      </c>
    </row>
    <row r="716" spans="40:86" x14ac:dyDescent="0.25">
      <c r="AN716" s="32">
        <f t="shared" ca="1" si="609"/>
        <v>113.91666666666667</v>
      </c>
      <c r="AO716" s="53">
        <f t="shared" ca="1" si="640"/>
        <v>67176</v>
      </c>
      <c r="AP716" s="22">
        <v>709</v>
      </c>
      <c r="AQ716" s="32">
        <f t="shared" ca="1" si="641"/>
        <v>25170.04340016668</v>
      </c>
      <c r="AR716" s="23">
        <f t="array" aca="1" ref="AR716" ca="1">SUM(IF(lsc_start_date=AO716,lsc_amount,0))</f>
        <v>0</v>
      </c>
      <c r="AS716" s="24">
        <f t="shared" ca="1" si="615"/>
        <v>0</v>
      </c>
      <c r="AT716" s="24">
        <f t="shared" ca="1" si="616"/>
        <v>0</v>
      </c>
      <c r="AU716" s="24">
        <f t="shared" ca="1" si="617"/>
        <v>0</v>
      </c>
      <c r="AV716" s="25">
        <f t="shared" ca="1" si="618"/>
        <v>0</v>
      </c>
      <c r="AW716" s="23">
        <f t="array" aca="1" ref="AW716" ca="1">SUM(IF(rcs_start_date&lt;=AO716,1,0)*IF(rcs_end_date&gt;=AO716,1,0)*rcs_amount*(1+rcs_escalation/100)^(INT((AP716-rcs_months_since_start)/12))*IF(MOD((AP716-rcs_months_since_start),rcs_frequency)=0,1,0)*IF(rcs_frequency=13,0,1))+SUM(IF(rcs_start_date=AO716,rcs_amount,0)*IF(rcs_frequency=13,1,0))</f>
        <v>0</v>
      </c>
      <c r="AX716" s="24">
        <f t="shared" ca="1" si="619"/>
        <v>0</v>
      </c>
      <c r="AY716" s="24">
        <f t="shared" ca="1" si="620"/>
        <v>0</v>
      </c>
      <c r="AZ716" s="24">
        <f t="shared" ca="1" si="621"/>
        <v>0</v>
      </c>
      <c r="BA716" s="25">
        <f t="shared" ca="1" si="622"/>
        <v>0</v>
      </c>
      <c r="BB716" s="23">
        <f t="array" aca="1" ref="BB716" ca="1">SUM(IF(w_start_date&lt;=AO716,1,0)*IF(w_end_date&gt;=AO716,1,0)*w_amount*(1+w_escalation/100)^(INT((AP716-w_months_since_start)/12))*IF(MOD(AP716-w_months_since_start,w_frequency)=0,1,0)*IF(w_frequency=13,0,1))+SUM(IF(w_start_date=AO716,w_amount,0)*IF(w_frequency=13,1,0))</f>
        <v>0</v>
      </c>
      <c r="BC716" s="25">
        <f t="shared" ca="1" si="623"/>
        <v>0</v>
      </c>
      <c r="BD716" s="24" t="b">
        <f t="shared" ca="1" si="624"/>
        <v>1</v>
      </c>
      <c r="BE716" s="24" t="b">
        <f t="shared" ca="1" si="625"/>
        <v>1</v>
      </c>
      <c r="BF716" s="23">
        <f t="array" aca="1" ref="BF716" ca="1">SUM(IF(BD716,1,0)*IF(ap_start_date&lt;=AO716,1,0)*IF(ap_end_date&gt;=AO716,1,0)*ap_amount*(1+ap_escalation/100)^(INT((AP716-ap_months_since_start)/12))*IF(MOD(AP716-ap_months_since_start,ap_frequency)=0,1,0))</f>
        <v>229968.48846129922</v>
      </c>
      <c r="BG716" s="24">
        <f t="shared" ca="1" si="626"/>
        <v>2759621.8615355915</v>
      </c>
      <c r="BH716" s="24">
        <f t="shared" ca="1" si="627"/>
        <v>633.99406869242534</v>
      </c>
      <c r="BI716">
        <f t="shared" ca="1" si="628"/>
        <v>0</v>
      </c>
      <c r="BJ716" s="24">
        <f t="shared" ca="1" si="629"/>
        <v>4437.9584808469772</v>
      </c>
      <c r="BK716">
        <f t="shared" ca="1" si="630"/>
        <v>1</v>
      </c>
      <c r="BL716" s="25">
        <f t="shared" ca="1" si="631"/>
        <v>369.82987340391463</v>
      </c>
      <c r="BM716" s="32">
        <f t="shared" ca="1" si="610"/>
        <v>24978.956683959372</v>
      </c>
      <c r="BN716" s="23">
        <f t="shared" ca="1" si="632"/>
        <v>0</v>
      </c>
      <c r="BO716" s="24">
        <f t="shared" ca="1" si="633"/>
        <v>0</v>
      </c>
      <c r="BP716" s="25">
        <f t="shared" ca="1" si="634"/>
        <v>0</v>
      </c>
      <c r="BQ716" s="34">
        <f t="shared" ca="1" si="635"/>
        <v>67206</v>
      </c>
      <c r="BR716" s="23">
        <f t="shared" ca="1" si="636"/>
        <v>24978.956683959372</v>
      </c>
      <c r="BS716" s="24">
        <f t="shared" ca="1" si="637"/>
        <v>0</v>
      </c>
      <c r="BT716" s="24">
        <f t="shared" ca="1" si="602"/>
        <v>0</v>
      </c>
      <c r="BU716" s="24">
        <f t="shared" ca="1" si="638"/>
        <v>0</v>
      </c>
      <c r="BV716" s="24">
        <f t="shared" ca="1" si="603"/>
        <v>0</v>
      </c>
      <c r="BW716" s="24">
        <f t="shared" ca="1" si="639"/>
        <v>-369.82987340391463</v>
      </c>
      <c r="BX716" s="25">
        <f t="shared" ca="1" si="604"/>
        <v>-4819.0508815794474</v>
      </c>
      <c r="BY716" s="23">
        <f t="shared" ca="1" si="611"/>
        <v>2461.4319373848225</v>
      </c>
      <c r="BZ716" s="24">
        <f t="shared" ca="1" si="612"/>
        <v>0</v>
      </c>
      <c r="CA716" s="24">
        <f t="shared" ca="1" si="605"/>
        <v>0</v>
      </c>
      <c r="CB716" s="24">
        <f t="shared" ca="1" si="613"/>
        <v>0</v>
      </c>
      <c r="CC716" s="24">
        <f t="shared" ca="1" si="606"/>
        <v>0</v>
      </c>
      <c r="CD716" s="24">
        <f t="shared" ca="1" si="614"/>
        <v>-36.562423118297815</v>
      </c>
      <c r="CE716" s="25">
        <f t="shared" ca="1" si="607"/>
        <v>-485.2223839394461</v>
      </c>
      <c r="CF716" s="23">
        <f t="shared" ca="1" si="608"/>
        <v>2671172.4428966292</v>
      </c>
      <c r="CG716" s="25">
        <f t="array" aca="1" ref="CG716" ca="1">SUM(BF705:BF716/(1+inflation/100)^(AP705:AP716/12))</f>
        <v>267980.53702225385</v>
      </c>
      <c r="CH716" s="32">
        <f ca="1">IFERROR(IF(MOD(AP716-ap_months_since_start,12)=0,ap_drawdown/100*(AQ716+AV716+BA716-BC716),CH715),0)</f>
        <v>3897.6464623834836</v>
      </c>
    </row>
    <row r="717" spans="40:86" x14ac:dyDescent="0.25">
      <c r="AN717" s="32">
        <f t="shared" ca="1" si="609"/>
        <v>114</v>
      </c>
      <c r="AO717" s="53">
        <f t="shared" ca="1" si="640"/>
        <v>67207</v>
      </c>
      <c r="AP717" s="22">
        <v>710</v>
      </c>
      <c r="AQ717" s="32">
        <f t="shared" ca="1" si="641"/>
        <v>24978.956683959372</v>
      </c>
      <c r="AR717" s="23">
        <f t="array" aca="1" ref="AR717" ca="1">SUM(IF(lsc_start_date=AO717,lsc_amount,0))</f>
        <v>0</v>
      </c>
      <c r="AS717" s="24">
        <f t="shared" ca="1" si="615"/>
        <v>0</v>
      </c>
      <c r="AT717" s="24">
        <f t="shared" ca="1" si="616"/>
        <v>0</v>
      </c>
      <c r="AU717" s="24">
        <f t="shared" ca="1" si="617"/>
        <v>0</v>
      </c>
      <c r="AV717" s="25">
        <f t="shared" ca="1" si="618"/>
        <v>0</v>
      </c>
      <c r="AW717" s="23">
        <f t="array" aca="1" ref="AW717" ca="1">SUM(IF(rcs_start_date&lt;=AO717,1,0)*IF(rcs_end_date&gt;=AO717,1,0)*rcs_amount*(1+rcs_escalation/100)^(INT((AP717-rcs_months_since_start)/12))*IF(MOD((AP717-rcs_months_since_start),rcs_frequency)=0,1,0)*IF(rcs_frequency=13,0,1))+SUM(IF(rcs_start_date=AO717,rcs_amount,0)*IF(rcs_frequency=13,1,0))</f>
        <v>0</v>
      </c>
      <c r="AX717" s="24">
        <f t="shared" ca="1" si="619"/>
        <v>0</v>
      </c>
      <c r="AY717" s="24">
        <f t="shared" ca="1" si="620"/>
        <v>0</v>
      </c>
      <c r="AZ717" s="24">
        <f t="shared" ca="1" si="621"/>
        <v>0</v>
      </c>
      <c r="BA717" s="25">
        <f t="shared" ca="1" si="622"/>
        <v>0</v>
      </c>
      <c r="BB717" s="23">
        <f t="array" aca="1" ref="BB717" ca="1">SUM(IF(w_start_date&lt;=AO717,1,0)*IF(w_end_date&gt;=AO717,1,0)*w_amount*(1+w_escalation/100)^(INT((AP717-w_months_since_start)/12))*IF(MOD(AP717-w_months_since_start,w_frequency)=0,1,0)*IF(w_frequency=13,0,1))+SUM(IF(w_start_date=AO717,w_amount,0)*IF(w_frequency=13,1,0))</f>
        <v>0</v>
      </c>
      <c r="BC717" s="25">
        <f t="shared" ca="1" si="623"/>
        <v>0</v>
      </c>
      <c r="BD717" s="24" t="b">
        <f t="shared" ca="1" si="624"/>
        <v>1</v>
      </c>
      <c r="BE717" s="24" t="b">
        <f t="shared" ca="1" si="625"/>
        <v>1</v>
      </c>
      <c r="BF717" s="23">
        <f t="array" aca="1" ref="BF717" ca="1">SUM(IF(BD717,1,0)*IF(ap_start_date&lt;=AO717,1,0)*IF(ap_end_date&gt;=AO717,1,0)*ap_amount*(1+ap_escalation/100)^(INT((AP717-ap_months_since_start)/12))*IF(MOD(AP717-ap_months_since_start,ap_frequency)=0,1,0))</f>
        <v>229968.48846129922</v>
      </c>
      <c r="BG717" s="24">
        <f t="shared" ca="1" si="626"/>
        <v>2759621.8615355915</v>
      </c>
      <c r="BH717" s="24">
        <f t="shared" ca="1" si="627"/>
        <v>633.99406869242534</v>
      </c>
      <c r="BI717">
        <f t="shared" ca="1" si="628"/>
        <v>0</v>
      </c>
      <c r="BJ717" s="24">
        <f t="shared" ca="1" si="629"/>
        <v>4437.9584808469772</v>
      </c>
      <c r="BK717">
        <f t="shared" ca="1" si="630"/>
        <v>1</v>
      </c>
      <c r="BL717" s="25">
        <f t="shared" ca="1" si="631"/>
        <v>369.82987340391463</v>
      </c>
      <c r="BM717" s="32">
        <f t="shared" ca="1" si="610"/>
        <v>24786.492744006937</v>
      </c>
      <c r="BN717" s="23">
        <f t="shared" ca="1" si="632"/>
        <v>0</v>
      </c>
      <c r="BO717" s="24">
        <f t="shared" ca="1" si="633"/>
        <v>0</v>
      </c>
      <c r="BP717" s="25">
        <f t="shared" ca="1" si="634"/>
        <v>0</v>
      </c>
      <c r="BQ717" s="34">
        <f t="shared" ca="1" si="635"/>
        <v>67237</v>
      </c>
      <c r="BR717" s="23">
        <f t="shared" ca="1" si="636"/>
        <v>24786.492744006937</v>
      </c>
      <c r="BS717" s="24">
        <f t="shared" ca="1" si="637"/>
        <v>0</v>
      </c>
      <c r="BT717" s="24">
        <f t="shared" ca="1" si="602"/>
        <v>0</v>
      </c>
      <c r="BU717" s="24">
        <f t="shared" ca="1" si="638"/>
        <v>0</v>
      </c>
      <c r="BV717" s="24">
        <f t="shared" ca="1" si="603"/>
        <v>0</v>
      </c>
      <c r="BW717" s="24">
        <f t="shared" ca="1" si="639"/>
        <v>-369.82987340391463</v>
      </c>
      <c r="BX717" s="25">
        <f t="shared" ca="1" si="604"/>
        <v>-4780.9416415061996</v>
      </c>
      <c r="BY717" s="23">
        <f t="shared" ca="1" si="611"/>
        <v>2434.4965896764347</v>
      </c>
      <c r="BZ717" s="24">
        <f t="shared" ca="1" si="612"/>
        <v>0</v>
      </c>
      <c r="CA717" s="24">
        <f t="shared" ca="1" si="605"/>
        <v>0</v>
      </c>
      <c r="CB717" s="24">
        <f t="shared" ca="1" si="613"/>
        <v>0</v>
      </c>
      <c r="CC717" s="24">
        <f t="shared" ca="1" si="606"/>
        <v>0</v>
      </c>
      <c r="CD717" s="24">
        <f t="shared" ca="1" si="614"/>
        <v>-36.443117833658434</v>
      </c>
      <c r="CE717" s="25">
        <f t="shared" ca="1" si="607"/>
        <v>-479.85915452928299</v>
      </c>
      <c r="CF717" s="23">
        <f t="shared" ca="1" si="608"/>
        <v>2680017.3847605251</v>
      </c>
      <c r="CG717" s="25">
        <f t="array" aca="1" ref="CG717" ca="1">SUM(BF706:BF717/(1+inflation/100)^(AP706:AP717/12))</f>
        <v>267980.53702225385</v>
      </c>
      <c r="CH717" s="32">
        <f ca="1">IFERROR(IF(MOD(AP717-ap_months_since_start,12)=0,ap_drawdown/100*(AQ717+AV717+BA717-BC717),CH716),0)</f>
        <v>3897.6464623834836</v>
      </c>
    </row>
    <row r="718" spans="40:86" x14ac:dyDescent="0.25">
      <c r="AN718" s="32">
        <f t="shared" ca="1" si="609"/>
        <v>114.08333333333333</v>
      </c>
      <c r="AO718" s="53">
        <f t="shared" ca="1" si="640"/>
        <v>67238</v>
      </c>
      <c r="AP718" s="22">
        <v>711</v>
      </c>
      <c r="AQ718" s="32">
        <f t="shared" ca="1" si="641"/>
        <v>24786.492744006937</v>
      </c>
      <c r="AR718" s="23">
        <f t="array" aca="1" ref="AR718" ca="1">SUM(IF(lsc_start_date=AO718,lsc_amount,0))</f>
        <v>0</v>
      </c>
      <c r="AS718" s="24">
        <f t="shared" ca="1" si="615"/>
        <v>0</v>
      </c>
      <c r="AT718" s="24">
        <f t="shared" ca="1" si="616"/>
        <v>0</v>
      </c>
      <c r="AU718" s="24">
        <f t="shared" ca="1" si="617"/>
        <v>0</v>
      </c>
      <c r="AV718" s="25">
        <f t="shared" ca="1" si="618"/>
        <v>0</v>
      </c>
      <c r="AW718" s="23">
        <f t="array" aca="1" ref="AW718" ca="1">SUM(IF(rcs_start_date&lt;=AO718,1,0)*IF(rcs_end_date&gt;=AO718,1,0)*rcs_amount*(1+rcs_escalation/100)^(INT((AP718-rcs_months_since_start)/12))*IF(MOD((AP718-rcs_months_since_start),rcs_frequency)=0,1,0)*IF(rcs_frequency=13,0,1))+SUM(IF(rcs_start_date=AO718,rcs_amount,0)*IF(rcs_frequency=13,1,0))</f>
        <v>0</v>
      </c>
      <c r="AX718" s="24">
        <f t="shared" ca="1" si="619"/>
        <v>0</v>
      </c>
      <c r="AY718" s="24">
        <f t="shared" ca="1" si="620"/>
        <v>0</v>
      </c>
      <c r="AZ718" s="24">
        <f t="shared" ca="1" si="621"/>
        <v>0</v>
      </c>
      <c r="BA718" s="25">
        <f t="shared" ca="1" si="622"/>
        <v>0</v>
      </c>
      <c r="BB718" s="23">
        <f t="array" aca="1" ref="BB718" ca="1">SUM(IF(w_start_date&lt;=AO718,1,0)*IF(w_end_date&gt;=AO718,1,0)*w_amount*(1+w_escalation/100)^(INT((AP718-w_months_since_start)/12))*IF(MOD(AP718-w_months_since_start,w_frequency)=0,1,0)*IF(w_frequency=13,0,1))+SUM(IF(w_start_date=AO718,w_amount,0)*IF(w_frequency=13,1,0))</f>
        <v>0</v>
      </c>
      <c r="BC718" s="25">
        <f t="shared" ca="1" si="623"/>
        <v>0</v>
      </c>
      <c r="BD718" s="24" t="b">
        <f t="shared" ca="1" si="624"/>
        <v>1</v>
      </c>
      <c r="BE718" s="24" t="b">
        <f t="shared" ca="1" si="625"/>
        <v>1</v>
      </c>
      <c r="BF718" s="23">
        <f t="array" aca="1" ref="BF718" ca="1">SUM(IF(BD718,1,0)*IF(ap_start_date&lt;=AO718,1,0)*IF(ap_end_date&gt;=AO718,1,0)*ap_amount*(1+ap_escalation/100)^(INT((AP718-ap_months_since_start)/12))*IF(MOD(AP718-ap_months_since_start,ap_frequency)=0,1,0))</f>
        <v>229968.48846129922</v>
      </c>
      <c r="BG718" s="24">
        <f t="shared" ca="1" si="626"/>
        <v>2759621.8615355915</v>
      </c>
      <c r="BH718" s="24">
        <f t="shared" ca="1" si="627"/>
        <v>633.99406869242534</v>
      </c>
      <c r="BI718">
        <f t="shared" ca="1" si="628"/>
        <v>0</v>
      </c>
      <c r="BJ718" s="24">
        <f t="shared" ca="1" si="629"/>
        <v>4437.9584808469772</v>
      </c>
      <c r="BK718">
        <f t="shared" ca="1" si="630"/>
        <v>1</v>
      </c>
      <c r="BL718" s="25">
        <f t="shared" ca="1" si="631"/>
        <v>369.82987340391463</v>
      </c>
      <c r="BM718" s="32">
        <f t="shared" ca="1" si="610"/>
        <v>24592.641654212566</v>
      </c>
      <c r="BN718" s="23">
        <f t="shared" ca="1" si="632"/>
        <v>0</v>
      </c>
      <c r="BO718" s="24">
        <f t="shared" ca="1" si="633"/>
        <v>0</v>
      </c>
      <c r="BP718" s="25">
        <f t="shared" ca="1" si="634"/>
        <v>0</v>
      </c>
      <c r="BQ718" s="34">
        <f t="shared" ca="1" si="635"/>
        <v>67266</v>
      </c>
      <c r="BR718" s="23">
        <f t="shared" ca="1" si="636"/>
        <v>24592.641654212566</v>
      </c>
      <c r="BS718" s="24">
        <f t="shared" ca="1" si="637"/>
        <v>0</v>
      </c>
      <c r="BT718" s="24">
        <f t="shared" ca="1" si="602"/>
        <v>0</v>
      </c>
      <c r="BU718" s="24">
        <f t="shared" ca="1" si="638"/>
        <v>0</v>
      </c>
      <c r="BV718" s="24">
        <f t="shared" ca="1" si="603"/>
        <v>0</v>
      </c>
      <c r="BW718" s="24">
        <f t="shared" ca="1" si="639"/>
        <v>-369.82987340391463</v>
      </c>
      <c r="BX718" s="25">
        <f t="shared" ca="1" si="604"/>
        <v>-4742.8324014329528</v>
      </c>
      <c r="BY718" s="23">
        <f t="shared" ca="1" si="611"/>
        <v>2407.5750174809741</v>
      </c>
      <c r="BZ718" s="24">
        <f t="shared" ca="1" si="612"/>
        <v>0</v>
      </c>
      <c r="CA718" s="24">
        <f t="shared" ca="1" si="605"/>
        <v>0</v>
      </c>
      <c r="CB718" s="24">
        <f t="shared" ca="1" si="613"/>
        <v>0</v>
      </c>
      <c r="CC718" s="24">
        <f t="shared" ca="1" si="606"/>
        <v>0</v>
      </c>
      <c r="CD718" s="24">
        <f t="shared" ca="1" si="614"/>
        <v>-36.324201849008709</v>
      </c>
      <c r="CE718" s="25">
        <f t="shared" ca="1" si="607"/>
        <v>-474.51342564443507</v>
      </c>
      <c r="CF718" s="23">
        <f t="shared" ca="1" si="608"/>
        <v>2688862.3266244214</v>
      </c>
      <c r="CG718" s="25">
        <f t="array" aca="1" ref="CG718" ca="1">SUM(BF707:BF718/(1+inflation/100)^(AP707:AP718/12))</f>
        <v>267980.53702225385</v>
      </c>
      <c r="CH718" s="32">
        <f ca="1">IFERROR(IF(MOD(AP718-ap_months_since_start,12)=0,ap_drawdown/100*(AQ718+AV718+BA718-BC718),CH717),0)</f>
        <v>3897.6464623834836</v>
      </c>
    </row>
    <row r="719" spans="40:86" x14ac:dyDescent="0.25">
      <c r="AN719" s="32">
        <f t="shared" ca="1" si="609"/>
        <v>114.16666666666667</v>
      </c>
      <c r="AO719" s="53">
        <f t="shared" ca="1" si="640"/>
        <v>67267</v>
      </c>
      <c r="AP719" s="22">
        <v>712</v>
      </c>
      <c r="AQ719" s="32">
        <f t="shared" ca="1" si="641"/>
        <v>24592.641654212566</v>
      </c>
      <c r="AR719" s="23">
        <f t="array" aca="1" ref="AR719" ca="1">SUM(IF(lsc_start_date=AO719,lsc_amount,0))</f>
        <v>0</v>
      </c>
      <c r="AS719" s="24">
        <f t="shared" ca="1" si="615"/>
        <v>0</v>
      </c>
      <c r="AT719" s="24">
        <f t="shared" ca="1" si="616"/>
        <v>0</v>
      </c>
      <c r="AU719" s="24">
        <f t="shared" ca="1" si="617"/>
        <v>0</v>
      </c>
      <c r="AV719" s="25">
        <f t="shared" ca="1" si="618"/>
        <v>0</v>
      </c>
      <c r="AW719" s="23">
        <f t="array" aca="1" ref="AW719" ca="1">SUM(IF(rcs_start_date&lt;=AO719,1,0)*IF(rcs_end_date&gt;=AO719,1,0)*rcs_amount*(1+rcs_escalation/100)^(INT((AP719-rcs_months_since_start)/12))*IF(MOD((AP719-rcs_months_since_start),rcs_frequency)=0,1,0)*IF(rcs_frequency=13,0,1))+SUM(IF(rcs_start_date=AO719,rcs_amount,0)*IF(rcs_frequency=13,1,0))</f>
        <v>0</v>
      </c>
      <c r="AX719" s="24">
        <f t="shared" ca="1" si="619"/>
        <v>0</v>
      </c>
      <c r="AY719" s="24">
        <f t="shared" ca="1" si="620"/>
        <v>0</v>
      </c>
      <c r="AZ719" s="24">
        <f t="shared" ca="1" si="621"/>
        <v>0</v>
      </c>
      <c r="BA719" s="25">
        <f t="shared" ca="1" si="622"/>
        <v>0</v>
      </c>
      <c r="BB719" s="23">
        <f t="array" aca="1" ref="BB719" ca="1">SUM(IF(w_start_date&lt;=AO719,1,0)*IF(w_end_date&gt;=AO719,1,0)*w_amount*(1+w_escalation/100)^(INT((AP719-w_months_since_start)/12))*IF(MOD(AP719-w_months_since_start,w_frequency)=0,1,0)*IF(w_frequency=13,0,1))+SUM(IF(w_start_date=AO719,w_amount,0)*IF(w_frequency=13,1,0))</f>
        <v>0</v>
      </c>
      <c r="BC719" s="25">
        <f t="shared" ca="1" si="623"/>
        <v>0</v>
      </c>
      <c r="BD719" s="24" t="b">
        <f t="shared" ca="1" si="624"/>
        <v>1</v>
      </c>
      <c r="BE719" s="24" t="b">
        <f t="shared" ca="1" si="625"/>
        <v>1</v>
      </c>
      <c r="BF719" s="23">
        <f t="array" aca="1" ref="BF719" ca="1">SUM(IF(BD719,1,0)*IF(ap_start_date&lt;=AO719,1,0)*IF(ap_end_date&gt;=AO719,1,0)*ap_amount*(1+ap_escalation/100)^(INT((AP719-ap_months_since_start)/12))*IF(MOD(AP719-ap_months_since_start,ap_frequency)=0,1,0))</f>
        <v>229968.48846129922</v>
      </c>
      <c r="BG719" s="24">
        <f t="shared" ca="1" si="626"/>
        <v>2759621.8615355915</v>
      </c>
      <c r="BH719" s="24">
        <f t="shared" ca="1" si="627"/>
        <v>633.99406869242534</v>
      </c>
      <c r="BI719">
        <f t="shared" ca="1" si="628"/>
        <v>0</v>
      </c>
      <c r="BJ719" s="24">
        <f t="shared" ca="1" si="629"/>
        <v>4437.9584808469772</v>
      </c>
      <c r="BK719">
        <f t="shared" ca="1" si="630"/>
        <v>1</v>
      </c>
      <c r="BL719" s="25">
        <f t="shared" ca="1" si="631"/>
        <v>369.82987340391463</v>
      </c>
      <c r="BM719" s="32">
        <f t="shared" ca="1" si="610"/>
        <v>24397.393416938863</v>
      </c>
      <c r="BN719" s="23">
        <f t="shared" ca="1" si="632"/>
        <v>0</v>
      </c>
      <c r="BO719" s="24">
        <f t="shared" ca="1" si="633"/>
        <v>0</v>
      </c>
      <c r="BP719" s="25">
        <f t="shared" ca="1" si="634"/>
        <v>0</v>
      </c>
      <c r="BQ719" s="34">
        <f t="shared" ca="1" si="635"/>
        <v>67297</v>
      </c>
      <c r="BR719" s="23">
        <f t="shared" ca="1" si="636"/>
        <v>24397.393416938863</v>
      </c>
      <c r="BS719" s="24">
        <f t="shared" ca="1" si="637"/>
        <v>0</v>
      </c>
      <c r="BT719" s="24">
        <f t="shared" ca="1" si="602"/>
        <v>0</v>
      </c>
      <c r="BU719" s="24">
        <f t="shared" ca="1" si="638"/>
        <v>0</v>
      </c>
      <c r="BV719" s="24">
        <f t="shared" ca="1" si="603"/>
        <v>0</v>
      </c>
      <c r="BW719" s="24">
        <f t="shared" ca="1" si="639"/>
        <v>-369.82987340391463</v>
      </c>
      <c r="BX719" s="25">
        <f t="shared" ca="1" si="604"/>
        <v>-4704.723161359705</v>
      </c>
      <c r="BY719" s="23">
        <f t="shared" ca="1" si="611"/>
        <v>2380.6668852577068</v>
      </c>
      <c r="BZ719" s="24">
        <f t="shared" ca="1" si="612"/>
        <v>0</v>
      </c>
      <c r="CA719" s="24">
        <f t="shared" ca="1" si="605"/>
        <v>0</v>
      </c>
      <c r="CB719" s="24">
        <f t="shared" ca="1" si="613"/>
        <v>0</v>
      </c>
      <c r="CC719" s="24">
        <f t="shared" ca="1" si="606"/>
        <v>0</v>
      </c>
      <c r="CD719" s="24">
        <f t="shared" ca="1" si="614"/>
        <v>-36.205673894040473</v>
      </c>
      <c r="CE719" s="25">
        <f t="shared" ca="1" si="607"/>
        <v>-469.18514017968403</v>
      </c>
      <c r="CF719" s="23">
        <f t="shared" ca="1" si="608"/>
        <v>2697707.2684883177</v>
      </c>
      <c r="CG719" s="25">
        <f t="array" aca="1" ref="CG719" ca="1">SUM(BF708:BF719/(1+inflation/100)^(AP708:AP719/12))</f>
        <v>267980.53702225385</v>
      </c>
      <c r="CH719" s="32">
        <f ca="1">IFERROR(IF(MOD(AP719-ap_months_since_start,12)=0,ap_drawdown/100*(AQ719+AV719+BA719-BC719),CH718),0)</f>
        <v>3897.6464623834836</v>
      </c>
    </row>
    <row r="720" spans="40:86" x14ac:dyDescent="0.25">
      <c r="AN720" s="32">
        <f t="shared" ca="1" si="609"/>
        <v>114.25</v>
      </c>
      <c r="AO720" s="53">
        <f t="shared" ca="1" si="640"/>
        <v>67298</v>
      </c>
      <c r="AP720" s="22">
        <v>713</v>
      </c>
      <c r="AQ720" s="32">
        <f t="shared" ca="1" si="641"/>
        <v>24397.393416938863</v>
      </c>
      <c r="AR720" s="23">
        <f t="array" aca="1" ref="AR720" ca="1">SUM(IF(lsc_start_date=AO720,lsc_amount,0))</f>
        <v>0</v>
      </c>
      <c r="AS720" s="24">
        <f t="shared" ca="1" si="615"/>
        <v>0</v>
      </c>
      <c r="AT720" s="24">
        <f t="shared" ca="1" si="616"/>
        <v>0</v>
      </c>
      <c r="AU720" s="24">
        <f t="shared" ca="1" si="617"/>
        <v>0</v>
      </c>
      <c r="AV720" s="25">
        <f t="shared" ca="1" si="618"/>
        <v>0</v>
      </c>
      <c r="AW720" s="23">
        <f t="array" aca="1" ref="AW720" ca="1">SUM(IF(rcs_start_date&lt;=AO720,1,0)*IF(rcs_end_date&gt;=AO720,1,0)*rcs_amount*(1+rcs_escalation/100)^(INT((AP720-rcs_months_since_start)/12))*IF(MOD((AP720-rcs_months_since_start),rcs_frequency)=0,1,0)*IF(rcs_frequency=13,0,1))+SUM(IF(rcs_start_date=AO720,rcs_amount,0)*IF(rcs_frequency=13,1,0))</f>
        <v>0</v>
      </c>
      <c r="AX720" s="24">
        <f t="shared" ca="1" si="619"/>
        <v>0</v>
      </c>
      <c r="AY720" s="24">
        <f t="shared" ca="1" si="620"/>
        <v>0</v>
      </c>
      <c r="AZ720" s="24">
        <f t="shared" ca="1" si="621"/>
        <v>0</v>
      </c>
      <c r="BA720" s="25">
        <f t="shared" ca="1" si="622"/>
        <v>0</v>
      </c>
      <c r="BB720" s="23">
        <f t="array" aca="1" ref="BB720" ca="1">SUM(IF(w_start_date&lt;=AO720,1,0)*IF(w_end_date&gt;=AO720,1,0)*w_amount*(1+w_escalation/100)^(INT((AP720-w_months_since_start)/12))*IF(MOD(AP720-w_months_since_start,w_frequency)=0,1,0)*IF(w_frequency=13,0,1))+SUM(IF(w_start_date=AO720,w_amount,0)*IF(w_frequency=13,1,0))</f>
        <v>0</v>
      </c>
      <c r="BC720" s="25">
        <f t="shared" ca="1" si="623"/>
        <v>0</v>
      </c>
      <c r="BD720" s="24" t="b">
        <f t="shared" ca="1" si="624"/>
        <v>1</v>
      </c>
      <c r="BE720" s="24" t="b">
        <f t="shared" ca="1" si="625"/>
        <v>1</v>
      </c>
      <c r="BF720" s="23">
        <f t="array" aca="1" ref="BF720" ca="1">SUM(IF(BD720,1,0)*IF(ap_start_date&lt;=AO720,1,0)*IF(ap_end_date&gt;=AO720,1,0)*ap_amount*(1+ap_escalation/100)^(INT((AP720-ap_months_since_start)/12))*IF(MOD(AP720-ap_months_since_start,ap_frequency)=0,1,0))</f>
        <v>229968.48846129922</v>
      </c>
      <c r="BG720" s="24">
        <f t="shared" ca="1" si="626"/>
        <v>2759621.8615355915</v>
      </c>
      <c r="BH720" s="24">
        <f t="shared" ca="1" si="627"/>
        <v>633.99406869242534</v>
      </c>
      <c r="BI720">
        <f t="shared" ca="1" si="628"/>
        <v>0</v>
      </c>
      <c r="BJ720" s="24">
        <f t="shared" ca="1" si="629"/>
        <v>4437.9584808469772</v>
      </c>
      <c r="BK720">
        <f t="shared" ca="1" si="630"/>
        <v>1</v>
      </c>
      <c r="BL720" s="25">
        <f t="shared" ca="1" si="631"/>
        <v>369.82987340391463</v>
      </c>
      <c r="BM720" s="32">
        <f t="shared" ca="1" si="610"/>
        <v>24200.737962492221</v>
      </c>
      <c r="BN720" s="23">
        <f t="shared" ca="1" si="632"/>
        <v>0</v>
      </c>
      <c r="BO720" s="24">
        <f t="shared" ca="1" si="633"/>
        <v>0</v>
      </c>
      <c r="BP720" s="25">
        <f t="shared" ca="1" si="634"/>
        <v>0</v>
      </c>
      <c r="BQ720" s="34">
        <f t="shared" ca="1" si="635"/>
        <v>67327</v>
      </c>
      <c r="BR720" s="23">
        <f t="shared" ca="1" si="636"/>
        <v>24200.737962492221</v>
      </c>
      <c r="BS720" s="24">
        <f t="shared" ca="1" si="637"/>
        <v>0</v>
      </c>
      <c r="BT720" s="24">
        <f t="shared" ca="1" si="602"/>
        <v>0</v>
      </c>
      <c r="BU720" s="24">
        <f t="shared" ca="1" si="638"/>
        <v>0</v>
      </c>
      <c r="BV720" s="24">
        <f t="shared" ca="1" si="603"/>
        <v>0</v>
      </c>
      <c r="BW720" s="24">
        <f t="shared" ca="1" si="639"/>
        <v>-369.82987340391463</v>
      </c>
      <c r="BX720" s="25">
        <f t="shared" ca="1" si="604"/>
        <v>-4666.6139212864582</v>
      </c>
      <c r="BY720" s="23">
        <f t="shared" ca="1" si="611"/>
        <v>2353.7718574214591</v>
      </c>
      <c r="BZ720" s="24">
        <f t="shared" ca="1" si="612"/>
        <v>0</v>
      </c>
      <c r="CA720" s="24">
        <f t="shared" ca="1" si="605"/>
        <v>0</v>
      </c>
      <c r="CB720" s="24">
        <f t="shared" ca="1" si="613"/>
        <v>0</v>
      </c>
      <c r="CC720" s="24">
        <f t="shared" ca="1" si="606"/>
        <v>0</v>
      </c>
      <c r="CD720" s="24">
        <f t="shared" ca="1" si="614"/>
        <v>-36.087532702590586</v>
      </c>
      <c r="CE720" s="25">
        <f t="shared" ca="1" si="607"/>
        <v>-463.87424121614902</v>
      </c>
      <c r="CF720" s="23">
        <f t="shared" ca="1" si="608"/>
        <v>2706552.2103522141</v>
      </c>
      <c r="CG720" s="25">
        <f t="array" aca="1" ref="CG720" ca="1">SUM(BF709:BF720/(1+inflation/100)^(AP709:AP720/12))</f>
        <v>267980.53702225385</v>
      </c>
      <c r="CH720" s="32">
        <f ca="1">IFERROR(IF(MOD(AP720-ap_months_since_start,12)=0,ap_drawdown/100*(AQ720+AV720+BA720-BC720),CH719),0)</f>
        <v>3897.6464623834836</v>
      </c>
    </row>
    <row r="721" spans="40:86" x14ac:dyDescent="0.25">
      <c r="AN721" s="32">
        <f t="shared" ca="1" si="609"/>
        <v>114.33333333333333</v>
      </c>
      <c r="AO721" s="53">
        <f t="shared" ca="1" si="640"/>
        <v>67328</v>
      </c>
      <c r="AP721" s="22">
        <v>714</v>
      </c>
      <c r="AQ721" s="32">
        <f t="shared" ca="1" si="641"/>
        <v>24200.737962492221</v>
      </c>
      <c r="AR721" s="23">
        <f t="array" aca="1" ref="AR721" ca="1">SUM(IF(lsc_start_date=AO721,lsc_amount,0))</f>
        <v>0</v>
      </c>
      <c r="AS721" s="24">
        <f t="shared" ca="1" si="615"/>
        <v>0</v>
      </c>
      <c r="AT721" s="24">
        <f t="shared" ca="1" si="616"/>
        <v>0</v>
      </c>
      <c r="AU721" s="24">
        <f t="shared" ca="1" si="617"/>
        <v>0</v>
      </c>
      <c r="AV721" s="25">
        <f t="shared" ca="1" si="618"/>
        <v>0</v>
      </c>
      <c r="AW721" s="23">
        <f t="array" aca="1" ref="AW721" ca="1">SUM(IF(rcs_start_date&lt;=AO721,1,0)*IF(rcs_end_date&gt;=AO721,1,0)*rcs_amount*(1+rcs_escalation/100)^(INT((AP721-rcs_months_since_start)/12))*IF(MOD((AP721-rcs_months_since_start),rcs_frequency)=0,1,0)*IF(rcs_frequency=13,0,1))+SUM(IF(rcs_start_date=AO721,rcs_amount,0)*IF(rcs_frequency=13,1,0))</f>
        <v>0</v>
      </c>
      <c r="AX721" s="24">
        <f t="shared" ca="1" si="619"/>
        <v>0</v>
      </c>
      <c r="AY721" s="24">
        <f t="shared" ca="1" si="620"/>
        <v>0</v>
      </c>
      <c r="AZ721" s="24">
        <f t="shared" ca="1" si="621"/>
        <v>0</v>
      </c>
      <c r="BA721" s="25">
        <f t="shared" ca="1" si="622"/>
        <v>0</v>
      </c>
      <c r="BB721" s="23">
        <f t="array" aca="1" ref="BB721" ca="1">SUM(IF(w_start_date&lt;=AO721,1,0)*IF(w_end_date&gt;=AO721,1,0)*w_amount*(1+w_escalation/100)^(INT((AP721-w_months_since_start)/12))*IF(MOD(AP721-w_months_since_start,w_frequency)=0,1,0)*IF(w_frequency=13,0,1))+SUM(IF(w_start_date=AO721,w_amount,0)*IF(w_frequency=13,1,0))</f>
        <v>0</v>
      </c>
      <c r="BC721" s="25">
        <f t="shared" ca="1" si="623"/>
        <v>0</v>
      </c>
      <c r="BD721" s="24" t="b">
        <f t="shared" ca="1" si="624"/>
        <v>1</v>
      </c>
      <c r="BE721" s="24" t="b">
        <f t="shared" ca="1" si="625"/>
        <v>1</v>
      </c>
      <c r="BF721" s="23">
        <f t="array" aca="1" ref="BF721" ca="1">SUM(IF(BD721,1,0)*IF(ap_start_date&lt;=AO721,1,0)*IF(ap_end_date&gt;=AO721,1,0)*ap_amount*(1+ap_escalation/100)^(INT((AP721-ap_months_since_start)/12))*IF(MOD(AP721-ap_months_since_start,ap_frequency)=0,1,0))</f>
        <v>229968.48846129922</v>
      </c>
      <c r="BG721" s="24">
        <f t="shared" ca="1" si="626"/>
        <v>2759621.8615355915</v>
      </c>
      <c r="BH721" s="24">
        <f t="shared" ca="1" si="627"/>
        <v>633.99406869242534</v>
      </c>
      <c r="BI721">
        <f t="shared" ca="1" si="628"/>
        <v>0</v>
      </c>
      <c r="BJ721" s="24">
        <f t="shared" ca="1" si="629"/>
        <v>4437.9584808469772</v>
      </c>
      <c r="BK721">
        <f t="shared" ca="1" si="630"/>
        <v>1</v>
      </c>
      <c r="BL721" s="25">
        <f t="shared" ca="1" si="631"/>
        <v>369.82987340391463</v>
      </c>
      <c r="BM721" s="32">
        <f t="shared" ca="1" si="610"/>
        <v>24002.665148603501</v>
      </c>
      <c r="BN721" s="23">
        <f t="shared" ca="1" si="632"/>
        <v>0</v>
      </c>
      <c r="BO721" s="24">
        <f t="shared" ca="1" si="633"/>
        <v>0</v>
      </c>
      <c r="BP721" s="25">
        <f t="shared" ca="1" si="634"/>
        <v>0</v>
      </c>
      <c r="BQ721" s="34">
        <f t="shared" ca="1" si="635"/>
        <v>67358</v>
      </c>
      <c r="BR721" s="23">
        <f t="shared" ca="1" si="636"/>
        <v>24002.665148603501</v>
      </c>
      <c r="BS721" s="24">
        <f t="shared" ca="1" si="637"/>
        <v>0</v>
      </c>
      <c r="BT721" s="24">
        <f t="shared" ca="1" si="602"/>
        <v>0</v>
      </c>
      <c r="BU721" s="24">
        <f t="shared" ca="1" si="638"/>
        <v>0</v>
      </c>
      <c r="BV721" s="24">
        <f t="shared" ca="1" si="603"/>
        <v>0</v>
      </c>
      <c r="BW721" s="24">
        <f t="shared" ca="1" si="639"/>
        <v>-369.82987340391463</v>
      </c>
      <c r="BX721" s="25">
        <f t="shared" ca="1" si="604"/>
        <v>-4628.5046812132105</v>
      </c>
      <c r="BY721" s="23">
        <f t="shared" ca="1" si="611"/>
        <v>2326.8895983382872</v>
      </c>
      <c r="BZ721" s="24">
        <f t="shared" ca="1" si="612"/>
        <v>0</v>
      </c>
      <c r="CA721" s="24">
        <f t="shared" ca="1" si="605"/>
        <v>0</v>
      </c>
      <c r="CB721" s="24">
        <f t="shared" ca="1" si="613"/>
        <v>0</v>
      </c>
      <c r="CC721" s="24">
        <f t="shared" ca="1" si="606"/>
        <v>0</v>
      </c>
      <c r="CD721" s="24">
        <f t="shared" ca="1" si="614"/>
        <v>-35.969777012627532</v>
      </c>
      <c r="CE721" s="25">
        <f t="shared" ca="1" si="607"/>
        <v>-458.58067202067912</v>
      </c>
      <c r="CF721" s="23">
        <f t="shared" ca="1" si="608"/>
        <v>2715397.1522161104</v>
      </c>
      <c r="CG721" s="25">
        <f t="array" aca="1" ref="CG721" ca="1">SUM(BF710:BF721/(1+inflation/100)^(AP710:AP721/12))</f>
        <v>267980.53702225385</v>
      </c>
      <c r="CH721" s="32">
        <f ca="1">IFERROR(IF(MOD(AP721-ap_months_since_start,12)=0,ap_drawdown/100*(AQ721+AV721+BA721-BC721),CH720),0)</f>
        <v>3897.6464623834836</v>
      </c>
    </row>
    <row r="722" spans="40:86" x14ac:dyDescent="0.25">
      <c r="AN722" s="32">
        <f t="shared" ca="1" si="609"/>
        <v>114.41666666666667</v>
      </c>
      <c r="AO722" s="53">
        <f t="shared" ca="1" si="640"/>
        <v>67359</v>
      </c>
      <c r="AP722" s="22">
        <v>715</v>
      </c>
      <c r="AQ722" s="32">
        <f t="shared" ca="1" si="641"/>
        <v>24002.665148603501</v>
      </c>
      <c r="AR722" s="23">
        <f t="array" aca="1" ref="AR722" ca="1">SUM(IF(lsc_start_date=AO722,lsc_amount,0))</f>
        <v>0</v>
      </c>
      <c r="AS722" s="24">
        <f t="shared" ca="1" si="615"/>
        <v>0</v>
      </c>
      <c r="AT722" s="24">
        <f t="shared" ca="1" si="616"/>
        <v>0</v>
      </c>
      <c r="AU722" s="24">
        <f t="shared" ca="1" si="617"/>
        <v>0</v>
      </c>
      <c r="AV722" s="25">
        <f t="shared" ca="1" si="618"/>
        <v>0</v>
      </c>
      <c r="AW722" s="23">
        <f t="array" aca="1" ref="AW722" ca="1">SUM(IF(rcs_start_date&lt;=AO722,1,0)*IF(rcs_end_date&gt;=AO722,1,0)*rcs_amount*(1+rcs_escalation/100)^(INT((AP722-rcs_months_since_start)/12))*IF(MOD((AP722-rcs_months_since_start),rcs_frequency)=0,1,0)*IF(rcs_frequency=13,0,1))+SUM(IF(rcs_start_date=AO722,rcs_amount,0)*IF(rcs_frequency=13,1,0))</f>
        <v>0</v>
      </c>
      <c r="AX722" s="24">
        <f t="shared" ca="1" si="619"/>
        <v>0</v>
      </c>
      <c r="AY722" s="24">
        <f t="shared" ca="1" si="620"/>
        <v>0</v>
      </c>
      <c r="AZ722" s="24">
        <f t="shared" ca="1" si="621"/>
        <v>0</v>
      </c>
      <c r="BA722" s="25">
        <f t="shared" ca="1" si="622"/>
        <v>0</v>
      </c>
      <c r="BB722" s="23">
        <f t="array" aca="1" ref="BB722" ca="1">SUM(IF(w_start_date&lt;=AO722,1,0)*IF(w_end_date&gt;=AO722,1,0)*w_amount*(1+w_escalation/100)^(INT((AP722-w_months_since_start)/12))*IF(MOD(AP722-w_months_since_start,w_frequency)=0,1,0)*IF(w_frequency=13,0,1))+SUM(IF(w_start_date=AO722,w_amount,0)*IF(w_frequency=13,1,0))</f>
        <v>0</v>
      </c>
      <c r="BC722" s="25">
        <f t="shared" ca="1" si="623"/>
        <v>0</v>
      </c>
      <c r="BD722" s="24" t="b">
        <f t="shared" ca="1" si="624"/>
        <v>1</v>
      </c>
      <c r="BE722" s="24" t="b">
        <f t="shared" ca="1" si="625"/>
        <v>1</v>
      </c>
      <c r="BF722" s="23">
        <f t="array" aca="1" ref="BF722" ca="1">SUM(IF(BD722,1,0)*IF(ap_start_date&lt;=AO722,1,0)*IF(ap_end_date&gt;=AO722,1,0)*ap_amount*(1+ap_escalation/100)^(INT((AP722-ap_months_since_start)/12))*IF(MOD(AP722-ap_months_since_start,ap_frequency)=0,1,0))</f>
        <v>229968.48846129922</v>
      </c>
      <c r="BG722" s="24">
        <f t="shared" ca="1" si="626"/>
        <v>2759621.8615355915</v>
      </c>
      <c r="BH722" s="24">
        <f t="shared" ca="1" si="627"/>
        <v>633.99406869242534</v>
      </c>
      <c r="BI722">
        <f t="shared" ca="1" si="628"/>
        <v>0</v>
      </c>
      <c r="BJ722" s="24">
        <f t="shared" ca="1" si="629"/>
        <v>4437.9584808469772</v>
      </c>
      <c r="BK722">
        <f t="shared" ca="1" si="630"/>
        <v>1</v>
      </c>
      <c r="BL722" s="25">
        <f t="shared" ca="1" si="631"/>
        <v>369.82987340391463</v>
      </c>
      <c r="BM722" s="32">
        <f t="shared" ca="1" si="610"/>
        <v>23803.16475990495</v>
      </c>
      <c r="BN722" s="23">
        <f t="shared" ca="1" si="632"/>
        <v>0</v>
      </c>
      <c r="BO722" s="24">
        <f t="shared" ca="1" si="633"/>
        <v>0</v>
      </c>
      <c r="BP722" s="25">
        <f t="shared" ca="1" si="634"/>
        <v>0</v>
      </c>
      <c r="BQ722" s="34">
        <f t="shared" ca="1" si="635"/>
        <v>67388</v>
      </c>
      <c r="BR722" s="23">
        <f t="shared" ca="1" si="636"/>
        <v>23803.16475990495</v>
      </c>
      <c r="BS722" s="24">
        <f t="shared" ca="1" si="637"/>
        <v>0</v>
      </c>
      <c r="BT722" s="24">
        <f t="shared" ca="1" si="602"/>
        <v>0</v>
      </c>
      <c r="BU722" s="24">
        <f t="shared" ca="1" si="638"/>
        <v>0</v>
      </c>
      <c r="BV722" s="24">
        <f t="shared" ca="1" si="603"/>
        <v>0</v>
      </c>
      <c r="BW722" s="24">
        <f t="shared" ca="1" si="639"/>
        <v>-369.82987340391463</v>
      </c>
      <c r="BX722" s="25">
        <f t="shared" ca="1" si="604"/>
        <v>-4590.3954411399636</v>
      </c>
      <c r="BY722" s="23">
        <f t="shared" ca="1" si="611"/>
        <v>2300.01977232116</v>
      </c>
      <c r="BZ722" s="24">
        <f t="shared" ca="1" si="612"/>
        <v>0</v>
      </c>
      <c r="CA722" s="24">
        <f t="shared" ca="1" si="605"/>
        <v>0</v>
      </c>
      <c r="CB722" s="24">
        <f t="shared" ca="1" si="613"/>
        <v>0</v>
      </c>
      <c r="CC722" s="24">
        <f t="shared" ca="1" si="606"/>
        <v>0</v>
      </c>
      <c r="CD722" s="24">
        <f t="shared" ca="1" si="614"/>
        <v>-35.852405566237813</v>
      </c>
      <c r="CE722" s="25">
        <f t="shared" ca="1" si="607"/>
        <v>-453.30437604524667</v>
      </c>
      <c r="CF722" s="23">
        <f t="shared" ca="1" si="608"/>
        <v>2724242.0940800067</v>
      </c>
      <c r="CG722" s="25">
        <f t="array" aca="1" ref="CG722" ca="1">SUM(BF711:BF722/(1+inflation/100)^(AP711:AP722/12))</f>
        <v>267980.53702225385</v>
      </c>
      <c r="CH722" s="32">
        <f ca="1">IFERROR(IF(MOD(AP722-ap_months_since_start,12)=0,ap_drawdown/100*(AQ722+AV722+BA722-BC722),CH721),0)</f>
        <v>3897.6464623834836</v>
      </c>
    </row>
    <row r="723" spans="40:86" x14ac:dyDescent="0.25">
      <c r="AN723" s="32">
        <f t="shared" ca="1" si="609"/>
        <v>114.5</v>
      </c>
      <c r="AO723" s="53">
        <f t="shared" ca="1" si="640"/>
        <v>67389</v>
      </c>
      <c r="AP723" s="22">
        <v>716</v>
      </c>
      <c r="AQ723" s="32">
        <f t="shared" ca="1" si="641"/>
        <v>23803.16475990495</v>
      </c>
      <c r="AR723" s="23">
        <f t="array" aca="1" ref="AR723" ca="1">SUM(IF(lsc_start_date=AO723,lsc_amount,0))</f>
        <v>0</v>
      </c>
      <c r="AS723" s="24">
        <f t="shared" ca="1" si="615"/>
        <v>0</v>
      </c>
      <c r="AT723" s="24">
        <f t="shared" ca="1" si="616"/>
        <v>0</v>
      </c>
      <c r="AU723" s="24">
        <f t="shared" ca="1" si="617"/>
        <v>0</v>
      </c>
      <c r="AV723" s="25">
        <f t="shared" ca="1" si="618"/>
        <v>0</v>
      </c>
      <c r="AW723" s="23">
        <f t="array" aca="1" ref="AW723" ca="1">SUM(IF(rcs_start_date&lt;=AO723,1,0)*IF(rcs_end_date&gt;=AO723,1,0)*rcs_amount*(1+rcs_escalation/100)^(INT((AP723-rcs_months_since_start)/12))*IF(MOD((AP723-rcs_months_since_start),rcs_frequency)=0,1,0)*IF(rcs_frequency=13,0,1))+SUM(IF(rcs_start_date=AO723,rcs_amount,0)*IF(rcs_frequency=13,1,0))</f>
        <v>0</v>
      </c>
      <c r="AX723" s="24">
        <f t="shared" ca="1" si="619"/>
        <v>0</v>
      </c>
      <c r="AY723" s="24">
        <f t="shared" ca="1" si="620"/>
        <v>0</v>
      </c>
      <c r="AZ723" s="24">
        <f t="shared" ca="1" si="621"/>
        <v>0</v>
      </c>
      <c r="BA723" s="25">
        <f t="shared" ca="1" si="622"/>
        <v>0</v>
      </c>
      <c r="BB723" s="23">
        <f t="array" aca="1" ref="BB723" ca="1">SUM(IF(w_start_date&lt;=AO723,1,0)*IF(w_end_date&gt;=AO723,1,0)*w_amount*(1+w_escalation/100)^(INT((AP723-w_months_since_start)/12))*IF(MOD(AP723-w_months_since_start,w_frequency)=0,1,0)*IF(w_frequency=13,0,1))+SUM(IF(w_start_date=AO723,w_amount,0)*IF(w_frequency=13,1,0))</f>
        <v>0</v>
      </c>
      <c r="BC723" s="25">
        <f t="shared" ca="1" si="623"/>
        <v>0</v>
      </c>
      <c r="BD723" s="24" t="b">
        <f t="shared" ca="1" si="624"/>
        <v>1</v>
      </c>
      <c r="BE723" s="24" t="b">
        <f t="shared" ca="1" si="625"/>
        <v>1</v>
      </c>
      <c r="BF723" s="23">
        <f t="array" aca="1" ref="BF723" ca="1">SUM(IF(BD723,1,0)*IF(ap_start_date&lt;=AO723,1,0)*IF(ap_end_date&gt;=AO723,1,0)*ap_amount*(1+ap_escalation/100)^(INT((AP723-ap_months_since_start)/12))*IF(MOD(AP723-ap_months_since_start,ap_frequency)=0,1,0))</f>
        <v>229968.48846129922</v>
      </c>
      <c r="BG723" s="24">
        <f t="shared" ca="1" si="626"/>
        <v>2759621.8615355915</v>
      </c>
      <c r="BH723" s="24">
        <f t="shared" ca="1" si="627"/>
        <v>633.99406869242534</v>
      </c>
      <c r="BI723">
        <f t="shared" ca="1" si="628"/>
        <v>0</v>
      </c>
      <c r="BJ723" s="24">
        <f t="shared" ca="1" si="629"/>
        <v>4437.9584808469772</v>
      </c>
      <c r="BK723">
        <f t="shared" ca="1" si="630"/>
        <v>1</v>
      </c>
      <c r="BL723" s="25">
        <f t="shared" ca="1" si="631"/>
        <v>369.82987340391463</v>
      </c>
      <c r="BM723" s="32">
        <f t="shared" ca="1" si="610"/>
        <v>23602.226507403353</v>
      </c>
      <c r="BN723" s="23">
        <f t="shared" ca="1" si="632"/>
        <v>0</v>
      </c>
      <c r="BO723" s="24">
        <f t="shared" ca="1" si="633"/>
        <v>0</v>
      </c>
      <c r="BP723" s="25">
        <f t="shared" ca="1" si="634"/>
        <v>0</v>
      </c>
      <c r="BQ723" s="34">
        <f t="shared" ca="1" si="635"/>
        <v>67419</v>
      </c>
      <c r="BR723" s="23">
        <f t="shared" ca="1" si="636"/>
        <v>23602.226507403353</v>
      </c>
      <c r="BS723" s="24">
        <f t="shared" ca="1" si="637"/>
        <v>0</v>
      </c>
      <c r="BT723" s="24">
        <f t="shared" ca="1" si="602"/>
        <v>0</v>
      </c>
      <c r="BU723" s="24">
        <f t="shared" ca="1" si="638"/>
        <v>0</v>
      </c>
      <c r="BV723" s="24">
        <f t="shared" ca="1" si="603"/>
        <v>0</v>
      </c>
      <c r="BW723" s="24">
        <f t="shared" ca="1" si="639"/>
        <v>-369.82987340391463</v>
      </c>
      <c r="BX723" s="25">
        <f t="shared" ca="1" si="604"/>
        <v>-4552.2862010667168</v>
      </c>
      <c r="BY723" s="23">
        <f t="shared" ca="1" si="611"/>
        <v>2273.1620436256258</v>
      </c>
      <c r="BZ723" s="24">
        <f t="shared" ca="1" si="612"/>
        <v>0</v>
      </c>
      <c r="CA723" s="24">
        <f t="shared" ca="1" si="605"/>
        <v>0</v>
      </c>
      <c r="CB723" s="24">
        <f t="shared" ca="1" si="613"/>
        <v>0</v>
      </c>
      <c r="CC723" s="24">
        <f t="shared" ca="1" si="606"/>
        <v>0</v>
      </c>
      <c r="CD723" s="24">
        <f t="shared" ca="1" si="614"/>
        <v>-35.735417109612605</v>
      </c>
      <c r="CE723" s="25">
        <f t="shared" ca="1" si="607"/>
        <v>-448.04529692634361</v>
      </c>
      <c r="CF723" s="23">
        <f t="shared" ca="1" si="608"/>
        <v>2733087.035943903</v>
      </c>
      <c r="CG723" s="25">
        <f t="array" aca="1" ref="CG723" ca="1">SUM(BF712:BF723/(1+inflation/100)^(AP712:AP723/12))</f>
        <v>267980.53702225385</v>
      </c>
      <c r="CH723" s="32">
        <f ca="1">IFERROR(IF(MOD(AP723-ap_months_since_start,12)=0,ap_drawdown/100*(AQ723+AV723+BA723-BC723),CH722),0)</f>
        <v>3897.6464623834836</v>
      </c>
    </row>
    <row r="724" spans="40:86" x14ac:dyDescent="0.25">
      <c r="AN724" s="32">
        <f t="shared" ca="1" si="609"/>
        <v>114.58333333333333</v>
      </c>
      <c r="AO724" s="53">
        <f t="shared" ca="1" si="640"/>
        <v>67420</v>
      </c>
      <c r="AP724" s="22">
        <v>717</v>
      </c>
      <c r="AQ724" s="32">
        <f t="shared" ca="1" si="641"/>
        <v>23602.226507403353</v>
      </c>
      <c r="AR724" s="23">
        <f t="array" aca="1" ref="AR724" ca="1">SUM(IF(lsc_start_date=AO724,lsc_amount,0))</f>
        <v>0</v>
      </c>
      <c r="AS724" s="24">
        <f t="shared" ca="1" si="615"/>
        <v>0</v>
      </c>
      <c r="AT724" s="24">
        <f t="shared" ca="1" si="616"/>
        <v>0</v>
      </c>
      <c r="AU724" s="24">
        <f t="shared" ca="1" si="617"/>
        <v>0</v>
      </c>
      <c r="AV724" s="25">
        <f t="shared" ca="1" si="618"/>
        <v>0</v>
      </c>
      <c r="AW724" s="23">
        <f t="array" aca="1" ref="AW724" ca="1">SUM(IF(rcs_start_date&lt;=AO724,1,0)*IF(rcs_end_date&gt;=AO724,1,0)*rcs_amount*(1+rcs_escalation/100)^(INT((AP724-rcs_months_since_start)/12))*IF(MOD((AP724-rcs_months_since_start),rcs_frequency)=0,1,0)*IF(rcs_frequency=13,0,1))+SUM(IF(rcs_start_date=AO724,rcs_amount,0)*IF(rcs_frequency=13,1,0))</f>
        <v>0</v>
      </c>
      <c r="AX724" s="24">
        <f t="shared" ca="1" si="619"/>
        <v>0</v>
      </c>
      <c r="AY724" s="24">
        <f t="shared" ca="1" si="620"/>
        <v>0</v>
      </c>
      <c r="AZ724" s="24">
        <f t="shared" ca="1" si="621"/>
        <v>0</v>
      </c>
      <c r="BA724" s="25">
        <f t="shared" ca="1" si="622"/>
        <v>0</v>
      </c>
      <c r="BB724" s="23">
        <f t="array" aca="1" ref="BB724" ca="1">SUM(IF(w_start_date&lt;=AO724,1,0)*IF(w_end_date&gt;=AO724,1,0)*w_amount*(1+w_escalation/100)^(INT((AP724-w_months_since_start)/12))*IF(MOD(AP724-w_months_since_start,w_frequency)=0,1,0)*IF(w_frequency=13,0,1))+SUM(IF(w_start_date=AO724,w_amount,0)*IF(w_frequency=13,1,0))</f>
        <v>0</v>
      </c>
      <c r="BC724" s="25">
        <f t="shared" ca="1" si="623"/>
        <v>0</v>
      </c>
      <c r="BD724" s="24" t="b">
        <f t="shared" ca="1" si="624"/>
        <v>1</v>
      </c>
      <c r="BE724" s="24" t="b">
        <f t="shared" ca="1" si="625"/>
        <v>1</v>
      </c>
      <c r="BF724" s="23">
        <f t="array" aca="1" ref="BF724" ca="1">SUM(IF(BD724,1,0)*IF(ap_start_date&lt;=AO724,1,0)*IF(ap_end_date&gt;=AO724,1,0)*ap_amount*(1+ap_escalation/100)^(INT((AP724-ap_months_since_start)/12))*IF(MOD(AP724-ap_months_since_start,ap_frequency)=0,1,0))</f>
        <v>229968.48846129922</v>
      </c>
      <c r="BG724" s="24">
        <f t="shared" ca="1" si="626"/>
        <v>2759621.8615355915</v>
      </c>
      <c r="BH724" s="24">
        <f t="shared" ca="1" si="627"/>
        <v>633.99406869242534</v>
      </c>
      <c r="BI724">
        <f t="shared" ca="1" si="628"/>
        <v>0</v>
      </c>
      <c r="BJ724" s="24">
        <f t="shared" ca="1" si="629"/>
        <v>4437.9584808469772</v>
      </c>
      <c r="BK724">
        <f t="shared" ca="1" si="630"/>
        <v>1</v>
      </c>
      <c r="BL724" s="25">
        <f t="shared" ca="1" si="631"/>
        <v>369.82987340391463</v>
      </c>
      <c r="BM724" s="32">
        <f t="shared" ca="1" si="610"/>
        <v>23399.840027949398</v>
      </c>
      <c r="BN724" s="23">
        <f t="shared" ca="1" si="632"/>
        <v>0</v>
      </c>
      <c r="BO724" s="24">
        <f t="shared" ca="1" si="633"/>
        <v>0</v>
      </c>
      <c r="BP724" s="25">
        <f t="shared" ca="1" si="634"/>
        <v>0</v>
      </c>
      <c r="BQ724" s="34">
        <f t="shared" ca="1" si="635"/>
        <v>67450</v>
      </c>
      <c r="BR724" s="23">
        <f t="shared" ca="1" si="636"/>
        <v>23399.840027949398</v>
      </c>
      <c r="BS724" s="24">
        <f t="shared" ca="1" si="637"/>
        <v>0</v>
      </c>
      <c r="BT724" s="24">
        <f t="shared" ref="BT724:BT787" ca="1" si="642">SUM(BS713:BS724)</f>
        <v>0</v>
      </c>
      <c r="BU724" s="24">
        <f t="shared" ca="1" si="638"/>
        <v>0</v>
      </c>
      <c r="BV724" s="24">
        <f t="shared" ref="BV724:BV787" ca="1" si="643">SUM(BU713:BU724)</f>
        <v>0</v>
      </c>
      <c r="BW724" s="24">
        <f t="shared" ca="1" si="639"/>
        <v>-369.82987340391463</v>
      </c>
      <c r="BX724" s="25">
        <f t="shared" ref="BX724:BX787" ca="1" si="644">SUM(BW713:BW724)</f>
        <v>-4514.176960993469</v>
      </c>
      <c r="BY724" s="23">
        <f t="shared" ca="1" si="611"/>
        <v>2246.3160764454797</v>
      </c>
      <c r="BZ724" s="24">
        <f t="shared" ca="1" si="612"/>
        <v>0</v>
      </c>
      <c r="CA724" s="24">
        <f t="shared" ref="CA724:CA787" ca="1" si="645">SUM(BZ713:BZ724)</f>
        <v>0</v>
      </c>
      <c r="CB724" s="24">
        <f t="shared" ca="1" si="613"/>
        <v>0</v>
      </c>
      <c r="CC724" s="24">
        <f t="shared" ref="CC724:CC787" ca="1" si="646">SUM(CB713:CB724)</f>
        <v>0</v>
      </c>
      <c r="CD724" s="24">
        <f t="shared" ca="1" si="614"/>
        <v>-35.61881039303433</v>
      </c>
      <c r="CE724" s="25">
        <f t="shared" ref="CE724:CE787" ca="1" si="647">SUM(CD713:CD724)</f>
        <v>-442.80337848437892</v>
      </c>
      <c r="CF724" s="23">
        <f t="shared" ref="CF724:CF787" ca="1" si="648">SUM(BF713:BF724)</f>
        <v>2741931.9778077989</v>
      </c>
      <c r="CG724" s="25">
        <f t="array" aca="1" ref="CG724" ca="1">SUM(BF713:BF724/(1+inflation/100)^(AP713:AP724/12))</f>
        <v>267980.53702225385</v>
      </c>
      <c r="CH724" s="32">
        <f ca="1">IFERROR(IF(MOD(AP724-ap_months_since_start,12)=0,ap_drawdown/100*(AQ724+AV724+BA724-BC724),CH723),0)</f>
        <v>3897.6464623834836</v>
      </c>
    </row>
    <row r="725" spans="40:86" x14ac:dyDescent="0.25">
      <c r="AN725" s="32">
        <f t="shared" ca="1" si="609"/>
        <v>114.66666666666667</v>
      </c>
      <c r="AO725" s="53">
        <f t="shared" ca="1" si="640"/>
        <v>67451</v>
      </c>
      <c r="AP725" s="22">
        <v>718</v>
      </c>
      <c r="AQ725" s="32">
        <f t="shared" ca="1" si="641"/>
        <v>23399.840027949398</v>
      </c>
      <c r="AR725" s="23">
        <f t="array" aca="1" ref="AR725" ca="1">SUM(IF(lsc_start_date=AO725,lsc_amount,0))</f>
        <v>0</v>
      </c>
      <c r="AS725" s="24">
        <f t="shared" ca="1" si="615"/>
        <v>0</v>
      </c>
      <c r="AT725" s="24">
        <f t="shared" ca="1" si="616"/>
        <v>0</v>
      </c>
      <c r="AU725" s="24">
        <f t="shared" ca="1" si="617"/>
        <v>0</v>
      </c>
      <c r="AV725" s="25">
        <f t="shared" ca="1" si="618"/>
        <v>0</v>
      </c>
      <c r="AW725" s="23">
        <f t="array" aca="1" ref="AW725" ca="1">SUM(IF(rcs_start_date&lt;=AO725,1,0)*IF(rcs_end_date&gt;=AO725,1,0)*rcs_amount*(1+rcs_escalation/100)^(INT((AP725-rcs_months_since_start)/12))*IF(MOD((AP725-rcs_months_since_start),rcs_frequency)=0,1,0)*IF(rcs_frequency=13,0,1))+SUM(IF(rcs_start_date=AO725,rcs_amount,0)*IF(rcs_frequency=13,1,0))</f>
        <v>0</v>
      </c>
      <c r="AX725" s="24">
        <f t="shared" ca="1" si="619"/>
        <v>0</v>
      </c>
      <c r="AY725" s="24">
        <f t="shared" ca="1" si="620"/>
        <v>0</v>
      </c>
      <c r="AZ725" s="24">
        <f t="shared" ca="1" si="621"/>
        <v>0</v>
      </c>
      <c r="BA725" s="25">
        <f t="shared" ca="1" si="622"/>
        <v>0</v>
      </c>
      <c r="BB725" s="23">
        <f t="array" aca="1" ref="BB725" ca="1">SUM(IF(w_start_date&lt;=AO725,1,0)*IF(w_end_date&gt;=AO725,1,0)*w_amount*(1+w_escalation/100)^(INT((AP725-w_months_since_start)/12))*IF(MOD(AP725-w_months_since_start,w_frequency)=0,1,0)*IF(w_frequency=13,0,1))+SUM(IF(w_start_date=AO725,w_amount,0)*IF(w_frequency=13,1,0))</f>
        <v>0</v>
      </c>
      <c r="BC725" s="25">
        <f t="shared" ca="1" si="623"/>
        <v>0</v>
      </c>
      <c r="BD725" s="24" t="b">
        <f t="shared" ca="1" si="624"/>
        <v>1</v>
      </c>
      <c r="BE725" s="24" t="b">
        <f t="shared" ca="1" si="625"/>
        <v>1</v>
      </c>
      <c r="BF725" s="23">
        <f t="array" aca="1" ref="BF725" ca="1">SUM(IF(BD725,1,0)*IF(ap_start_date&lt;=AO725,1,0)*IF(ap_end_date&gt;=AO725,1,0)*ap_amount*(1+ap_escalation/100)^(INT((AP725-ap_months_since_start)/12))*IF(MOD(AP725-ap_months_since_start,ap_frequency)=0,1,0))</f>
        <v>229968.48846129922</v>
      </c>
      <c r="BG725" s="24">
        <f t="shared" ca="1" si="626"/>
        <v>2759621.8615355915</v>
      </c>
      <c r="BH725" s="24">
        <f t="shared" ca="1" si="627"/>
        <v>633.99406869242534</v>
      </c>
      <c r="BI725">
        <f t="shared" ca="1" si="628"/>
        <v>0</v>
      </c>
      <c r="BJ725" s="24">
        <f t="shared" ca="1" si="629"/>
        <v>4437.9584808469772</v>
      </c>
      <c r="BK725">
        <f t="shared" ca="1" si="630"/>
        <v>1</v>
      </c>
      <c r="BL725" s="25">
        <f t="shared" ca="1" si="631"/>
        <v>369.82987340391463</v>
      </c>
      <c r="BM725" s="32">
        <f t="shared" ca="1" si="610"/>
        <v>23195.994883703203</v>
      </c>
      <c r="BN725" s="23">
        <f t="shared" ca="1" si="632"/>
        <v>0</v>
      </c>
      <c r="BO725" s="24">
        <f t="shared" ca="1" si="633"/>
        <v>0</v>
      </c>
      <c r="BP725" s="25">
        <f t="shared" ca="1" si="634"/>
        <v>0</v>
      </c>
      <c r="BQ725" s="34">
        <f t="shared" ca="1" si="635"/>
        <v>67480</v>
      </c>
      <c r="BR725" s="23">
        <f t="shared" ca="1" si="636"/>
        <v>23195.994883703203</v>
      </c>
      <c r="BS725" s="24">
        <f t="shared" ca="1" si="637"/>
        <v>0</v>
      </c>
      <c r="BT725" s="24">
        <f t="shared" ca="1" si="642"/>
        <v>0</v>
      </c>
      <c r="BU725" s="24">
        <f t="shared" ca="1" si="638"/>
        <v>0</v>
      </c>
      <c r="BV725" s="24">
        <f t="shared" ca="1" si="643"/>
        <v>0</v>
      </c>
      <c r="BW725" s="24">
        <f t="shared" ca="1" si="639"/>
        <v>-369.82987340391463</v>
      </c>
      <c r="BX725" s="25">
        <f t="shared" ca="1" si="644"/>
        <v>-4476.0677209202222</v>
      </c>
      <c r="BY725" s="23">
        <f t="shared" ca="1" si="611"/>
        <v>2219.4815349084315</v>
      </c>
      <c r="BZ725" s="24">
        <f t="shared" ca="1" si="612"/>
        <v>0</v>
      </c>
      <c r="CA725" s="24">
        <f t="shared" ca="1" si="645"/>
        <v>0</v>
      </c>
      <c r="CB725" s="24">
        <f t="shared" ca="1" si="613"/>
        <v>0</v>
      </c>
      <c r="CC725" s="24">
        <f t="shared" ca="1" si="646"/>
        <v>0</v>
      </c>
      <c r="CD725" s="24">
        <f t="shared" ca="1" si="614"/>
        <v>-35.502584170863308</v>
      </c>
      <c r="CE725" s="25">
        <f t="shared" ca="1" si="647"/>
        <v>-437.57856472307918</v>
      </c>
      <c r="CF725" s="23">
        <f t="shared" ca="1" si="648"/>
        <v>2750776.9196716952</v>
      </c>
      <c r="CG725" s="25">
        <f t="array" aca="1" ref="CG725" ca="1">SUM(BF714:BF725/(1+inflation/100)^(AP714:AP725/12))</f>
        <v>267980.53702225385</v>
      </c>
      <c r="CH725" s="32">
        <f ca="1">IFERROR(IF(MOD(AP725-ap_months_since_start,12)=0,ap_drawdown/100*(AQ725+AV725+BA725-BC725),CH724),0)</f>
        <v>3897.6464623834836</v>
      </c>
    </row>
    <row r="726" spans="40:86" x14ac:dyDescent="0.25">
      <c r="AN726" s="32">
        <f t="shared" ca="1" si="609"/>
        <v>114.75</v>
      </c>
      <c r="AO726" s="53">
        <f t="shared" ca="1" si="640"/>
        <v>67481</v>
      </c>
      <c r="AP726" s="22">
        <v>719</v>
      </c>
      <c r="AQ726" s="32">
        <f t="shared" ca="1" si="641"/>
        <v>23195.994883703203</v>
      </c>
      <c r="AR726" s="23">
        <f t="array" aca="1" ref="AR726" ca="1">SUM(IF(lsc_start_date=AO726,lsc_amount,0))</f>
        <v>0</v>
      </c>
      <c r="AS726" s="24">
        <f t="shared" ca="1" si="615"/>
        <v>0</v>
      </c>
      <c r="AT726" s="24">
        <f t="shared" ca="1" si="616"/>
        <v>0</v>
      </c>
      <c r="AU726" s="24">
        <f t="shared" ca="1" si="617"/>
        <v>0</v>
      </c>
      <c r="AV726" s="25">
        <f t="shared" ca="1" si="618"/>
        <v>0</v>
      </c>
      <c r="AW726" s="23">
        <f t="array" aca="1" ref="AW726" ca="1">SUM(IF(rcs_start_date&lt;=AO726,1,0)*IF(rcs_end_date&gt;=AO726,1,0)*rcs_amount*(1+rcs_escalation/100)^(INT((AP726-rcs_months_since_start)/12))*IF(MOD((AP726-rcs_months_since_start),rcs_frequency)=0,1,0)*IF(rcs_frequency=13,0,1))+SUM(IF(rcs_start_date=AO726,rcs_amount,0)*IF(rcs_frequency=13,1,0))</f>
        <v>0</v>
      </c>
      <c r="AX726" s="24">
        <f t="shared" ca="1" si="619"/>
        <v>0</v>
      </c>
      <c r="AY726" s="24">
        <f t="shared" ca="1" si="620"/>
        <v>0</v>
      </c>
      <c r="AZ726" s="24">
        <f t="shared" ca="1" si="621"/>
        <v>0</v>
      </c>
      <c r="BA726" s="25">
        <f t="shared" ca="1" si="622"/>
        <v>0</v>
      </c>
      <c r="BB726" s="23">
        <f t="array" aca="1" ref="BB726" ca="1">SUM(IF(w_start_date&lt;=AO726,1,0)*IF(w_end_date&gt;=AO726,1,0)*w_amount*(1+w_escalation/100)^(INT((AP726-w_months_since_start)/12))*IF(MOD(AP726-w_months_since_start,w_frequency)=0,1,0)*IF(w_frequency=13,0,1))+SUM(IF(w_start_date=AO726,w_amount,0)*IF(w_frequency=13,1,0))</f>
        <v>0</v>
      </c>
      <c r="BC726" s="25">
        <f t="shared" ca="1" si="623"/>
        <v>0</v>
      </c>
      <c r="BD726" s="24" t="b">
        <f t="shared" ca="1" si="624"/>
        <v>1</v>
      </c>
      <c r="BE726" s="24" t="b">
        <f t="shared" ca="1" si="625"/>
        <v>1</v>
      </c>
      <c r="BF726" s="23">
        <f t="array" aca="1" ref="BF726" ca="1">SUM(IF(BD726,1,0)*IF(ap_start_date&lt;=AO726,1,0)*IF(ap_end_date&gt;=AO726,1,0)*ap_amount*(1+ap_escalation/100)^(INT((AP726-ap_months_since_start)/12))*IF(MOD(AP726-ap_months_since_start,ap_frequency)=0,1,0))</f>
        <v>229968.48846129922</v>
      </c>
      <c r="BG726" s="24">
        <f t="shared" ca="1" si="626"/>
        <v>2759621.8615355915</v>
      </c>
      <c r="BH726" s="24">
        <f t="shared" ca="1" si="627"/>
        <v>633.99406869242534</v>
      </c>
      <c r="BI726">
        <f t="shared" ca="1" si="628"/>
        <v>0</v>
      </c>
      <c r="BJ726" s="24">
        <f t="shared" ca="1" si="629"/>
        <v>4437.9584808469772</v>
      </c>
      <c r="BK726">
        <f t="shared" ca="1" si="630"/>
        <v>1</v>
      </c>
      <c r="BL726" s="25">
        <f t="shared" ca="1" si="631"/>
        <v>369.82987340391463</v>
      </c>
      <c r="BM726" s="32">
        <f t="shared" ca="1" si="610"/>
        <v>22990.680561596</v>
      </c>
      <c r="BN726" s="23">
        <f t="shared" ca="1" si="632"/>
        <v>0</v>
      </c>
      <c r="BO726" s="24">
        <f t="shared" ca="1" si="633"/>
        <v>0</v>
      </c>
      <c r="BP726" s="25">
        <f t="shared" ca="1" si="634"/>
        <v>0</v>
      </c>
      <c r="BQ726" s="34">
        <f t="shared" ca="1" si="635"/>
        <v>67511</v>
      </c>
      <c r="BR726" s="23">
        <f t="shared" ca="1" si="636"/>
        <v>22990.680561596</v>
      </c>
      <c r="BS726" s="24">
        <f t="shared" ca="1" si="637"/>
        <v>0</v>
      </c>
      <c r="BT726" s="24">
        <f t="shared" ca="1" si="642"/>
        <v>0</v>
      </c>
      <c r="BU726" s="24">
        <f t="shared" ca="1" si="638"/>
        <v>0</v>
      </c>
      <c r="BV726" s="24">
        <f t="shared" ca="1" si="643"/>
        <v>0</v>
      </c>
      <c r="BW726" s="24">
        <f t="shared" ca="1" si="639"/>
        <v>-369.82987340391463</v>
      </c>
      <c r="BX726" s="25">
        <f t="shared" ca="1" si="644"/>
        <v>-4437.9584808469745</v>
      </c>
      <c r="BY726" s="23">
        <f t="shared" ca="1" si="611"/>
        <v>2192.6580830717603</v>
      </c>
      <c r="BZ726" s="24">
        <f t="shared" ca="1" si="612"/>
        <v>0</v>
      </c>
      <c r="CA726" s="24">
        <f t="shared" ca="1" si="645"/>
        <v>0</v>
      </c>
      <c r="CB726" s="24">
        <f t="shared" ca="1" si="613"/>
        <v>0</v>
      </c>
      <c r="CC726" s="24">
        <f t="shared" ca="1" si="646"/>
        <v>0</v>
      </c>
      <c r="CD726" s="24">
        <f t="shared" ca="1" si="614"/>
        <v>-35.386737201524468</v>
      </c>
      <c r="CE726" s="25">
        <f t="shared" ca="1" si="647"/>
        <v>-432.37079982888986</v>
      </c>
      <c r="CF726" s="23">
        <f t="shared" ca="1" si="648"/>
        <v>2759621.8615355915</v>
      </c>
      <c r="CG726" s="25">
        <f t="array" aca="1" ref="CG726" ca="1">SUM(BF715:BF726/(1+inflation/100)^(AP715:AP726/12))</f>
        <v>267980.53702225385</v>
      </c>
      <c r="CH726" s="32">
        <f ca="1">IFERROR(IF(MOD(AP726-ap_months_since_start,12)=0,ap_drawdown/100*(AQ726+AV726+BA726-BC726),CH725),0)</f>
        <v>3897.6464623834836</v>
      </c>
    </row>
    <row r="727" spans="40:86" x14ac:dyDescent="0.25">
      <c r="AN727" s="32">
        <f t="shared" ca="1" si="609"/>
        <v>114.83333333333333</v>
      </c>
      <c r="AO727" s="53">
        <f t="shared" ca="1" si="640"/>
        <v>67512</v>
      </c>
      <c r="AP727" s="22">
        <v>720</v>
      </c>
      <c r="AQ727" s="32">
        <f t="shared" ca="1" si="641"/>
        <v>22990.680561596</v>
      </c>
      <c r="AR727" s="23">
        <f t="array" aca="1" ref="AR727" ca="1">SUM(IF(lsc_start_date=AO727,lsc_amount,0))</f>
        <v>0</v>
      </c>
      <c r="AS727" s="24">
        <f t="shared" ca="1" si="615"/>
        <v>0</v>
      </c>
      <c r="AT727" s="24">
        <f t="shared" ca="1" si="616"/>
        <v>0</v>
      </c>
      <c r="AU727" s="24">
        <f t="shared" ca="1" si="617"/>
        <v>0</v>
      </c>
      <c r="AV727" s="25">
        <f t="shared" ca="1" si="618"/>
        <v>0</v>
      </c>
      <c r="AW727" s="23">
        <f t="array" aca="1" ref="AW727" ca="1">SUM(IF(rcs_start_date&lt;=AO727,1,0)*IF(rcs_end_date&gt;=AO727,1,0)*rcs_amount*(1+rcs_escalation/100)^(INT((AP727-rcs_months_since_start)/12))*IF(MOD((AP727-rcs_months_since_start),rcs_frequency)=0,1,0)*IF(rcs_frequency=13,0,1))+SUM(IF(rcs_start_date=AO727,rcs_amount,0)*IF(rcs_frequency=13,1,0))</f>
        <v>0</v>
      </c>
      <c r="AX727" s="24">
        <f t="shared" ca="1" si="619"/>
        <v>0</v>
      </c>
      <c r="AY727" s="24">
        <f t="shared" ca="1" si="620"/>
        <v>0</v>
      </c>
      <c r="AZ727" s="24">
        <f t="shared" ca="1" si="621"/>
        <v>0</v>
      </c>
      <c r="BA727" s="25">
        <f t="shared" ca="1" si="622"/>
        <v>0</v>
      </c>
      <c r="BB727" s="23">
        <f t="array" aca="1" ref="BB727" ca="1">SUM(IF(w_start_date&lt;=AO727,1,0)*IF(w_end_date&gt;=AO727,1,0)*w_amount*(1+w_escalation/100)^(INT((AP727-w_months_since_start)/12))*IF(MOD(AP727-w_months_since_start,w_frequency)=0,1,0)*IF(w_frequency=13,0,1))+SUM(IF(w_start_date=AO727,w_amount,0)*IF(w_frequency=13,1,0))</f>
        <v>0</v>
      </c>
      <c r="BC727" s="25">
        <f t="shared" ca="1" si="623"/>
        <v>0</v>
      </c>
      <c r="BD727" s="24" t="b">
        <f t="shared" ca="1" si="624"/>
        <v>1</v>
      </c>
      <c r="BE727" s="24" t="b">
        <f t="shared" ca="1" si="625"/>
        <v>1</v>
      </c>
      <c r="BF727" s="23">
        <f t="array" aca="1" ref="BF727" ca="1">SUM(IF(BD727,1,0)*IF(ap_start_date&lt;=AO727,1,0)*IF(ap_end_date&gt;=AO727,1,0)*ap_amount*(1+ap_escalation/100)^(INT((AP727-ap_months_since_start)/12))*IF(MOD(AP727-ap_months_since_start,ap_frequency)=0,1,0))</f>
        <v>239167.22799975119</v>
      </c>
      <c r="BG727" s="24">
        <f t="shared" ca="1" si="626"/>
        <v>2870006.7359970137</v>
      </c>
      <c r="BH727" s="24">
        <f t="shared" ca="1" si="627"/>
        <v>574.7670140399</v>
      </c>
      <c r="BI727">
        <f t="shared" ca="1" si="628"/>
        <v>0</v>
      </c>
      <c r="BJ727" s="24">
        <f t="shared" ca="1" si="629"/>
        <v>4023.3690982792996</v>
      </c>
      <c r="BK727">
        <f t="shared" ca="1" si="630"/>
        <v>1</v>
      </c>
      <c r="BL727" s="25">
        <f t="shared" ca="1" si="631"/>
        <v>335.28075818994171</v>
      </c>
      <c r="BM727" s="32">
        <f t="shared" ca="1" si="610"/>
        <v>22818.684594645543</v>
      </c>
      <c r="BN727" s="23">
        <f t="shared" ca="1" si="632"/>
        <v>0</v>
      </c>
      <c r="BO727" s="24">
        <f t="shared" ca="1" si="633"/>
        <v>0</v>
      </c>
      <c r="BP727" s="25">
        <f t="shared" ca="1" si="634"/>
        <v>0</v>
      </c>
      <c r="BQ727" s="34">
        <f t="shared" ca="1" si="635"/>
        <v>67541</v>
      </c>
      <c r="BR727" s="23">
        <f t="shared" ca="1" si="636"/>
        <v>22818.684594645543</v>
      </c>
      <c r="BS727" s="24">
        <f t="shared" ca="1" si="637"/>
        <v>0</v>
      </c>
      <c r="BT727" s="24">
        <f t="shared" ca="1" si="642"/>
        <v>0</v>
      </c>
      <c r="BU727" s="24">
        <f t="shared" ca="1" si="638"/>
        <v>0</v>
      </c>
      <c r="BV727" s="24">
        <f t="shared" ca="1" si="643"/>
        <v>0</v>
      </c>
      <c r="BW727" s="24">
        <f t="shared" ca="1" si="639"/>
        <v>-335.28075818994171</v>
      </c>
      <c r="BX727" s="25">
        <f t="shared" ca="1" si="644"/>
        <v>-4403.4093656330015</v>
      </c>
      <c r="BY727" s="23">
        <f t="shared" ca="1" si="611"/>
        <v>2169.1533083365334</v>
      </c>
      <c r="BZ727" s="24">
        <f t="shared" ca="1" si="612"/>
        <v>0</v>
      </c>
      <c r="CA727" s="24">
        <f t="shared" ca="1" si="645"/>
        <v>0</v>
      </c>
      <c r="CB727" s="24">
        <f t="shared" ca="1" si="613"/>
        <v>0</v>
      </c>
      <c r="CC727" s="24">
        <f t="shared" ca="1" si="646"/>
        <v>0</v>
      </c>
      <c r="CD727" s="24">
        <f t="shared" ca="1" si="614"/>
        <v>-31.976263711463172</v>
      </c>
      <c r="CE727" s="25">
        <f t="shared" ca="1" si="647"/>
        <v>-427.66494456295925</v>
      </c>
      <c r="CF727" s="23">
        <f t="shared" ca="1" si="648"/>
        <v>2768820.6010740432</v>
      </c>
      <c r="CG727" s="25">
        <f t="array" aca="1" ref="CG727" ca="1">SUM(BF716:BF727/(1+inflation/100)^(AP716:AP727/12))</f>
        <v>267980.53702225385</v>
      </c>
      <c r="CH727" s="32">
        <f ca="1">IFERROR(IF(MOD(AP727-ap_months_since_start,12)=0,ap_drawdown/100*(AQ727+AV727+BA727-BC727),CH726),0)</f>
        <v>3533.5324565223332</v>
      </c>
    </row>
    <row r="728" spans="40:86" x14ac:dyDescent="0.25">
      <c r="AN728" s="32">
        <f t="shared" ca="1" si="609"/>
        <v>114.91666666666667</v>
      </c>
      <c r="AO728" s="53">
        <f t="shared" ca="1" si="640"/>
        <v>67542</v>
      </c>
      <c r="AP728" s="22">
        <v>721</v>
      </c>
      <c r="AQ728" s="32">
        <f t="shared" ca="1" si="641"/>
        <v>22818.684594645543</v>
      </c>
      <c r="AR728" s="23">
        <f t="array" aca="1" ref="AR728" ca="1">SUM(IF(lsc_start_date=AO728,lsc_amount,0))</f>
        <v>0</v>
      </c>
      <c r="AS728" s="24">
        <f t="shared" ca="1" si="615"/>
        <v>0</v>
      </c>
      <c r="AT728" s="24">
        <f t="shared" ca="1" si="616"/>
        <v>0</v>
      </c>
      <c r="AU728" s="24">
        <f t="shared" ca="1" si="617"/>
        <v>0</v>
      </c>
      <c r="AV728" s="25">
        <f t="shared" ca="1" si="618"/>
        <v>0</v>
      </c>
      <c r="AW728" s="23">
        <f t="array" aca="1" ref="AW728" ca="1">SUM(IF(rcs_start_date&lt;=AO728,1,0)*IF(rcs_end_date&gt;=AO728,1,0)*rcs_amount*(1+rcs_escalation/100)^(INT((AP728-rcs_months_since_start)/12))*IF(MOD((AP728-rcs_months_since_start),rcs_frequency)=0,1,0)*IF(rcs_frequency=13,0,1))+SUM(IF(rcs_start_date=AO728,rcs_amount,0)*IF(rcs_frequency=13,1,0))</f>
        <v>0</v>
      </c>
      <c r="AX728" s="24">
        <f t="shared" ca="1" si="619"/>
        <v>0</v>
      </c>
      <c r="AY728" s="24">
        <f t="shared" ca="1" si="620"/>
        <v>0</v>
      </c>
      <c r="AZ728" s="24">
        <f t="shared" ca="1" si="621"/>
        <v>0</v>
      </c>
      <c r="BA728" s="25">
        <f t="shared" ca="1" si="622"/>
        <v>0</v>
      </c>
      <c r="BB728" s="23">
        <f t="array" aca="1" ref="BB728" ca="1">SUM(IF(w_start_date&lt;=AO728,1,0)*IF(w_end_date&gt;=AO728,1,0)*w_amount*(1+w_escalation/100)^(INT((AP728-w_months_since_start)/12))*IF(MOD(AP728-w_months_since_start,w_frequency)=0,1,0)*IF(w_frequency=13,0,1))+SUM(IF(w_start_date=AO728,w_amount,0)*IF(w_frequency=13,1,0))</f>
        <v>0</v>
      </c>
      <c r="BC728" s="25">
        <f t="shared" ca="1" si="623"/>
        <v>0</v>
      </c>
      <c r="BD728" s="24" t="b">
        <f t="shared" ca="1" si="624"/>
        <v>1</v>
      </c>
      <c r="BE728" s="24" t="b">
        <f t="shared" ca="1" si="625"/>
        <v>1</v>
      </c>
      <c r="BF728" s="23">
        <f t="array" aca="1" ref="BF728" ca="1">SUM(IF(BD728,1,0)*IF(ap_start_date&lt;=AO728,1,0)*IF(ap_end_date&gt;=AO728,1,0)*ap_amount*(1+ap_escalation/100)^(INT((AP728-ap_months_since_start)/12))*IF(MOD(AP728-ap_months_since_start,ap_frequency)=0,1,0))</f>
        <v>239167.22799975119</v>
      </c>
      <c r="BG728" s="24">
        <f t="shared" ca="1" si="626"/>
        <v>2870006.7359970137</v>
      </c>
      <c r="BH728" s="24">
        <f t="shared" ca="1" si="627"/>
        <v>574.7670140399</v>
      </c>
      <c r="BI728">
        <f t="shared" ca="1" si="628"/>
        <v>0</v>
      </c>
      <c r="BJ728" s="24">
        <f t="shared" ca="1" si="629"/>
        <v>4023.3690982792996</v>
      </c>
      <c r="BK728">
        <f t="shared" ca="1" si="630"/>
        <v>1</v>
      </c>
      <c r="BL728" s="25">
        <f t="shared" ca="1" si="631"/>
        <v>335.28075818994171</v>
      </c>
      <c r="BM728" s="32">
        <f t="shared" ca="1" si="610"/>
        <v>22645.448997152205</v>
      </c>
      <c r="BN728" s="23">
        <f t="shared" ca="1" si="632"/>
        <v>0</v>
      </c>
      <c r="BO728" s="24">
        <f t="shared" ca="1" si="633"/>
        <v>0</v>
      </c>
      <c r="BP728" s="25">
        <f t="shared" ca="1" si="634"/>
        <v>0</v>
      </c>
      <c r="BQ728" s="34">
        <f t="shared" ca="1" si="635"/>
        <v>67572</v>
      </c>
      <c r="BR728" s="23">
        <f t="shared" ca="1" si="636"/>
        <v>22645.448997152205</v>
      </c>
      <c r="BS728" s="24">
        <f t="shared" ca="1" si="637"/>
        <v>0</v>
      </c>
      <c r="BT728" s="24">
        <f t="shared" ca="1" si="642"/>
        <v>0</v>
      </c>
      <c r="BU728" s="24">
        <f t="shared" ca="1" si="638"/>
        <v>0</v>
      </c>
      <c r="BV728" s="24">
        <f t="shared" ca="1" si="643"/>
        <v>0</v>
      </c>
      <c r="BW728" s="24">
        <f t="shared" ca="1" si="639"/>
        <v>-335.28075818994171</v>
      </c>
      <c r="BX728" s="25">
        <f t="shared" ca="1" si="644"/>
        <v>-4368.8602504190285</v>
      </c>
      <c r="BY728" s="23">
        <f t="shared" ca="1" si="611"/>
        <v>2145.6611267778721</v>
      </c>
      <c r="BZ728" s="24">
        <f t="shared" ca="1" si="612"/>
        <v>0</v>
      </c>
      <c r="CA728" s="24">
        <f t="shared" ca="1" si="645"/>
        <v>0</v>
      </c>
      <c r="CB728" s="24">
        <f t="shared" ca="1" si="613"/>
        <v>0</v>
      </c>
      <c r="CC728" s="24">
        <f t="shared" ca="1" si="646"/>
        <v>0</v>
      </c>
      <c r="CD728" s="24">
        <f t="shared" ca="1" si="614"/>
        <v>-31.871923328128659</v>
      </c>
      <c r="CE728" s="25">
        <f t="shared" ca="1" si="647"/>
        <v>-422.97444477279009</v>
      </c>
      <c r="CF728" s="23">
        <f t="shared" ca="1" si="648"/>
        <v>2778019.3406124949</v>
      </c>
      <c r="CG728" s="25">
        <f t="array" aca="1" ref="CG728" ca="1">SUM(BF717:BF728/(1+inflation/100)^(AP717:AP728/12))</f>
        <v>267980.53702225385</v>
      </c>
      <c r="CH728" s="32">
        <f ca="1">IFERROR(IF(MOD(AP728-ap_months_since_start,12)=0,ap_drawdown/100*(AQ728+AV728+BA728-BC728),CH727),0)</f>
        <v>3533.5324565223332</v>
      </c>
    </row>
    <row r="729" spans="40:86" x14ac:dyDescent="0.25">
      <c r="AN729" s="32">
        <f t="shared" ca="1" si="609"/>
        <v>115</v>
      </c>
      <c r="AO729" s="53">
        <f t="shared" ca="1" si="640"/>
        <v>67573</v>
      </c>
      <c r="AP729" s="22">
        <v>722</v>
      </c>
      <c r="AQ729" s="32">
        <f t="shared" ca="1" si="641"/>
        <v>22645.448997152205</v>
      </c>
      <c r="AR729" s="23">
        <f t="array" aca="1" ref="AR729" ca="1">SUM(IF(lsc_start_date=AO729,lsc_amount,0))</f>
        <v>0</v>
      </c>
      <c r="AS729" s="24">
        <f t="shared" ca="1" si="615"/>
        <v>0</v>
      </c>
      <c r="AT729" s="24">
        <f t="shared" ca="1" si="616"/>
        <v>0</v>
      </c>
      <c r="AU729" s="24">
        <f t="shared" ca="1" si="617"/>
        <v>0</v>
      </c>
      <c r="AV729" s="25">
        <f t="shared" ca="1" si="618"/>
        <v>0</v>
      </c>
      <c r="AW729" s="23">
        <f t="array" aca="1" ref="AW729" ca="1">SUM(IF(rcs_start_date&lt;=AO729,1,0)*IF(rcs_end_date&gt;=AO729,1,0)*rcs_amount*(1+rcs_escalation/100)^(INT((AP729-rcs_months_since_start)/12))*IF(MOD((AP729-rcs_months_since_start),rcs_frequency)=0,1,0)*IF(rcs_frequency=13,0,1))+SUM(IF(rcs_start_date=AO729,rcs_amount,0)*IF(rcs_frequency=13,1,0))</f>
        <v>0</v>
      </c>
      <c r="AX729" s="24">
        <f t="shared" ca="1" si="619"/>
        <v>0</v>
      </c>
      <c r="AY729" s="24">
        <f t="shared" ca="1" si="620"/>
        <v>0</v>
      </c>
      <c r="AZ729" s="24">
        <f t="shared" ca="1" si="621"/>
        <v>0</v>
      </c>
      <c r="BA729" s="25">
        <f t="shared" ca="1" si="622"/>
        <v>0</v>
      </c>
      <c r="BB729" s="23">
        <f t="array" aca="1" ref="BB729" ca="1">SUM(IF(w_start_date&lt;=AO729,1,0)*IF(w_end_date&gt;=AO729,1,0)*w_amount*(1+w_escalation/100)^(INT((AP729-w_months_since_start)/12))*IF(MOD(AP729-w_months_since_start,w_frequency)=0,1,0)*IF(w_frequency=13,0,1))+SUM(IF(w_start_date=AO729,w_amount,0)*IF(w_frequency=13,1,0))</f>
        <v>0</v>
      </c>
      <c r="BC729" s="25">
        <f t="shared" ca="1" si="623"/>
        <v>0</v>
      </c>
      <c r="BD729" s="24" t="b">
        <f t="shared" ca="1" si="624"/>
        <v>1</v>
      </c>
      <c r="BE729" s="24" t="b">
        <f t="shared" ca="1" si="625"/>
        <v>1</v>
      </c>
      <c r="BF729" s="23">
        <f t="array" aca="1" ref="BF729" ca="1">SUM(IF(BD729,1,0)*IF(ap_start_date&lt;=AO729,1,0)*IF(ap_end_date&gt;=AO729,1,0)*ap_amount*(1+ap_escalation/100)^(INT((AP729-ap_months_since_start)/12))*IF(MOD(AP729-ap_months_since_start,ap_frequency)=0,1,0))</f>
        <v>239167.22799975119</v>
      </c>
      <c r="BG729" s="24">
        <f t="shared" ca="1" si="626"/>
        <v>2870006.7359970137</v>
      </c>
      <c r="BH729" s="24">
        <f t="shared" ca="1" si="627"/>
        <v>574.7670140399</v>
      </c>
      <c r="BI729">
        <f t="shared" ca="1" si="628"/>
        <v>0</v>
      </c>
      <c r="BJ729" s="24">
        <f t="shared" ca="1" si="629"/>
        <v>4023.3690982792996</v>
      </c>
      <c r="BK729">
        <f t="shared" ca="1" si="630"/>
        <v>1</v>
      </c>
      <c r="BL729" s="25">
        <f t="shared" ca="1" si="631"/>
        <v>335.28075818994171</v>
      </c>
      <c r="BM729" s="32">
        <f t="shared" ca="1" si="610"/>
        <v>22470.964834697868</v>
      </c>
      <c r="BN729" s="23">
        <f t="shared" ca="1" si="632"/>
        <v>0</v>
      </c>
      <c r="BO729" s="24">
        <f t="shared" ca="1" si="633"/>
        <v>0</v>
      </c>
      <c r="BP729" s="25">
        <f t="shared" ca="1" si="634"/>
        <v>0</v>
      </c>
      <c r="BQ729" s="34">
        <f t="shared" ca="1" si="635"/>
        <v>67603</v>
      </c>
      <c r="BR729" s="23">
        <f t="shared" ca="1" si="636"/>
        <v>22470.964834697868</v>
      </c>
      <c r="BS729" s="24">
        <f t="shared" ca="1" si="637"/>
        <v>0</v>
      </c>
      <c r="BT729" s="24">
        <f t="shared" ca="1" si="642"/>
        <v>0</v>
      </c>
      <c r="BU729" s="24">
        <f t="shared" ca="1" si="638"/>
        <v>0</v>
      </c>
      <c r="BV729" s="24">
        <f t="shared" ca="1" si="643"/>
        <v>0</v>
      </c>
      <c r="BW729" s="24">
        <f t="shared" ca="1" si="639"/>
        <v>-335.28075818994171</v>
      </c>
      <c r="BX729" s="25">
        <f t="shared" ca="1" si="644"/>
        <v>-4334.3111352050555</v>
      </c>
      <c r="BY729" s="23">
        <f t="shared" ca="1" si="611"/>
        <v>2122.1812459668931</v>
      </c>
      <c r="BZ729" s="24">
        <f t="shared" ca="1" si="612"/>
        <v>0</v>
      </c>
      <c r="CA729" s="24">
        <f t="shared" ca="1" si="645"/>
        <v>0</v>
      </c>
      <c r="CB729" s="24">
        <f t="shared" ca="1" si="613"/>
        <v>0</v>
      </c>
      <c r="CC729" s="24">
        <f t="shared" ca="1" si="646"/>
        <v>0</v>
      </c>
      <c r="CD729" s="24">
        <f t="shared" ca="1" si="614"/>
        <v>-31.767923413452216</v>
      </c>
      <c r="CE729" s="25">
        <f t="shared" ca="1" si="647"/>
        <v>-418.29925035258384</v>
      </c>
      <c r="CF729" s="23">
        <f t="shared" ca="1" si="648"/>
        <v>2787218.0801509465</v>
      </c>
      <c r="CG729" s="25">
        <f t="array" aca="1" ref="CG729" ca="1">SUM(BF718:BF729/(1+inflation/100)^(AP718:AP729/12))</f>
        <v>267980.53702225385</v>
      </c>
      <c r="CH729" s="32">
        <f ca="1">IFERROR(IF(MOD(AP729-ap_months_since_start,12)=0,ap_drawdown/100*(AQ729+AV729+BA729-BC729),CH728),0)</f>
        <v>3533.5324565223332</v>
      </c>
    </row>
    <row r="730" spans="40:86" x14ac:dyDescent="0.25">
      <c r="AN730" s="32">
        <f t="shared" ca="1" si="609"/>
        <v>115.08333333333333</v>
      </c>
      <c r="AO730" s="53">
        <f t="shared" ca="1" si="640"/>
        <v>67604</v>
      </c>
      <c r="AP730" s="22">
        <v>723</v>
      </c>
      <c r="AQ730" s="32">
        <f t="shared" ca="1" si="641"/>
        <v>22470.964834697868</v>
      </c>
      <c r="AR730" s="23">
        <f t="array" aca="1" ref="AR730" ca="1">SUM(IF(lsc_start_date=AO730,lsc_amount,0))</f>
        <v>0</v>
      </c>
      <c r="AS730" s="24">
        <f t="shared" ca="1" si="615"/>
        <v>0</v>
      </c>
      <c r="AT730" s="24">
        <f t="shared" ca="1" si="616"/>
        <v>0</v>
      </c>
      <c r="AU730" s="24">
        <f t="shared" ca="1" si="617"/>
        <v>0</v>
      </c>
      <c r="AV730" s="25">
        <f t="shared" ca="1" si="618"/>
        <v>0</v>
      </c>
      <c r="AW730" s="23">
        <f t="array" aca="1" ref="AW730" ca="1">SUM(IF(rcs_start_date&lt;=AO730,1,0)*IF(rcs_end_date&gt;=AO730,1,0)*rcs_amount*(1+rcs_escalation/100)^(INT((AP730-rcs_months_since_start)/12))*IF(MOD((AP730-rcs_months_since_start),rcs_frequency)=0,1,0)*IF(rcs_frequency=13,0,1))+SUM(IF(rcs_start_date=AO730,rcs_amount,0)*IF(rcs_frequency=13,1,0))</f>
        <v>0</v>
      </c>
      <c r="AX730" s="24">
        <f t="shared" ca="1" si="619"/>
        <v>0</v>
      </c>
      <c r="AY730" s="24">
        <f t="shared" ca="1" si="620"/>
        <v>0</v>
      </c>
      <c r="AZ730" s="24">
        <f t="shared" ca="1" si="621"/>
        <v>0</v>
      </c>
      <c r="BA730" s="25">
        <f t="shared" ca="1" si="622"/>
        <v>0</v>
      </c>
      <c r="BB730" s="23">
        <f t="array" aca="1" ref="BB730" ca="1">SUM(IF(w_start_date&lt;=AO730,1,0)*IF(w_end_date&gt;=AO730,1,0)*w_amount*(1+w_escalation/100)^(INT((AP730-w_months_since_start)/12))*IF(MOD(AP730-w_months_since_start,w_frequency)=0,1,0)*IF(w_frequency=13,0,1))+SUM(IF(w_start_date=AO730,w_amount,0)*IF(w_frequency=13,1,0))</f>
        <v>0</v>
      </c>
      <c r="BC730" s="25">
        <f t="shared" ca="1" si="623"/>
        <v>0</v>
      </c>
      <c r="BD730" s="24" t="b">
        <f t="shared" ca="1" si="624"/>
        <v>1</v>
      </c>
      <c r="BE730" s="24" t="b">
        <f t="shared" ca="1" si="625"/>
        <v>1</v>
      </c>
      <c r="BF730" s="23">
        <f t="array" aca="1" ref="BF730" ca="1">SUM(IF(BD730,1,0)*IF(ap_start_date&lt;=AO730,1,0)*IF(ap_end_date&gt;=AO730,1,0)*ap_amount*(1+ap_escalation/100)^(INT((AP730-ap_months_since_start)/12))*IF(MOD(AP730-ap_months_since_start,ap_frequency)=0,1,0))</f>
        <v>239167.22799975119</v>
      </c>
      <c r="BG730" s="24">
        <f t="shared" ca="1" si="626"/>
        <v>2870006.7359970137</v>
      </c>
      <c r="BH730" s="24">
        <f t="shared" ca="1" si="627"/>
        <v>574.7670140399</v>
      </c>
      <c r="BI730">
        <f t="shared" ca="1" si="628"/>
        <v>0</v>
      </c>
      <c r="BJ730" s="24">
        <f t="shared" ca="1" si="629"/>
        <v>4023.3690982792996</v>
      </c>
      <c r="BK730">
        <f t="shared" ca="1" si="630"/>
        <v>1</v>
      </c>
      <c r="BL730" s="25">
        <f t="shared" ca="1" si="631"/>
        <v>335.28075818994171</v>
      </c>
      <c r="BM730" s="32">
        <f t="shared" ca="1" si="610"/>
        <v>22295.223108471178</v>
      </c>
      <c r="BN730" s="23">
        <f t="shared" ca="1" si="632"/>
        <v>0</v>
      </c>
      <c r="BO730" s="24">
        <f t="shared" ca="1" si="633"/>
        <v>0</v>
      </c>
      <c r="BP730" s="25">
        <f t="shared" ca="1" si="634"/>
        <v>0</v>
      </c>
      <c r="BQ730" s="34">
        <f t="shared" ca="1" si="635"/>
        <v>67631</v>
      </c>
      <c r="BR730" s="23">
        <f t="shared" ca="1" si="636"/>
        <v>22295.223108471178</v>
      </c>
      <c r="BS730" s="24">
        <f t="shared" ca="1" si="637"/>
        <v>0</v>
      </c>
      <c r="BT730" s="24">
        <f t="shared" ca="1" si="642"/>
        <v>0</v>
      </c>
      <c r="BU730" s="24">
        <f t="shared" ca="1" si="638"/>
        <v>0</v>
      </c>
      <c r="BV730" s="24">
        <f t="shared" ca="1" si="643"/>
        <v>0</v>
      </c>
      <c r="BW730" s="24">
        <f t="shared" ca="1" si="639"/>
        <v>-335.28075818994171</v>
      </c>
      <c r="BX730" s="25">
        <f t="shared" ca="1" si="644"/>
        <v>-4299.7620199910825</v>
      </c>
      <c r="BY730" s="23">
        <f t="shared" ca="1" si="611"/>
        <v>2098.7133734435047</v>
      </c>
      <c r="BZ730" s="24">
        <f t="shared" ca="1" si="612"/>
        <v>0</v>
      </c>
      <c r="CA730" s="24">
        <f t="shared" ca="1" si="645"/>
        <v>0</v>
      </c>
      <c r="CB730" s="24">
        <f t="shared" ca="1" si="613"/>
        <v>0</v>
      </c>
      <c r="CC730" s="24">
        <f t="shared" ca="1" si="646"/>
        <v>0</v>
      </c>
      <c r="CD730" s="24">
        <f t="shared" ca="1" si="614"/>
        <v>-31.664262856465012</v>
      </c>
      <c r="CE730" s="25">
        <f t="shared" ca="1" si="647"/>
        <v>-413.63931136004015</v>
      </c>
      <c r="CF730" s="23">
        <f t="shared" ca="1" si="648"/>
        <v>2796416.8196893986</v>
      </c>
      <c r="CG730" s="25">
        <f t="array" aca="1" ref="CG730" ca="1">SUM(BF719:BF730/(1+inflation/100)^(AP719:AP730/12))</f>
        <v>267980.53702225385</v>
      </c>
      <c r="CH730" s="32">
        <f ca="1">IFERROR(IF(MOD(AP730-ap_months_since_start,12)=0,ap_drawdown/100*(AQ730+AV730+BA730-BC730),CH729),0)</f>
        <v>3533.5324565223332</v>
      </c>
    </row>
    <row r="731" spans="40:86" x14ac:dyDescent="0.25">
      <c r="AN731" s="32">
        <f t="shared" ca="1" si="609"/>
        <v>115.16666666666667</v>
      </c>
      <c r="AO731" s="53">
        <f t="shared" ca="1" si="640"/>
        <v>67632</v>
      </c>
      <c r="AP731" s="22">
        <v>724</v>
      </c>
      <c r="AQ731" s="32">
        <f t="shared" ca="1" si="641"/>
        <v>22295.223108471178</v>
      </c>
      <c r="AR731" s="23">
        <f t="array" aca="1" ref="AR731" ca="1">SUM(IF(lsc_start_date=AO731,lsc_amount,0))</f>
        <v>0</v>
      </c>
      <c r="AS731" s="24">
        <f t="shared" ca="1" si="615"/>
        <v>0</v>
      </c>
      <c r="AT731" s="24">
        <f t="shared" ca="1" si="616"/>
        <v>0</v>
      </c>
      <c r="AU731" s="24">
        <f t="shared" ca="1" si="617"/>
        <v>0</v>
      </c>
      <c r="AV731" s="25">
        <f t="shared" ca="1" si="618"/>
        <v>0</v>
      </c>
      <c r="AW731" s="23">
        <f t="array" aca="1" ref="AW731" ca="1">SUM(IF(rcs_start_date&lt;=AO731,1,0)*IF(rcs_end_date&gt;=AO731,1,0)*rcs_amount*(1+rcs_escalation/100)^(INT((AP731-rcs_months_since_start)/12))*IF(MOD((AP731-rcs_months_since_start),rcs_frequency)=0,1,0)*IF(rcs_frequency=13,0,1))+SUM(IF(rcs_start_date=AO731,rcs_amount,0)*IF(rcs_frequency=13,1,0))</f>
        <v>0</v>
      </c>
      <c r="AX731" s="24">
        <f t="shared" ca="1" si="619"/>
        <v>0</v>
      </c>
      <c r="AY731" s="24">
        <f t="shared" ca="1" si="620"/>
        <v>0</v>
      </c>
      <c r="AZ731" s="24">
        <f t="shared" ca="1" si="621"/>
        <v>0</v>
      </c>
      <c r="BA731" s="25">
        <f t="shared" ca="1" si="622"/>
        <v>0</v>
      </c>
      <c r="BB731" s="23">
        <f t="array" aca="1" ref="BB731" ca="1">SUM(IF(w_start_date&lt;=AO731,1,0)*IF(w_end_date&gt;=AO731,1,0)*w_amount*(1+w_escalation/100)^(INT((AP731-w_months_since_start)/12))*IF(MOD(AP731-w_months_since_start,w_frequency)=0,1,0)*IF(w_frequency=13,0,1))+SUM(IF(w_start_date=AO731,w_amount,0)*IF(w_frequency=13,1,0))</f>
        <v>0</v>
      </c>
      <c r="BC731" s="25">
        <f t="shared" ca="1" si="623"/>
        <v>0</v>
      </c>
      <c r="BD731" s="24" t="b">
        <f t="shared" ca="1" si="624"/>
        <v>1</v>
      </c>
      <c r="BE731" s="24" t="b">
        <f t="shared" ca="1" si="625"/>
        <v>1</v>
      </c>
      <c r="BF731" s="23">
        <f t="array" aca="1" ref="BF731" ca="1">SUM(IF(BD731,1,0)*IF(ap_start_date&lt;=AO731,1,0)*IF(ap_end_date&gt;=AO731,1,0)*ap_amount*(1+ap_escalation/100)^(INT((AP731-ap_months_since_start)/12))*IF(MOD(AP731-ap_months_since_start,ap_frequency)=0,1,0))</f>
        <v>239167.22799975119</v>
      </c>
      <c r="BG731" s="24">
        <f t="shared" ca="1" si="626"/>
        <v>2870006.7359970137</v>
      </c>
      <c r="BH731" s="24">
        <f t="shared" ca="1" si="627"/>
        <v>574.7670140399</v>
      </c>
      <c r="BI731">
        <f t="shared" ca="1" si="628"/>
        <v>0</v>
      </c>
      <c r="BJ731" s="24">
        <f t="shared" ca="1" si="629"/>
        <v>4023.3690982792996</v>
      </c>
      <c r="BK731">
        <f t="shared" ca="1" si="630"/>
        <v>1</v>
      </c>
      <c r="BL731" s="25">
        <f t="shared" ca="1" si="631"/>
        <v>335.28075818994171</v>
      </c>
      <c r="BM731" s="32">
        <f t="shared" ca="1" si="610"/>
        <v>22118.214754803434</v>
      </c>
      <c r="BN731" s="23">
        <f t="shared" ca="1" si="632"/>
        <v>0</v>
      </c>
      <c r="BO731" s="24">
        <f t="shared" ca="1" si="633"/>
        <v>0</v>
      </c>
      <c r="BP731" s="25">
        <f t="shared" ca="1" si="634"/>
        <v>0</v>
      </c>
      <c r="BQ731" s="34">
        <f t="shared" ca="1" si="635"/>
        <v>67662</v>
      </c>
      <c r="BR731" s="23">
        <f t="shared" ca="1" si="636"/>
        <v>22118.214754803434</v>
      </c>
      <c r="BS731" s="24">
        <f t="shared" ca="1" si="637"/>
        <v>0</v>
      </c>
      <c r="BT731" s="24">
        <f t="shared" ca="1" si="642"/>
        <v>0</v>
      </c>
      <c r="BU731" s="24">
        <f t="shared" ca="1" si="638"/>
        <v>0</v>
      </c>
      <c r="BV731" s="24">
        <f t="shared" ca="1" si="643"/>
        <v>0</v>
      </c>
      <c r="BW731" s="24">
        <f t="shared" ca="1" si="639"/>
        <v>-335.28075818994171</v>
      </c>
      <c r="BX731" s="25">
        <f t="shared" ca="1" si="644"/>
        <v>-4265.2129047771095</v>
      </c>
      <c r="BY731" s="23">
        <f t="shared" ca="1" si="611"/>
        <v>2075.2572167126373</v>
      </c>
      <c r="BZ731" s="24">
        <f t="shared" ca="1" si="612"/>
        <v>0</v>
      </c>
      <c r="CA731" s="24">
        <f t="shared" ca="1" si="645"/>
        <v>0</v>
      </c>
      <c r="CB731" s="24">
        <f t="shared" ca="1" si="613"/>
        <v>0</v>
      </c>
      <c r="CC731" s="24">
        <f t="shared" ca="1" si="646"/>
        <v>0</v>
      </c>
      <c r="CD731" s="24">
        <f t="shared" ca="1" si="614"/>
        <v>-31.560940549823435</v>
      </c>
      <c r="CE731" s="25">
        <f t="shared" ca="1" si="647"/>
        <v>-408.99457801582315</v>
      </c>
      <c r="CF731" s="23">
        <f t="shared" ca="1" si="648"/>
        <v>2805615.5592278503</v>
      </c>
      <c r="CG731" s="25">
        <f t="array" aca="1" ref="CG731" ca="1">SUM(BF720:BF731/(1+inflation/100)^(AP720:AP731/12))</f>
        <v>267980.53702225385</v>
      </c>
      <c r="CH731" s="32">
        <f ca="1">IFERROR(IF(MOD(AP731-ap_months_since_start,12)=0,ap_drawdown/100*(AQ731+AV731+BA731-BC731),CH730),0)</f>
        <v>3533.5324565223332</v>
      </c>
    </row>
    <row r="732" spans="40:86" x14ac:dyDescent="0.25">
      <c r="AN732" s="32">
        <f t="shared" ca="1" si="609"/>
        <v>115.25</v>
      </c>
      <c r="AO732" s="53">
        <f t="shared" ca="1" si="640"/>
        <v>67663</v>
      </c>
      <c r="AP732" s="22">
        <v>725</v>
      </c>
      <c r="AQ732" s="32">
        <f t="shared" ca="1" si="641"/>
        <v>22118.214754803434</v>
      </c>
      <c r="AR732" s="23">
        <f t="array" aca="1" ref="AR732" ca="1">SUM(IF(lsc_start_date=AO732,lsc_amount,0))</f>
        <v>0</v>
      </c>
      <c r="AS732" s="24">
        <f t="shared" ca="1" si="615"/>
        <v>0</v>
      </c>
      <c r="AT732" s="24">
        <f t="shared" ca="1" si="616"/>
        <v>0</v>
      </c>
      <c r="AU732" s="24">
        <f t="shared" ca="1" si="617"/>
        <v>0</v>
      </c>
      <c r="AV732" s="25">
        <f t="shared" ca="1" si="618"/>
        <v>0</v>
      </c>
      <c r="AW732" s="23">
        <f t="array" aca="1" ref="AW732" ca="1">SUM(IF(rcs_start_date&lt;=AO732,1,0)*IF(rcs_end_date&gt;=AO732,1,0)*rcs_amount*(1+rcs_escalation/100)^(INT((AP732-rcs_months_since_start)/12))*IF(MOD((AP732-rcs_months_since_start),rcs_frequency)=0,1,0)*IF(rcs_frequency=13,0,1))+SUM(IF(rcs_start_date=AO732,rcs_amount,0)*IF(rcs_frequency=13,1,0))</f>
        <v>0</v>
      </c>
      <c r="AX732" s="24">
        <f t="shared" ca="1" si="619"/>
        <v>0</v>
      </c>
      <c r="AY732" s="24">
        <f t="shared" ca="1" si="620"/>
        <v>0</v>
      </c>
      <c r="AZ732" s="24">
        <f t="shared" ca="1" si="621"/>
        <v>0</v>
      </c>
      <c r="BA732" s="25">
        <f t="shared" ca="1" si="622"/>
        <v>0</v>
      </c>
      <c r="BB732" s="23">
        <f t="array" aca="1" ref="BB732" ca="1">SUM(IF(w_start_date&lt;=AO732,1,0)*IF(w_end_date&gt;=AO732,1,0)*w_amount*(1+w_escalation/100)^(INT((AP732-w_months_since_start)/12))*IF(MOD(AP732-w_months_since_start,w_frequency)=0,1,0)*IF(w_frequency=13,0,1))+SUM(IF(w_start_date=AO732,w_amount,0)*IF(w_frequency=13,1,0))</f>
        <v>0</v>
      </c>
      <c r="BC732" s="25">
        <f t="shared" ca="1" si="623"/>
        <v>0</v>
      </c>
      <c r="BD732" s="24" t="b">
        <f t="shared" ca="1" si="624"/>
        <v>1</v>
      </c>
      <c r="BE732" s="24" t="b">
        <f t="shared" ca="1" si="625"/>
        <v>1</v>
      </c>
      <c r="BF732" s="23">
        <f t="array" aca="1" ref="BF732" ca="1">SUM(IF(BD732,1,0)*IF(ap_start_date&lt;=AO732,1,0)*IF(ap_end_date&gt;=AO732,1,0)*ap_amount*(1+ap_escalation/100)^(INT((AP732-ap_months_since_start)/12))*IF(MOD(AP732-ap_months_since_start,ap_frequency)=0,1,0))</f>
        <v>239167.22799975119</v>
      </c>
      <c r="BG732" s="24">
        <f t="shared" ca="1" si="626"/>
        <v>2870006.7359970137</v>
      </c>
      <c r="BH732" s="24">
        <f t="shared" ca="1" si="627"/>
        <v>574.7670140399</v>
      </c>
      <c r="BI732">
        <f t="shared" ca="1" si="628"/>
        <v>0</v>
      </c>
      <c r="BJ732" s="24">
        <f t="shared" ca="1" si="629"/>
        <v>4023.3690982792996</v>
      </c>
      <c r="BK732">
        <f t="shared" ca="1" si="630"/>
        <v>1</v>
      </c>
      <c r="BL732" s="25">
        <f t="shared" ca="1" si="631"/>
        <v>335.28075818994171</v>
      </c>
      <c r="BM732" s="32">
        <f t="shared" ca="1" si="610"/>
        <v>21939.930644701151</v>
      </c>
      <c r="BN732" s="23">
        <f t="shared" ca="1" si="632"/>
        <v>0</v>
      </c>
      <c r="BO732" s="24">
        <f t="shared" ca="1" si="633"/>
        <v>0</v>
      </c>
      <c r="BP732" s="25">
        <f t="shared" ca="1" si="634"/>
        <v>0</v>
      </c>
      <c r="BQ732" s="34">
        <f t="shared" ca="1" si="635"/>
        <v>67692</v>
      </c>
      <c r="BR732" s="23">
        <f t="shared" ca="1" si="636"/>
        <v>21939.930644701151</v>
      </c>
      <c r="BS732" s="24">
        <f t="shared" ca="1" si="637"/>
        <v>0</v>
      </c>
      <c r="BT732" s="24">
        <f t="shared" ca="1" si="642"/>
        <v>0</v>
      </c>
      <c r="BU732" s="24">
        <f t="shared" ca="1" si="638"/>
        <v>0</v>
      </c>
      <c r="BV732" s="24">
        <f t="shared" ca="1" si="643"/>
        <v>0</v>
      </c>
      <c r="BW732" s="24">
        <f t="shared" ca="1" si="639"/>
        <v>-335.28075818994171</v>
      </c>
      <c r="BX732" s="25">
        <f t="shared" ca="1" si="644"/>
        <v>-4230.6637895631366</v>
      </c>
      <c r="BY732" s="23">
        <f t="shared" ca="1" si="611"/>
        <v>2051.8124832404792</v>
      </c>
      <c r="BZ732" s="24">
        <f t="shared" ca="1" si="612"/>
        <v>0</v>
      </c>
      <c r="CA732" s="24">
        <f t="shared" ca="1" si="645"/>
        <v>0</v>
      </c>
      <c r="CB732" s="24">
        <f t="shared" ca="1" si="613"/>
        <v>0</v>
      </c>
      <c r="CC732" s="24">
        <f t="shared" ca="1" si="646"/>
        <v>0</v>
      </c>
      <c r="CD732" s="24">
        <f t="shared" ca="1" si="614"/>
        <v>-31.457955389797224</v>
      </c>
      <c r="CE732" s="25">
        <f t="shared" ca="1" si="647"/>
        <v>-404.36500070302981</v>
      </c>
      <c r="CF732" s="23">
        <f t="shared" ca="1" si="648"/>
        <v>2814814.2987663019</v>
      </c>
      <c r="CG732" s="25">
        <f t="array" aca="1" ref="CG732" ca="1">SUM(BF721:BF732/(1+inflation/100)^(AP721:AP732/12))</f>
        <v>267980.53702225385</v>
      </c>
      <c r="CH732" s="32">
        <f ca="1">IFERROR(IF(MOD(AP732-ap_months_since_start,12)=0,ap_drawdown/100*(AQ732+AV732+BA732-BC732),CH731),0)</f>
        <v>3533.5324565223332</v>
      </c>
    </row>
    <row r="733" spans="40:86" x14ac:dyDescent="0.25">
      <c r="AN733" s="32">
        <f t="shared" ca="1" si="609"/>
        <v>115.33333333333333</v>
      </c>
      <c r="AO733" s="53">
        <f t="shared" ca="1" si="640"/>
        <v>67693</v>
      </c>
      <c r="AP733" s="22">
        <v>726</v>
      </c>
      <c r="AQ733" s="32">
        <f t="shared" ca="1" si="641"/>
        <v>21939.930644701151</v>
      </c>
      <c r="AR733" s="23">
        <f t="array" aca="1" ref="AR733" ca="1">SUM(IF(lsc_start_date=AO733,lsc_amount,0))</f>
        <v>0</v>
      </c>
      <c r="AS733" s="24">
        <f t="shared" ca="1" si="615"/>
        <v>0</v>
      </c>
      <c r="AT733" s="24">
        <f t="shared" ca="1" si="616"/>
        <v>0</v>
      </c>
      <c r="AU733" s="24">
        <f t="shared" ca="1" si="617"/>
        <v>0</v>
      </c>
      <c r="AV733" s="25">
        <f t="shared" ca="1" si="618"/>
        <v>0</v>
      </c>
      <c r="AW733" s="23">
        <f t="array" aca="1" ref="AW733" ca="1">SUM(IF(rcs_start_date&lt;=AO733,1,0)*IF(rcs_end_date&gt;=AO733,1,0)*rcs_amount*(1+rcs_escalation/100)^(INT((AP733-rcs_months_since_start)/12))*IF(MOD((AP733-rcs_months_since_start),rcs_frequency)=0,1,0)*IF(rcs_frequency=13,0,1))+SUM(IF(rcs_start_date=AO733,rcs_amount,0)*IF(rcs_frequency=13,1,0))</f>
        <v>0</v>
      </c>
      <c r="AX733" s="24">
        <f t="shared" ca="1" si="619"/>
        <v>0</v>
      </c>
      <c r="AY733" s="24">
        <f t="shared" ca="1" si="620"/>
        <v>0</v>
      </c>
      <c r="AZ733" s="24">
        <f t="shared" ca="1" si="621"/>
        <v>0</v>
      </c>
      <c r="BA733" s="25">
        <f t="shared" ca="1" si="622"/>
        <v>0</v>
      </c>
      <c r="BB733" s="23">
        <f t="array" aca="1" ref="BB733" ca="1">SUM(IF(w_start_date&lt;=AO733,1,0)*IF(w_end_date&gt;=AO733,1,0)*w_amount*(1+w_escalation/100)^(INT((AP733-w_months_since_start)/12))*IF(MOD(AP733-w_months_since_start,w_frequency)=0,1,0)*IF(w_frequency=13,0,1))+SUM(IF(w_start_date=AO733,w_amount,0)*IF(w_frequency=13,1,0))</f>
        <v>0</v>
      </c>
      <c r="BC733" s="25">
        <f t="shared" ca="1" si="623"/>
        <v>0</v>
      </c>
      <c r="BD733" s="24" t="b">
        <f t="shared" ca="1" si="624"/>
        <v>1</v>
      </c>
      <c r="BE733" s="24" t="b">
        <f t="shared" ca="1" si="625"/>
        <v>1</v>
      </c>
      <c r="BF733" s="23">
        <f t="array" aca="1" ref="BF733" ca="1">SUM(IF(BD733,1,0)*IF(ap_start_date&lt;=AO733,1,0)*IF(ap_end_date&gt;=AO733,1,0)*ap_amount*(1+ap_escalation/100)^(INT((AP733-ap_months_since_start)/12))*IF(MOD(AP733-ap_months_since_start,ap_frequency)=0,1,0))</f>
        <v>239167.22799975119</v>
      </c>
      <c r="BG733" s="24">
        <f t="shared" ca="1" si="626"/>
        <v>2870006.7359970137</v>
      </c>
      <c r="BH733" s="24">
        <f t="shared" ca="1" si="627"/>
        <v>574.7670140399</v>
      </c>
      <c r="BI733">
        <f t="shared" ca="1" si="628"/>
        <v>0</v>
      </c>
      <c r="BJ733" s="24">
        <f t="shared" ca="1" si="629"/>
        <v>4023.3690982792996</v>
      </c>
      <c r="BK733">
        <f t="shared" ca="1" si="630"/>
        <v>1</v>
      </c>
      <c r="BL733" s="25">
        <f t="shared" ca="1" si="631"/>
        <v>335.28075818994171</v>
      </c>
      <c r="BM733" s="32">
        <f t="shared" ca="1" si="610"/>
        <v>21760.36158337523</v>
      </c>
      <c r="BN733" s="23">
        <f t="shared" ca="1" si="632"/>
        <v>0</v>
      </c>
      <c r="BO733" s="24">
        <f t="shared" ca="1" si="633"/>
        <v>0</v>
      </c>
      <c r="BP733" s="25">
        <f t="shared" ca="1" si="634"/>
        <v>0</v>
      </c>
      <c r="BQ733" s="34">
        <f t="shared" ca="1" si="635"/>
        <v>67723</v>
      </c>
      <c r="BR733" s="23">
        <f t="shared" ca="1" si="636"/>
        <v>21760.36158337523</v>
      </c>
      <c r="BS733" s="24">
        <f t="shared" ca="1" si="637"/>
        <v>0</v>
      </c>
      <c r="BT733" s="24">
        <f t="shared" ca="1" si="642"/>
        <v>0</v>
      </c>
      <c r="BU733" s="24">
        <f t="shared" ca="1" si="638"/>
        <v>0</v>
      </c>
      <c r="BV733" s="24">
        <f t="shared" ca="1" si="643"/>
        <v>0</v>
      </c>
      <c r="BW733" s="24">
        <f t="shared" ca="1" si="639"/>
        <v>-335.28075818994171</v>
      </c>
      <c r="BX733" s="25">
        <f t="shared" ca="1" si="644"/>
        <v>-4196.1146743491636</v>
      </c>
      <c r="BY733" s="23">
        <f t="shared" ca="1" si="611"/>
        <v>2028.3788804507071</v>
      </c>
      <c r="BZ733" s="24">
        <f t="shared" ca="1" si="612"/>
        <v>0</v>
      </c>
      <c r="CA733" s="24">
        <f t="shared" ca="1" si="645"/>
        <v>0</v>
      </c>
      <c r="CB733" s="24">
        <f t="shared" ca="1" si="613"/>
        <v>0</v>
      </c>
      <c r="CC733" s="24">
        <f t="shared" ca="1" si="646"/>
        <v>0</v>
      </c>
      <c r="CD733" s="24">
        <f t="shared" ca="1" si="614"/>
        <v>-31.355306276257618</v>
      </c>
      <c r="CE733" s="25">
        <f t="shared" ca="1" si="647"/>
        <v>-399.75052996665988</v>
      </c>
      <c r="CF733" s="23">
        <f t="shared" ca="1" si="648"/>
        <v>2824013.0383047541</v>
      </c>
      <c r="CG733" s="25">
        <f t="array" aca="1" ref="CG733" ca="1">SUM(BF722:BF733/(1+inflation/100)^(AP722:AP733/12))</f>
        <v>267980.53702225385</v>
      </c>
      <c r="CH733" s="32">
        <f ca="1">IFERROR(IF(MOD(AP733-ap_months_since_start,12)=0,ap_drawdown/100*(AQ733+AV733+BA733-BC733),CH732),0)</f>
        <v>3533.5324565223332</v>
      </c>
    </row>
    <row r="734" spans="40:86" x14ac:dyDescent="0.25">
      <c r="AN734" s="32">
        <f t="shared" ca="1" si="609"/>
        <v>115.41666666666667</v>
      </c>
      <c r="AO734" s="53">
        <f t="shared" ca="1" si="640"/>
        <v>67724</v>
      </c>
      <c r="AP734" s="22">
        <v>727</v>
      </c>
      <c r="AQ734" s="32">
        <f t="shared" ca="1" si="641"/>
        <v>21760.36158337523</v>
      </c>
      <c r="AR734" s="23">
        <f t="array" aca="1" ref="AR734" ca="1">SUM(IF(lsc_start_date=AO734,lsc_amount,0))</f>
        <v>0</v>
      </c>
      <c r="AS734" s="24">
        <f t="shared" ca="1" si="615"/>
        <v>0</v>
      </c>
      <c r="AT734" s="24">
        <f t="shared" ca="1" si="616"/>
        <v>0</v>
      </c>
      <c r="AU734" s="24">
        <f t="shared" ca="1" si="617"/>
        <v>0</v>
      </c>
      <c r="AV734" s="25">
        <f t="shared" ca="1" si="618"/>
        <v>0</v>
      </c>
      <c r="AW734" s="23">
        <f t="array" aca="1" ref="AW734" ca="1">SUM(IF(rcs_start_date&lt;=AO734,1,0)*IF(rcs_end_date&gt;=AO734,1,0)*rcs_amount*(1+rcs_escalation/100)^(INT((AP734-rcs_months_since_start)/12))*IF(MOD((AP734-rcs_months_since_start),rcs_frequency)=0,1,0)*IF(rcs_frequency=13,0,1))+SUM(IF(rcs_start_date=AO734,rcs_amount,0)*IF(rcs_frequency=13,1,0))</f>
        <v>0</v>
      </c>
      <c r="AX734" s="24">
        <f t="shared" ca="1" si="619"/>
        <v>0</v>
      </c>
      <c r="AY734" s="24">
        <f t="shared" ca="1" si="620"/>
        <v>0</v>
      </c>
      <c r="AZ734" s="24">
        <f t="shared" ca="1" si="621"/>
        <v>0</v>
      </c>
      <c r="BA734" s="25">
        <f t="shared" ca="1" si="622"/>
        <v>0</v>
      </c>
      <c r="BB734" s="23">
        <f t="array" aca="1" ref="BB734" ca="1">SUM(IF(w_start_date&lt;=AO734,1,0)*IF(w_end_date&gt;=AO734,1,0)*w_amount*(1+w_escalation/100)^(INT((AP734-w_months_since_start)/12))*IF(MOD(AP734-w_months_since_start,w_frequency)=0,1,0)*IF(w_frequency=13,0,1))+SUM(IF(w_start_date=AO734,w_amount,0)*IF(w_frequency=13,1,0))</f>
        <v>0</v>
      </c>
      <c r="BC734" s="25">
        <f t="shared" ca="1" si="623"/>
        <v>0</v>
      </c>
      <c r="BD734" s="24" t="b">
        <f t="shared" ca="1" si="624"/>
        <v>1</v>
      </c>
      <c r="BE734" s="24" t="b">
        <f t="shared" ca="1" si="625"/>
        <v>1</v>
      </c>
      <c r="BF734" s="23">
        <f t="array" aca="1" ref="BF734" ca="1">SUM(IF(BD734,1,0)*IF(ap_start_date&lt;=AO734,1,0)*IF(ap_end_date&gt;=AO734,1,0)*ap_amount*(1+ap_escalation/100)^(INT((AP734-ap_months_since_start)/12))*IF(MOD(AP734-ap_months_since_start,ap_frequency)=0,1,0))</f>
        <v>239167.22799975119</v>
      </c>
      <c r="BG734" s="24">
        <f t="shared" ca="1" si="626"/>
        <v>2870006.7359970137</v>
      </c>
      <c r="BH734" s="24">
        <f t="shared" ca="1" si="627"/>
        <v>574.7670140399</v>
      </c>
      <c r="BI734">
        <f t="shared" ca="1" si="628"/>
        <v>0</v>
      </c>
      <c r="BJ734" s="24">
        <f t="shared" ca="1" si="629"/>
        <v>4023.3690982792996</v>
      </c>
      <c r="BK734">
        <f t="shared" ca="1" si="630"/>
        <v>1</v>
      </c>
      <c r="BL734" s="25">
        <f t="shared" ca="1" si="631"/>
        <v>335.28075818994171</v>
      </c>
      <c r="BM734" s="32">
        <f t="shared" ca="1" si="610"/>
        <v>21579.498309766757</v>
      </c>
      <c r="BN734" s="23">
        <f t="shared" ca="1" si="632"/>
        <v>0</v>
      </c>
      <c r="BO734" s="24">
        <f t="shared" ca="1" si="633"/>
        <v>0</v>
      </c>
      <c r="BP734" s="25">
        <f t="shared" ca="1" si="634"/>
        <v>0</v>
      </c>
      <c r="BQ734" s="34">
        <f t="shared" ca="1" si="635"/>
        <v>67753</v>
      </c>
      <c r="BR734" s="23">
        <f t="shared" ca="1" si="636"/>
        <v>21579.498309766757</v>
      </c>
      <c r="BS734" s="24">
        <f t="shared" ca="1" si="637"/>
        <v>0</v>
      </c>
      <c r="BT734" s="24">
        <f t="shared" ca="1" si="642"/>
        <v>0</v>
      </c>
      <c r="BU734" s="24">
        <f t="shared" ca="1" si="638"/>
        <v>0</v>
      </c>
      <c r="BV734" s="24">
        <f t="shared" ca="1" si="643"/>
        <v>0</v>
      </c>
      <c r="BW734" s="24">
        <f t="shared" ca="1" si="639"/>
        <v>-335.28075818994171</v>
      </c>
      <c r="BX734" s="25">
        <f t="shared" ca="1" si="644"/>
        <v>-4161.5655591351906</v>
      </c>
      <c r="BY734" s="23">
        <f t="shared" ca="1" si="611"/>
        <v>2004.9561157207218</v>
      </c>
      <c r="BZ734" s="24">
        <f t="shared" ca="1" si="612"/>
        <v>0</v>
      </c>
      <c r="CA734" s="24">
        <f t="shared" ca="1" si="645"/>
        <v>0</v>
      </c>
      <c r="CB734" s="24">
        <f t="shared" ca="1" si="613"/>
        <v>0</v>
      </c>
      <c r="CC734" s="24">
        <f t="shared" ca="1" si="646"/>
        <v>0</v>
      </c>
      <c r="CD734" s="24">
        <f t="shared" ca="1" si="614"/>
        <v>-31.252992112665627</v>
      </c>
      <c r="CE734" s="25">
        <f t="shared" ca="1" si="647"/>
        <v>-395.15111651308774</v>
      </c>
      <c r="CF734" s="23">
        <f t="shared" ca="1" si="648"/>
        <v>2833211.7778432057</v>
      </c>
      <c r="CG734" s="25">
        <f t="array" aca="1" ref="CG734" ca="1">SUM(BF723:BF734/(1+inflation/100)^(AP723:AP734/12))</f>
        <v>267980.53702225385</v>
      </c>
      <c r="CH734" s="32">
        <f ca="1">IFERROR(IF(MOD(AP734-ap_months_since_start,12)=0,ap_drawdown/100*(AQ734+AV734+BA734-BC734),CH733),0)</f>
        <v>3533.5324565223332</v>
      </c>
    </row>
    <row r="735" spans="40:86" x14ac:dyDescent="0.25">
      <c r="AN735" s="32">
        <f t="shared" ca="1" si="609"/>
        <v>115.5</v>
      </c>
      <c r="AO735" s="53">
        <f t="shared" ca="1" si="640"/>
        <v>67754</v>
      </c>
      <c r="AP735" s="22">
        <v>728</v>
      </c>
      <c r="AQ735" s="32">
        <f t="shared" ca="1" si="641"/>
        <v>21579.498309766757</v>
      </c>
      <c r="AR735" s="23">
        <f t="array" aca="1" ref="AR735" ca="1">SUM(IF(lsc_start_date=AO735,lsc_amount,0))</f>
        <v>0</v>
      </c>
      <c r="AS735" s="24">
        <f t="shared" ca="1" si="615"/>
        <v>0</v>
      </c>
      <c r="AT735" s="24">
        <f t="shared" ca="1" si="616"/>
        <v>0</v>
      </c>
      <c r="AU735" s="24">
        <f t="shared" ca="1" si="617"/>
        <v>0</v>
      </c>
      <c r="AV735" s="25">
        <f t="shared" ca="1" si="618"/>
        <v>0</v>
      </c>
      <c r="AW735" s="23">
        <f t="array" aca="1" ref="AW735" ca="1">SUM(IF(rcs_start_date&lt;=AO735,1,0)*IF(rcs_end_date&gt;=AO735,1,0)*rcs_amount*(1+rcs_escalation/100)^(INT((AP735-rcs_months_since_start)/12))*IF(MOD((AP735-rcs_months_since_start),rcs_frequency)=0,1,0)*IF(rcs_frequency=13,0,1))+SUM(IF(rcs_start_date=AO735,rcs_amount,0)*IF(rcs_frequency=13,1,0))</f>
        <v>0</v>
      </c>
      <c r="AX735" s="24">
        <f t="shared" ca="1" si="619"/>
        <v>0</v>
      </c>
      <c r="AY735" s="24">
        <f t="shared" ca="1" si="620"/>
        <v>0</v>
      </c>
      <c r="AZ735" s="24">
        <f t="shared" ca="1" si="621"/>
        <v>0</v>
      </c>
      <c r="BA735" s="25">
        <f t="shared" ca="1" si="622"/>
        <v>0</v>
      </c>
      <c r="BB735" s="23">
        <f t="array" aca="1" ref="BB735" ca="1">SUM(IF(w_start_date&lt;=AO735,1,0)*IF(w_end_date&gt;=AO735,1,0)*w_amount*(1+w_escalation/100)^(INT((AP735-w_months_since_start)/12))*IF(MOD(AP735-w_months_since_start,w_frequency)=0,1,0)*IF(w_frequency=13,0,1))+SUM(IF(w_start_date=AO735,w_amount,0)*IF(w_frequency=13,1,0))</f>
        <v>0</v>
      </c>
      <c r="BC735" s="25">
        <f t="shared" ca="1" si="623"/>
        <v>0</v>
      </c>
      <c r="BD735" s="24" t="b">
        <f t="shared" ca="1" si="624"/>
        <v>1</v>
      </c>
      <c r="BE735" s="24" t="b">
        <f t="shared" ca="1" si="625"/>
        <v>1</v>
      </c>
      <c r="BF735" s="23">
        <f t="array" aca="1" ref="BF735" ca="1">SUM(IF(BD735,1,0)*IF(ap_start_date&lt;=AO735,1,0)*IF(ap_end_date&gt;=AO735,1,0)*ap_amount*(1+ap_escalation/100)^(INT((AP735-ap_months_since_start)/12))*IF(MOD(AP735-ap_months_since_start,ap_frequency)=0,1,0))</f>
        <v>239167.22799975119</v>
      </c>
      <c r="BG735" s="24">
        <f t="shared" ca="1" si="626"/>
        <v>2870006.7359970137</v>
      </c>
      <c r="BH735" s="24">
        <f t="shared" ca="1" si="627"/>
        <v>574.7670140399</v>
      </c>
      <c r="BI735">
        <f t="shared" ca="1" si="628"/>
        <v>0</v>
      </c>
      <c r="BJ735" s="24">
        <f t="shared" ca="1" si="629"/>
        <v>4023.3690982792996</v>
      </c>
      <c r="BK735">
        <f t="shared" ca="1" si="630"/>
        <v>1</v>
      </c>
      <c r="BL735" s="25">
        <f t="shared" ca="1" si="631"/>
        <v>335.28075818994171</v>
      </c>
      <c r="BM735" s="32">
        <f t="shared" ca="1" si="610"/>
        <v>21397.331496069375</v>
      </c>
      <c r="BN735" s="23">
        <f t="shared" ca="1" si="632"/>
        <v>0</v>
      </c>
      <c r="BO735" s="24">
        <f t="shared" ca="1" si="633"/>
        <v>0</v>
      </c>
      <c r="BP735" s="25">
        <f t="shared" ca="1" si="634"/>
        <v>0</v>
      </c>
      <c r="BQ735" s="34">
        <f t="shared" ca="1" si="635"/>
        <v>67784</v>
      </c>
      <c r="BR735" s="23">
        <f t="shared" ca="1" si="636"/>
        <v>21397.331496069375</v>
      </c>
      <c r="BS735" s="24">
        <f t="shared" ca="1" si="637"/>
        <v>0</v>
      </c>
      <c r="BT735" s="24">
        <f t="shared" ca="1" si="642"/>
        <v>0</v>
      </c>
      <c r="BU735" s="24">
        <f t="shared" ca="1" si="638"/>
        <v>0</v>
      </c>
      <c r="BV735" s="24">
        <f t="shared" ca="1" si="643"/>
        <v>0</v>
      </c>
      <c r="BW735" s="24">
        <f t="shared" ca="1" si="639"/>
        <v>-335.28075818994171</v>
      </c>
      <c r="BX735" s="25">
        <f t="shared" ca="1" si="644"/>
        <v>-4127.0164439212176</v>
      </c>
      <c r="BY735" s="23">
        <f t="shared" ca="1" si="611"/>
        <v>1981.5438963778702</v>
      </c>
      <c r="BZ735" s="24">
        <f t="shared" ca="1" si="612"/>
        <v>0</v>
      </c>
      <c r="CA735" s="24">
        <f t="shared" ca="1" si="645"/>
        <v>0</v>
      </c>
      <c r="CB735" s="24">
        <f t="shared" ca="1" si="613"/>
        <v>0</v>
      </c>
      <c r="CC735" s="24">
        <f t="shared" ca="1" si="646"/>
        <v>0</v>
      </c>
      <c r="CD735" s="24">
        <f t="shared" ca="1" si="614"/>
        <v>-31.151011806060371</v>
      </c>
      <c r="CE735" s="25">
        <f t="shared" ca="1" si="647"/>
        <v>-390.56671120953547</v>
      </c>
      <c r="CF735" s="23">
        <f t="shared" ca="1" si="648"/>
        <v>2842410.5173816578</v>
      </c>
      <c r="CG735" s="25">
        <f t="array" aca="1" ref="CG735" ca="1">SUM(BF724:BF735/(1+inflation/100)^(AP724:AP735/12))</f>
        <v>267980.53702225385</v>
      </c>
      <c r="CH735" s="32">
        <f ca="1">IFERROR(IF(MOD(AP735-ap_months_since_start,12)=0,ap_drawdown/100*(AQ735+AV735+BA735-BC735),CH734),0)</f>
        <v>3533.5324565223332</v>
      </c>
    </row>
    <row r="736" spans="40:86" x14ac:dyDescent="0.25">
      <c r="AN736" s="32">
        <f t="shared" ca="1" si="609"/>
        <v>115.58333333333333</v>
      </c>
      <c r="AO736" s="53">
        <f t="shared" ca="1" si="640"/>
        <v>67785</v>
      </c>
      <c r="AP736" s="22">
        <v>729</v>
      </c>
      <c r="AQ736" s="32">
        <f t="shared" ca="1" si="641"/>
        <v>21397.331496069375</v>
      </c>
      <c r="AR736" s="23">
        <f t="array" aca="1" ref="AR736" ca="1">SUM(IF(lsc_start_date=AO736,lsc_amount,0))</f>
        <v>0</v>
      </c>
      <c r="AS736" s="24">
        <f t="shared" ca="1" si="615"/>
        <v>0</v>
      </c>
      <c r="AT736" s="24">
        <f t="shared" ca="1" si="616"/>
        <v>0</v>
      </c>
      <c r="AU736" s="24">
        <f t="shared" ca="1" si="617"/>
        <v>0</v>
      </c>
      <c r="AV736" s="25">
        <f t="shared" ca="1" si="618"/>
        <v>0</v>
      </c>
      <c r="AW736" s="23">
        <f t="array" aca="1" ref="AW736" ca="1">SUM(IF(rcs_start_date&lt;=AO736,1,0)*IF(rcs_end_date&gt;=AO736,1,0)*rcs_amount*(1+rcs_escalation/100)^(INT((AP736-rcs_months_since_start)/12))*IF(MOD((AP736-rcs_months_since_start),rcs_frequency)=0,1,0)*IF(rcs_frequency=13,0,1))+SUM(IF(rcs_start_date=AO736,rcs_amount,0)*IF(rcs_frequency=13,1,0))</f>
        <v>0</v>
      </c>
      <c r="AX736" s="24">
        <f t="shared" ca="1" si="619"/>
        <v>0</v>
      </c>
      <c r="AY736" s="24">
        <f t="shared" ca="1" si="620"/>
        <v>0</v>
      </c>
      <c r="AZ736" s="24">
        <f t="shared" ca="1" si="621"/>
        <v>0</v>
      </c>
      <c r="BA736" s="25">
        <f t="shared" ca="1" si="622"/>
        <v>0</v>
      </c>
      <c r="BB736" s="23">
        <f t="array" aca="1" ref="BB736" ca="1">SUM(IF(w_start_date&lt;=AO736,1,0)*IF(w_end_date&gt;=AO736,1,0)*w_amount*(1+w_escalation/100)^(INT((AP736-w_months_since_start)/12))*IF(MOD(AP736-w_months_since_start,w_frequency)=0,1,0)*IF(w_frequency=13,0,1))+SUM(IF(w_start_date=AO736,w_amount,0)*IF(w_frequency=13,1,0))</f>
        <v>0</v>
      </c>
      <c r="BC736" s="25">
        <f t="shared" ca="1" si="623"/>
        <v>0</v>
      </c>
      <c r="BD736" s="24" t="b">
        <f t="shared" ca="1" si="624"/>
        <v>1</v>
      </c>
      <c r="BE736" s="24" t="b">
        <f t="shared" ca="1" si="625"/>
        <v>1</v>
      </c>
      <c r="BF736" s="23">
        <f t="array" aca="1" ref="BF736" ca="1">SUM(IF(BD736,1,0)*IF(ap_start_date&lt;=AO736,1,0)*IF(ap_end_date&gt;=AO736,1,0)*ap_amount*(1+ap_escalation/100)^(INT((AP736-ap_months_since_start)/12))*IF(MOD(AP736-ap_months_since_start,ap_frequency)=0,1,0))</f>
        <v>239167.22799975119</v>
      </c>
      <c r="BG736" s="24">
        <f t="shared" ca="1" si="626"/>
        <v>2870006.7359970137</v>
      </c>
      <c r="BH736" s="24">
        <f t="shared" ca="1" si="627"/>
        <v>574.7670140399</v>
      </c>
      <c r="BI736">
        <f t="shared" ca="1" si="628"/>
        <v>0</v>
      </c>
      <c r="BJ736" s="24">
        <f t="shared" ca="1" si="629"/>
        <v>4023.3690982792996</v>
      </c>
      <c r="BK736">
        <f t="shared" ca="1" si="630"/>
        <v>1</v>
      </c>
      <c r="BL736" s="25">
        <f t="shared" ca="1" si="631"/>
        <v>335.28075818994171</v>
      </c>
      <c r="BM736" s="32">
        <f t="shared" ca="1" si="610"/>
        <v>21213.851747248205</v>
      </c>
      <c r="BN736" s="23">
        <f t="shared" ca="1" si="632"/>
        <v>0</v>
      </c>
      <c r="BO736" s="24">
        <f t="shared" ca="1" si="633"/>
        <v>0</v>
      </c>
      <c r="BP736" s="25">
        <f t="shared" ca="1" si="634"/>
        <v>0</v>
      </c>
      <c r="BQ736" s="34">
        <f t="shared" ca="1" si="635"/>
        <v>67815</v>
      </c>
      <c r="BR736" s="23">
        <f t="shared" ca="1" si="636"/>
        <v>21213.851747248205</v>
      </c>
      <c r="BS736" s="24">
        <f t="shared" ca="1" si="637"/>
        <v>0</v>
      </c>
      <c r="BT736" s="24">
        <f t="shared" ca="1" si="642"/>
        <v>0</v>
      </c>
      <c r="BU736" s="24">
        <f t="shared" ca="1" si="638"/>
        <v>0</v>
      </c>
      <c r="BV736" s="24">
        <f t="shared" ca="1" si="643"/>
        <v>0</v>
      </c>
      <c r="BW736" s="24">
        <f t="shared" ca="1" si="639"/>
        <v>-335.28075818994171</v>
      </c>
      <c r="BX736" s="25">
        <f t="shared" ca="1" si="644"/>
        <v>-4092.4673287072446</v>
      </c>
      <c r="BY736" s="23">
        <f t="shared" ca="1" si="611"/>
        <v>1958.1419296956662</v>
      </c>
      <c r="BZ736" s="24">
        <f t="shared" ca="1" si="612"/>
        <v>0</v>
      </c>
      <c r="CA736" s="24">
        <f t="shared" ca="1" si="645"/>
        <v>0</v>
      </c>
      <c r="CB736" s="24">
        <f t="shared" ca="1" si="613"/>
        <v>0</v>
      </c>
      <c r="CC736" s="24">
        <f t="shared" ca="1" si="646"/>
        <v>0</v>
      </c>
      <c r="CD736" s="24">
        <f t="shared" ca="1" si="614"/>
        <v>-31.049364267047366</v>
      </c>
      <c r="CE736" s="25">
        <f t="shared" ca="1" si="647"/>
        <v>-385.99726508354854</v>
      </c>
      <c r="CF736" s="23">
        <f t="shared" ca="1" si="648"/>
        <v>2851609.25692011</v>
      </c>
      <c r="CG736" s="25">
        <f t="array" aca="1" ref="CG736" ca="1">SUM(BF725:BF736/(1+inflation/100)^(AP725:AP736/12))</f>
        <v>267980.53702225385</v>
      </c>
      <c r="CH736" s="32">
        <f ca="1">IFERROR(IF(MOD(AP736-ap_months_since_start,12)=0,ap_drawdown/100*(AQ736+AV736+BA736-BC736),CH735),0)</f>
        <v>3533.5324565223332</v>
      </c>
    </row>
    <row r="737" spans="40:86" x14ac:dyDescent="0.25">
      <c r="AN737" s="32">
        <f t="shared" ca="1" si="609"/>
        <v>115.66666666666667</v>
      </c>
      <c r="AO737" s="53">
        <f t="shared" ca="1" si="640"/>
        <v>67816</v>
      </c>
      <c r="AP737" s="22">
        <v>730</v>
      </c>
      <c r="AQ737" s="32">
        <f t="shared" ca="1" si="641"/>
        <v>21213.851747248205</v>
      </c>
      <c r="AR737" s="23">
        <f t="array" aca="1" ref="AR737" ca="1">SUM(IF(lsc_start_date=AO737,lsc_amount,0))</f>
        <v>0</v>
      </c>
      <c r="AS737" s="24">
        <f t="shared" ca="1" si="615"/>
        <v>0</v>
      </c>
      <c r="AT737" s="24">
        <f t="shared" ca="1" si="616"/>
        <v>0</v>
      </c>
      <c r="AU737" s="24">
        <f t="shared" ca="1" si="617"/>
        <v>0</v>
      </c>
      <c r="AV737" s="25">
        <f t="shared" ca="1" si="618"/>
        <v>0</v>
      </c>
      <c r="AW737" s="23">
        <f t="array" aca="1" ref="AW737" ca="1">SUM(IF(rcs_start_date&lt;=AO737,1,0)*IF(rcs_end_date&gt;=AO737,1,0)*rcs_amount*(1+rcs_escalation/100)^(INT((AP737-rcs_months_since_start)/12))*IF(MOD((AP737-rcs_months_since_start),rcs_frequency)=0,1,0)*IF(rcs_frequency=13,0,1))+SUM(IF(rcs_start_date=AO737,rcs_amount,0)*IF(rcs_frequency=13,1,0))</f>
        <v>0</v>
      </c>
      <c r="AX737" s="24">
        <f t="shared" ca="1" si="619"/>
        <v>0</v>
      </c>
      <c r="AY737" s="24">
        <f t="shared" ca="1" si="620"/>
        <v>0</v>
      </c>
      <c r="AZ737" s="24">
        <f t="shared" ca="1" si="621"/>
        <v>0</v>
      </c>
      <c r="BA737" s="25">
        <f t="shared" ca="1" si="622"/>
        <v>0</v>
      </c>
      <c r="BB737" s="23">
        <f t="array" aca="1" ref="BB737" ca="1">SUM(IF(w_start_date&lt;=AO737,1,0)*IF(w_end_date&gt;=AO737,1,0)*w_amount*(1+w_escalation/100)^(INT((AP737-w_months_since_start)/12))*IF(MOD(AP737-w_months_since_start,w_frequency)=0,1,0)*IF(w_frequency=13,0,1))+SUM(IF(w_start_date=AO737,w_amount,0)*IF(w_frequency=13,1,0))</f>
        <v>0</v>
      </c>
      <c r="BC737" s="25">
        <f t="shared" ca="1" si="623"/>
        <v>0</v>
      </c>
      <c r="BD737" s="24" t="b">
        <f t="shared" ca="1" si="624"/>
        <v>1</v>
      </c>
      <c r="BE737" s="24" t="b">
        <f t="shared" ca="1" si="625"/>
        <v>1</v>
      </c>
      <c r="BF737" s="23">
        <f t="array" aca="1" ref="BF737" ca="1">SUM(IF(BD737,1,0)*IF(ap_start_date&lt;=AO737,1,0)*IF(ap_end_date&gt;=AO737,1,0)*ap_amount*(1+ap_escalation/100)^(INT((AP737-ap_months_since_start)/12))*IF(MOD(AP737-ap_months_since_start,ap_frequency)=0,1,0))</f>
        <v>239167.22799975119</v>
      </c>
      <c r="BG737" s="24">
        <f t="shared" ca="1" si="626"/>
        <v>2870006.7359970137</v>
      </c>
      <c r="BH737" s="24">
        <f t="shared" ca="1" si="627"/>
        <v>574.7670140399</v>
      </c>
      <c r="BI737">
        <f t="shared" ca="1" si="628"/>
        <v>0</v>
      </c>
      <c r="BJ737" s="24">
        <f t="shared" ca="1" si="629"/>
        <v>4023.3690982792996</v>
      </c>
      <c r="BK737">
        <f t="shared" ca="1" si="630"/>
        <v>1</v>
      </c>
      <c r="BL737" s="25">
        <f t="shared" ca="1" si="631"/>
        <v>335.28075818994171</v>
      </c>
      <c r="BM737" s="32">
        <f t="shared" ca="1" si="610"/>
        <v>21029.049600555318</v>
      </c>
      <c r="BN737" s="23">
        <f t="shared" ca="1" si="632"/>
        <v>0</v>
      </c>
      <c r="BO737" s="24">
        <f t="shared" ca="1" si="633"/>
        <v>0</v>
      </c>
      <c r="BP737" s="25">
        <f t="shared" ca="1" si="634"/>
        <v>0</v>
      </c>
      <c r="BQ737" s="34">
        <f t="shared" ca="1" si="635"/>
        <v>67845</v>
      </c>
      <c r="BR737" s="23">
        <f t="shared" ca="1" si="636"/>
        <v>21029.049600555318</v>
      </c>
      <c r="BS737" s="24">
        <f t="shared" ca="1" si="637"/>
        <v>0</v>
      </c>
      <c r="BT737" s="24">
        <f t="shared" ca="1" si="642"/>
        <v>0</v>
      </c>
      <c r="BU737" s="24">
        <f t="shared" ca="1" si="638"/>
        <v>0</v>
      </c>
      <c r="BV737" s="24">
        <f t="shared" ca="1" si="643"/>
        <v>0</v>
      </c>
      <c r="BW737" s="24">
        <f t="shared" ca="1" si="639"/>
        <v>-335.28075818994171</v>
      </c>
      <c r="BX737" s="25">
        <f t="shared" ca="1" si="644"/>
        <v>-4057.9182134932726</v>
      </c>
      <c r="BY737" s="23">
        <f t="shared" ca="1" si="611"/>
        <v>1934.7499228900153</v>
      </c>
      <c r="BZ737" s="24">
        <f t="shared" ca="1" si="612"/>
        <v>0</v>
      </c>
      <c r="CA737" s="24">
        <f t="shared" ca="1" si="645"/>
        <v>0</v>
      </c>
      <c r="CB737" s="24">
        <f t="shared" ca="1" si="613"/>
        <v>0</v>
      </c>
      <c r="CC737" s="24">
        <f t="shared" ca="1" si="646"/>
        <v>0</v>
      </c>
      <c r="CD737" s="24">
        <f t="shared" ca="1" si="614"/>
        <v>-30.948048409786836</v>
      </c>
      <c r="CE737" s="25">
        <f t="shared" ca="1" si="647"/>
        <v>-381.44272932247208</v>
      </c>
      <c r="CF737" s="23">
        <f t="shared" ca="1" si="648"/>
        <v>2860807.9964585616</v>
      </c>
      <c r="CG737" s="25">
        <f t="array" aca="1" ref="CG737" ca="1">SUM(BF726:BF737/(1+inflation/100)^(AP726:AP737/12))</f>
        <v>267980.53702225385</v>
      </c>
      <c r="CH737" s="32">
        <f ca="1">IFERROR(IF(MOD(AP737-ap_months_since_start,12)=0,ap_drawdown/100*(AQ737+AV737+BA737-BC737),CH736),0)</f>
        <v>3533.5324565223332</v>
      </c>
    </row>
    <row r="738" spans="40:86" x14ac:dyDescent="0.25">
      <c r="AN738" s="32">
        <f t="shared" ca="1" si="609"/>
        <v>115.75</v>
      </c>
      <c r="AO738" s="53">
        <f t="shared" ca="1" si="640"/>
        <v>67846</v>
      </c>
      <c r="AP738" s="22">
        <v>731</v>
      </c>
      <c r="AQ738" s="32">
        <f t="shared" ca="1" si="641"/>
        <v>21029.049600555318</v>
      </c>
      <c r="AR738" s="23">
        <f t="array" aca="1" ref="AR738" ca="1">SUM(IF(lsc_start_date=AO738,lsc_amount,0))</f>
        <v>0</v>
      </c>
      <c r="AS738" s="24">
        <f t="shared" ca="1" si="615"/>
        <v>0</v>
      </c>
      <c r="AT738" s="24">
        <f t="shared" ca="1" si="616"/>
        <v>0</v>
      </c>
      <c r="AU738" s="24">
        <f t="shared" ca="1" si="617"/>
        <v>0</v>
      </c>
      <c r="AV738" s="25">
        <f t="shared" ca="1" si="618"/>
        <v>0</v>
      </c>
      <c r="AW738" s="23">
        <f t="array" aca="1" ref="AW738" ca="1">SUM(IF(rcs_start_date&lt;=AO738,1,0)*IF(rcs_end_date&gt;=AO738,1,0)*rcs_amount*(1+rcs_escalation/100)^(INT((AP738-rcs_months_since_start)/12))*IF(MOD((AP738-rcs_months_since_start),rcs_frequency)=0,1,0)*IF(rcs_frequency=13,0,1))+SUM(IF(rcs_start_date=AO738,rcs_amount,0)*IF(rcs_frequency=13,1,0))</f>
        <v>0</v>
      </c>
      <c r="AX738" s="24">
        <f t="shared" ca="1" si="619"/>
        <v>0</v>
      </c>
      <c r="AY738" s="24">
        <f t="shared" ca="1" si="620"/>
        <v>0</v>
      </c>
      <c r="AZ738" s="24">
        <f t="shared" ca="1" si="621"/>
        <v>0</v>
      </c>
      <c r="BA738" s="25">
        <f t="shared" ca="1" si="622"/>
        <v>0</v>
      </c>
      <c r="BB738" s="23">
        <f t="array" aca="1" ref="BB738" ca="1">SUM(IF(w_start_date&lt;=AO738,1,0)*IF(w_end_date&gt;=AO738,1,0)*w_amount*(1+w_escalation/100)^(INT((AP738-w_months_since_start)/12))*IF(MOD(AP738-w_months_since_start,w_frequency)=0,1,0)*IF(w_frequency=13,0,1))+SUM(IF(w_start_date=AO738,w_amount,0)*IF(w_frequency=13,1,0))</f>
        <v>0</v>
      </c>
      <c r="BC738" s="25">
        <f t="shared" ca="1" si="623"/>
        <v>0</v>
      </c>
      <c r="BD738" s="24" t="b">
        <f t="shared" ca="1" si="624"/>
        <v>1</v>
      </c>
      <c r="BE738" s="24" t="b">
        <f t="shared" ca="1" si="625"/>
        <v>1</v>
      </c>
      <c r="BF738" s="23">
        <f t="array" aca="1" ref="BF738" ca="1">SUM(IF(BD738,1,0)*IF(ap_start_date&lt;=AO738,1,0)*IF(ap_end_date&gt;=AO738,1,0)*ap_amount*(1+ap_escalation/100)^(INT((AP738-ap_months_since_start)/12))*IF(MOD(AP738-ap_months_since_start,ap_frequency)=0,1,0))</f>
        <v>239167.22799975119</v>
      </c>
      <c r="BG738" s="24">
        <f t="shared" ca="1" si="626"/>
        <v>2870006.7359970137</v>
      </c>
      <c r="BH738" s="24">
        <f t="shared" ca="1" si="627"/>
        <v>574.7670140399</v>
      </c>
      <c r="BI738">
        <f t="shared" ca="1" si="628"/>
        <v>0</v>
      </c>
      <c r="BJ738" s="24">
        <f t="shared" ca="1" si="629"/>
        <v>4023.3690982792996</v>
      </c>
      <c r="BK738">
        <f t="shared" ca="1" si="630"/>
        <v>1</v>
      </c>
      <c r="BL738" s="25">
        <f t="shared" ca="1" si="631"/>
        <v>335.28075818994171</v>
      </c>
      <c r="BM738" s="32">
        <f t="shared" ca="1" si="610"/>
        <v>20842.915525041699</v>
      </c>
      <c r="BN738" s="23">
        <f t="shared" ca="1" si="632"/>
        <v>0</v>
      </c>
      <c r="BO738" s="24">
        <f t="shared" ca="1" si="633"/>
        <v>0</v>
      </c>
      <c r="BP738" s="25">
        <f t="shared" ca="1" si="634"/>
        <v>0</v>
      </c>
      <c r="BQ738" s="34">
        <f t="shared" ca="1" si="635"/>
        <v>67876</v>
      </c>
      <c r="BR738" s="23">
        <f t="shared" ca="1" si="636"/>
        <v>20842.915525041699</v>
      </c>
      <c r="BS738" s="24">
        <f t="shared" ca="1" si="637"/>
        <v>0</v>
      </c>
      <c r="BT738" s="24">
        <f t="shared" ca="1" si="642"/>
        <v>0</v>
      </c>
      <c r="BU738" s="24">
        <f t="shared" ca="1" si="638"/>
        <v>0</v>
      </c>
      <c r="BV738" s="24">
        <f t="shared" ca="1" si="643"/>
        <v>0</v>
      </c>
      <c r="BW738" s="24">
        <f t="shared" ca="1" si="639"/>
        <v>-335.28075818994171</v>
      </c>
      <c r="BX738" s="25">
        <f t="shared" ca="1" si="644"/>
        <v>-4023.3690982792996</v>
      </c>
      <c r="BY738" s="23">
        <f t="shared" ca="1" si="611"/>
        <v>1911.3675831154324</v>
      </c>
      <c r="BZ738" s="24">
        <f t="shared" ca="1" si="612"/>
        <v>0</v>
      </c>
      <c r="CA738" s="24">
        <f t="shared" ca="1" si="645"/>
        <v>0</v>
      </c>
      <c r="CB738" s="24">
        <f t="shared" ca="1" si="613"/>
        <v>0</v>
      </c>
      <c r="CC738" s="24">
        <f t="shared" ca="1" si="646"/>
        <v>0</v>
      </c>
      <c r="CD738" s="24">
        <f t="shared" ca="1" si="614"/>
        <v>-30.847063151982184</v>
      </c>
      <c r="CE738" s="25">
        <f t="shared" ca="1" si="647"/>
        <v>-376.90305527292975</v>
      </c>
      <c r="CF738" s="23">
        <f t="shared" ca="1" si="648"/>
        <v>2870006.7359970137</v>
      </c>
      <c r="CG738" s="25">
        <f t="array" aca="1" ref="CG738" ca="1">SUM(BF727:BF738/(1+inflation/100)^(AP727:AP738/12))</f>
        <v>267980.53702225385</v>
      </c>
      <c r="CH738" s="32">
        <f ca="1">IFERROR(IF(MOD(AP738-ap_months_since_start,12)=0,ap_drawdown/100*(AQ738+AV738+BA738-BC738),CH737),0)</f>
        <v>3533.5324565223332</v>
      </c>
    </row>
    <row r="739" spans="40:86" x14ac:dyDescent="0.25">
      <c r="AN739" s="32">
        <f t="shared" ca="1" si="609"/>
        <v>115.83333333333333</v>
      </c>
      <c r="AO739" s="53">
        <f t="shared" ca="1" si="640"/>
        <v>67877</v>
      </c>
      <c r="AP739" s="22">
        <v>732</v>
      </c>
      <c r="AQ739" s="32">
        <f t="shared" ca="1" si="641"/>
        <v>20842.915525041699</v>
      </c>
      <c r="AR739" s="23">
        <f t="array" aca="1" ref="AR739" ca="1">SUM(IF(lsc_start_date=AO739,lsc_amount,0))</f>
        <v>0</v>
      </c>
      <c r="AS739" s="24">
        <f t="shared" ca="1" si="615"/>
        <v>0</v>
      </c>
      <c r="AT739" s="24">
        <f t="shared" ca="1" si="616"/>
        <v>0</v>
      </c>
      <c r="AU739" s="24">
        <f t="shared" ca="1" si="617"/>
        <v>0</v>
      </c>
      <c r="AV739" s="25">
        <f t="shared" ca="1" si="618"/>
        <v>0</v>
      </c>
      <c r="AW739" s="23">
        <f t="array" aca="1" ref="AW739" ca="1">SUM(IF(rcs_start_date&lt;=AO739,1,0)*IF(rcs_end_date&gt;=AO739,1,0)*rcs_amount*(1+rcs_escalation/100)^(INT((AP739-rcs_months_since_start)/12))*IF(MOD((AP739-rcs_months_since_start),rcs_frequency)=0,1,0)*IF(rcs_frequency=13,0,1))+SUM(IF(rcs_start_date=AO739,rcs_amount,0)*IF(rcs_frequency=13,1,0))</f>
        <v>0</v>
      </c>
      <c r="AX739" s="24">
        <f t="shared" ca="1" si="619"/>
        <v>0</v>
      </c>
      <c r="AY739" s="24">
        <f t="shared" ca="1" si="620"/>
        <v>0</v>
      </c>
      <c r="AZ739" s="24">
        <f t="shared" ca="1" si="621"/>
        <v>0</v>
      </c>
      <c r="BA739" s="25">
        <f t="shared" ca="1" si="622"/>
        <v>0</v>
      </c>
      <c r="BB739" s="23">
        <f t="array" aca="1" ref="BB739" ca="1">SUM(IF(w_start_date&lt;=AO739,1,0)*IF(w_end_date&gt;=AO739,1,0)*w_amount*(1+w_escalation/100)^(INT((AP739-w_months_since_start)/12))*IF(MOD(AP739-w_months_since_start,w_frequency)=0,1,0)*IF(w_frequency=13,0,1))+SUM(IF(w_start_date=AO739,w_amount,0)*IF(w_frequency=13,1,0))</f>
        <v>0</v>
      </c>
      <c r="BC739" s="25">
        <f t="shared" ca="1" si="623"/>
        <v>0</v>
      </c>
      <c r="BD739" s="24" t="b">
        <f t="shared" ca="1" si="624"/>
        <v>1</v>
      </c>
      <c r="BE739" s="24" t="b">
        <f t="shared" ca="1" si="625"/>
        <v>1</v>
      </c>
      <c r="BF739" s="23">
        <f t="array" aca="1" ref="BF739" ca="1">SUM(IF(BD739,1,0)*IF(ap_start_date&lt;=AO739,1,0)*IF(ap_end_date&gt;=AO739,1,0)*ap_amount*(1+ap_escalation/100)^(INT((AP739-ap_months_since_start)/12))*IF(MOD(AP739-ap_months_since_start,ap_frequency)=0,1,0))</f>
        <v>248733.91711974127</v>
      </c>
      <c r="BG739" s="24">
        <f t="shared" ca="1" si="626"/>
        <v>2984807.0054368954</v>
      </c>
      <c r="BH739" s="24">
        <f t="shared" ca="1" si="627"/>
        <v>521.07288812604247</v>
      </c>
      <c r="BI739">
        <f t="shared" ca="1" si="628"/>
        <v>0</v>
      </c>
      <c r="BJ739" s="24">
        <f t="shared" ca="1" si="629"/>
        <v>3647.5102168822968</v>
      </c>
      <c r="BK739">
        <f t="shared" ca="1" si="630"/>
        <v>1</v>
      </c>
      <c r="BL739" s="25">
        <f t="shared" ca="1" si="631"/>
        <v>303.9591847401914</v>
      </c>
      <c r="BM739" s="32">
        <f t="shared" ca="1" si="610"/>
        <v>20686.987239222079</v>
      </c>
      <c r="BN739" s="23">
        <f t="shared" ca="1" si="632"/>
        <v>0</v>
      </c>
      <c r="BO739" s="24">
        <f t="shared" ca="1" si="633"/>
        <v>0</v>
      </c>
      <c r="BP739" s="25">
        <f t="shared" ca="1" si="634"/>
        <v>0</v>
      </c>
      <c r="BQ739" s="34">
        <f t="shared" ca="1" si="635"/>
        <v>67906</v>
      </c>
      <c r="BR739" s="23">
        <f t="shared" ca="1" si="636"/>
        <v>20686.987239222079</v>
      </c>
      <c r="BS739" s="24">
        <f t="shared" ca="1" si="637"/>
        <v>0</v>
      </c>
      <c r="BT739" s="24">
        <f t="shared" ca="1" si="642"/>
        <v>0</v>
      </c>
      <c r="BU739" s="24">
        <f t="shared" ca="1" si="638"/>
        <v>0</v>
      </c>
      <c r="BV739" s="24">
        <f t="shared" ca="1" si="643"/>
        <v>0</v>
      </c>
      <c r="BW739" s="24">
        <f t="shared" ca="1" si="639"/>
        <v>-303.9591847401914</v>
      </c>
      <c r="BX739" s="25">
        <f t="shared" ca="1" si="644"/>
        <v>-3992.0475248295497</v>
      </c>
      <c r="BY739" s="23">
        <f t="shared" ca="1" si="611"/>
        <v>1890.8781758411328</v>
      </c>
      <c r="BZ739" s="24">
        <f t="shared" ca="1" si="612"/>
        <v>0</v>
      </c>
      <c r="CA739" s="24">
        <f t="shared" ca="1" si="645"/>
        <v>0</v>
      </c>
      <c r="CB739" s="24">
        <f t="shared" ca="1" si="613"/>
        <v>0</v>
      </c>
      <c r="CC739" s="24">
        <f t="shared" ca="1" si="646"/>
        <v>0</v>
      </c>
      <c r="CD739" s="24">
        <f t="shared" ca="1" si="614"/>
        <v>-27.874110587100052</v>
      </c>
      <c r="CE739" s="25">
        <f t="shared" ca="1" si="647"/>
        <v>-372.80090214856665</v>
      </c>
      <c r="CF739" s="23">
        <f t="shared" ca="1" si="648"/>
        <v>2879573.4251170042</v>
      </c>
      <c r="CG739" s="25">
        <f t="array" aca="1" ref="CG739" ca="1">SUM(BF728:BF739/(1+inflation/100)^(AP728:AP739/12))</f>
        <v>267980.53702225379</v>
      </c>
      <c r="CH739" s="32">
        <f ca="1">IFERROR(IF(MOD(AP739-ap_months_since_start,12)=0,ap_drawdown/100*(AQ739+AV739+BA739-BC739),CH738),0)</f>
        <v>3203.433595581017</v>
      </c>
    </row>
    <row r="740" spans="40:86" x14ac:dyDescent="0.25">
      <c r="AN740" s="32">
        <f t="shared" ca="1" si="609"/>
        <v>115.91666666666667</v>
      </c>
      <c r="AO740" s="53">
        <f t="shared" ca="1" si="640"/>
        <v>67907</v>
      </c>
      <c r="AP740" s="22">
        <v>733</v>
      </c>
      <c r="AQ740" s="32">
        <f t="shared" ca="1" si="641"/>
        <v>20686.987239222079</v>
      </c>
      <c r="AR740" s="23">
        <f t="array" aca="1" ref="AR740" ca="1">SUM(IF(lsc_start_date=AO740,lsc_amount,0))</f>
        <v>0</v>
      </c>
      <c r="AS740" s="24">
        <f t="shared" ca="1" si="615"/>
        <v>0</v>
      </c>
      <c r="AT740" s="24">
        <f t="shared" ca="1" si="616"/>
        <v>0</v>
      </c>
      <c r="AU740" s="24">
        <f t="shared" ca="1" si="617"/>
        <v>0</v>
      </c>
      <c r="AV740" s="25">
        <f t="shared" ca="1" si="618"/>
        <v>0</v>
      </c>
      <c r="AW740" s="23">
        <f t="array" aca="1" ref="AW740" ca="1">SUM(IF(rcs_start_date&lt;=AO740,1,0)*IF(rcs_end_date&gt;=AO740,1,0)*rcs_amount*(1+rcs_escalation/100)^(INT((AP740-rcs_months_since_start)/12))*IF(MOD((AP740-rcs_months_since_start),rcs_frequency)=0,1,0)*IF(rcs_frequency=13,0,1))+SUM(IF(rcs_start_date=AO740,rcs_amount,0)*IF(rcs_frequency=13,1,0))</f>
        <v>0</v>
      </c>
      <c r="AX740" s="24">
        <f t="shared" ca="1" si="619"/>
        <v>0</v>
      </c>
      <c r="AY740" s="24">
        <f t="shared" ca="1" si="620"/>
        <v>0</v>
      </c>
      <c r="AZ740" s="24">
        <f t="shared" ca="1" si="621"/>
        <v>0</v>
      </c>
      <c r="BA740" s="25">
        <f t="shared" ca="1" si="622"/>
        <v>0</v>
      </c>
      <c r="BB740" s="23">
        <f t="array" aca="1" ref="BB740" ca="1">SUM(IF(w_start_date&lt;=AO740,1,0)*IF(w_end_date&gt;=AO740,1,0)*w_amount*(1+w_escalation/100)^(INT((AP740-w_months_since_start)/12))*IF(MOD(AP740-w_months_since_start,w_frequency)=0,1,0)*IF(w_frequency=13,0,1))+SUM(IF(w_start_date=AO740,w_amount,0)*IF(w_frequency=13,1,0))</f>
        <v>0</v>
      </c>
      <c r="BC740" s="25">
        <f t="shared" ca="1" si="623"/>
        <v>0</v>
      </c>
      <c r="BD740" s="24" t="b">
        <f t="shared" ca="1" si="624"/>
        <v>1</v>
      </c>
      <c r="BE740" s="24" t="b">
        <f t="shared" ca="1" si="625"/>
        <v>1</v>
      </c>
      <c r="BF740" s="23">
        <f t="array" aca="1" ref="BF740" ca="1">SUM(IF(BD740,1,0)*IF(ap_start_date&lt;=AO740,1,0)*IF(ap_end_date&gt;=AO740,1,0)*ap_amount*(1+ap_escalation/100)^(INT((AP740-ap_months_since_start)/12))*IF(MOD(AP740-ap_months_since_start,ap_frequency)=0,1,0))</f>
        <v>248733.91711974127</v>
      </c>
      <c r="BG740" s="24">
        <f t="shared" ca="1" si="626"/>
        <v>2984807.0054368954</v>
      </c>
      <c r="BH740" s="24">
        <f t="shared" ca="1" si="627"/>
        <v>521.07288812604247</v>
      </c>
      <c r="BI740">
        <f t="shared" ca="1" si="628"/>
        <v>0</v>
      </c>
      <c r="BJ740" s="24">
        <f t="shared" ca="1" si="629"/>
        <v>3647.5102168822968</v>
      </c>
      <c r="BK740">
        <f t="shared" ca="1" si="630"/>
        <v>1</v>
      </c>
      <c r="BL740" s="25">
        <f t="shared" ca="1" si="631"/>
        <v>303.9591847401914</v>
      </c>
      <c r="BM740" s="32">
        <f t="shared" ca="1" si="610"/>
        <v>20529.935127832425</v>
      </c>
      <c r="BN740" s="23">
        <f t="shared" ca="1" si="632"/>
        <v>0</v>
      </c>
      <c r="BO740" s="24">
        <f t="shared" ca="1" si="633"/>
        <v>0</v>
      </c>
      <c r="BP740" s="25">
        <f t="shared" ca="1" si="634"/>
        <v>0</v>
      </c>
      <c r="BQ740" s="34">
        <f t="shared" ca="1" si="635"/>
        <v>67937</v>
      </c>
      <c r="BR740" s="23">
        <f t="shared" ca="1" si="636"/>
        <v>20529.935127832425</v>
      </c>
      <c r="BS740" s="24">
        <f t="shared" ca="1" si="637"/>
        <v>0</v>
      </c>
      <c r="BT740" s="24">
        <f t="shared" ca="1" si="642"/>
        <v>0</v>
      </c>
      <c r="BU740" s="24">
        <f t="shared" ca="1" si="638"/>
        <v>0</v>
      </c>
      <c r="BV740" s="24">
        <f t="shared" ca="1" si="643"/>
        <v>0</v>
      </c>
      <c r="BW740" s="24">
        <f t="shared" ca="1" si="639"/>
        <v>-303.9591847401914</v>
      </c>
      <c r="BX740" s="25">
        <f t="shared" ca="1" si="644"/>
        <v>-3960.7259513797999</v>
      </c>
      <c r="BY740" s="23">
        <f t="shared" ca="1" si="611"/>
        <v>1870.3997461969716</v>
      </c>
      <c r="BZ740" s="24">
        <f t="shared" ca="1" si="612"/>
        <v>0</v>
      </c>
      <c r="CA740" s="24">
        <f t="shared" ca="1" si="645"/>
        <v>0</v>
      </c>
      <c r="CB740" s="24">
        <f t="shared" ca="1" si="613"/>
        <v>0</v>
      </c>
      <c r="CC740" s="24">
        <f t="shared" ca="1" si="646"/>
        <v>0</v>
      </c>
      <c r="CD740" s="24">
        <f t="shared" ca="1" si="614"/>
        <v>-27.78315576479778</v>
      </c>
      <c r="CE740" s="25">
        <f t="shared" ca="1" si="647"/>
        <v>-368.71213458523573</v>
      </c>
      <c r="CF740" s="23">
        <f t="shared" ca="1" si="648"/>
        <v>2889140.1142369946</v>
      </c>
      <c r="CG740" s="25">
        <f t="array" aca="1" ref="CG740" ca="1">SUM(BF729:BF740/(1+inflation/100)^(AP729:AP740/12))</f>
        <v>267980.53702225385</v>
      </c>
      <c r="CH740" s="32">
        <f ca="1">IFERROR(IF(MOD(AP740-ap_months_since_start,12)=0,ap_drawdown/100*(AQ740+AV740+BA740-BC740),CH739),0)</f>
        <v>3203.433595581017</v>
      </c>
    </row>
    <row r="741" spans="40:86" x14ac:dyDescent="0.25">
      <c r="AN741" s="32">
        <f t="shared" ca="1" si="609"/>
        <v>116</v>
      </c>
      <c r="AO741" s="53">
        <f t="shared" ca="1" si="640"/>
        <v>67938</v>
      </c>
      <c r="AP741" s="22">
        <v>734</v>
      </c>
      <c r="AQ741" s="32">
        <f t="shared" ca="1" si="641"/>
        <v>20529.935127832425</v>
      </c>
      <c r="AR741" s="23">
        <f t="array" aca="1" ref="AR741" ca="1">SUM(IF(lsc_start_date=AO741,lsc_amount,0))</f>
        <v>0</v>
      </c>
      <c r="AS741" s="24">
        <f t="shared" ca="1" si="615"/>
        <v>0</v>
      </c>
      <c r="AT741" s="24">
        <f t="shared" ca="1" si="616"/>
        <v>0</v>
      </c>
      <c r="AU741" s="24">
        <f t="shared" ca="1" si="617"/>
        <v>0</v>
      </c>
      <c r="AV741" s="25">
        <f t="shared" ca="1" si="618"/>
        <v>0</v>
      </c>
      <c r="AW741" s="23">
        <f t="array" aca="1" ref="AW741" ca="1">SUM(IF(rcs_start_date&lt;=AO741,1,0)*IF(rcs_end_date&gt;=AO741,1,0)*rcs_amount*(1+rcs_escalation/100)^(INT((AP741-rcs_months_since_start)/12))*IF(MOD((AP741-rcs_months_since_start),rcs_frequency)=0,1,0)*IF(rcs_frequency=13,0,1))+SUM(IF(rcs_start_date=AO741,rcs_amount,0)*IF(rcs_frequency=13,1,0))</f>
        <v>0</v>
      </c>
      <c r="AX741" s="24">
        <f t="shared" ca="1" si="619"/>
        <v>0</v>
      </c>
      <c r="AY741" s="24">
        <f t="shared" ca="1" si="620"/>
        <v>0</v>
      </c>
      <c r="AZ741" s="24">
        <f t="shared" ca="1" si="621"/>
        <v>0</v>
      </c>
      <c r="BA741" s="25">
        <f t="shared" ca="1" si="622"/>
        <v>0</v>
      </c>
      <c r="BB741" s="23">
        <f t="array" aca="1" ref="BB741" ca="1">SUM(IF(w_start_date&lt;=AO741,1,0)*IF(w_end_date&gt;=AO741,1,0)*w_amount*(1+w_escalation/100)^(INT((AP741-w_months_since_start)/12))*IF(MOD(AP741-w_months_since_start,w_frequency)=0,1,0)*IF(w_frequency=13,0,1))+SUM(IF(w_start_date=AO741,w_amount,0)*IF(w_frequency=13,1,0))</f>
        <v>0</v>
      </c>
      <c r="BC741" s="25">
        <f t="shared" ca="1" si="623"/>
        <v>0</v>
      </c>
      <c r="BD741" s="24" t="b">
        <f t="shared" ca="1" si="624"/>
        <v>1</v>
      </c>
      <c r="BE741" s="24" t="b">
        <f t="shared" ca="1" si="625"/>
        <v>1</v>
      </c>
      <c r="BF741" s="23">
        <f t="array" aca="1" ref="BF741" ca="1">SUM(IF(BD741,1,0)*IF(ap_start_date&lt;=AO741,1,0)*IF(ap_end_date&gt;=AO741,1,0)*ap_amount*(1+ap_escalation/100)^(INT((AP741-ap_months_since_start)/12))*IF(MOD(AP741-ap_months_since_start,ap_frequency)=0,1,0))</f>
        <v>248733.91711974127</v>
      </c>
      <c r="BG741" s="24">
        <f t="shared" ca="1" si="626"/>
        <v>2984807.0054368954</v>
      </c>
      <c r="BH741" s="24">
        <f t="shared" ca="1" si="627"/>
        <v>521.07288812604247</v>
      </c>
      <c r="BI741">
        <f t="shared" ca="1" si="628"/>
        <v>0</v>
      </c>
      <c r="BJ741" s="24">
        <f t="shared" ca="1" si="629"/>
        <v>3647.5102168822968</v>
      </c>
      <c r="BK741">
        <f t="shared" ca="1" si="630"/>
        <v>1</v>
      </c>
      <c r="BL741" s="25">
        <f t="shared" ca="1" si="631"/>
        <v>303.9591847401914</v>
      </c>
      <c r="BM741" s="32">
        <f t="shared" ca="1" si="610"/>
        <v>20371.751091098504</v>
      </c>
      <c r="BN741" s="23">
        <f t="shared" ca="1" si="632"/>
        <v>0</v>
      </c>
      <c r="BO741" s="24">
        <f t="shared" ca="1" si="633"/>
        <v>0</v>
      </c>
      <c r="BP741" s="25">
        <f t="shared" ca="1" si="634"/>
        <v>0</v>
      </c>
      <c r="BQ741" s="34">
        <f t="shared" ca="1" si="635"/>
        <v>67968</v>
      </c>
      <c r="BR741" s="23">
        <f t="shared" ca="1" si="636"/>
        <v>20371.751091098504</v>
      </c>
      <c r="BS741" s="24">
        <f t="shared" ca="1" si="637"/>
        <v>0</v>
      </c>
      <c r="BT741" s="24">
        <f t="shared" ca="1" si="642"/>
        <v>0</v>
      </c>
      <c r="BU741" s="24">
        <f t="shared" ca="1" si="638"/>
        <v>0</v>
      </c>
      <c r="BV741" s="24">
        <f t="shared" ca="1" si="643"/>
        <v>0</v>
      </c>
      <c r="BW741" s="24">
        <f t="shared" ca="1" si="639"/>
        <v>-303.9591847401914</v>
      </c>
      <c r="BX741" s="25">
        <f t="shared" ca="1" si="644"/>
        <v>-3929.40437793005</v>
      </c>
      <c r="BY741" s="23">
        <f t="shared" ca="1" si="611"/>
        <v>1849.9320392690192</v>
      </c>
      <c r="BZ741" s="24">
        <f t="shared" ca="1" si="612"/>
        <v>0</v>
      </c>
      <c r="CA741" s="24">
        <f t="shared" ca="1" si="645"/>
        <v>0</v>
      </c>
      <c r="CB741" s="24">
        <f t="shared" ca="1" si="613"/>
        <v>0</v>
      </c>
      <c r="CC741" s="24">
        <f t="shared" ca="1" si="646"/>
        <v>0</v>
      </c>
      <c r="CD741" s="24">
        <f t="shared" ca="1" si="614"/>
        <v>-27.692497733299852</v>
      </c>
      <c r="CE741" s="25">
        <f t="shared" ca="1" si="647"/>
        <v>-364.63670890508331</v>
      </c>
      <c r="CF741" s="23">
        <f t="shared" ca="1" si="648"/>
        <v>2898706.8033569851</v>
      </c>
      <c r="CG741" s="25">
        <f t="array" aca="1" ref="CG741" ca="1">SUM(BF730:BF741/(1+inflation/100)^(AP730:AP741/12))</f>
        <v>267980.53702225385</v>
      </c>
      <c r="CH741" s="32">
        <f ca="1">IFERROR(IF(MOD(AP741-ap_months_since_start,12)=0,ap_drawdown/100*(AQ741+AV741+BA741-BC741),CH740),0)</f>
        <v>3203.433595581017</v>
      </c>
    </row>
    <row r="742" spans="40:86" x14ac:dyDescent="0.25">
      <c r="AN742" s="32">
        <f t="shared" ca="1" si="609"/>
        <v>116.08333333333333</v>
      </c>
      <c r="AO742" s="53">
        <f t="shared" ca="1" si="640"/>
        <v>67969</v>
      </c>
      <c r="AP742" s="22">
        <v>735</v>
      </c>
      <c r="AQ742" s="32">
        <f t="shared" ca="1" si="641"/>
        <v>20371.751091098504</v>
      </c>
      <c r="AR742" s="23">
        <f t="array" aca="1" ref="AR742" ca="1">SUM(IF(lsc_start_date=AO742,lsc_amount,0))</f>
        <v>0</v>
      </c>
      <c r="AS742" s="24">
        <f t="shared" ca="1" si="615"/>
        <v>0</v>
      </c>
      <c r="AT742" s="24">
        <f t="shared" ca="1" si="616"/>
        <v>0</v>
      </c>
      <c r="AU742" s="24">
        <f t="shared" ca="1" si="617"/>
        <v>0</v>
      </c>
      <c r="AV742" s="25">
        <f t="shared" ca="1" si="618"/>
        <v>0</v>
      </c>
      <c r="AW742" s="23">
        <f t="array" aca="1" ref="AW742" ca="1">SUM(IF(rcs_start_date&lt;=AO742,1,0)*IF(rcs_end_date&gt;=AO742,1,0)*rcs_amount*(1+rcs_escalation/100)^(INT((AP742-rcs_months_since_start)/12))*IF(MOD((AP742-rcs_months_since_start),rcs_frequency)=0,1,0)*IF(rcs_frequency=13,0,1))+SUM(IF(rcs_start_date=AO742,rcs_amount,0)*IF(rcs_frequency=13,1,0))</f>
        <v>0</v>
      </c>
      <c r="AX742" s="24">
        <f t="shared" ca="1" si="619"/>
        <v>0</v>
      </c>
      <c r="AY742" s="24">
        <f t="shared" ca="1" si="620"/>
        <v>0</v>
      </c>
      <c r="AZ742" s="24">
        <f t="shared" ca="1" si="621"/>
        <v>0</v>
      </c>
      <c r="BA742" s="25">
        <f t="shared" ca="1" si="622"/>
        <v>0</v>
      </c>
      <c r="BB742" s="23">
        <f t="array" aca="1" ref="BB742" ca="1">SUM(IF(w_start_date&lt;=AO742,1,0)*IF(w_end_date&gt;=AO742,1,0)*w_amount*(1+w_escalation/100)^(INT((AP742-w_months_since_start)/12))*IF(MOD(AP742-w_months_since_start,w_frequency)=0,1,0)*IF(w_frequency=13,0,1))+SUM(IF(w_start_date=AO742,w_amount,0)*IF(w_frequency=13,1,0))</f>
        <v>0</v>
      </c>
      <c r="BC742" s="25">
        <f t="shared" ca="1" si="623"/>
        <v>0</v>
      </c>
      <c r="BD742" s="24" t="b">
        <f t="shared" ca="1" si="624"/>
        <v>1</v>
      </c>
      <c r="BE742" s="24" t="b">
        <f t="shared" ca="1" si="625"/>
        <v>1</v>
      </c>
      <c r="BF742" s="23">
        <f t="array" aca="1" ref="BF742" ca="1">SUM(IF(BD742,1,0)*IF(ap_start_date&lt;=AO742,1,0)*IF(ap_end_date&gt;=AO742,1,0)*ap_amount*(1+ap_escalation/100)^(INT((AP742-ap_months_since_start)/12))*IF(MOD(AP742-ap_months_since_start,ap_frequency)=0,1,0))</f>
        <v>248733.91711974127</v>
      </c>
      <c r="BG742" s="24">
        <f t="shared" ca="1" si="626"/>
        <v>2984807.0054368954</v>
      </c>
      <c r="BH742" s="24">
        <f t="shared" ca="1" si="627"/>
        <v>521.07288812604247</v>
      </c>
      <c r="BI742">
        <f t="shared" ca="1" si="628"/>
        <v>0</v>
      </c>
      <c r="BJ742" s="24">
        <f t="shared" ca="1" si="629"/>
        <v>3647.5102168822968</v>
      </c>
      <c r="BK742">
        <f t="shared" ca="1" si="630"/>
        <v>1</v>
      </c>
      <c r="BL742" s="25">
        <f t="shared" ca="1" si="631"/>
        <v>303.9591847401914</v>
      </c>
      <c r="BM742" s="32">
        <f t="shared" ca="1" si="610"/>
        <v>20212.42697086839</v>
      </c>
      <c r="BN742" s="23">
        <f t="shared" ca="1" si="632"/>
        <v>0</v>
      </c>
      <c r="BO742" s="24">
        <f t="shared" ca="1" si="633"/>
        <v>0</v>
      </c>
      <c r="BP742" s="25">
        <f t="shared" ca="1" si="634"/>
        <v>0</v>
      </c>
      <c r="BQ742" s="34">
        <f t="shared" ca="1" si="635"/>
        <v>67996</v>
      </c>
      <c r="BR742" s="23">
        <f t="shared" ca="1" si="636"/>
        <v>20212.42697086839</v>
      </c>
      <c r="BS742" s="24">
        <f t="shared" ca="1" si="637"/>
        <v>0</v>
      </c>
      <c r="BT742" s="24">
        <f t="shared" ca="1" si="642"/>
        <v>0</v>
      </c>
      <c r="BU742" s="24">
        <f t="shared" ca="1" si="638"/>
        <v>0</v>
      </c>
      <c r="BV742" s="24">
        <f t="shared" ca="1" si="643"/>
        <v>0</v>
      </c>
      <c r="BW742" s="24">
        <f t="shared" ca="1" si="639"/>
        <v>-303.9591847401914</v>
      </c>
      <c r="BX742" s="25">
        <f t="shared" ca="1" si="644"/>
        <v>-3898.0828044803002</v>
      </c>
      <c r="BY742" s="23">
        <f t="shared" ca="1" si="611"/>
        <v>1829.4748001161411</v>
      </c>
      <c r="BZ742" s="24">
        <f t="shared" ca="1" si="612"/>
        <v>0</v>
      </c>
      <c r="CA742" s="24">
        <f t="shared" ca="1" si="645"/>
        <v>0</v>
      </c>
      <c r="CB742" s="24">
        <f t="shared" ca="1" si="613"/>
        <v>0</v>
      </c>
      <c r="CC742" s="24">
        <f t="shared" ca="1" si="646"/>
        <v>0</v>
      </c>
      <c r="CD742" s="24">
        <f t="shared" ca="1" si="614"/>
        <v>-27.602135524160765</v>
      </c>
      <c r="CE742" s="25">
        <f t="shared" ca="1" si="647"/>
        <v>-360.5745815727791</v>
      </c>
      <c r="CF742" s="23">
        <f t="shared" ca="1" si="648"/>
        <v>2908273.4924769751</v>
      </c>
      <c r="CG742" s="25">
        <f t="array" aca="1" ref="CG742" ca="1">SUM(BF731:BF742/(1+inflation/100)^(AP731:AP742/12))</f>
        <v>267980.53702225385</v>
      </c>
      <c r="CH742" s="32">
        <f ca="1">IFERROR(IF(MOD(AP742-ap_months_since_start,12)=0,ap_drawdown/100*(AQ742+AV742+BA742-BC742),CH741),0)</f>
        <v>3203.433595581017</v>
      </c>
    </row>
    <row r="743" spans="40:86" x14ac:dyDescent="0.25">
      <c r="AN743" s="32">
        <f t="shared" ca="1" si="609"/>
        <v>116.16666666666667</v>
      </c>
      <c r="AO743" s="53">
        <f t="shared" ca="1" si="640"/>
        <v>67997</v>
      </c>
      <c r="AP743" s="22">
        <v>736</v>
      </c>
      <c r="AQ743" s="32">
        <f t="shared" ca="1" si="641"/>
        <v>20212.42697086839</v>
      </c>
      <c r="AR743" s="23">
        <f t="array" aca="1" ref="AR743" ca="1">SUM(IF(lsc_start_date=AO743,lsc_amount,0))</f>
        <v>0</v>
      </c>
      <c r="AS743" s="24">
        <f t="shared" ca="1" si="615"/>
        <v>0</v>
      </c>
      <c r="AT743" s="24">
        <f t="shared" ca="1" si="616"/>
        <v>0</v>
      </c>
      <c r="AU743" s="24">
        <f t="shared" ca="1" si="617"/>
        <v>0</v>
      </c>
      <c r="AV743" s="25">
        <f t="shared" ca="1" si="618"/>
        <v>0</v>
      </c>
      <c r="AW743" s="23">
        <f t="array" aca="1" ref="AW743" ca="1">SUM(IF(rcs_start_date&lt;=AO743,1,0)*IF(rcs_end_date&gt;=AO743,1,0)*rcs_amount*(1+rcs_escalation/100)^(INT((AP743-rcs_months_since_start)/12))*IF(MOD((AP743-rcs_months_since_start),rcs_frequency)=0,1,0)*IF(rcs_frequency=13,0,1))+SUM(IF(rcs_start_date=AO743,rcs_amount,0)*IF(rcs_frequency=13,1,0))</f>
        <v>0</v>
      </c>
      <c r="AX743" s="24">
        <f t="shared" ca="1" si="619"/>
        <v>0</v>
      </c>
      <c r="AY743" s="24">
        <f t="shared" ca="1" si="620"/>
        <v>0</v>
      </c>
      <c r="AZ743" s="24">
        <f t="shared" ca="1" si="621"/>
        <v>0</v>
      </c>
      <c r="BA743" s="25">
        <f t="shared" ca="1" si="622"/>
        <v>0</v>
      </c>
      <c r="BB743" s="23">
        <f t="array" aca="1" ref="BB743" ca="1">SUM(IF(w_start_date&lt;=AO743,1,0)*IF(w_end_date&gt;=AO743,1,0)*w_amount*(1+w_escalation/100)^(INT((AP743-w_months_since_start)/12))*IF(MOD(AP743-w_months_since_start,w_frequency)=0,1,0)*IF(w_frequency=13,0,1))+SUM(IF(w_start_date=AO743,w_amount,0)*IF(w_frequency=13,1,0))</f>
        <v>0</v>
      </c>
      <c r="BC743" s="25">
        <f t="shared" ca="1" si="623"/>
        <v>0</v>
      </c>
      <c r="BD743" s="24" t="b">
        <f t="shared" ca="1" si="624"/>
        <v>1</v>
      </c>
      <c r="BE743" s="24" t="b">
        <f t="shared" ca="1" si="625"/>
        <v>1</v>
      </c>
      <c r="BF743" s="23">
        <f t="array" aca="1" ref="BF743" ca="1">SUM(IF(BD743,1,0)*IF(ap_start_date&lt;=AO743,1,0)*IF(ap_end_date&gt;=AO743,1,0)*ap_amount*(1+ap_escalation/100)^(INT((AP743-ap_months_since_start)/12))*IF(MOD(AP743-ap_months_since_start,ap_frequency)=0,1,0))</f>
        <v>248733.91711974127</v>
      </c>
      <c r="BG743" s="24">
        <f t="shared" ca="1" si="626"/>
        <v>2984807.0054368954</v>
      </c>
      <c r="BH743" s="24">
        <f t="shared" ca="1" si="627"/>
        <v>521.07288812604247</v>
      </c>
      <c r="BI743">
        <f t="shared" ca="1" si="628"/>
        <v>0</v>
      </c>
      <c r="BJ743" s="24">
        <f t="shared" ca="1" si="629"/>
        <v>3647.5102168822968</v>
      </c>
      <c r="BK743">
        <f t="shared" ca="1" si="630"/>
        <v>1</v>
      </c>
      <c r="BL743" s="25">
        <f t="shared" ca="1" si="631"/>
        <v>303.9591847401914</v>
      </c>
      <c r="BM743" s="32">
        <f t="shared" ca="1" si="610"/>
        <v>20051.95455019172</v>
      </c>
      <c r="BN743" s="23">
        <f t="shared" ca="1" si="632"/>
        <v>0</v>
      </c>
      <c r="BO743" s="24">
        <f t="shared" ca="1" si="633"/>
        <v>0</v>
      </c>
      <c r="BP743" s="25">
        <f t="shared" ca="1" si="634"/>
        <v>0</v>
      </c>
      <c r="BQ743" s="34">
        <f t="shared" ca="1" si="635"/>
        <v>68027</v>
      </c>
      <c r="BR743" s="23">
        <f t="shared" ca="1" si="636"/>
        <v>20051.95455019172</v>
      </c>
      <c r="BS743" s="24">
        <f t="shared" ca="1" si="637"/>
        <v>0</v>
      </c>
      <c r="BT743" s="24">
        <f t="shared" ca="1" si="642"/>
        <v>0</v>
      </c>
      <c r="BU743" s="24">
        <f t="shared" ca="1" si="638"/>
        <v>0</v>
      </c>
      <c r="BV743" s="24">
        <f t="shared" ca="1" si="643"/>
        <v>0</v>
      </c>
      <c r="BW743" s="24">
        <f t="shared" ca="1" si="639"/>
        <v>-303.9591847401914</v>
      </c>
      <c r="BX743" s="25">
        <f t="shared" ca="1" si="644"/>
        <v>-3866.7612310305503</v>
      </c>
      <c r="BY743" s="23">
        <f t="shared" ca="1" si="611"/>
        <v>1809.0277737667129</v>
      </c>
      <c r="BZ743" s="24">
        <f t="shared" ca="1" si="612"/>
        <v>0</v>
      </c>
      <c r="CA743" s="24">
        <f t="shared" ca="1" si="645"/>
        <v>0</v>
      </c>
      <c r="CB743" s="24">
        <f t="shared" ca="1" si="613"/>
        <v>0</v>
      </c>
      <c r="CC743" s="24">
        <f t="shared" ca="1" si="646"/>
        <v>0</v>
      </c>
      <c r="CD743" s="24">
        <f t="shared" ca="1" si="614"/>
        <v>-27.512068172095201</v>
      </c>
      <c r="CE743" s="25">
        <f t="shared" ca="1" si="647"/>
        <v>-356.52570919505087</v>
      </c>
      <c r="CF743" s="23">
        <f t="shared" ca="1" si="648"/>
        <v>2917840.1815969651</v>
      </c>
      <c r="CG743" s="25">
        <f t="array" aca="1" ref="CG743" ca="1">SUM(BF732:BF743/(1+inflation/100)^(AP732:AP743/12))</f>
        <v>267980.53702225385</v>
      </c>
      <c r="CH743" s="32">
        <f ca="1">IFERROR(IF(MOD(AP743-ap_months_since_start,12)=0,ap_drawdown/100*(AQ743+AV743+BA743-BC743),CH742),0)</f>
        <v>3203.433595581017</v>
      </c>
    </row>
    <row r="744" spans="40:86" x14ac:dyDescent="0.25">
      <c r="AN744" s="32">
        <f t="shared" ca="1" si="609"/>
        <v>116.25</v>
      </c>
      <c r="AO744" s="53">
        <f t="shared" ca="1" si="640"/>
        <v>68028</v>
      </c>
      <c r="AP744" s="22">
        <v>737</v>
      </c>
      <c r="AQ744" s="32">
        <f t="shared" ca="1" si="641"/>
        <v>20051.95455019172</v>
      </c>
      <c r="AR744" s="23">
        <f t="array" aca="1" ref="AR744" ca="1">SUM(IF(lsc_start_date=AO744,lsc_amount,0))</f>
        <v>0</v>
      </c>
      <c r="AS744" s="24">
        <f t="shared" ca="1" si="615"/>
        <v>0</v>
      </c>
      <c r="AT744" s="24">
        <f t="shared" ca="1" si="616"/>
        <v>0</v>
      </c>
      <c r="AU744" s="24">
        <f t="shared" ca="1" si="617"/>
        <v>0</v>
      </c>
      <c r="AV744" s="25">
        <f t="shared" ca="1" si="618"/>
        <v>0</v>
      </c>
      <c r="AW744" s="23">
        <f t="array" aca="1" ref="AW744" ca="1">SUM(IF(rcs_start_date&lt;=AO744,1,0)*IF(rcs_end_date&gt;=AO744,1,0)*rcs_amount*(1+rcs_escalation/100)^(INT((AP744-rcs_months_since_start)/12))*IF(MOD((AP744-rcs_months_since_start),rcs_frequency)=0,1,0)*IF(rcs_frequency=13,0,1))+SUM(IF(rcs_start_date=AO744,rcs_amount,0)*IF(rcs_frequency=13,1,0))</f>
        <v>0</v>
      </c>
      <c r="AX744" s="24">
        <f t="shared" ca="1" si="619"/>
        <v>0</v>
      </c>
      <c r="AY744" s="24">
        <f t="shared" ca="1" si="620"/>
        <v>0</v>
      </c>
      <c r="AZ744" s="24">
        <f t="shared" ca="1" si="621"/>
        <v>0</v>
      </c>
      <c r="BA744" s="25">
        <f t="shared" ca="1" si="622"/>
        <v>0</v>
      </c>
      <c r="BB744" s="23">
        <f t="array" aca="1" ref="BB744" ca="1">SUM(IF(w_start_date&lt;=AO744,1,0)*IF(w_end_date&gt;=AO744,1,0)*w_amount*(1+w_escalation/100)^(INT((AP744-w_months_since_start)/12))*IF(MOD(AP744-w_months_since_start,w_frequency)=0,1,0)*IF(w_frequency=13,0,1))+SUM(IF(w_start_date=AO744,w_amount,0)*IF(w_frequency=13,1,0))</f>
        <v>0</v>
      </c>
      <c r="BC744" s="25">
        <f t="shared" ca="1" si="623"/>
        <v>0</v>
      </c>
      <c r="BD744" s="24" t="b">
        <f t="shared" ca="1" si="624"/>
        <v>1</v>
      </c>
      <c r="BE744" s="24" t="b">
        <f t="shared" ca="1" si="625"/>
        <v>1</v>
      </c>
      <c r="BF744" s="23">
        <f t="array" aca="1" ref="BF744" ca="1">SUM(IF(BD744,1,0)*IF(ap_start_date&lt;=AO744,1,0)*IF(ap_end_date&gt;=AO744,1,0)*ap_amount*(1+ap_escalation/100)^(INT((AP744-ap_months_since_start)/12))*IF(MOD(AP744-ap_months_since_start,ap_frequency)=0,1,0))</f>
        <v>248733.91711974127</v>
      </c>
      <c r="BG744" s="24">
        <f t="shared" ca="1" si="626"/>
        <v>2984807.0054368954</v>
      </c>
      <c r="BH744" s="24">
        <f t="shared" ca="1" si="627"/>
        <v>521.07288812604247</v>
      </c>
      <c r="BI744">
        <f t="shared" ca="1" si="628"/>
        <v>0</v>
      </c>
      <c r="BJ744" s="24">
        <f t="shared" ca="1" si="629"/>
        <v>3647.5102168822968</v>
      </c>
      <c r="BK744">
        <f t="shared" ca="1" si="630"/>
        <v>1</v>
      </c>
      <c r="BL744" s="25">
        <f t="shared" ca="1" si="631"/>
        <v>303.9591847401914</v>
      </c>
      <c r="BM744" s="32">
        <f t="shared" ca="1" si="610"/>
        <v>19890.325552895909</v>
      </c>
      <c r="BN744" s="23">
        <f t="shared" ca="1" si="632"/>
        <v>0</v>
      </c>
      <c r="BO744" s="24">
        <f t="shared" ca="1" si="633"/>
        <v>0</v>
      </c>
      <c r="BP744" s="25">
        <f t="shared" ca="1" si="634"/>
        <v>0</v>
      </c>
      <c r="BQ744" s="34">
        <f t="shared" ca="1" si="635"/>
        <v>68057</v>
      </c>
      <c r="BR744" s="23">
        <f t="shared" ca="1" si="636"/>
        <v>19890.325552895909</v>
      </c>
      <c r="BS744" s="24">
        <f t="shared" ca="1" si="637"/>
        <v>0</v>
      </c>
      <c r="BT744" s="24">
        <f t="shared" ca="1" si="642"/>
        <v>0</v>
      </c>
      <c r="BU744" s="24">
        <f t="shared" ca="1" si="638"/>
        <v>0</v>
      </c>
      <c r="BV744" s="24">
        <f t="shared" ca="1" si="643"/>
        <v>0</v>
      </c>
      <c r="BW744" s="24">
        <f t="shared" ca="1" si="639"/>
        <v>-303.9591847401914</v>
      </c>
      <c r="BX744" s="25">
        <f t="shared" ca="1" si="644"/>
        <v>-3835.4396575807996</v>
      </c>
      <c r="BY744" s="23">
        <f t="shared" ca="1" si="611"/>
        <v>1788.5907052153377</v>
      </c>
      <c r="BZ744" s="24">
        <f t="shared" ca="1" si="612"/>
        <v>0</v>
      </c>
      <c r="CA744" s="24">
        <f t="shared" ca="1" si="645"/>
        <v>0</v>
      </c>
      <c r="CB744" s="24">
        <f t="shared" ca="1" si="613"/>
        <v>0</v>
      </c>
      <c r="CC744" s="24">
        <f t="shared" ca="1" si="646"/>
        <v>0</v>
      </c>
      <c r="CD744" s="24">
        <f t="shared" ca="1" si="614"/>
        <v>-27.422294714967627</v>
      </c>
      <c r="CE744" s="25">
        <f t="shared" ca="1" si="647"/>
        <v>-352.49004852022131</v>
      </c>
      <c r="CF744" s="23">
        <f t="shared" ca="1" si="648"/>
        <v>2927406.870716955</v>
      </c>
      <c r="CG744" s="25">
        <f t="array" aca="1" ref="CG744" ca="1">SUM(BF733:BF744/(1+inflation/100)^(AP733:AP744/12))</f>
        <v>267980.53702225385</v>
      </c>
      <c r="CH744" s="32">
        <f ca="1">IFERROR(IF(MOD(AP744-ap_months_since_start,12)=0,ap_drawdown/100*(AQ744+AV744+BA744-BC744),CH743),0)</f>
        <v>3203.433595581017</v>
      </c>
    </row>
    <row r="745" spans="40:86" x14ac:dyDescent="0.25">
      <c r="AN745" s="32">
        <f t="shared" ca="1" si="609"/>
        <v>116.33333333333333</v>
      </c>
      <c r="AO745" s="53">
        <f t="shared" ca="1" si="640"/>
        <v>68058</v>
      </c>
      <c r="AP745" s="22">
        <v>738</v>
      </c>
      <c r="AQ745" s="32">
        <f t="shared" ca="1" si="641"/>
        <v>19890.325552895909</v>
      </c>
      <c r="AR745" s="23">
        <f t="array" aca="1" ref="AR745" ca="1">SUM(IF(lsc_start_date=AO745,lsc_amount,0))</f>
        <v>0</v>
      </c>
      <c r="AS745" s="24">
        <f t="shared" ca="1" si="615"/>
        <v>0</v>
      </c>
      <c r="AT745" s="24">
        <f t="shared" ca="1" si="616"/>
        <v>0</v>
      </c>
      <c r="AU745" s="24">
        <f t="shared" ca="1" si="617"/>
        <v>0</v>
      </c>
      <c r="AV745" s="25">
        <f t="shared" ca="1" si="618"/>
        <v>0</v>
      </c>
      <c r="AW745" s="23">
        <f t="array" aca="1" ref="AW745" ca="1">SUM(IF(rcs_start_date&lt;=AO745,1,0)*IF(rcs_end_date&gt;=AO745,1,0)*rcs_amount*(1+rcs_escalation/100)^(INT((AP745-rcs_months_since_start)/12))*IF(MOD((AP745-rcs_months_since_start),rcs_frequency)=0,1,0)*IF(rcs_frequency=13,0,1))+SUM(IF(rcs_start_date=AO745,rcs_amount,0)*IF(rcs_frequency=13,1,0))</f>
        <v>0</v>
      </c>
      <c r="AX745" s="24">
        <f t="shared" ca="1" si="619"/>
        <v>0</v>
      </c>
      <c r="AY745" s="24">
        <f t="shared" ca="1" si="620"/>
        <v>0</v>
      </c>
      <c r="AZ745" s="24">
        <f t="shared" ca="1" si="621"/>
        <v>0</v>
      </c>
      <c r="BA745" s="25">
        <f t="shared" ca="1" si="622"/>
        <v>0</v>
      </c>
      <c r="BB745" s="23">
        <f t="array" aca="1" ref="BB745" ca="1">SUM(IF(w_start_date&lt;=AO745,1,0)*IF(w_end_date&gt;=AO745,1,0)*w_amount*(1+w_escalation/100)^(INT((AP745-w_months_since_start)/12))*IF(MOD(AP745-w_months_since_start,w_frequency)=0,1,0)*IF(w_frequency=13,0,1))+SUM(IF(w_start_date=AO745,w_amount,0)*IF(w_frequency=13,1,0))</f>
        <v>0</v>
      </c>
      <c r="BC745" s="25">
        <f t="shared" ca="1" si="623"/>
        <v>0</v>
      </c>
      <c r="BD745" s="24" t="b">
        <f t="shared" ca="1" si="624"/>
        <v>1</v>
      </c>
      <c r="BE745" s="24" t="b">
        <f t="shared" ca="1" si="625"/>
        <v>1</v>
      </c>
      <c r="BF745" s="23">
        <f t="array" aca="1" ref="BF745" ca="1">SUM(IF(BD745,1,0)*IF(ap_start_date&lt;=AO745,1,0)*IF(ap_end_date&gt;=AO745,1,0)*ap_amount*(1+ap_escalation/100)^(INT((AP745-ap_months_since_start)/12))*IF(MOD(AP745-ap_months_since_start,ap_frequency)=0,1,0))</f>
        <v>248733.91711974127</v>
      </c>
      <c r="BG745" s="24">
        <f t="shared" ca="1" si="626"/>
        <v>2984807.0054368954</v>
      </c>
      <c r="BH745" s="24">
        <f t="shared" ca="1" si="627"/>
        <v>521.07288812604247</v>
      </c>
      <c r="BI745">
        <f t="shared" ca="1" si="628"/>
        <v>0</v>
      </c>
      <c r="BJ745" s="24">
        <f t="shared" ca="1" si="629"/>
        <v>3647.5102168822968</v>
      </c>
      <c r="BK745">
        <f t="shared" ca="1" si="630"/>
        <v>1</v>
      </c>
      <c r="BL745" s="25">
        <f t="shared" ca="1" si="631"/>
        <v>303.9591847401914</v>
      </c>
      <c r="BM745" s="32">
        <f t="shared" ca="1" si="610"/>
        <v>19727.531643159324</v>
      </c>
      <c r="BN745" s="23">
        <f t="shared" ca="1" si="632"/>
        <v>0</v>
      </c>
      <c r="BO745" s="24">
        <f t="shared" ca="1" si="633"/>
        <v>0</v>
      </c>
      <c r="BP745" s="25">
        <f t="shared" ca="1" si="634"/>
        <v>0</v>
      </c>
      <c r="BQ745" s="34">
        <f t="shared" ca="1" si="635"/>
        <v>68088</v>
      </c>
      <c r="BR745" s="23">
        <f t="shared" ca="1" si="636"/>
        <v>19727.531643159324</v>
      </c>
      <c r="BS745" s="24">
        <f t="shared" ca="1" si="637"/>
        <v>0</v>
      </c>
      <c r="BT745" s="24">
        <f t="shared" ca="1" si="642"/>
        <v>0</v>
      </c>
      <c r="BU745" s="24">
        <f t="shared" ca="1" si="638"/>
        <v>0</v>
      </c>
      <c r="BV745" s="24">
        <f t="shared" ca="1" si="643"/>
        <v>0</v>
      </c>
      <c r="BW745" s="24">
        <f t="shared" ca="1" si="639"/>
        <v>-303.9591847401914</v>
      </c>
      <c r="BX745" s="25">
        <f t="shared" ca="1" si="644"/>
        <v>-3804.1180841310497</v>
      </c>
      <c r="BY745" s="23">
        <f t="shared" ca="1" si="611"/>
        <v>1768.1633394195621</v>
      </c>
      <c r="BZ745" s="24">
        <f t="shared" ca="1" si="612"/>
        <v>0</v>
      </c>
      <c r="CA745" s="24">
        <f t="shared" ca="1" si="645"/>
        <v>0</v>
      </c>
      <c r="CB745" s="24">
        <f t="shared" ca="1" si="613"/>
        <v>0</v>
      </c>
      <c r="CC745" s="24">
        <f t="shared" ca="1" si="646"/>
        <v>0</v>
      </c>
      <c r="CD745" s="24">
        <f t="shared" ca="1" si="614"/>
        <v>-27.332814193781999</v>
      </c>
      <c r="CE745" s="25">
        <f t="shared" ca="1" si="647"/>
        <v>-348.46755643774566</v>
      </c>
      <c r="CF745" s="23">
        <f t="shared" ca="1" si="648"/>
        <v>2936973.559836945</v>
      </c>
      <c r="CG745" s="25">
        <f t="array" aca="1" ref="CG745" ca="1">SUM(BF734:BF745/(1+inflation/100)^(AP734:AP745/12))</f>
        <v>267980.53702225385</v>
      </c>
      <c r="CH745" s="32">
        <f ca="1">IFERROR(IF(MOD(AP745-ap_months_since_start,12)=0,ap_drawdown/100*(AQ745+AV745+BA745-BC745),CH744),0)</f>
        <v>3203.433595581017</v>
      </c>
    </row>
    <row r="746" spans="40:86" x14ac:dyDescent="0.25">
      <c r="AN746" s="32">
        <f t="shared" ca="1" si="609"/>
        <v>116.41666666666667</v>
      </c>
      <c r="AO746" s="53">
        <f t="shared" ca="1" si="640"/>
        <v>68089</v>
      </c>
      <c r="AP746" s="22">
        <v>739</v>
      </c>
      <c r="AQ746" s="32">
        <f t="shared" ca="1" si="641"/>
        <v>19727.531643159324</v>
      </c>
      <c r="AR746" s="23">
        <f t="array" aca="1" ref="AR746" ca="1">SUM(IF(lsc_start_date=AO746,lsc_amount,0))</f>
        <v>0</v>
      </c>
      <c r="AS746" s="24">
        <f t="shared" ca="1" si="615"/>
        <v>0</v>
      </c>
      <c r="AT746" s="24">
        <f t="shared" ca="1" si="616"/>
        <v>0</v>
      </c>
      <c r="AU746" s="24">
        <f t="shared" ca="1" si="617"/>
        <v>0</v>
      </c>
      <c r="AV746" s="25">
        <f t="shared" ca="1" si="618"/>
        <v>0</v>
      </c>
      <c r="AW746" s="23">
        <f t="array" aca="1" ref="AW746" ca="1">SUM(IF(rcs_start_date&lt;=AO746,1,0)*IF(rcs_end_date&gt;=AO746,1,0)*rcs_amount*(1+rcs_escalation/100)^(INT((AP746-rcs_months_since_start)/12))*IF(MOD((AP746-rcs_months_since_start),rcs_frequency)=0,1,0)*IF(rcs_frequency=13,0,1))+SUM(IF(rcs_start_date=AO746,rcs_amount,0)*IF(rcs_frequency=13,1,0))</f>
        <v>0</v>
      </c>
      <c r="AX746" s="24">
        <f t="shared" ca="1" si="619"/>
        <v>0</v>
      </c>
      <c r="AY746" s="24">
        <f t="shared" ca="1" si="620"/>
        <v>0</v>
      </c>
      <c r="AZ746" s="24">
        <f t="shared" ca="1" si="621"/>
        <v>0</v>
      </c>
      <c r="BA746" s="25">
        <f t="shared" ca="1" si="622"/>
        <v>0</v>
      </c>
      <c r="BB746" s="23">
        <f t="array" aca="1" ref="BB746" ca="1">SUM(IF(w_start_date&lt;=AO746,1,0)*IF(w_end_date&gt;=AO746,1,0)*w_amount*(1+w_escalation/100)^(INT((AP746-w_months_since_start)/12))*IF(MOD(AP746-w_months_since_start,w_frequency)=0,1,0)*IF(w_frequency=13,0,1))+SUM(IF(w_start_date=AO746,w_amount,0)*IF(w_frequency=13,1,0))</f>
        <v>0</v>
      </c>
      <c r="BC746" s="25">
        <f t="shared" ca="1" si="623"/>
        <v>0</v>
      </c>
      <c r="BD746" s="24" t="b">
        <f t="shared" ca="1" si="624"/>
        <v>1</v>
      </c>
      <c r="BE746" s="24" t="b">
        <f t="shared" ca="1" si="625"/>
        <v>1</v>
      </c>
      <c r="BF746" s="23">
        <f t="array" aca="1" ref="BF746" ca="1">SUM(IF(BD746,1,0)*IF(ap_start_date&lt;=AO746,1,0)*IF(ap_end_date&gt;=AO746,1,0)*ap_amount*(1+ap_escalation/100)^(INT((AP746-ap_months_since_start)/12))*IF(MOD(AP746-ap_months_since_start,ap_frequency)=0,1,0))</f>
        <v>248733.91711974127</v>
      </c>
      <c r="BG746" s="24">
        <f t="shared" ca="1" si="626"/>
        <v>2984807.0054368954</v>
      </c>
      <c r="BH746" s="24">
        <f t="shared" ca="1" si="627"/>
        <v>521.07288812604247</v>
      </c>
      <c r="BI746">
        <f t="shared" ca="1" si="628"/>
        <v>0</v>
      </c>
      <c r="BJ746" s="24">
        <f t="shared" ca="1" si="629"/>
        <v>3647.5102168822968</v>
      </c>
      <c r="BK746">
        <f t="shared" ca="1" si="630"/>
        <v>1</v>
      </c>
      <c r="BL746" s="25">
        <f t="shared" ca="1" si="631"/>
        <v>303.9591847401914</v>
      </c>
      <c r="BM746" s="32">
        <f t="shared" ca="1" si="610"/>
        <v>19563.564425081368</v>
      </c>
      <c r="BN746" s="23">
        <f t="shared" ca="1" si="632"/>
        <v>0</v>
      </c>
      <c r="BO746" s="24">
        <f t="shared" ca="1" si="633"/>
        <v>0</v>
      </c>
      <c r="BP746" s="25">
        <f t="shared" ca="1" si="634"/>
        <v>0</v>
      </c>
      <c r="BQ746" s="34">
        <f t="shared" ca="1" si="635"/>
        <v>68118</v>
      </c>
      <c r="BR746" s="23">
        <f t="shared" ca="1" si="636"/>
        <v>19563.564425081368</v>
      </c>
      <c r="BS746" s="24">
        <f t="shared" ca="1" si="637"/>
        <v>0</v>
      </c>
      <c r="BT746" s="24">
        <f t="shared" ca="1" si="642"/>
        <v>0</v>
      </c>
      <c r="BU746" s="24">
        <f t="shared" ca="1" si="638"/>
        <v>0</v>
      </c>
      <c r="BV746" s="24">
        <f t="shared" ca="1" si="643"/>
        <v>0</v>
      </c>
      <c r="BW746" s="24">
        <f t="shared" ca="1" si="639"/>
        <v>-303.9591847401914</v>
      </c>
      <c r="BX746" s="25">
        <f t="shared" ca="1" si="644"/>
        <v>-3772.796510681299</v>
      </c>
      <c r="BY746" s="23">
        <f t="shared" ca="1" si="611"/>
        <v>1747.7454212965899</v>
      </c>
      <c r="BZ746" s="24">
        <f t="shared" ca="1" si="612"/>
        <v>0</v>
      </c>
      <c r="CA746" s="24">
        <f t="shared" ca="1" si="645"/>
        <v>0</v>
      </c>
      <c r="CB746" s="24">
        <f t="shared" ca="1" si="613"/>
        <v>0</v>
      </c>
      <c r="CC746" s="24">
        <f t="shared" ca="1" si="646"/>
        <v>0</v>
      </c>
      <c r="CD746" s="24">
        <f t="shared" ca="1" si="614"/>
        <v>-27.243625652671515</v>
      </c>
      <c r="CE746" s="25">
        <f t="shared" ca="1" si="647"/>
        <v>-344.45818997775154</v>
      </c>
      <c r="CF746" s="23">
        <f t="shared" ca="1" si="648"/>
        <v>2946540.2489569355</v>
      </c>
      <c r="CG746" s="25">
        <f t="array" aca="1" ref="CG746" ca="1">SUM(BF735:BF746/(1+inflation/100)^(AP735:AP746/12))</f>
        <v>267980.53702225385</v>
      </c>
      <c r="CH746" s="32">
        <f ca="1">IFERROR(IF(MOD(AP746-ap_months_since_start,12)=0,ap_drawdown/100*(AQ746+AV746+BA746-BC746),CH745),0)</f>
        <v>3203.433595581017</v>
      </c>
    </row>
    <row r="747" spans="40:86" x14ac:dyDescent="0.25">
      <c r="AN747" s="32">
        <f t="shared" ca="1" si="609"/>
        <v>116.5</v>
      </c>
      <c r="AO747" s="53">
        <f t="shared" ca="1" si="640"/>
        <v>68119</v>
      </c>
      <c r="AP747" s="22">
        <v>740</v>
      </c>
      <c r="AQ747" s="32">
        <f t="shared" ca="1" si="641"/>
        <v>19563.564425081368</v>
      </c>
      <c r="AR747" s="23">
        <f t="array" aca="1" ref="AR747" ca="1">SUM(IF(lsc_start_date=AO747,lsc_amount,0))</f>
        <v>0</v>
      </c>
      <c r="AS747" s="24">
        <f t="shared" ca="1" si="615"/>
        <v>0</v>
      </c>
      <c r="AT747" s="24">
        <f t="shared" ca="1" si="616"/>
        <v>0</v>
      </c>
      <c r="AU747" s="24">
        <f t="shared" ca="1" si="617"/>
        <v>0</v>
      </c>
      <c r="AV747" s="25">
        <f t="shared" ca="1" si="618"/>
        <v>0</v>
      </c>
      <c r="AW747" s="23">
        <f t="array" aca="1" ref="AW747" ca="1">SUM(IF(rcs_start_date&lt;=AO747,1,0)*IF(rcs_end_date&gt;=AO747,1,0)*rcs_amount*(1+rcs_escalation/100)^(INT((AP747-rcs_months_since_start)/12))*IF(MOD((AP747-rcs_months_since_start),rcs_frequency)=0,1,0)*IF(rcs_frequency=13,0,1))+SUM(IF(rcs_start_date=AO747,rcs_amount,0)*IF(rcs_frequency=13,1,0))</f>
        <v>0</v>
      </c>
      <c r="AX747" s="24">
        <f t="shared" ca="1" si="619"/>
        <v>0</v>
      </c>
      <c r="AY747" s="24">
        <f t="shared" ca="1" si="620"/>
        <v>0</v>
      </c>
      <c r="AZ747" s="24">
        <f t="shared" ca="1" si="621"/>
        <v>0</v>
      </c>
      <c r="BA747" s="25">
        <f t="shared" ca="1" si="622"/>
        <v>0</v>
      </c>
      <c r="BB747" s="23">
        <f t="array" aca="1" ref="BB747" ca="1">SUM(IF(w_start_date&lt;=AO747,1,0)*IF(w_end_date&gt;=AO747,1,0)*w_amount*(1+w_escalation/100)^(INT((AP747-w_months_since_start)/12))*IF(MOD(AP747-w_months_since_start,w_frequency)=0,1,0)*IF(w_frequency=13,0,1))+SUM(IF(w_start_date=AO747,w_amount,0)*IF(w_frequency=13,1,0))</f>
        <v>0</v>
      </c>
      <c r="BC747" s="25">
        <f t="shared" ca="1" si="623"/>
        <v>0</v>
      </c>
      <c r="BD747" s="24" t="b">
        <f t="shared" ca="1" si="624"/>
        <v>1</v>
      </c>
      <c r="BE747" s="24" t="b">
        <f t="shared" ca="1" si="625"/>
        <v>1</v>
      </c>
      <c r="BF747" s="23">
        <f t="array" aca="1" ref="BF747" ca="1">SUM(IF(BD747,1,0)*IF(ap_start_date&lt;=AO747,1,0)*IF(ap_end_date&gt;=AO747,1,0)*ap_amount*(1+ap_escalation/100)^(INT((AP747-ap_months_since_start)/12))*IF(MOD(AP747-ap_months_since_start,ap_frequency)=0,1,0))</f>
        <v>248733.91711974127</v>
      </c>
      <c r="BG747" s="24">
        <f t="shared" ca="1" si="626"/>
        <v>2984807.0054368954</v>
      </c>
      <c r="BH747" s="24">
        <f t="shared" ca="1" si="627"/>
        <v>521.07288812604247</v>
      </c>
      <c r="BI747">
        <f t="shared" ca="1" si="628"/>
        <v>0</v>
      </c>
      <c r="BJ747" s="24">
        <f t="shared" ca="1" si="629"/>
        <v>3647.5102168822968</v>
      </c>
      <c r="BK747">
        <f t="shared" ca="1" si="630"/>
        <v>1</v>
      </c>
      <c r="BL747" s="25">
        <f t="shared" ca="1" si="631"/>
        <v>303.9591847401914</v>
      </c>
      <c r="BM747" s="32">
        <f t="shared" ca="1" si="610"/>
        <v>19398.415442249476</v>
      </c>
      <c r="BN747" s="23">
        <f t="shared" ca="1" si="632"/>
        <v>0</v>
      </c>
      <c r="BO747" s="24">
        <f t="shared" ca="1" si="633"/>
        <v>0</v>
      </c>
      <c r="BP747" s="25">
        <f t="shared" ca="1" si="634"/>
        <v>0</v>
      </c>
      <c r="BQ747" s="34">
        <f t="shared" ca="1" si="635"/>
        <v>68149</v>
      </c>
      <c r="BR747" s="23">
        <f t="shared" ca="1" si="636"/>
        <v>19398.415442249476</v>
      </c>
      <c r="BS747" s="24">
        <f t="shared" ca="1" si="637"/>
        <v>0</v>
      </c>
      <c r="BT747" s="24">
        <f t="shared" ca="1" si="642"/>
        <v>0</v>
      </c>
      <c r="BU747" s="24">
        <f t="shared" ca="1" si="638"/>
        <v>0</v>
      </c>
      <c r="BV747" s="24">
        <f t="shared" ca="1" si="643"/>
        <v>0</v>
      </c>
      <c r="BW747" s="24">
        <f t="shared" ca="1" si="639"/>
        <v>-303.9591847401914</v>
      </c>
      <c r="BX747" s="25">
        <f t="shared" ca="1" si="644"/>
        <v>-3741.4749372315491</v>
      </c>
      <c r="BY747" s="23">
        <f t="shared" ca="1" si="611"/>
        <v>1727.3366957199946</v>
      </c>
      <c r="BZ747" s="24">
        <f t="shared" ca="1" si="612"/>
        <v>0</v>
      </c>
      <c r="CA747" s="24">
        <f t="shared" ca="1" si="645"/>
        <v>0</v>
      </c>
      <c r="CB747" s="24">
        <f t="shared" ca="1" si="613"/>
        <v>0</v>
      </c>
      <c r="CC747" s="24">
        <f t="shared" ca="1" si="646"/>
        <v>0</v>
      </c>
      <c r="CD747" s="24">
        <f t="shared" ca="1" si="614"/>
        <v>-27.154728138888441</v>
      </c>
      <c r="CE747" s="25">
        <f t="shared" ca="1" si="647"/>
        <v>-340.46190631057965</v>
      </c>
      <c r="CF747" s="23">
        <f t="shared" ca="1" si="648"/>
        <v>2956106.9380769255</v>
      </c>
      <c r="CG747" s="25">
        <f t="array" aca="1" ref="CG747" ca="1">SUM(BF736:BF747/(1+inflation/100)^(AP736:AP747/12))</f>
        <v>267980.53702225385</v>
      </c>
      <c r="CH747" s="32">
        <f ca="1">IFERROR(IF(MOD(AP747-ap_months_since_start,12)=0,ap_drawdown/100*(AQ747+AV747+BA747-BC747),CH746),0)</f>
        <v>3203.433595581017</v>
      </c>
    </row>
    <row r="748" spans="40:86" x14ac:dyDescent="0.25">
      <c r="AN748" s="32">
        <f t="shared" ca="1" si="609"/>
        <v>116.58333333333333</v>
      </c>
      <c r="AO748" s="53">
        <f t="shared" ca="1" si="640"/>
        <v>68150</v>
      </c>
      <c r="AP748" s="22">
        <v>741</v>
      </c>
      <c r="AQ748" s="32">
        <f t="shared" ca="1" si="641"/>
        <v>19398.415442249476</v>
      </c>
      <c r="AR748" s="23">
        <f t="array" aca="1" ref="AR748" ca="1">SUM(IF(lsc_start_date=AO748,lsc_amount,0))</f>
        <v>0</v>
      </c>
      <c r="AS748" s="24">
        <f t="shared" ca="1" si="615"/>
        <v>0</v>
      </c>
      <c r="AT748" s="24">
        <f t="shared" ca="1" si="616"/>
        <v>0</v>
      </c>
      <c r="AU748" s="24">
        <f t="shared" ca="1" si="617"/>
        <v>0</v>
      </c>
      <c r="AV748" s="25">
        <f t="shared" ca="1" si="618"/>
        <v>0</v>
      </c>
      <c r="AW748" s="23">
        <f t="array" aca="1" ref="AW748" ca="1">SUM(IF(rcs_start_date&lt;=AO748,1,0)*IF(rcs_end_date&gt;=AO748,1,0)*rcs_amount*(1+rcs_escalation/100)^(INT((AP748-rcs_months_since_start)/12))*IF(MOD((AP748-rcs_months_since_start),rcs_frequency)=0,1,0)*IF(rcs_frequency=13,0,1))+SUM(IF(rcs_start_date=AO748,rcs_amount,0)*IF(rcs_frequency=13,1,0))</f>
        <v>0</v>
      </c>
      <c r="AX748" s="24">
        <f t="shared" ca="1" si="619"/>
        <v>0</v>
      </c>
      <c r="AY748" s="24">
        <f t="shared" ca="1" si="620"/>
        <v>0</v>
      </c>
      <c r="AZ748" s="24">
        <f t="shared" ca="1" si="621"/>
        <v>0</v>
      </c>
      <c r="BA748" s="25">
        <f t="shared" ca="1" si="622"/>
        <v>0</v>
      </c>
      <c r="BB748" s="23">
        <f t="array" aca="1" ref="BB748" ca="1">SUM(IF(w_start_date&lt;=AO748,1,0)*IF(w_end_date&gt;=AO748,1,0)*w_amount*(1+w_escalation/100)^(INT((AP748-w_months_since_start)/12))*IF(MOD(AP748-w_months_since_start,w_frequency)=0,1,0)*IF(w_frequency=13,0,1))+SUM(IF(w_start_date=AO748,w_amount,0)*IF(w_frequency=13,1,0))</f>
        <v>0</v>
      </c>
      <c r="BC748" s="25">
        <f t="shared" ca="1" si="623"/>
        <v>0</v>
      </c>
      <c r="BD748" s="24" t="b">
        <f t="shared" ca="1" si="624"/>
        <v>1</v>
      </c>
      <c r="BE748" s="24" t="b">
        <f t="shared" ca="1" si="625"/>
        <v>1</v>
      </c>
      <c r="BF748" s="23">
        <f t="array" aca="1" ref="BF748" ca="1">SUM(IF(BD748,1,0)*IF(ap_start_date&lt;=AO748,1,0)*IF(ap_end_date&gt;=AO748,1,0)*ap_amount*(1+ap_escalation/100)^(INT((AP748-ap_months_since_start)/12))*IF(MOD(AP748-ap_months_since_start,ap_frequency)=0,1,0))</f>
        <v>248733.91711974127</v>
      </c>
      <c r="BG748" s="24">
        <f t="shared" ca="1" si="626"/>
        <v>2984807.0054368954</v>
      </c>
      <c r="BH748" s="24">
        <f t="shared" ca="1" si="627"/>
        <v>521.07288812604247</v>
      </c>
      <c r="BI748">
        <f t="shared" ca="1" si="628"/>
        <v>0</v>
      </c>
      <c r="BJ748" s="24">
        <f t="shared" ca="1" si="629"/>
        <v>3647.5102168822968</v>
      </c>
      <c r="BK748">
        <f t="shared" ca="1" si="630"/>
        <v>1</v>
      </c>
      <c r="BL748" s="25">
        <f t="shared" ca="1" si="631"/>
        <v>303.9591847401914</v>
      </c>
      <c r="BM748" s="32">
        <f t="shared" ca="1" si="610"/>
        <v>19232.076177302984</v>
      </c>
      <c r="BN748" s="23">
        <f t="shared" ca="1" si="632"/>
        <v>0</v>
      </c>
      <c r="BO748" s="24">
        <f t="shared" ca="1" si="633"/>
        <v>0</v>
      </c>
      <c r="BP748" s="25">
        <f t="shared" ca="1" si="634"/>
        <v>0</v>
      </c>
      <c r="BQ748" s="34">
        <f t="shared" ca="1" si="635"/>
        <v>68180</v>
      </c>
      <c r="BR748" s="23">
        <f t="shared" ca="1" si="636"/>
        <v>19232.076177302984</v>
      </c>
      <c r="BS748" s="24">
        <f t="shared" ca="1" si="637"/>
        <v>0</v>
      </c>
      <c r="BT748" s="24">
        <f t="shared" ca="1" si="642"/>
        <v>0</v>
      </c>
      <c r="BU748" s="24">
        <f t="shared" ca="1" si="638"/>
        <v>0</v>
      </c>
      <c r="BV748" s="24">
        <f t="shared" ca="1" si="643"/>
        <v>0</v>
      </c>
      <c r="BW748" s="24">
        <f t="shared" ca="1" si="639"/>
        <v>-303.9591847401914</v>
      </c>
      <c r="BX748" s="25">
        <f t="shared" ca="1" si="644"/>
        <v>-3710.1533637817984</v>
      </c>
      <c r="BY748" s="23">
        <f t="shared" ca="1" si="611"/>
        <v>1706.9369075164232</v>
      </c>
      <c r="BZ748" s="24">
        <f t="shared" ca="1" si="612"/>
        <v>0</v>
      </c>
      <c r="CA748" s="24">
        <f t="shared" ca="1" si="645"/>
        <v>0</v>
      </c>
      <c r="CB748" s="24">
        <f t="shared" ca="1" si="613"/>
        <v>0</v>
      </c>
      <c r="CC748" s="24">
        <f t="shared" ca="1" si="646"/>
        <v>0</v>
      </c>
      <c r="CD748" s="24">
        <f t="shared" ca="1" si="614"/>
        <v>-27.06612070279391</v>
      </c>
      <c r="CE748" s="25">
        <f t="shared" ca="1" si="647"/>
        <v>-336.47866274632622</v>
      </c>
      <c r="CF748" s="23">
        <f t="shared" ca="1" si="648"/>
        <v>2965673.6271969154</v>
      </c>
      <c r="CG748" s="25">
        <f t="array" aca="1" ref="CG748" ca="1">SUM(BF737:BF748/(1+inflation/100)^(AP737:AP748/12))</f>
        <v>267980.53702225385</v>
      </c>
      <c r="CH748" s="32">
        <f ca="1">IFERROR(IF(MOD(AP748-ap_months_since_start,12)=0,ap_drawdown/100*(AQ748+AV748+BA748-BC748),CH747),0)</f>
        <v>3203.433595581017</v>
      </c>
    </row>
    <row r="749" spans="40:86" x14ac:dyDescent="0.25">
      <c r="AN749" s="32">
        <f t="shared" ca="1" si="609"/>
        <v>116.66666666666667</v>
      </c>
      <c r="AO749" s="53">
        <f t="shared" ca="1" si="640"/>
        <v>68181</v>
      </c>
      <c r="AP749" s="22">
        <v>742</v>
      </c>
      <c r="AQ749" s="32">
        <f t="shared" ca="1" si="641"/>
        <v>19232.076177302984</v>
      </c>
      <c r="AR749" s="23">
        <f t="array" aca="1" ref="AR749" ca="1">SUM(IF(lsc_start_date=AO749,lsc_amount,0))</f>
        <v>0</v>
      </c>
      <c r="AS749" s="24">
        <f t="shared" ca="1" si="615"/>
        <v>0</v>
      </c>
      <c r="AT749" s="24">
        <f t="shared" ca="1" si="616"/>
        <v>0</v>
      </c>
      <c r="AU749" s="24">
        <f t="shared" ca="1" si="617"/>
        <v>0</v>
      </c>
      <c r="AV749" s="25">
        <f t="shared" ca="1" si="618"/>
        <v>0</v>
      </c>
      <c r="AW749" s="23">
        <f t="array" aca="1" ref="AW749" ca="1">SUM(IF(rcs_start_date&lt;=AO749,1,0)*IF(rcs_end_date&gt;=AO749,1,0)*rcs_amount*(1+rcs_escalation/100)^(INT((AP749-rcs_months_since_start)/12))*IF(MOD((AP749-rcs_months_since_start),rcs_frequency)=0,1,0)*IF(rcs_frequency=13,0,1))+SUM(IF(rcs_start_date=AO749,rcs_amount,0)*IF(rcs_frequency=13,1,0))</f>
        <v>0</v>
      </c>
      <c r="AX749" s="24">
        <f t="shared" ca="1" si="619"/>
        <v>0</v>
      </c>
      <c r="AY749" s="24">
        <f t="shared" ca="1" si="620"/>
        <v>0</v>
      </c>
      <c r="AZ749" s="24">
        <f t="shared" ca="1" si="621"/>
        <v>0</v>
      </c>
      <c r="BA749" s="25">
        <f t="shared" ca="1" si="622"/>
        <v>0</v>
      </c>
      <c r="BB749" s="23">
        <f t="array" aca="1" ref="BB749" ca="1">SUM(IF(w_start_date&lt;=AO749,1,0)*IF(w_end_date&gt;=AO749,1,0)*w_amount*(1+w_escalation/100)^(INT((AP749-w_months_since_start)/12))*IF(MOD(AP749-w_months_since_start,w_frequency)=0,1,0)*IF(w_frequency=13,0,1))+SUM(IF(w_start_date=AO749,w_amount,0)*IF(w_frequency=13,1,0))</f>
        <v>0</v>
      </c>
      <c r="BC749" s="25">
        <f t="shared" ca="1" si="623"/>
        <v>0</v>
      </c>
      <c r="BD749" s="24" t="b">
        <f t="shared" ca="1" si="624"/>
        <v>1</v>
      </c>
      <c r="BE749" s="24" t="b">
        <f t="shared" ca="1" si="625"/>
        <v>1</v>
      </c>
      <c r="BF749" s="23">
        <f t="array" aca="1" ref="BF749" ca="1">SUM(IF(BD749,1,0)*IF(ap_start_date&lt;=AO749,1,0)*IF(ap_end_date&gt;=AO749,1,0)*ap_amount*(1+ap_escalation/100)^(INT((AP749-ap_months_since_start)/12))*IF(MOD(AP749-ap_months_since_start,ap_frequency)=0,1,0))</f>
        <v>248733.91711974127</v>
      </c>
      <c r="BG749" s="24">
        <f t="shared" ca="1" si="626"/>
        <v>2984807.0054368954</v>
      </c>
      <c r="BH749" s="24">
        <f t="shared" ca="1" si="627"/>
        <v>521.07288812604247</v>
      </c>
      <c r="BI749">
        <f t="shared" ca="1" si="628"/>
        <v>0</v>
      </c>
      <c r="BJ749" s="24">
        <f t="shared" ca="1" si="629"/>
        <v>3647.5102168822968</v>
      </c>
      <c r="BK749">
        <f t="shared" ca="1" si="630"/>
        <v>1</v>
      </c>
      <c r="BL749" s="25">
        <f t="shared" ca="1" si="631"/>
        <v>303.9591847401914</v>
      </c>
      <c r="BM749" s="32">
        <f t="shared" ca="1" si="610"/>
        <v>19064.538051493855</v>
      </c>
      <c r="BN749" s="23">
        <f t="shared" ca="1" si="632"/>
        <v>0</v>
      </c>
      <c r="BO749" s="24">
        <f t="shared" ca="1" si="633"/>
        <v>0</v>
      </c>
      <c r="BP749" s="25">
        <f t="shared" ca="1" si="634"/>
        <v>0</v>
      </c>
      <c r="BQ749" s="34">
        <f t="shared" ca="1" si="635"/>
        <v>68210</v>
      </c>
      <c r="BR749" s="23">
        <f t="shared" ca="1" si="636"/>
        <v>19064.538051493855</v>
      </c>
      <c r="BS749" s="24">
        <f t="shared" ca="1" si="637"/>
        <v>0</v>
      </c>
      <c r="BT749" s="24">
        <f t="shared" ca="1" si="642"/>
        <v>0</v>
      </c>
      <c r="BU749" s="24">
        <f t="shared" ca="1" si="638"/>
        <v>0</v>
      </c>
      <c r="BV749" s="24">
        <f t="shared" ca="1" si="643"/>
        <v>0</v>
      </c>
      <c r="BW749" s="24">
        <f t="shared" ca="1" si="639"/>
        <v>-303.9591847401914</v>
      </c>
      <c r="BX749" s="25">
        <f t="shared" ca="1" si="644"/>
        <v>-3678.8317903320485</v>
      </c>
      <c r="BY749" s="23">
        <f t="shared" ca="1" si="611"/>
        <v>1686.5458014623052</v>
      </c>
      <c r="BZ749" s="24">
        <f t="shared" ca="1" si="612"/>
        <v>0</v>
      </c>
      <c r="CA749" s="24">
        <f t="shared" ca="1" si="645"/>
        <v>0</v>
      </c>
      <c r="CB749" s="24">
        <f t="shared" ca="1" si="613"/>
        <v>0</v>
      </c>
      <c r="CC749" s="24">
        <f t="shared" ca="1" si="646"/>
        <v>0</v>
      </c>
      <c r="CD749" s="24">
        <f t="shared" ca="1" si="614"/>
        <v>-26.977802397847771</v>
      </c>
      <c r="CE749" s="25">
        <f t="shared" ca="1" si="647"/>
        <v>-332.50841673438708</v>
      </c>
      <c r="CF749" s="23">
        <f t="shared" ca="1" si="648"/>
        <v>2975240.3163169054</v>
      </c>
      <c r="CG749" s="25">
        <f t="array" aca="1" ref="CG749" ca="1">SUM(BF738:BF749/(1+inflation/100)^(AP738:AP749/12))</f>
        <v>267980.53702225385</v>
      </c>
      <c r="CH749" s="32">
        <f ca="1">IFERROR(IF(MOD(AP749-ap_months_since_start,12)=0,ap_drawdown/100*(AQ749+AV749+BA749-BC749),CH748),0)</f>
        <v>3203.433595581017</v>
      </c>
    </row>
    <row r="750" spans="40:86" x14ac:dyDescent="0.25">
      <c r="AN750" s="32">
        <f t="shared" ca="1" si="609"/>
        <v>116.75</v>
      </c>
      <c r="AO750" s="53">
        <f t="shared" ca="1" si="640"/>
        <v>68211</v>
      </c>
      <c r="AP750" s="22">
        <v>743</v>
      </c>
      <c r="AQ750" s="32">
        <f t="shared" ca="1" si="641"/>
        <v>19064.538051493855</v>
      </c>
      <c r="AR750" s="23">
        <f t="array" aca="1" ref="AR750" ca="1">SUM(IF(lsc_start_date=AO750,lsc_amount,0))</f>
        <v>0</v>
      </c>
      <c r="AS750" s="24">
        <f t="shared" ca="1" si="615"/>
        <v>0</v>
      </c>
      <c r="AT750" s="24">
        <f t="shared" ca="1" si="616"/>
        <v>0</v>
      </c>
      <c r="AU750" s="24">
        <f t="shared" ca="1" si="617"/>
        <v>0</v>
      </c>
      <c r="AV750" s="25">
        <f t="shared" ca="1" si="618"/>
        <v>0</v>
      </c>
      <c r="AW750" s="23">
        <f t="array" aca="1" ref="AW750" ca="1">SUM(IF(rcs_start_date&lt;=AO750,1,0)*IF(rcs_end_date&gt;=AO750,1,0)*rcs_amount*(1+rcs_escalation/100)^(INT((AP750-rcs_months_since_start)/12))*IF(MOD((AP750-rcs_months_since_start),rcs_frequency)=0,1,0)*IF(rcs_frequency=13,0,1))+SUM(IF(rcs_start_date=AO750,rcs_amount,0)*IF(rcs_frequency=13,1,0))</f>
        <v>0</v>
      </c>
      <c r="AX750" s="24">
        <f t="shared" ca="1" si="619"/>
        <v>0</v>
      </c>
      <c r="AY750" s="24">
        <f t="shared" ca="1" si="620"/>
        <v>0</v>
      </c>
      <c r="AZ750" s="24">
        <f t="shared" ca="1" si="621"/>
        <v>0</v>
      </c>
      <c r="BA750" s="25">
        <f t="shared" ca="1" si="622"/>
        <v>0</v>
      </c>
      <c r="BB750" s="23">
        <f t="array" aca="1" ref="BB750" ca="1">SUM(IF(w_start_date&lt;=AO750,1,0)*IF(w_end_date&gt;=AO750,1,0)*w_amount*(1+w_escalation/100)^(INT((AP750-w_months_since_start)/12))*IF(MOD(AP750-w_months_since_start,w_frequency)=0,1,0)*IF(w_frequency=13,0,1))+SUM(IF(w_start_date=AO750,w_amount,0)*IF(w_frequency=13,1,0))</f>
        <v>0</v>
      </c>
      <c r="BC750" s="25">
        <f t="shared" ca="1" si="623"/>
        <v>0</v>
      </c>
      <c r="BD750" s="24" t="b">
        <f t="shared" ca="1" si="624"/>
        <v>1</v>
      </c>
      <c r="BE750" s="24" t="b">
        <f t="shared" ca="1" si="625"/>
        <v>1</v>
      </c>
      <c r="BF750" s="23">
        <f t="array" aca="1" ref="BF750" ca="1">SUM(IF(BD750,1,0)*IF(ap_start_date&lt;=AO750,1,0)*IF(ap_end_date&gt;=AO750,1,0)*ap_amount*(1+ap_escalation/100)^(INT((AP750-ap_months_since_start)/12))*IF(MOD(AP750-ap_months_since_start,ap_frequency)=0,1,0))</f>
        <v>248733.91711974127</v>
      </c>
      <c r="BG750" s="24">
        <f t="shared" ca="1" si="626"/>
        <v>2984807.0054368954</v>
      </c>
      <c r="BH750" s="24">
        <f t="shared" ca="1" si="627"/>
        <v>521.07288812604247</v>
      </c>
      <c r="BI750">
        <f t="shared" ca="1" si="628"/>
        <v>0</v>
      </c>
      <c r="BJ750" s="24">
        <f t="shared" ca="1" si="629"/>
        <v>3647.5102168822968</v>
      </c>
      <c r="BK750">
        <f t="shared" ca="1" si="630"/>
        <v>1</v>
      </c>
      <c r="BL750" s="25">
        <f t="shared" ca="1" si="631"/>
        <v>303.9591847401914</v>
      </c>
      <c r="BM750" s="32">
        <f t="shared" ca="1" si="610"/>
        <v>18895.792424244242</v>
      </c>
      <c r="BN750" s="23">
        <f t="shared" ca="1" si="632"/>
        <v>0</v>
      </c>
      <c r="BO750" s="24">
        <f t="shared" ca="1" si="633"/>
        <v>0</v>
      </c>
      <c r="BP750" s="25">
        <f t="shared" ca="1" si="634"/>
        <v>0</v>
      </c>
      <c r="BQ750" s="34">
        <f t="shared" ca="1" si="635"/>
        <v>68241</v>
      </c>
      <c r="BR750" s="23">
        <f t="shared" ca="1" si="636"/>
        <v>18895.792424244242</v>
      </c>
      <c r="BS750" s="24">
        <f t="shared" ca="1" si="637"/>
        <v>0</v>
      </c>
      <c r="BT750" s="24">
        <f t="shared" ca="1" si="642"/>
        <v>0</v>
      </c>
      <c r="BU750" s="24">
        <f t="shared" ca="1" si="638"/>
        <v>0</v>
      </c>
      <c r="BV750" s="24">
        <f t="shared" ca="1" si="643"/>
        <v>0</v>
      </c>
      <c r="BW750" s="24">
        <f t="shared" ca="1" si="639"/>
        <v>-303.9591847401914</v>
      </c>
      <c r="BX750" s="25">
        <f t="shared" ca="1" si="644"/>
        <v>-3647.5102168822978</v>
      </c>
      <c r="BY750" s="23">
        <f t="shared" ca="1" si="611"/>
        <v>1666.1631222805534</v>
      </c>
      <c r="BZ750" s="24">
        <f t="shared" ca="1" si="612"/>
        <v>0</v>
      </c>
      <c r="CA750" s="24">
        <f t="shared" ca="1" si="645"/>
        <v>0</v>
      </c>
      <c r="CB750" s="24">
        <f t="shared" ca="1" si="613"/>
        <v>0</v>
      </c>
      <c r="CC750" s="24">
        <f t="shared" ca="1" si="646"/>
        <v>0</v>
      </c>
      <c r="CD750" s="24">
        <f t="shared" ca="1" si="614"/>
        <v>-26.88977228059851</v>
      </c>
      <c r="CE750" s="25">
        <f t="shared" ca="1" si="647"/>
        <v>-328.55112586300339</v>
      </c>
      <c r="CF750" s="23">
        <f t="shared" ca="1" si="648"/>
        <v>2984807.0054368954</v>
      </c>
      <c r="CG750" s="25">
        <f t="array" aca="1" ref="CG750" ca="1">SUM(BF739:BF750/(1+inflation/100)^(AP739:AP750/12))</f>
        <v>267980.53702225385</v>
      </c>
      <c r="CH750" s="32">
        <f ca="1">IFERROR(IF(MOD(AP750-ap_months_since_start,12)=0,ap_drawdown/100*(AQ750+AV750+BA750-BC750),CH749),0)</f>
        <v>3203.433595581017</v>
      </c>
    </row>
    <row r="751" spans="40:86" x14ac:dyDescent="0.25">
      <c r="AN751" s="32">
        <f t="shared" ca="1" si="609"/>
        <v>116.83333333333333</v>
      </c>
      <c r="AO751" s="53">
        <f t="shared" ca="1" si="640"/>
        <v>68242</v>
      </c>
      <c r="AP751" s="22">
        <v>744</v>
      </c>
      <c r="AQ751" s="32">
        <f t="shared" ca="1" si="641"/>
        <v>18895.792424244242</v>
      </c>
      <c r="AR751" s="23">
        <f t="array" aca="1" ref="AR751" ca="1">SUM(IF(lsc_start_date=AO751,lsc_amount,0))</f>
        <v>0</v>
      </c>
      <c r="AS751" s="24">
        <f t="shared" ca="1" si="615"/>
        <v>0</v>
      </c>
      <c r="AT751" s="24">
        <f t="shared" ca="1" si="616"/>
        <v>0</v>
      </c>
      <c r="AU751" s="24">
        <f t="shared" ca="1" si="617"/>
        <v>0</v>
      </c>
      <c r="AV751" s="25">
        <f t="shared" ca="1" si="618"/>
        <v>0</v>
      </c>
      <c r="AW751" s="23">
        <f t="array" aca="1" ref="AW751" ca="1">SUM(IF(rcs_start_date&lt;=AO751,1,0)*IF(rcs_end_date&gt;=AO751,1,0)*rcs_amount*(1+rcs_escalation/100)^(INT((AP751-rcs_months_since_start)/12))*IF(MOD((AP751-rcs_months_since_start),rcs_frequency)=0,1,0)*IF(rcs_frequency=13,0,1))+SUM(IF(rcs_start_date=AO751,rcs_amount,0)*IF(rcs_frequency=13,1,0))</f>
        <v>0</v>
      </c>
      <c r="AX751" s="24">
        <f t="shared" ca="1" si="619"/>
        <v>0</v>
      </c>
      <c r="AY751" s="24">
        <f t="shared" ca="1" si="620"/>
        <v>0</v>
      </c>
      <c r="AZ751" s="24">
        <f t="shared" ca="1" si="621"/>
        <v>0</v>
      </c>
      <c r="BA751" s="25">
        <f t="shared" ca="1" si="622"/>
        <v>0</v>
      </c>
      <c r="BB751" s="23">
        <f t="array" aca="1" ref="BB751" ca="1">SUM(IF(w_start_date&lt;=AO751,1,0)*IF(w_end_date&gt;=AO751,1,0)*w_amount*(1+w_escalation/100)^(INT((AP751-w_months_since_start)/12))*IF(MOD(AP751-w_months_since_start,w_frequency)=0,1,0)*IF(w_frequency=13,0,1))+SUM(IF(w_start_date=AO751,w_amount,0)*IF(w_frequency=13,1,0))</f>
        <v>0</v>
      </c>
      <c r="BC751" s="25">
        <f t="shared" ca="1" si="623"/>
        <v>0</v>
      </c>
      <c r="BD751" s="24" t="b">
        <f t="shared" ca="1" si="624"/>
        <v>1</v>
      </c>
      <c r="BE751" s="24" t="b">
        <f t="shared" ca="1" si="625"/>
        <v>1</v>
      </c>
      <c r="BF751" s="23">
        <f t="array" aca="1" ref="BF751" ca="1">SUM(IF(BD751,1,0)*IF(ap_start_date&lt;=AO751,1,0)*IF(ap_end_date&gt;=AO751,1,0)*ap_amount*(1+ap_escalation/100)^(INT((AP751-ap_months_since_start)/12))*IF(MOD(AP751-ap_months_since_start,ap_frequency)=0,1,0))</f>
        <v>258683.27380453094</v>
      </c>
      <c r="BG751" s="24">
        <f t="shared" ca="1" si="626"/>
        <v>3104199.2856543711</v>
      </c>
      <c r="BH751" s="24">
        <f t="shared" ca="1" si="627"/>
        <v>472.39481060610609</v>
      </c>
      <c r="BI751">
        <f t="shared" ca="1" si="628"/>
        <v>0</v>
      </c>
      <c r="BJ751" s="24">
        <f t="shared" ca="1" si="629"/>
        <v>3306.7636742427421</v>
      </c>
      <c r="BK751">
        <f t="shared" ca="1" si="630"/>
        <v>1</v>
      </c>
      <c r="BL751" s="25">
        <f t="shared" ca="1" si="631"/>
        <v>275.56363952022855</v>
      </c>
      <c r="BM751" s="32">
        <f t="shared" ca="1" si="610"/>
        <v>18754.430793795957</v>
      </c>
      <c r="BN751" s="23">
        <f t="shared" ca="1" si="632"/>
        <v>0</v>
      </c>
      <c r="BO751" s="24">
        <f t="shared" ca="1" si="633"/>
        <v>0</v>
      </c>
      <c r="BP751" s="25">
        <f t="shared" ca="1" si="634"/>
        <v>0</v>
      </c>
      <c r="BQ751" s="34">
        <f t="shared" ca="1" si="635"/>
        <v>68271</v>
      </c>
      <c r="BR751" s="23">
        <f t="shared" ca="1" si="636"/>
        <v>18754.430793795957</v>
      </c>
      <c r="BS751" s="24">
        <f t="shared" ca="1" si="637"/>
        <v>0</v>
      </c>
      <c r="BT751" s="24">
        <f t="shared" ca="1" si="642"/>
        <v>0</v>
      </c>
      <c r="BU751" s="24">
        <f t="shared" ca="1" si="638"/>
        <v>0</v>
      </c>
      <c r="BV751" s="24">
        <f t="shared" ca="1" si="643"/>
        <v>0</v>
      </c>
      <c r="BW751" s="24">
        <f t="shared" ca="1" si="639"/>
        <v>-275.56363952022855</v>
      </c>
      <c r="BX751" s="25">
        <f t="shared" ca="1" si="644"/>
        <v>-3619.1146716623348</v>
      </c>
      <c r="BY751" s="23">
        <f t="shared" ca="1" si="611"/>
        <v>1648.3022486843915</v>
      </c>
      <c r="BZ751" s="24">
        <f t="shared" ca="1" si="612"/>
        <v>0</v>
      </c>
      <c r="CA751" s="24">
        <f t="shared" ca="1" si="645"/>
        <v>0</v>
      </c>
      <c r="CB751" s="24">
        <f t="shared" ca="1" si="613"/>
        <v>0</v>
      </c>
      <c r="CC751" s="24">
        <f t="shared" ca="1" si="646"/>
        <v>0</v>
      </c>
      <c r="CD751" s="24">
        <f t="shared" ca="1" si="614"/>
        <v>-24.298212199924738</v>
      </c>
      <c r="CE751" s="25">
        <f t="shared" ca="1" si="647"/>
        <v>-324.97522747582809</v>
      </c>
      <c r="CF751" s="23">
        <f t="shared" ca="1" si="648"/>
        <v>2994756.3621216849</v>
      </c>
      <c r="CG751" s="25">
        <f t="array" aca="1" ref="CG751" ca="1">SUM(BF740:BF751/(1+inflation/100)^(AP740:AP751/12))</f>
        <v>267980.53702225385</v>
      </c>
      <c r="CH751" s="32">
        <f ca="1">IFERROR(IF(MOD(AP751-ap_months_since_start,12)=0,ap_drawdown/100*(AQ751+AV751+BA751-BC751),CH750),0)</f>
        <v>2904.1722207348521</v>
      </c>
    </row>
    <row r="752" spans="40:86" x14ac:dyDescent="0.25">
      <c r="AN752" s="32">
        <f t="shared" ca="1" si="609"/>
        <v>116.91666666666667</v>
      </c>
      <c r="AO752" s="53">
        <f t="shared" ca="1" si="640"/>
        <v>68272</v>
      </c>
      <c r="AP752" s="22">
        <v>745</v>
      </c>
      <c r="AQ752" s="32">
        <f t="shared" ca="1" si="641"/>
        <v>18754.430793795957</v>
      </c>
      <c r="AR752" s="23">
        <f t="array" aca="1" ref="AR752" ca="1">SUM(IF(lsc_start_date=AO752,lsc_amount,0))</f>
        <v>0</v>
      </c>
      <c r="AS752" s="24">
        <f t="shared" ca="1" si="615"/>
        <v>0</v>
      </c>
      <c r="AT752" s="24">
        <f t="shared" ca="1" si="616"/>
        <v>0</v>
      </c>
      <c r="AU752" s="24">
        <f t="shared" ca="1" si="617"/>
        <v>0</v>
      </c>
      <c r="AV752" s="25">
        <f t="shared" ca="1" si="618"/>
        <v>0</v>
      </c>
      <c r="AW752" s="23">
        <f t="array" aca="1" ref="AW752" ca="1">SUM(IF(rcs_start_date&lt;=AO752,1,0)*IF(rcs_end_date&gt;=AO752,1,0)*rcs_amount*(1+rcs_escalation/100)^(INT((AP752-rcs_months_since_start)/12))*IF(MOD((AP752-rcs_months_since_start),rcs_frequency)=0,1,0)*IF(rcs_frequency=13,0,1))+SUM(IF(rcs_start_date=AO752,rcs_amount,0)*IF(rcs_frequency=13,1,0))</f>
        <v>0</v>
      </c>
      <c r="AX752" s="24">
        <f t="shared" ca="1" si="619"/>
        <v>0</v>
      </c>
      <c r="AY752" s="24">
        <f t="shared" ca="1" si="620"/>
        <v>0</v>
      </c>
      <c r="AZ752" s="24">
        <f t="shared" ca="1" si="621"/>
        <v>0</v>
      </c>
      <c r="BA752" s="25">
        <f t="shared" ca="1" si="622"/>
        <v>0</v>
      </c>
      <c r="BB752" s="23">
        <f t="array" aca="1" ref="BB752" ca="1">SUM(IF(w_start_date&lt;=AO752,1,0)*IF(w_end_date&gt;=AO752,1,0)*w_amount*(1+w_escalation/100)^(INT((AP752-w_months_since_start)/12))*IF(MOD(AP752-w_months_since_start,w_frequency)=0,1,0)*IF(w_frequency=13,0,1))+SUM(IF(w_start_date=AO752,w_amount,0)*IF(w_frequency=13,1,0))</f>
        <v>0</v>
      </c>
      <c r="BC752" s="25">
        <f t="shared" ca="1" si="623"/>
        <v>0</v>
      </c>
      <c r="BD752" s="24" t="b">
        <f t="shared" ca="1" si="624"/>
        <v>1</v>
      </c>
      <c r="BE752" s="24" t="b">
        <f t="shared" ca="1" si="625"/>
        <v>1</v>
      </c>
      <c r="BF752" s="23">
        <f t="array" aca="1" ref="BF752" ca="1">SUM(IF(BD752,1,0)*IF(ap_start_date&lt;=AO752,1,0)*IF(ap_end_date&gt;=AO752,1,0)*ap_amount*(1+ap_escalation/100)^(INT((AP752-ap_months_since_start)/12))*IF(MOD(AP752-ap_months_since_start,ap_frequency)=0,1,0))</f>
        <v>258683.27380453094</v>
      </c>
      <c r="BG752" s="24">
        <f t="shared" ca="1" si="626"/>
        <v>3104199.2856543711</v>
      </c>
      <c r="BH752" s="24">
        <f t="shared" ca="1" si="627"/>
        <v>472.39481060610609</v>
      </c>
      <c r="BI752">
        <f t="shared" ca="1" si="628"/>
        <v>0</v>
      </c>
      <c r="BJ752" s="24">
        <f t="shared" ca="1" si="629"/>
        <v>3306.7636742427421</v>
      </c>
      <c r="BK752">
        <f t="shared" ca="1" si="630"/>
        <v>1</v>
      </c>
      <c r="BL752" s="25">
        <f t="shared" ca="1" si="631"/>
        <v>275.56363952022855</v>
      </c>
      <c r="BM752" s="32">
        <f t="shared" ca="1" si="610"/>
        <v>18612.050324372532</v>
      </c>
      <c r="BN752" s="23">
        <f t="shared" ca="1" si="632"/>
        <v>0</v>
      </c>
      <c r="BO752" s="24">
        <f t="shared" ca="1" si="633"/>
        <v>0</v>
      </c>
      <c r="BP752" s="25">
        <f t="shared" ca="1" si="634"/>
        <v>0</v>
      </c>
      <c r="BQ752" s="34">
        <f t="shared" ca="1" si="635"/>
        <v>68302</v>
      </c>
      <c r="BR752" s="23">
        <f t="shared" ca="1" si="636"/>
        <v>18612.050324372532</v>
      </c>
      <c r="BS752" s="24">
        <f t="shared" ca="1" si="637"/>
        <v>0</v>
      </c>
      <c r="BT752" s="24">
        <f t="shared" ca="1" si="642"/>
        <v>0</v>
      </c>
      <c r="BU752" s="24">
        <f t="shared" ca="1" si="638"/>
        <v>0</v>
      </c>
      <c r="BV752" s="24">
        <f t="shared" ca="1" si="643"/>
        <v>0</v>
      </c>
      <c r="BW752" s="24">
        <f t="shared" ca="1" si="639"/>
        <v>-275.56363952022855</v>
      </c>
      <c r="BX752" s="25">
        <f t="shared" ca="1" si="644"/>
        <v>-3590.7191264423718</v>
      </c>
      <c r="BY752" s="23">
        <f t="shared" ca="1" si="611"/>
        <v>1630.4509444262619</v>
      </c>
      <c r="BZ752" s="24">
        <f t="shared" ca="1" si="612"/>
        <v>0</v>
      </c>
      <c r="CA752" s="24">
        <f t="shared" ca="1" si="645"/>
        <v>0</v>
      </c>
      <c r="CB752" s="24">
        <f t="shared" ca="1" si="613"/>
        <v>0</v>
      </c>
      <c r="CC752" s="24">
        <f t="shared" ca="1" si="646"/>
        <v>0</v>
      </c>
      <c r="CD752" s="24">
        <f t="shared" ca="1" si="614"/>
        <v>-24.218925739250007</v>
      </c>
      <c r="CE752" s="25">
        <f t="shared" ca="1" si="647"/>
        <v>-321.41099745028032</v>
      </c>
      <c r="CF752" s="23">
        <f t="shared" ca="1" si="648"/>
        <v>3004705.7188064745</v>
      </c>
      <c r="CG752" s="25">
        <f t="array" aca="1" ref="CG752" ca="1">SUM(BF741:BF752/(1+inflation/100)^(AP741:AP752/12))</f>
        <v>267980.53702225385</v>
      </c>
      <c r="CH752" s="32">
        <f ca="1">IFERROR(IF(MOD(AP752-ap_months_since_start,12)=0,ap_drawdown/100*(AQ752+AV752+BA752-BC752),CH751),0)</f>
        <v>2904.1722207348521</v>
      </c>
    </row>
    <row r="753" spans="40:86" x14ac:dyDescent="0.25">
      <c r="AN753" s="32">
        <f t="shared" ca="1" si="609"/>
        <v>117</v>
      </c>
      <c r="AO753" s="53">
        <f t="shared" ca="1" si="640"/>
        <v>68303</v>
      </c>
      <c r="AP753" s="22">
        <v>746</v>
      </c>
      <c r="AQ753" s="32">
        <f t="shared" ca="1" si="641"/>
        <v>18612.050324372532</v>
      </c>
      <c r="AR753" s="23">
        <f t="array" aca="1" ref="AR753" ca="1">SUM(IF(lsc_start_date=AO753,lsc_amount,0))</f>
        <v>0</v>
      </c>
      <c r="AS753" s="24">
        <f t="shared" ca="1" si="615"/>
        <v>0</v>
      </c>
      <c r="AT753" s="24">
        <f t="shared" ca="1" si="616"/>
        <v>0</v>
      </c>
      <c r="AU753" s="24">
        <f t="shared" ca="1" si="617"/>
        <v>0</v>
      </c>
      <c r="AV753" s="25">
        <f t="shared" ca="1" si="618"/>
        <v>0</v>
      </c>
      <c r="AW753" s="23">
        <f t="array" aca="1" ref="AW753" ca="1">SUM(IF(rcs_start_date&lt;=AO753,1,0)*IF(rcs_end_date&gt;=AO753,1,0)*rcs_amount*(1+rcs_escalation/100)^(INT((AP753-rcs_months_since_start)/12))*IF(MOD((AP753-rcs_months_since_start),rcs_frequency)=0,1,0)*IF(rcs_frequency=13,0,1))+SUM(IF(rcs_start_date=AO753,rcs_amount,0)*IF(rcs_frequency=13,1,0))</f>
        <v>0</v>
      </c>
      <c r="AX753" s="24">
        <f t="shared" ca="1" si="619"/>
        <v>0</v>
      </c>
      <c r="AY753" s="24">
        <f t="shared" ca="1" si="620"/>
        <v>0</v>
      </c>
      <c r="AZ753" s="24">
        <f t="shared" ca="1" si="621"/>
        <v>0</v>
      </c>
      <c r="BA753" s="25">
        <f t="shared" ca="1" si="622"/>
        <v>0</v>
      </c>
      <c r="BB753" s="23">
        <f t="array" aca="1" ref="BB753" ca="1">SUM(IF(w_start_date&lt;=AO753,1,0)*IF(w_end_date&gt;=AO753,1,0)*w_amount*(1+w_escalation/100)^(INT((AP753-w_months_since_start)/12))*IF(MOD(AP753-w_months_since_start,w_frequency)=0,1,0)*IF(w_frequency=13,0,1))+SUM(IF(w_start_date=AO753,w_amount,0)*IF(w_frequency=13,1,0))</f>
        <v>0</v>
      </c>
      <c r="BC753" s="25">
        <f t="shared" ca="1" si="623"/>
        <v>0</v>
      </c>
      <c r="BD753" s="24" t="b">
        <f t="shared" ca="1" si="624"/>
        <v>1</v>
      </c>
      <c r="BE753" s="24" t="b">
        <f t="shared" ca="1" si="625"/>
        <v>1</v>
      </c>
      <c r="BF753" s="23">
        <f t="array" aca="1" ref="BF753" ca="1">SUM(IF(BD753,1,0)*IF(ap_start_date&lt;=AO753,1,0)*IF(ap_end_date&gt;=AO753,1,0)*ap_amount*(1+ap_escalation/100)^(INT((AP753-ap_months_since_start)/12))*IF(MOD(AP753-ap_months_since_start,ap_frequency)=0,1,0))</f>
        <v>258683.27380453094</v>
      </c>
      <c r="BG753" s="24">
        <f t="shared" ca="1" si="626"/>
        <v>3104199.2856543711</v>
      </c>
      <c r="BH753" s="24">
        <f t="shared" ca="1" si="627"/>
        <v>472.39481060610609</v>
      </c>
      <c r="BI753">
        <f t="shared" ca="1" si="628"/>
        <v>0</v>
      </c>
      <c r="BJ753" s="24">
        <f t="shared" ca="1" si="629"/>
        <v>3306.7636742427421</v>
      </c>
      <c r="BK753">
        <f t="shared" ca="1" si="630"/>
        <v>1</v>
      </c>
      <c r="BL753" s="25">
        <f t="shared" ca="1" si="631"/>
        <v>275.56363952022855</v>
      </c>
      <c r="BM753" s="32">
        <f t="shared" ca="1" si="610"/>
        <v>18468.643672872073</v>
      </c>
      <c r="BN753" s="23">
        <f t="shared" ca="1" si="632"/>
        <v>0</v>
      </c>
      <c r="BO753" s="24">
        <f t="shared" ca="1" si="633"/>
        <v>0</v>
      </c>
      <c r="BP753" s="25">
        <f t="shared" ca="1" si="634"/>
        <v>0</v>
      </c>
      <c r="BQ753" s="34">
        <f t="shared" ca="1" si="635"/>
        <v>68333</v>
      </c>
      <c r="BR753" s="23">
        <f t="shared" ca="1" si="636"/>
        <v>18468.643672872073</v>
      </c>
      <c r="BS753" s="24">
        <f t="shared" ca="1" si="637"/>
        <v>0</v>
      </c>
      <c r="BT753" s="24">
        <f t="shared" ca="1" si="642"/>
        <v>0</v>
      </c>
      <c r="BU753" s="24">
        <f t="shared" ca="1" si="638"/>
        <v>0</v>
      </c>
      <c r="BV753" s="24">
        <f t="shared" ca="1" si="643"/>
        <v>0</v>
      </c>
      <c r="BW753" s="24">
        <f t="shared" ca="1" si="639"/>
        <v>-275.56363952022855</v>
      </c>
      <c r="BX753" s="25">
        <f t="shared" ca="1" si="644"/>
        <v>-3562.3235812224088</v>
      </c>
      <c r="BY753" s="23">
        <f t="shared" ca="1" si="611"/>
        <v>1612.6089872944917</v>
      </c>
      <c r="BZ753" s="24">
        <f t="shared" ca="1" si="612"/>
        <v>0</v>
      </c>
      <c r="CA753" s="24">
        <f t="shared" ca="1" si="645"/>
        <v>0</v>
      </c>
      <c r="CB753" s="24">
        <f t="shared" ca="1" si="613"/>
        <v>0</v>
      </c>
      <c r="CC753" s="24">
        <f t="shared" ca="1" si="646"/>
        <v>0</v>
      </c>
      <c r="CD753" s="24">
        <f t="shared" ca="1" si="614"/>
        <v>-24.13989799484607</v>
      </c>
      <c r="CE753" s="25">
        <f t="shared" ca="1" si="647"/>
        <v>-317.85839771182657</v>
      </c>
      <c r="CF753" s="23">
        <f t="shared" ca="1" si="648"/>
        <v>3014655.075491264</v>
      </c>
      <c r="CG753" s="25">
        <f t="array" aca="1" ref="CG753" ca="1">SUM(BF742:BF753/(1+inflation/100)^(AP742:AP753/12))</f>
        <v>267980.53702225385</v>
      </c>
      <c r="CH753" s="32">
        <f ca="1">IFERROR(IF(MOD(AP753-ap_months_since_start,12)=0,ap_drawdown/100*(AQ753+AV753+BA753-BC753),CH752),0)</f>
        <v>2904.1722207348521</v>
      </c>
    </row>
    <row r="754" spans="40:86" x14ac:dyDescent="0.25">
      <c r="AN754" s="32">
        <f t="shared" ca="1" si="609"/>
        <v>117.08333333333333</v>
      </c>
      <c r="AO754" s="53">
        <f t="shared" ca="1" si="640"/>
        <v>68334</v>
      </c>
      <c r="AP754" s="22">
        <v>747</v>
      </c>
      <c r="AQ754" s="32">
        <f t="shared" ca="1" si="641"/>
        <v>18468.643672872073</v>
      </c>
      <c r="AR754" s="23">
        <f t="array" aca="1" ref="AR754" ca="1">SUM(IF(lsc_start_date=AO754,lsc_amount,0))</f>
        <v>0</v>
      </c>
      <c r="AS754" s="24">
        <f t="shared" ca="1" si="615"/>
        <v>0</v>
      </c>
      <c r="AT754" s="24">
        <f t="shared" ca="1" si="616"/>
        <v>0</v>
      </c>
      <c r="AU754" s="24">
        <f t="shared" ca="1" si="617"/>
        <v>0</v>
      </c>
      <c r="AV754" s="25">
        <f t="shared" ca="1" si="618"/>
        <v>0</v>
      </c>
      <c r="AW754" s="23">
        <f t="array" aca="1" ref="AW754" ca="1">SUM(IF(rcs_start_date&lt;=AO754,1,0)*IF(rcs_end_date&gt;=AO754,1,0)*rcs_amount*(1+rcs_escalation/100)^(INT((AP754-rcs_months_since_start)/12))*IF(MOD((AP754-rcs_months_since_start),rcs_frequency)=0,1,0)*IF(rcs_frequency=13,0,1))+SUM(IF(rcs_start_date=AO754,rcs_amount,0)*IF(rcs_frequency=13,1,0))</f>
        <v>0</v>
      </c>
      <c r="AX754" s="24">
        <f t="shared" ca="1" si="619"/>
        <v>0</v>
      </c>
      <c r="AY754" s="24">
        <f t="shared" ca="1" si="620"/>
        <v>0</v>
      </c>
      <c r="AZ754" s="24">
        <f t="shared" ca="1" si="621"/>
        <v>0</v>
      </c>
      <c r="BA754" s="25">
        <f t="shared" ca="1" si="622"/>
        <v>0</v>
      </c>
      <c r="BB754" s="23">
        <f t="array" aca="1" ref="BB754" ca="1">SUM(IF(w_start_date&lt;=AO754,1,0)*IF(w_end_date&gt;=AO754,1,0)*w_amount*(1+w_escalation/100)^(INT((AP754-w_months_since_start)/12))*IF(MOD(AP754-w_months_since_start,w_frequency)=0,1,0)*IF(w_frequency=13,0,1))+SUM(IF(w_start_date=AO754,w_amount,0)*IF(w_frequency=13,1,0))</f>
        <v>0</v>
      </c>
      <c r="BC754" s="25">
        <f t="shared" ca="1" si="623"/>
        <v>0</v>
      </c>
      <c r="BD754" s="24" t="b">
        <f t="shared" ca="1" si="624"/>
        <v>1</v>
      </c>
      <c r="BE754" s="24" t="b">
        <f t="shared" ca="1" si="625"/>
        <v>1</v>
      </c>
      <c r="BF754" s="23">
        <f t="array" aca="1" ref="BF754" ca="1">SUM(IF(BD754,1,0)*IF(ap_start_date&lt;=AO754,1,0)*IF(ap_end_date&gt;=AO754,1,0)*ap_amount*(1+ap_escalation/100)^(INT((AP754-ap_months_since_start)/12))*IF(MOD(AP754-ap_months_since_start,ap_frequency)=0,1,0))</f>
        <v>258683.27380453094</v>
      </c>
      <c r="BG754" s="24">
        <f t="shared" ca="1" si="626"/>
        <v>3104199.2856543711</v>
      </c>
      <c r="BH754" s="24">
        <f t="shared" ca="1" si="627"/>
        <v>472.39481060610609</v>
      </c>
      <c r="BI754">
        <f t="shared" ca="1" si="628"/>
        <v>0</v>
      </c>
      <c r="BJ754" s="24">
        <f t="shared" ca="1" si="629"/>
        <v>3306.7636742427421</v>
      </c>
      <c r="BK754">
        <f t="shared" ca="1" si="630"/>
        <v>1</v>
      </c>
      <c r="BL754" s="25">
        <f t="shared" ca="1" si="631"/>
        <v>275.56363952022855</v>
      </c>
      <c r="BM754" s="32">
        <f t="shared" ca="1" si="610"/>
        <v>18324.203443268565</v>
      </c>
      <c r="BN754" s="23">
        <f t="shared" ca="1" si="632"/>
        <v>0</v>
      </c>
      <c r="BO754" s="24">
        <f t="shared" ca="1" si="633"/>
        <v>0</v>
      </c>
      <c r="BP754" s="25">
        <f t="shared" ca="1" si="634"/>
        <v>0</v>
      </c>
      <c r="BQ754" s="34">
        <f t="shared" ca="1" si="635"/>
        <v>68361</v>
      </c>
      <c r="BR754" s="23">
        <f t="shared" ca="1" si="636"/>
        <v>18324.203443268565</v>
      </c>
      <c r="BS754" s="24">
        <f t="shared" ca="1" si="637"/>
        <v>0</v>
      </c>
      <c r="BT754" s="24">
        <f t="shared" ca="1" si="642"/>
        <v>0</v>
      </c>
      <c r="BU754" s="24">
        <f t="shared" ca="1" si="638"/>
        <v>0</v>
      </c>
      <c r="BV754" s="24">
        <f t="shared" ca="1" si="643"/>
        <v>0</v>
      </c>
      <c r="BW754" s="24">
        <f t="shared" ca="1" si="639"/>
        <v>-275.56363952022855</v>
      </c>
      <c r="BX754" s="25">
        <f t="shared" ca="1" si="644"/>
        <v>-3533.9280360024459</v>
      </c>
      <c r="BY754" s="23">
        <f t="shared" ca="1" si="611"/>
        <v>1594.7761550536936</v>
      </c>
      <c r="BZ754" s="24">
        <f t="shared" ca="1" si="612"/>
        <v>0</v>
      </c>
      <c r="CA754" s="24">
        <f t="shared" ca="1" si="645"/>
        <v>0</v>
      </c>
      <c r="CB754" s="24">
        <f t="shared" ca="1" si="613"/>
        <v>0</v>
      </c>
      <c r="CC754" s="24">
        <f t="shared" ca="1" si="646"/>
        <v>0</v>
      </c>
      <c r="CD754" s="24">
        <f t="shared" ca="1" si="614"/>
        <v>-24.061128122506837</v>
      </c>
      <c r="CE754" s="25">
        <f t="shared" ca="1" si="647"/>
        <v>-314.31739031017264</v>
      </c>
      <c r="CF754" s="23">
        <f t="shared" ca="1" si="648"/>
        <v>3024604.4321760535</v>
      </c>
      <c r="CG754" s="25">
        <f t="array" aca="1" ref="CG754" ca="1">SUM(BF743:BF754/(1+inflation/100)^(AP743:AP754/12))</f>
        <v>267980.53702225385</v>
      </c>
      <c r="CH754" s="32">
        <f ca="1">IFERROR(IF(MOD(AP754-ap_months_since_start,12)=0,ap_drawdown/100*(AQ754+AV754+BA754-BC754),CH753),0)</f>
        <v>2904.1722207348521</v>
      </c>
    </row>
    <row r="755" spans="40:86" x14ac:dyDescent="0.25">
      <c r="AN755" s="32">
        <f t="shared" ca="1" si="609"/>
        <v>117.16666666666667</v>
      </c>
      <c r="AO755" s="53">
        <f t="shared" ca="1" si="640"/>
        <v>68362</v>
      </c>
      <c r="AP755" s="22">
        <v>748</v>
      </c>
      <c r="AQ755" s="32">
        <f t="shared" ca="1" si="641"/>
        <v>18324.203443268565</v>
      </c>
      <c r="AR755" s="23">
        <f t="array" aca="1" ref="AR755" ca="1">SUM(IF(lsc_start_date=AO755,lsc_amount,0))</f>
        <v>0</v>
      </c>
      <c r="AS755" s="24">
        <f t="shared" ca="1" si="615"/>
        <v>0</v>
      </c>
      <c r="AT755" s="24">
        <f t="shared" ca="1" si="616"/>
        <v>0</v>
      </c>
      <c r="AU755" s="24">
        <f t="shared" ca="1" si="617"/>
        <v>0</v>
      </c>
      <c r="AV755" s="25">
        <f t="shared" ca="1" si="618"/>
        <v>0</v>
      </c>
      <c r="AW755" s="23">
        <f t="array" aca="1" ref="AW755" ca="1">SUM(IF(rcs_start_date&lt;=AO755,1,0)*IF(rcs_end_date&gt;=AO755,1,0)*rcs_amount*(1+rcs_escalation/100)^(INT((AP755-rcs_months_since_start)/12))*IF(MOD((AP755-rcs_months_since_start),rcs_frequency)=0,1,0)*IF(rcs_frequency=13,0,1))+SUM(IF(rcs_start_date=AO755,rcs_amount,0)*IF(rcs_frequency=13,1,0))</f>
        <v>0</v>
      </c>
      <c r="AX755" s="24">
        <f t="shared" ca="1" si="619"/>
        <v>0</v>
      </c>
      <c r="AY755" s="24">
        <f t="shared" ca="1" si="620"/>
        <v>0</v>
      </c>
      <c r="AZ755" s="24">
        <f t="shared" ca="1" si="621"/>
        <v>0</v>
      </c>
      <c r="BA755" s="25">
        <f t="shared" ca="1" si="622"/>
        <v>0</v>
      </c>
      <c r="BB755" s="23">
        <f t="array" aca="1" ref="BB755" ca="1">SUM(IF(w_start_date&lt;=AO755,1,0)*IF(w_end_date&gt;=AO755,1,0)*w_amount*(1+w_escalation/100)^(INT((AP755-w_months_since_start)/12))*IF(MOD(AP755-w_months_since_start,w_frequency)=0,1,0)*IF(w_frequency=13,0,1))+SUM(IF(w_start_date=AO755,w_amount,0)*IF(w_frequency=13,1,0))</f>
        <v>0</v>
      </c>
      <c r="BC755" s="25">
        <f t="shared" ca="1" si="623"/>
        <v>0</v>
      </c>
      <c r="BD755" s="24" t="b">
        <f t="shared" ca="1" si="624"/>
        <v>1</v>
      </c>
      <c r="BE755" s="24" t="b">
        <f t="shared" ca="1" si="625"/>
        <v>1</v>
      </c>
      <c r="BF755" s="23">
        <f t="array" aca="1" ref="BF755" ca="1">SUM(IF(BD755,1,0)*IF(ap_start_date&lt;=AO755,1,0)*IF(ap_end_date&gt;=AO755,1,0)*ap_amount*(1+ap_escalation/100)^(INT((AP755-ap_months_since_start)/12))*IF(MOD(AP755-ap_months_since_start,ap_frequency)=0,1,0))</f>
        <v>258683.27380453094</v>
      </c>
      <c r="BG755" s="24">
        <f t="shared" ca="1" si="626"/>
        <v>3104199.2856543711</v>
      </c>
      <c r="BH755" s="24">
        <f t="shared" ca="1" si="627"/>
        <v>472.39481060610609</v>
      </c>
      <c r="BI755">
        <f t="shared" ca="1" si="628"/>
        <v>0</v>
      </c>
      <c r="BJ755" s="24">
        <f t="shared" ca="1" si="629"/>
        <v>3306.7636742427421</v>
      </c>
      <c r="BK755">
        <f t="shared" ca="1" si="630"/>
        <v>1</v>
      </c>
      <c r="BL755" s="25">
        <f t="shared" ca="1" si="631"/>
        <v>275.56363952022855</v>
      </c>
      <c r="BM755" s="32">
        <f t="shared" ca="1" si="610"/>
        <v>18178.722186230447</v>
      </c>
      <c r="BN755" s="23">
        <f t="shared" ca="1" si="632"/>
        <v>0</v>
      </c>
      <c r="BO755" s="24">
        <f t="shared" ca="1" si="633"/>
        <v>0</v>
      </c>
      <c r="BP755" s="25">
        <f t="shared" ca="1" si="634"/>
        <v>0</v>
      </c>
      <c r="BQ755" s="34">
        <f t="shared" ca="1" si="635"/>
        <v>68392</v>
      </c>
      <c r="BR755" s="23">
        <f t="shared" ca="1" si="636"/>
        <v>18178.722186230447</v>
      </c>
      <c r="BS755" s="24">
        <f t="shared" ca="1" si="637"/>
        <v>0</v>
      </c>
      <c r="BT755" s="24">
        <f t="shared" ca="1" si="642"/>
        <v>0</v>
      </c>
      <c r="BU755" s="24">
        <f t="shared" ca="1" si="638"/>
        <v>0</v>
      </c>
      <c r="BV755" s="24">
        <f t="shared" ca="1" si="643"/>
        <v>0</v>
      </c>
      <c r="BW755" s="24">
        <f t="shared" ca="1" si="639"/>
        <v>-275.56363952022855</v>
      </c>
      <c r="BX755" s="25">
        <f t="shared" ca="1" si="644"/>
        <v>-3505.5324907824829</v>
      </c>
      <c r="BY755" s="23">
        <f t="shared" ca="1" si="611"/>
        <v>1576.9522254418982</v>
      </c>
      <c r="BZ755" s="24">
        <f t="shared" ca="1" si="612"/>
        <v>0</v>
      </c>
      <c r="CA755" s="24">
        <f t="shared" ca="1" si="645"/>
        <v>0</v>
      </c>
      <c r="CB755" s="24">
        <f t="shared" ca="1" si="613"/>
        <v>0</v>
      </c>
      <c r="CC755" s="24">
        <f t="shared" ca="1" si="646"/>
        <v>0</v>
      </c>
      <c r="CD755" s="24">
        <f t="shared" ca="1" si="614"/>
        <v>-23.98261528078098</v>
      </c>
      <c r="CE755" s="25">
        <f t="shared" ca="1" si="647"/>
        <v>-310.78793741885841</v>
      </c>
      <c r="CF755" s="23">
        <f t="shared" ca="1" si="648"/>
        <v>3034553.7888608435</v>
      </c>
      <c r="CG755" s="25">
        <f t="array" aca="1" ref="CG755" ca="1">SUM(BF744:BF755/(1+inflation/100)^(AP744:AP755/12))</f>
        <v>267980.53702225385</v>
      </c>
      <c r="CH755" s="32">
        <f ca="1">IFERROR(IF(MOD(AP755-ap_months_since_start,12)=0,ap_drawdown/100*(AQ755+AV755+BA755-BC755),CH754),0)</f>
        <v>2904.1722207348521</v>
      </c>
    </row>
    <row r="756" spans="40:86" x14ac:dyDescent="0.25">
      <c r="AN756" s="32">
        <f t="shared" ca="1" si="609"/>
        <v>117.25</v>
      </c>
      <c r="AO756" s="53">
        <f t="shared" ca="1" si="640"/>
        <v>68393</v>
      </c>
      <c r="AP756" s="22">
        <v>749</v>
      </c>
      <c r="AQ756" s="32">
        <f t="shared" ca="1" si="641"/>
        <v>18178.722186230447</v>
      </c>
      <c r="AR756" s="23">
        <f t="array" aca="1" ref="AR756" ca="1">SUM(IF(lsc_start_date=AO756,lsc_amount,0))</f>
        <v>0</v>
      </c>
      <c r="AS756" s="24">
        <f t="shared" ca="1" si="615"/>
        <v>0</v>
      </c>
      <c r="AT756" s="24">
        <f t="shared" ca="1" si="616"/>
        <v>0</v>
      </c>
      <c r="AU756" s="24">
        <f t="shared" ca="1" si="617"/>
        <v>0</v>
      </c>
      <c r="AV756" s="25">
        <f t="shared" ca="1" si="618"/>
        <v>0</v>
      </c>
      <c r="AW756" s="23">
        <f t="array" aca="1" ref="AW756" ca="1">SUM(IF(rcs_start_date&lt;=AO756,1,0)*IF(rcs_end_date&gt;=AO756,1,0)*rcs_amount*(1+rcs_escalation/100)^(INT((AP756-rcs_months_since_start)/12))*IF(MOD((AP756-rcs_months_since_start),rcs_frequency)=0,1,0)*IF(rcs_frequency=13,0,1))+SUM(IF(rcs_start_date=AO756,rcs_amount,0)*IF(rcs_frequency=13,1,0))</f>
        <v>0</v>
      </c>
      <c r="AX756" s="24">
        <f t="shared" ca="1" si="619"/>
        <v>0</v>
      </c>
      <c r="AY756" s="24">
        <f t="shared" ca="1" si="620"/>
        <v>0</v>
      </c>
      <c r="AZ756" s="24">
        <f t="shared" ca="1" si="621"/>
        <v>0</v>
      </c>
      <c r="BA756" s="25">
        <f t="shared" ca="1" si="622"/>
        <v>0</v>
      </c>
      <c r="BB756" s="23">
        <f t="array" aca="1" ref="BB756" ca="1">SUM(IF(w_start_date&lt;=AO756,1,0)*IF(w_end_date&gt;=AO756,1,0)*w_amount*(1+w_escalation/100)^(INT((AP756-w_months_since_start)/12))*IF(MOD(AP756-w_months_since_start,w_frequency)=0,1,0)*IF(w_frequency=13,0,1))+SUM(IF(w_start_date=AO756,w_amount,0)*IF(w_frequency=13,1,0))</f>
        <v>0</v>
      </c>
      <c r="BC756" s="25">
        <f t="shared" ca="1" si="623"/>
        <v>0</v>
      </c>
      <c r="BD756" s="24" t="b">
        <f t="shared" ca="1" si="624"/>
        <v>1</v>
      </c>
      <c r="BE756" s="24" t="b">
        <f t="shared" ca="1" si="625"/>
        <v>1</v>
      </c>
      <c r="BF756" s="23">
        <f t="array" aca="1" ref="BF756" ca="1">SUM(IF(BD756,1,0)*IF(ap_start_date&lt;=AO756,1,0)*IF(ap_end_date&gt;=AO756,1,0)*ap_amount*(1+ap_escalation/100)^(INT((AP756-ap_months_since_start)/12))*IF(MOD(AP756-ap_months_since_start,ap_frequency)=0,1,0))</f>
        <v>258683.27380453094</v>
      </c>
      <c r="BG756" s="24">
        <f t="shared" ca="1" si="626"/>
        <v>3104199.2856543711</v>
      </c>
      <c r="BH756" s="24">
        <f t="shared" ca="1" si="627"/>
        <v>472.39481060610609</v>
      </c>
      <c r="BI756">
        <f t="shared" ca="1" si="628"/>
        <v>0</v>
      </c>
      <c r="BJ756" s="24">
        <f t="shared" ca="1" si="629"/>
        <v>3306.7636742427421</v>
      </c>
      <c r="BK756">
        <f t="shared" ca="1" si="630"/>
        <v>1</v>
      </c>
      <c r="BL756" s="25">
        <f t="shared" ca="1" si="631"/>
        <v>275.56363952022855</v>
      </c>
      <c r="BM756" s="32">
        <f t="shared" ca="1" si="610"/>
        <v>18032.192398736417</v>
      </c>
      <c r="BN756" s="23">
        <f t="shared" ca="1" si="632"/>
        <v>0</v>
      </c>
      <c r="BO756" s="24">
        <f t="shared" ca="1" si="633"/>
        <v>0</v>
      </c>
      <c r="BP756" s="25">
        <f t="shared" ca="1" si="634"/>
        <v>0</v>
      </c>
      <c r="BQ756" s="34">
        <f t="shared" ca="1" si="635"/>
        <v>68422</v>
      </c>
      <c r="BR756" s="23">
        <f t="shared" ca="1" si="636"/>
        <v>18032.192398736417</v>
      </c>
      <c r="BS756" s="24">
        <f t="shared" ca="1" si="637"/>
        <v>0</v>
      </c>
      <c r="BT756" s="24">
        <f t="shared" ca="1" si="642"/>
        <v>0</v>
      </c>
      <c r="BU756" s="24">
        <f t="shared" ca="1" si="638"/>
        <v>0</v>
      </c>
      <c r="BV756" s="24">
        <f t="shared" ca="1" si="643"/>
        <v>0</v>
      </c>
      <c r="BW756" s="24">
        <f t="shared" ca="1" si="639"/>
        <v>-275.56363952022855</v>
      </c>
      <c r="BX756" s="25">
        <f t="shared" ca="1" si="644"/>
        <v>-3477.1369455625204</v>
      </c>
      <c r="BY756" s="23">
        <f t="shared" ca="1" si="611"/>
        <v>1559.1369761677015</v>
      </c>
      <c r="BZ756" s="24">
        <f t="shared" ca="1" si="612"/>
        <v>0</v>
      </c>
      <c r="CA756" s="24">
        <f t="shared" ca="1" si="645"/>
        <v>0</v>
      </c>
      <c r="CB756" s="24">
        <f t="shared" ca="1" si="613"/>
        <v>0</v>
      </c>
      <c r="CC756" s="24">
        <f t="shared" ca="1" si="646"/>
        <v>0</v>
      </c>
      <c r="CD756" s="24">
        <f t="shared" ca="1" si="614"/>
        <v>-23.90435863096284</v>
      </c>
      <c r="CE756" s="25">
        <f t="shared" ca="1" si="647"/>
        <v>-307.27000133485365</v>
      </c>
      <c r="CF756" s="23">
        <f t="shared" ca="1" si="648"/>
        <v>3044503.145545633</v>
      </c>
      <c r="CG756" s="25">
        <f t="array" aca="1" ref="CG756" ca="1">SUM(BF745:BF756/(1+inflation/100)^(AP745:AP756/12))</f>
        <v>267980.53702225385</v>
      </c>
      <c r="CH756" s="32">
        <f ca="1">IFERROR(IF(MOD(AP756-ap_months_since_start,12)=0,ap_drawdown/100*(AQ756+AV756+BA756-BC756),CH755),0)</f>
        <v>2904.1722207348521</v>
      </c>
    </row>
    <row r="757" spans="40:86" x14ac:dyDescent="0.25">
      <c r="AN757" s="32">
        <f t="shared" ca="1" si="609"/>
        <v>117.33333333333333</v>
      </c>
      <c r="AO757" s="53">
        <f t="shared" ca="1" si="640"/>
        <v>68423</v>
      </c>
      <c r="AP757" s="22">
        <v>750</v>
      </c>
      <c r="AQ757" s="32">
        <f t="shared" ca="1" si="641"/>
        <v>18032.192398736417</v>
      </c>
      <c r="AR757" s="23">
        <f t="array" aca="1" ref="AR757" ca="1">SUM(IF(lsc_start_date=AO757,lsc_amount,0))</f>
        <v>0</v>
      </c>
      <c r="AS757" s="24">
        <f t="shared" ca="1" si="615"/>
        <v>0</v>
      </c>
      <c r="AT757" s="24">
        <f t="shared" ca="1" si="616"/>
        <v>0</v>
      </c>
      <c r="AU757" s="24">
        <f t="shared" ca="1" si="617"/>
        <v>0</v>
      </c>
      <c r="AV757" s="25">
        <f t="shared" ca="1" si="618"/>
        <v>0</v>
      </c>
      <c r="AW757" s="23">
        <f t="array" aca="1" ref="AW757" ca="1">SUM(IF(rcs_start_date&lt;=AO757,1,0)*IF(rcs_end_date&gt;=AO757,1,0)*rcs_amount*(1+rcs_escalation/100)^(INT((AP757-rcs_months_since_start)/12))*IF(MOD((AP757-rcs_months_since_start),rcs_frequency)=0,1,0)*IF(rcs_frequency=13,0,1))+SUM(IF(rcs_start_date=AO757,rcs_amount,0)*IF(rcs_frequency=13,1,0))</f>
        <v>0</v>
      </c>
      <c r="AX757" s="24">
        <f t="shared" ca="1" si="619"/>
        <v>0</v>
      </c>
      <c r="AY757" s="24">
        <f t="shared" ca="1" si="620"/>
        <v>0</v>
      </c>
      <c r="AZ757" s="24">
        <f t="shared" ca="1" si="621"/>
        <v>0</v>
      </c>
      <c r="BA757" s="25">
        <f t="shared" ca="1" si="622"/>
        <v>0</v>
      </c>
      <c r="BB757" s="23">
        <f t="array" aca="1" ref="BB757" ca="1">SUM(IF(w_start_date&lt;=AO757,1,0)*IF(w_end_date&gt;=AO757,1,0)*w_amount*(1+w_escalation/100)^(INT((AP757-w_months_since_start)/12))*IF(MOD(AP757-w_months_since_start,w_frequency)=0,1,0)*IF(w_frequency=13,0,1))+SUM(IF(w_start_date=AO757,w_amount,0)*IF(w_frequency=13,1,0))</f>
        <v>0</v>
      </c>
      <c r="BC757" s="25">
        <f t="shared" ca="1" si="623"/>
        <v>0</v>
      </c>
      <c r="BD757" s="24" t="b">
        <f t="shared" ca="1" si="624"/>
        <v>1</v>
      </c>
      <c r="BE757" s="24" t="b">
        <f t="shared" ca="1" si="625"/>
        <v>1</v>
      </c>
      <c r="BF757" s="23">
        <f t="array" aca="1" ref="BF757" ca="1">SUM(IF(BD757,1,0)*IF(ap_start_date&lt;=AO757,1,0)*IF(ap_end_date&gt;=AO757,1,0)*ap_amount*(1+ap_escalation/100)^(INT((AP757-ap_months_since_start)/12))*IF(MOD(AP757-ap_months_since_start,ap_frequency)=0,1,0))</f>
        <v>258683.27380453094</v>
      </c>
      <c r="BG757" s="24">
        <f t="shared" ca="1" si="626"/>
        <v>3104199.2856543711</v>
      </c>
      <c r="BH757" s="24">
        <f t="shared" ca="1" si="627"/>
        <v>472.39481060610609</v>
      </c>
      <c r="BI757">
        <f t="shared" ca="1" si="628"/>
        <v>0</v>
      </c>
      <c r="BJ757" s="24">
        <f t="shared" ca="1" si="629"/>
        <v>3306.7636742427421</v>
      </c>
      <c r="BK757">
        <f t="shared" ca="1" si="630"/>
        <v>1</v>
      </c>
      <c r="BL757" s="25">
        <f t="shared" ca="1" si="631"/>
        <v>275.56363952022855</v>
      </c>
      <c r="BM757" s="32">
        <f t="shared" ca="1" si="610"/>
        <v>17884.606523688471</v>
      </c>
      <c r="BN757" s="23">
        <f t="shared" ca="1" si="632"/>
        <v>0</v>
      </c>
      <c r="BO757" s="24">
        <f t="shared" ca="1" si="633"/>
        <v>0</v>
      </c>
      <c r="BP757" s="25">
        <f t="shared" ca="1" si="634"/>
        <v>0</v>
      </c>
      <c r="BQ757" s="34">
        <f t="shared" ca="1" si="635"/>
        <v>68453</v>
      </c>
      <c r="BR757" s="23">
        <f t="shared" ca="1" si="636"/>
        <v>17884.606523688471</v>
      </c>
      <c r="BS757" s="24">
        <f t="shared" ca="1" si="637"/>
        <v>0</v>
      </c>
      <c r="BT757" s="24">
        <f t="shared" ca="1" si="642"/>
        <v>0</v>
      </c>
      <c r="BU757" s="24">
        <f t="shared" ca="1" si="638"/>
        <v>0</v>
      </c>
      <c r="BV757" s="24">
        <f t="shared" ca="1" si="643"/>
        <v>0</v>
      </c>
      <c r="BW757" s="24">
        <f t="shared" ca="1" si="639"/>
        <v>-275.56363952022855</v>
      </c>
      <c r="BX757" s="25">
        <f t="shared" ca="1" si="644"/>
        <v>-3448.7414003425574</v>
      </c>
      <c r="BY757" s="23">
        <f t="shared" ca="1" si="611"/>
        <v>1541.3301849073925</v>
      </c>
      <c r="BZ757" s="24">
        <f t="shared" ca="1" si="612"/>
        <v>0</v>
      </c>
      <c r="CA757" s="24">
        <f t="shared" ca="1" si="645"/>
        <v>0</v>
      </c>
      <c r="CB757" s="24">
        <f t="shared" ca="1" si="613"/>
        <v>0</v>
      </c>
      <c r="CC757" s="24">
        <f t="shared" ca="1" si="646"/>
        <v>0</v>
      </c>
      <c r="CD757" s="24">
        <f t="shared" ca="1" si="614"/>
        <v>-23.82635733708355</v>
      </c>
      <c r="CE757" s="25">
        <f t="shared" ca="1" si="647"/>
        <v>-303.76354447815521</v>
      </c>
      <c r="CF757" s="23">
        <f t="shared" ca="1" si="648"/>
        <v>3054452.502230423</v>
      </c>
      <c r="CG757" s="25">
        <f t="array" aca="1" ref="CG757" ca="1">SUM(BF746:BF757/(1+inflation/100)^(AP746:AP757/12))</f>
        <v>267980.53702225391</v>
      </c>
      <c r="CH757" s="32">
        <f ca="1">IFERROR(IF(MOD(AP757-ap_months_since_start,12)=0,ap_drawdown/100*(AQ757+AV757+BA757-BC757),CH756),0)</f>
        <v>2904.1722207348521</v>
      </c>
    </row>
    <row r="758" spans="40:86" x14ac:dyDescent="0.25">
      <c r="AN758" s="32">
        <f t="shared" ca="1" si="609"/>
        <v>117.41666666666667</v>
      </c>
      <c r="AO758" s="53">
        <f t="shared" ca="1" si="640"/>
        <v>68454</v>
      </c>
      <c r="AP758" s="22">
        <v>751</v>
      </c>
      <c r="AQ758" s="32">
        <f t="shared" ca="1" si="641"/>
        <v>17884.606523688471</v>
      </c>
      <c r="AR758" s="23">
        <f t="array" aca="1" ref="AR758" ca="1">SUM(IF(lsc_start_date=AO758,lsc_amount,0))</f>
        <v>0</v>
      </c>
      <c r="AS758" s="24">
        <f t="shared" ca="1" si="615"/>
        <v>0</v>
      </c>
      <c r="AT758" s="24">
        <f t="shared" ca="1" si="616"/>
        <v>0</v>
      </c>
      <c r="AU758" s="24">
        <f t="shared" ca="1" si="617"/>
        <v>0</v>
      </c>
      <c r="AV758" s="25">
        <f t="shared" ca="1" si="618"/>
        <v>0</v>
      </c>
      <c r="AW758" s="23">
        <f t="array" aca="1" ref="AW758" ca="1">SUM(IF(rcs_start_date&lt;=AO758,1,0)*IF(rcs_end_date&gt;=AO758,1,0)*rcs_amount*(1+rcs_escalation/100)^(INT((AP758-rcs_months_since_start)/12))*IF(MOD((AP758-rcs_months_since_start),rcs_frequency)=0,1,0)*IF(rcs_frequency=13,0,1))+SUM(IF(rcs_start_date=AO758,rcs_amount,0)*IF(rcs_frequency=13,1,0))</f>
        <v>0</v>
      </c>
      <c r="AX758" s="24">
        <f t="shared" ca="1" si="619"/>
        <v>0</v>
      </c>
      <c r="AY758" s="24">
        <f t="shared" ca="1" si="620"/>
        <v>0</v>
      </c>
      <c r="AZ758" s="24">
        <f t="shared" ca="1" si="621"/>
        <v>0</v>
      </c>
      <c r="BA758" s="25">
        <f t="shared" ca="1" si="622"/>
        <v>0</v>
      </c>
      <c r="BB758" s="23">
        <f t="array" aca="1" ref="BB758" ca="1">SUM(IF(w_start_date&lt;=AO758,1,0)*IF(w_end_date&gt;=AO758,1,0)*w_amount*(1+w_escalation/100)^(INT((AP758-w_months_since_start)/12))*IF(MOD(AP758-w_months_since_start,w_frequency)=0,1,0)*IF(w_frequency=13,0,1))+SUM(IF(w_start_date=AO758,w_amount,0)*IF(w_frequency=13,1,0))</f>
        <v>0</v>
      </c>
      <c r="BC758" s="25">
        <f t="shared" ca="1" si="623"/>
        <v>0</v>
      </c>
      <c r="BD758" s="24" t="b">
        <f t="shared" ca="1" si="624"/>
        <v>1</v>
      </c>
      <c r="BE758" s="24" t="b">
        <f t="shared" ca="1" si="625"/>
        <v>1</v>
      </c>
      <c r="BF758" s="23">
        <f t="array" aca="1" ref="BF758" ca="1">SUM(IF(BD758,1,0)*IF(ap_start_date&lt;=AO758,1,0)*IF(ap_end_date&gt;=AO758,1,0)*ap_amount*(1+ap_escalation/100)^(INT((AP758-ap_months_since_start)/12))*IF(MOD(AP758-ap_months_since_start,ap_frequency)=0,1,0))</f>
        <v>258683.27380453094</v>
      </c>
      <c r="BG758" s="24">
        <f t="shared" ca="1" si="626"/>
        <v>3104199.2856543711</v>
      </c>
      <c r="BH758" s="24">
        <f t="shared" ca="1" si="627"/>
        <v>472.39481060610609</v>
      </c>
      <c r="BI758">
        <f t="shared" ca="1" si="628"/>
        <v>0</v>
      </c>
      <c r="BJ758" s="24">
        <f t="shared" ca="1" si="629"/>
        <v>3306.7636742427421</v>
      </c>
      <c r="BK758">
        <f t="shared" ca="1" si="630"/>
        <v>1</v>
      </c>
      <c r="BL758" s="25">
        <f t="shared" ca="1" si="631"/>
        <v>275.56363952022855</v>
      </c>
      <c r="BM758" s="32">
        <f t="shared" ca="1" si="610"/>
        <v>17735.956949522162</v>
      </c>
      <c r="BN758" s="23">
        <f t="shared" ca="1" si="632"/>
        <v>0</v>
      </c>
      <c r="BO758" s="24">
        <f t="shared" ca="1" si="633"/>
        <v>0</v>
      </c>
      <c r="BP758" s="25">
        <f t="shared" ca="1" si="634"/>
        <v>0</v>
      </c>
      <c r="BQ758" s="34">
        <f t="shared" ca="1" si="635"/>
        <v>68483</v>
      </c>
      <c r="BR758" s="23">
        <f t="shared" ca="1" si="636"/>
        <v>17735.956949522162</v>
      </c>
      <c r="BS758" s="24">
        <f t="shared" ca="1" si="637"/>
        <v>0</v>
      </c>
      <c r="BT758" s="24">
        <f t="shared" ca="1" si="642"/>
        <v>0</v>
      </c>
      <c r="BU758" s="24">
        <f t="shared" ca="1" si="638"/>
        <v>0</v>
      </c>
      <c r="BV758" s="24">
        <f t="shared" ca="1" si="643"/>
        <v>0</v>
      </c>
      <c r="BW758" s="24">
        <f t="shared" ca="1" si="639"/>
        <v>-275.56363952022855</v>
      </c>
      <c r="BX758" s="25">
        <f t="shared" ca="1" si="644"/>
        <v>-3420.3458551225949</v>
      </c>
      <c r="BY758" s="23">
        <f t="shared" ca="1" si="611"/>
        <v>1523.5316293020974</v>
      </c>
      <c r="BZ758" s="24">
        <f t="shared" ca="1" si="612"/>
        <v>0</v>
      </c>
      <c r="CA758" s="24">
        <f t="shared" ca="1" si="645"/>
        <v>0</v>
      </c>
      <c r="CB758" s="24">
        <f t="shared" ca="1" si="613"/>
        <v>0</v>
      </c>
      <c r="CC758" s="24">
        <f t="shared" ca="1" si="646"/>
        <v>0</v>
      </c>
      <c r="CD758" s="24">
        <f t="shared" ca="1" si="614"/>
        <v>-23.748610565902005</v>
      </c>
      <c r="CE758" s="25">
        <f t="shared" ca="1" si="647"/>
        <v>-300.26852939138564</v>
      </c>
      <c r="CF758" s="23">
        <f t="shared" ca="1" si="648"/>
        <v>3064401.8589152126</v>
      </c>
      <c r="CG758" s="25">
        <f t="array" aca="1" ref="CG758" ca="1">SUM(BF747:BF758/(1+inflation/100)^(AP747:AP758/12))</f>
        <v>267980.53702225391</v>
      </c>
      <c r="CH758" s="32">
        <f ca="1">IFERROR(IF(MOD(AP758-ap_months_since_start,12)=0,ap_drawdown/100*(AQ758+AV758+BA758-BC758),CH757),0)</f>
        <v>2904.1722207348521</v>
      </c>
    </row>
    <row r="759" spans="40:86" x14ac:dyDescent="0.25">
      <c r="AN759" s="32">
        <f t="shared" ca="1" si="609"/>
        <v>117.5</v>
      </c>
      <c r="AO759" s="53">
        <f t="shared" ca="1" si="640"/>
        <v>68484</v>
      </c>
      <c r="AP759" s="22">
        <v>752</v>
      </c>
      <c r="AQ759" s="32">
        <f t="shared" ca="1" si="641"/>
        <v>17735.956949522162</v>
      </c>
      <c r="AR759" s="23">
        <f t="array" aca="1" ref="AR759" ca="1">SUM(IF(lsc_start_date=AO759,lsc_amount,0))</f>
        <v>0</v>
      </c>
      <c r="AS759" s="24">
        <f t="shared" ca="1" si="615"/>
        <v>0</v>
      </c>
      <c r="AT759" s="24">
        <f t="shared" ca="1" si="616"/>
        <v>0</v>
      </c>
      <c r="AU759" s="24">
        <f t="shared" ca="1" si="617"/>
        <v>0</v>
      </c>
      <c r="AV759" s="25">
        <f t="shared" ca="1" si="618"/>
        <v>0</v>
      </c>
      <c r="AW759" s="23">
        <f t="array" aca="1" ref="AW759" ca="1">SUM(IF(rcs_start_date&lt;=AO759,1,0)*IF(rcs_end_date&gt;=AO759,1,0)*rcs_amount*(1+rcs_escalation/100)^(INT((AP759-rcs_months_since_start)/12))*IF(MOD((AP759-rcs_months_since_start),rcs_frequency)=0,1,0)*IF(rcs_frequency=13,0,1))+SUM(IF(rcs_start_date=AO759,rcs_amount,0)*IF(rcs_frequency=13,1,0))</f>
        <v>0</v>
      </c>
      <c r="AX759" s="24">
        <f t="shared" ca="1" si="619"/>
        <v>0</v>
      </c>
      <c r="AY759" s="24">
        <f t="shared" ca="1" si="620"/>
        <v>0</v>
      </c>
      <c r="AZ759" s="24">
        <f t="shared" ca="1" si="621"/>
        <v>0</v>
      </c>
      <c r="BA759" s="25">
        <f t="shared" ca="1" si="622"/>
        <v>0</v>
      </c>
      <c r="BB759" s="23">
        <f t="array" aca="1" ref="BB759" ca="1">SUM(IF(w_start_date&lt;=AO759,1,0)*IF(w_end_date&gt;=AO759,1,0)*w_amount*(1+w_escalation/100)^(INT((AP759-w_months_since_start)/12))*IF(MOD(AP759-w_months_since_start,w_frequency)=0,1,0)*IF(w_frequency=13,0,1))+SUM(IF(w_start_date=AO759,w_amount,0)*IF(w_frequency=13,1,0))</f>
        <v>0</v>
      </c>
      <c r="BC759" s="25">
        <f t="shared" ca="1" si="623"/>
        <v>0</v>
      </c>
      <c r="BD759" s="24" t="b">
        <f t="shared" ca="1" si="624"/>
        <v>1</v>
      </c>
      <c r="BE759" s="24" t="b">
        <f t="shared" ca="1" si="625"/>
        <v>1</v>
      </c>
      <c r="BF759" s="23">
        <f t="array" aca="1" ref="BF759" ca="1">SUM(IF(BD759,1,0)*IF(ap_start_date&lt;=AO759,1,0)*IF(ap_end_date&gt;=AO759,1,0)*ap_amount*(1+ap_escalation/100)^(INT((AP759-ap_months_since_start)/12))*IF(MOD(AP759-ap_months_since_start,ap_frequency)=0,1,0))</f>
        <v>258683.27380453094</v>
      </c>
      <c r="BG759" s="24">
        <f t="shared" ca="1" si="626"/>
        <v>3104199.2856543711</v>
      </c>
      <c r="BH759" s="24">
        <f t="shared" ca="1" si="627"/>
        <v>472.39481060610609</v>
      </c>
      <c r="BI759">
        <f t="shared" ca="1" si="628"/>
        <v>0</v>
      </c>
      <c r="BJ759" s="24">
        <f t="shared" ca="1" si="629"/>
        <v>3306.7636742427421</v>
      </c>
      <c r="BK759">
        <f t="shared" ca="1" si="630"/>
        <v>1</v>
      </c>
      <c r="BL759" s="25">
        <f t="shared" ca="1" si="631"/>
        <v>275.56363952022855</v>
      </c>
      <c r="BM759" s="32">
        <f t="shared" ca="1" si="610"/>
        <v>17586.236009814031</v>
      </c>
      <c r="BN759" s="23">
        <f t="shared" ca="1" si="632"/>
        <v>0</v>
      </c>
      <c r="BO759" s="24">
        <f t="shared" ca="1" si="633"/>
        <v>0</v>
      </c>
      <c r="BP759" s="25">
        <f t="shared" ca="1" si="634"/>
        <v>0</v>
      </c>
      <c r="BQ759" s="34">
        <f t="shared" ca="1" si="635"/>
        <v>68514</v>
      </c>
      <c r="BR759" s="23">
        <f t="shared" ca="1" si="636"/>
        <v>17586.236009814031</v>
      </c>
      <c r="BS759" s="24">
        <f t="shared" ca="1" si="637"/>
        <v>0</v>
      </c>
      <c r="BT759" s="24">
        <f t="shared" ca="1" si="642"/>
        <v>0</v>
      </c>
      <c r="BU759" s="24">
        <f t="shared" ca="1" si="638"/>
        <v>0</v>
      </c>
      <c r="BV759" s="24">
        <f t="shared" ca="1" si="643"/>
        <v>0</v>
      </c>
      <c r="BW759" s="24">
        <f t="shared" ca="1" si="639"/>
        <v>-275.56363952022855</v>
      </c>
      <c r="BX759" s="25">
        <f t="shared" ca="1" si="644"/>
        <v>-3391.9503099026319</v>
      </c>
      <c r="BY759" s="23">
        <f t="shared" ca="1" si="611"/>
        <v>1505.7410869549042</v>
      </c>
      <c r="BZ759" s="24">
        <f t="shared" ca="1" si="612"/>
        <v>0</v>
      </c>
      <c r="CA759" s="24">
        <f t="shared" ca="1" si="645"/>
        <v>0</v>
      </c>
      <c r="CB759" s="24">
        <f t="shared" ca="1" si="613"/>
        <v>0</v>
      </c>
      <c r="CC759" s="24">
        <f t="shared" ca="1" si="646"/>
        <v>0</v>
      </c>
      <c r="CD759" s="24">
        <f t="shared" ca="1" si="614"/>
        <v>-23.671117486896055</v>
      </c>
      <c r="CE759" s="25">
        <f t="shared" ca="1" si="647"/>
        <v>-296.78491873939322</v>
      </c>
      <c r="CF759" s="23">
        <f t="shared" ca="1" si="648"/>
        <v>3074351.2156000026</v>
      </c>
      <c r="CG759" s="25">
        <f t="array" aca="1" ref="CG759" ca="1">SUM(BF748:BF759/(1+inflation/100)^(AP748:AP759/12))</f>
        <v>267980.53702225385</v>
      </c>
      <c r="CH759" s="32">
        <f ca="1">IFERROR(IF(MOD(AP759-ap_months_since_start,12)=0,ap_drawdown/100*(AQ759+AV759+BA759-BC759),CH758),0)</f>
        <v>2904.1722207348521</v>
      </c>
    </row>
    <row r="760" spans="40:86" x14ac:dyDescent="0.25">
      <c r="AN760" s="32">
        <f t="shared" ca="1" si="609"/>
        <v>117.58333333333333</v>
      </c>
      <c r="AO760" s="53">
        <f t="shared" ca="1" si="640"/>
        <v>68515</v>
      </c>
      <c r="AP760" s="22">
        <v>753</v>
      </c>
      <c r="AQ760" s="32">
        <f t="shared" ca="1" si="641"/>
        <v>17586.236009814031</v>
      </c>
      <c r="AR760" s="23">
        <f t="array" aca="1" ref="AR760" ca="1">SUM(IF(lsc_start_date=AO760,lsc_amount,0))</f>
        <v>0</v>
      </c>
      <c r="AS760" s="24">
        <f t="shared" ca="1" si="615"/>
        <v>0</v>
      </c>
      <c r="AT760" s="24">
        <f t="shared" ca="1" si="616"/>
        <v>0</v>
      </c>
      <c r="AU760" s="24">
        <f t="shared" ca="1" si="617"/>
        <v>0</v>
      </c>
      <c r="AV760" s="25">
        <f t="shared" ca="1" si="618"/>
        <v>0</v>
      </c>
      <c r="AW760" s="23">
        <f t="array" aca="1" ref="AW760" ca="1">SUM(IF(rcs_start_date&lt;=AO760,1,0)*IF(rcs_end_date&gt;=AO760,1,0)*rcs_amount*(1+rcs_escalation/100)^(INT((AP760-rcs_months_since_start)/12))*IF(MOD((AP760-rcs_months_since_start),rcs_frequency)=0,1,0)*IF(rcs_frequency=13,0,1))+SUM(IF(rcs_start_date=AO760,rcs_amount,0)*IF(rcs_frequency=13,1,0))</f>
        <v>0</v>
      </c>
      <c r="AX760" s="24">
        <f t="shared" ca="1" si="619"/>
        <v>0</v>
      </c>
      <c r="AY760" s="24">
        <f t="shared" ca="1" si="620"/>
        <v>0</v>
      </c>
      <c r="AZ760" s="24">
        <f t="shared" ca="1" si="621"/>
        <v>0</v>
      </c>
      <c r="BA760" s="25">
        <f t="shared" ca="1" si="622"/>
        <v>0</v>
      </c>
      <c r="BB760" s="23">
        <f t="array" aca="1" ref="BB760" ca="1">SUM(IF(w_start_date&lt;=AO760,1,0)*IF(w_end_date&gt;=AO760,1,0)*w_amount*(1+w_escalation/100)^(INT((AP760-w_months_since_start)/12))*IF(MOD(AP760-w_months_since_start,w_frequency)=0,1,0)*IF(w_frequency=13,0,1))+SUM(IF(w_start_date=AO760,w_amount,0)*IF(w_frequency=13,1,0))</f>
        <v>0</v>
      </c>
      <c r="BC760" s="25">
        <f t="shared" ca="1" si="623"/>
        <v>0</v>
      </c>
      <c r="BD760" s="24" t="b">
        <f t="shared" ca="1" si="624"/>
        <v>1</v>
      </c>
      <c r="BE760" s="24" t="b">
        <f t="shared" ca="1" si="625"/>
        <v>1</v>
      </c>
      <c r="BF760" s="23">
        <f t="array" aca="1" ref="BF760" ca="1">SUM(IF(BD760,1,0)*IF(ap_start_date&lt;=AO760,1,0)*IF(ap_end_date&gt;=AO760,1,0)*ap_amount*(1+ap_escalation/100)^(INT((AP760-ap_months_since_start)/12))*IF(MOD(AP760-ap_months_since_start,ap_frequency)=0,1,0))</f>
        <v>258683.27380453094</v>
      </c>
      <c r="BG760" s="24">
        <f t="shared" ca="1" si="626"/>
        <v>3104199.2856543711</v>
      </c>
      <c r="BH760" s="24">
        <f t="shared" ca="1" si="627"/>
        <v>472.39481060610609</v>
      </c>
      <c r="BI760">
        <f t="shared" ca="1" si="628"/>
        <v>0</v>
      </c>
      <c r="BJ760" s="24">
        <f t="shared" ca="1" si="629"/>
        <v>3306.7636742427421</v>
      </c>
      <c r="BK760">
        <f t="shared" ca="1" si="630"/>
        <v>1</v>
      </c>
      <c r="BL760" s="25">
        <f t="shared" ca="1" si="631"/>
        <v>275.56363952022855</v>
      </c>
      <c r="BM760" s="32">
        <f t="shared" ca="1" si="610"/>
        <v>17435.435982886225</v>
      </c>
      <c r="BN760" s="23">
        <f t="shared" ca="1" si="632"/>
        <v>0</v>
      </c>
      <c r="BO760" s="24">
        <f t="shared" ca="1" si="633"/>
        <v>0</v>
      </c>
      <c r="BP760" s="25">
        <f t="shared" ca="1" si="634"/>
        <v>0</v>
      </c>
      <c r="BQ760" s="34">
        <f t="shared" ca="1" si="635"/>
        <v>68545</v>
      </c>
      <c r="BR760" s="23">
        <f t="shared" ca="1" si="636"/>
        <v>17435.435982886225</v>
      </c>
      <c r="BS760" s="24">
        <f t="shared" ca="1" si="637"/>
        <v>0</v>
      </c>
      <c r="BT760" s="24">
        <f t="shared" ca="1" si="642"/>
        <v>0</v>
      </c>
      <c r="BU760" s="24">
        <f t="shared" ca="1" si="638"/>
        <v>0</v>
      </c>
      <c r="BV760" s="24">
        <f t="shared" ca="1" si="643"/>
        <v>0</v>
      </c>
      <c r="BW760" s="24">
        <f t="shared" ca="1" si="639"/>
        <v>-275.56363952022855</v>
      </c>
      <c r="BX760" s="25">
        <f t="shared" ca="1" si="644"/>
        <v>-3363.554764682669</v>
      </c>
      <c r="BY760" s="23">
        <f t="shared" ca="1" si="611"/>
        <v>1487.9583354279987</v>
      </c>
      <c r="BZ760" s="24">
        <f t="shared" ca="1" si="612"/>
        <v>0</v>
      </c>
      <c r="CA760" s="24">
        <f t="shared" ca="1" si="645"/>
        <v>0</v>
      </c>
      <c r="CB760" s="24">
        <f t="shared" ca="1" si="613"/>
        <v>0</v>
      </c>
      <c r="CC760" s="24">
        <f t="shared" ca="1" si="646"/>
        <v>0</v>
      </c>
      <c r="CD760" s="24">
        <f t="shared" ca="1" si="614"/>
        <v>-23.593877272253554</v>
      </c>
      <c r="CE760" s="25">
        <f t="shared" ca="1" si="647"/>
        <v>-293.31267530885293</v>
      </c>
      <c r="CF760" s="23">
        <f t="shared" ca="1" si="648"/>
        <v>3084300.5722847921</v>
      </c>
      <c r="CG760" s="25">
        <f t="array" aca="1" ref="CG760" ca="1">SUM(BF749:BF760/(1+inflation/100)^(AP749:AP760/12))</f>
        <v>267980.53702225391</v>
      </c>
      <c r="CH760" s="32">
        <f ca="1">IFERROR(IF(MOD(AP760-ap_months_since_start,12)=0,ap_drawdown/100*(AQ760+AV760+BA760-BC760),CH759),0)</f>
        <v>2904.1722207348521</v>
      </c>
    </row>
    <row r="761" spans="40:86" x14ac:dyDescent="0.25">
      <c r="AN761" s="32">
        <f t="shared" ca="1" si="609"/>
        <v>117.66666666666667</v>
      </c>
      <c r="AO761" s="53">
        <f t="shared" ca="1" si="640"/>
        <v>68546</v>
      </c>
      <c r="AP761" s="22">
        <v>754</v>
      </c>
      <c r="AQ761" s="32">
        <f t="shared" ca="1" si="641"/>
        <v>17435.435982886225</v>
      </c>
      <c r="AR761" s="23">
        <f t="array" aca="1" ref="AR761" ca="1">SUM(IF(lsc_start_date=AO761,lsc_amount,0))</f>
        <v>0</v>
      </c>
      <c r="AS761" s="24">
        <f t="shared" ca="1" si="615"/>
        <v>0</v>
      </c>
      <c r="AT761" s="24">
        <f t="shared" ca="1" si="616"/>
        <v>0</v>
      </c>
      <c r="AU761" s="24">
        <f t="shared" ca="1" si="617"/>
        <v>0</v>
      </c>
      <c r="AV761" s="25">
        <f t="shared" ca="1" si="618"/>
        <v>0</v>
      </c>
      <c r="AW761" s="23">
        <f t="array" aca="1" ref="AW761" ca="1">SUM(IF(rcs_start_date&lt;=AO761,1,0)*IF(rcs_end_date&gt;=AO761,1,0)*rcs_amount*(1+rcs_escalation/100)^(INT((AP761-rcs_months_since_start)/12))*IF(MOD((AP761-rcs_months_since_start),rcs_frequency)=0,1,0)*IF(rcs_frequency=13,0,1))+SUM(IF(rcs_start_date=AO761,rcs_amount,0)*IF(rcs_frequency=13,1,0))</f>
        <v>0</v>
      </c>
      <c r="AX761" s="24">
        <f t="shared" ca="1" si="619"/>
        <v>0</v>
      </c>
      <c r="AY761" s="24">
        <f t="shared" ca="1" si="620"/>
        <v>0</v>
      </c>
      <c r="AZ761" s="24">
        <f t="shared" ca="1" si="621"/>
        <v>0</v>
      </c>
      <c r="BA761" s="25">
        <f t="shared" ca="1" si="622"/>
        <v>0</v>
      </c>
      <c r="BB761" s="23">
        <f t="array" aca="1" ref="BB761" ca="1">SUM(IF(w_start_date&lt;=AO761,1,0)*IF(w_end_date&gt;=AO761,1,0)*w_amount*(1+w_escalation/100)^(INT((AP761-w_months_since_start)/12))*IF(MOD(AP761-w_months_since_start,w_frequency)=0,1,0)*IF(w_frequency=13,0,1))+SUM(IF(w_start_date=AO761,w_amount,0)*IF(w_frequency=13,1,0))</f>
        <v>0</v>
      </c>
      <c r="BC761" s="25">
        <f t="shared" ca="1" si="623"/>
        <v>0</v>
      </c>
      <c r="BD761" s="24" t="b">
        <f t="shared" ca="1" si="624"/>
        <v>1</v>
      </c>
      <c r="BE761" s="24" t="b">
        <f t="shared" ca="1" si="625"/>
        <v>1</v>
      </c>
      <c r="BF761" s="23">
        <f t="array" aca="1" ref="BF761" ca="1">SUM(IF(BD761,1,0)*IF(ap_start_date&lt;=AO761,1,0)*IF(ap_end_date&gt;=AO761,1,0)*ap_amount*(1+ap_escalation/100)^(INT((AP761-ap_months_since_start)/12))*IF(MOD(AP761-ap_months_since_start,ap_frequency)=0,1,0))</f>
        <v>258683.27380453094</v>
      </c>
      <c r="BG761" s="24">
        <f t="shared" ca="1" si="626"/>
        <v>3104199.2856543711</v>
      </c>
      <c r="BH761" s="24">
        <f t="shared" ca="1" si="627"/>
        <v>472.39481060610609</v>
      </c>
      <c r="BI761">
        <f t="shared" ca="1" si="628"/>
        <v>0</v>
      </c>
      <c r="BJ761" s="24">
        <f t="shared" ca="1" si="629"/>
        <v>3306.7636742427421</v>
      </c>
      <c r="BK761">
        <f t="shared" ca="1" si="630"/>
        <v>1</v>
      </c>
      <c r="BL761" s="25">
        <f t="shared" ca="1" si="631"/>
        <v>275.56363952022855</v>
      </c>
      <c r="BM761" s="32">
        <f t="shared" ca="1" si="610"/>
        <v>17283.549091408269</v>
      </c>
      <c r="BN761" s="23">
        <f t="shared" ca="1" si="632"/>
        <v>0</v>
      </c>
      <c r="BO761" s="24">
        <f t="shared" ca="1" si="633"/>
        <v>0</v>
      </c>
      <c r="BP761" s="25">
        <f t="shared" ca="1" si="634"/>
        <v>0</v>
      </c>
      <c r="BQ761" s="34">
        <f t="shared" ca="1" si="635"/>
        <v>68575</v>
      </c>
      <c r="BR761" s="23">
        <f t="shared" ca="1" si="636"/>
        <v>17283.549091408269</v>
      </c>
      <c r="BS761" s="24">
        <f t="shared" ca="1" si="637"/>
        <v>0</v>
      </c>
      <c r="BT761" s="24">
        <f t="shared" ca="1" si="642"/>
        <v>0</v>
      </c>
      <c r="BU761" s="24">
        <f t="shared" ca="1" si="638"/>
        <v>0</v>
      </c>
      <c r="BV761" s="24">
        <f t="shared" ca="1" si="643"/>
        <v>0</v>
      </c>
      <c r="BW761" s="24">
        <f t="shared" ca="1" si="639"/>
        <v>-275.56363952022855</v>
      </c>
      <c r="BX761" s="25">
        <f t="shared" ca="1" si="644"/>
        <v>-3335.1592194627065</v>
      </c>
      <c r="BY761" s="23">
        <f t="shared" ca="1" si="611"/>
        <v>1470.1831522397881</v>
      </c>
      <c r="BZ761" s="24">
        <f t="shared" ca="1" si="612"/>
        <v>0</v>
      </c>
      <c r="CA761" s="24">
        <f t="shared" ca="1" si="645"/>
        <v>0</v>
      </c>
      <c r="CB761" s="24">
        <f t="shared" ca="1" si="613"/>
        <v>0</v>
      </c>
      <c r="CC761" s="24">
        <f t="shared" ca="1" si="646"/>
        <v>0</v>
      </c>
      <c r="CD761" s="24">
        <f t="shared" ca="1" si="614"/>
        <v>-23.516889096863601</v>
      </c>
      <c r="CE761" s="25">
        <f t="shared" ca="1" si="647"/>
        <v>-289.85176200786873</v>
      </c>
      <c r="CF761" s="23">
        <f t="shared" ca="1" si="648"/>
        <v>3094249.9289695816</v>
      </c>
      <c r="CG761" s="25">
        <f t="array" aca="1" ref="CG761" ca="1">SUM(BF750:BF761/(1+inflation/100)^(AP750:AP761/12))</f>
        <v>267980.53702225385</v>
      </c>
      <c r="CH761" s="32">
        <f ca="1">IFERROR(IF(MOD(AP761-ap_months_since_start,12)=0,ap_drawdown/100*(AQ761+AV761+BA761-BC761),CH760),0)</f>
        <v>2904.1722207348521</v>
      </c>
    </row>
    <row r="762" spans="40:86" x14ac:dyDescent="0.25">
      <c r="AN762" s="32">
        <f t="shared" ca="1" si="609"/>
        <v>117.75</v>
      </c>
      <c r="AO762" s="53">
        <f t="shared" ca="1" si="640"/>
        <v>68576</v>
      </c>
      <c r="AP762" s="22">
        <v>755</v>
      </c>
      <c r="AQ762" s="32">
        <f t="shared" ca="1" si="641"/>
        <v>17283.549091408269</v>
      </c>
      <c r="AR762" s="23">
        <f t="array" aca="1" ref="AR762" ca="1">SUM(IF(lsc_start_date=AO762,lsc_amount,0))</f>
        <v>0</v>
      </c>
      <c r="AS762" s="24">
        <f t="shared" ca="1" si="615"/>
        <v>0</v>
      </c>
      <c r="AT762" s="24">
        <f t="shared" ca="1" si="616"/>
        <v>0</v>
      </c>
      <c r="AU762" s="24">
        <f t="shared" ca="1" si="617"/>
        <v>0</v>
      </c>
      <c r="AV762" s="25">
        <f t="shared" ca="1" si="618"/>
        <v>0</v>
      </c>
      <c r="AW762" s="23">
        <f t="array" aca="1" ref="AW762" ca="1">SUM(IF(rcs_start_date&lt;=AO762,1,0)*IF(rcs_end_date&gt;=AO762,1,0)*rcs_amount*(1+rcs_escalation/100)^(INT((AP762-rcs_months_since_start)/12))*IF(MOD((AP762-rcs_months_since_start),rcs_frequency)=0,1,0)*IF(rcs_frequency=13,0,1))+SUM(IF(rcs_start_date=AO762,rcs_amount,0)*IF(rcs_frequency=13,1,0))</f>
        <v>0</v>
      </c>
      <c r="AX762" s="24">
        <f t="shared" ca="1" si="619"/>
        <v>0</v>
      </c>
      <c r="AY762" s="24">
        <f t="shared" ca="1" si="620"/>
        <v>0</v>
      </c>
      <c r="AZ762" s="24">
        <f t="shared" ca="1" si="621"/>
        <v>0</v>
      </c>
      <c r="BA762" s="25">
        <f t="shared" ca="1" si="622"/>
        <v>0</v>
      </c>
      <c r="BB762" s="23">
        <f t="array" aca="1" ref="BB762" ca="1">SUM(IF(w_start_date&lt;=AO762,1,0)*IF(w_end_date&gt;=AO762,1,0)*w_amount*(1+w_escalation/100)^(INT((AP762-w_months_since_start)/12))*IF(MOD(AP762-w_months_since_start,w_frequency)=0,1,0)*IF(w_frequency=13,0,1))+SUM(IF(w_start_date=AO762,w_amount,0)*IF(w_frequency=13,1,0))</f>
        <v>0</v>
      </c>
      <c r="BC762" s="25">
        <f t="shared" ca="1" si="623"/>
        <v>0</v>
      </c>
      <c r="BD762" s="24" t="b">
        <f t="shared" ca="1" si="624"/>
        <v>1</v>
      </c>
      <c r="BE762" s="24" t="b">
        <f t="shared" ca="1" si="625"/>
        <v>1</v>
      </c>
      <c r="BF762" s="23">
        <f t="array" aca="1" ref="BF762" ca="1">SUM(IF(BD762,1,0)*IF(ap_start_date&lt;=AO762,1,0)*IF(ap_end_date&gt;=AO762,1,0)*ap_amount*(1+ap_escalation/100)^(INT((AP762-ap_months_since_start)/12))*IF(MOD(AP762-ap_months_since_start,ap_frequency)=0,1,0))</f>
        <v>258683.27380453094</v>
      </c>
      <c r="BG762" s="24">
        <f t="shared" ca="1" si="626"/>
        <v>3104199.2856543711</v>
      </c>
      <c r="BH762" s="24">
        <f t="shared" ca="1" si="627"/>
        <v>472.39481060610609</v>
      </c>
      <c r="BI762">
        <f t="shared" ca="1" si="628"/>
        <v>0</v>
      </c>
      <c r="BJ762" s="24">
        <f t="shared" ca="1" si="629"/>
        <v>3306.7636742427421</v>
      </c>
      <c r="BK762">
        <f t="shared" ca="1" si="630"/>
        <v>1</v>
      </c>
      <c r="BL762" s="25">
        <f t="shared" ca="1" si="631"/>
        <v>275.56363952022855</v>
      </c>
      <c r="BM762" s="32">
        <f t="shared" ca="1" si="610"/>
        <v>17130.567501995949</v>
      </c>
      <c r="BN762" s="23">
        <f t="shared" ca="1" si="632"/>
        <v>0</v>
      </c>
      <c r="BO762" s="24">
        <f t="shared" ca="1" si="633"/>
        <v>0</v>
      </c>
      <c r="BP762" s="25">
        <f t="shared" ca="1" si="634"/>
        <v>0</v>
      </c>
      <c r="BQ762" s="34">
        <f t="shared" ca="1" si="635"/>
        <v>68606</v>
      </c>
      <c r="BR762" s="23">
        <f t="shared" ca="1" si="636"/>
        <v>17130.567501995949</v>
      </c>
      <c r="BS762" s="24">
        <f t="shared" ca="1" si="637"/>
        <v>0</v>
      </c>
      <c r="BT762" s="24">
        <f t="shared" ca="1" si="642"/>
        <v>0</v>
      </c>
      <c r="BU762" s="24">
        <f t="shared" ca="1" si="638"/>
        <v>0</v>
      </c>
      <c r="BV762" s="24">
        <f t="shared" ca="1" si="643"/>
        <v>0</v>
      </c>
      <c r="BW762" s="24">
        <f t="shared" ca="1" si="639"/>
        <v>-275.56363952022855</v>
      </c>
      <c r="BX762" s="25">
        <f t="shared" ca="1" si="644"/>
        <v>-3306.7636742427435</v>
      </c>
      <c r="BY762" s="23">
        <f t="shared" ca="1" si="611"/>
        <v>1452.4153148620312</v>
      </c>
      <c r="BZ762" s="24">
        <f t="shared" ca="1" si="612"/>
        <v>0</v>
      </c>
      <c r="CA762" s="24">
        <f t="shared" ca="1" si="645"/>
        <v>0</v>
      </c>
      <c r="CB762" s="24">
        <f t="shared" ca="1" si="613"/>
        <v>0</v>
      </c>
      <c r="CC762" s="24">
        <f t="shared" ca="1" si="646"/>
        <v>0</v>
      </c>
      <c r="CD762" s="24">
        <f t="shared" ca="1" si="614"/>
        <v>-23.440152138307621</v>
      </c>
      <c r="CE762" s="25">
        <f t="shared" ca="1" si="647"/>
        <v>-286.40214186557785</v>
      </c>
      <c r="CF762" s="23">
        <f t="shared" ca="1" si="648"/>
        <v>3104199.2856543711</v>
      </c>
      <c r="CG762" s="25">
        <f t="array" aca="1" ref="CG762" ca="1">SUM(BF751:BF762/(1+inflation/100)^(AP751:AP762/12))</f>
        <v>267980.53702225385</v>
      </c>
      <c r="CH762" s="32">
        <f ca="1">IFERROR(IF(MOD(AP762-ap_months_since_start,12)=0,ap_drawdown/100*(AQ762+AV762+BA762-BC762),CH761),0)</f>
        <v>2904.1722207348521</v>
      </c>
    </row>
    <row r="763" spans="40:86" x14ac:dyDescent="0.25">
      <c r="AN763" s="32">
        <f t="shared" ca="1" si="609"/>
        <v>117.83333333333333</v>
      </c>
      <c r="AO763" s="53">
        <f t="shared" ca="1" si="640"/>
        <v>68607</v>
      </c>
      <c r="AP763" s="22">
        <v>756</v>
      </c>
      <c r="AQ763" s="32">
        <f t="shared" ca="1" si="641"/>
        <v>17130.567501995949</v>
      </c>
      <c r="AR763" s="23">
        <f t="array" aca="1" ref="AR763" ca="1">SUM(IF(lsc_start_date=AO763,lsc_amount,0))</f>
        <v>0</v>
      </c>
      <c r="AS763" s="24">
        <f t="shared" ca="1" si="615"/>
        <v>0</v>
      </c>
      <c r="AT763" s="24">
        <f t="shared" ca="1" si="616"/>
        <v>0</v>
      </c>
      <c r="AU763" s="24">
        <f t="shared" ca="1" si="617"/>
        <v>0</v>
      </c>
      <c r="AV763" s="25">
        <f t="shared" ca="1" si="618"/>
        <v>0</v>
      </c>
      <c r="AW763" s="23">
        <f t="array" aca="1" ref="AW763" ca="1">SUM(IF(rcs_start_date&lt;=AO763,1,0)*IF(rcs_end_date&gt;=AO763,1,0)*rcs_amount*(1+rcs_escalation/100)^(INT((AP763-rcs_months_since_start)/12))*IF(MOD((AP763-rcs_months_since_start),rcs_frequency)=0,1,0)*IF(rcs_frequency=13,0,1))+SUM(IF(rcs_start_date=AO763,rcs_amount,0)*IF(rcs_frequency=13,1,0))</f>
        <v>0</v>
      </c>
      <c r="AX763" s="24">
        <f t="shared" ca="1" si="619"/>
        <v>0</v>
      </c>
      <c r="AY763" s="24">
        <f t="shared" ca="1" si="620"/>
        <v>0</v>
      </c>
      <c r="AZ763" s="24">
        <f t="shared" ca="1" si="621"/>
        <v>0</v>
      </c>
      <c r="BA763" s="25">
        <f t="shared" ca="1" si="622"/>
        <v>0</v>
      </c>
      <c r="BB763" s="23">
        <f t="array" aca="1" ref="BB763" ca="1">SUM(IF(w_start_date&lt;=AO763,1,0)*IF(w_end_date&gt;=AO763,1,0)*w_amount*(1+w_escalation/100)^(INT((AP763-w_months_since_start)/12))*IF(MOD(AP763-w_months_since_start,w_frequency)=0,1,0)*IF(w_frequency=13,0,1))+SUM(IF(w_start_date=AO763,w_amount,0)*IF(w_frequency=13,1,0))</f>
        <v>0</v>
      </c>
      <c r="BC763" s="25">
        <f t="shared" ca="1" si="623"/>
        <v>0</v>
      </c>
      <c r="BD763" s="24" t="b">
        <f t="shared" ca="1" si="624"/>
        <v>1</v>
      </c>
      <c r="BE763" s="24" t="b">
        <f t="shared" ca="1" si="625"/>
        <v>1</v>
      </c>
      <c r="BF763" s="23">
        <f t="array" aca="1" ref="BF763" ca="1">SUM(IF(BD763,1,0)*IF(ap_start_date&lt;=AO763,1,0)*IF(ap_end_date&gt;=AO763,1,0)*ap_amount*(1+ap_escalation/100)^(INT((AP763-ap_months_since_start)/12))*IF(MOD(AP763-ap_months_since_start,ap_frequency)=0,1,0))</f>
        <v>269030.60475671216</v>
      </c>
      <c r="BG763" s="24">
        <f t="shared" ca="1" si="626"/>
        <v>3228367.2570805452</v>
      </c>
      <c r="BH763" s="24">
        <f t="shared" ca="1" si="627"/>
        <v>428.26418754989874</v>
      </c>
      <c r="BI763">
        <f t="shared" ca="1" si="628"/>
        <v>0</v>
      </c>
      <c r="BJ763" s="24">
        <f t="shared" ca="1" si="629"/>
        <v>2997.849312849291</v>
      </c>
      <c r="BK763">
        <f t="shared" ca="1" si="630"/>
        <v>1</v>
      </c>
      <c r="BL763" s="25">
        <f t="shared" ca="1" si="631"/>
        <v>249.82077607077431</v>
      </c>
      <c r="BM763" s="32">
        <f t="shared" ca="1" si="610"/>
        <v>17002.411725396734</v>
      </c>
      <c r="BN763" s="23">
        <f t="shared" ca="1" si="632"/>
        <v>0</v>
      </c>
      <c r="BO763" s="24">
        <f t="shared" ca="1" si="633"/>
        <v>0</v>
      </c>
      <c r="BP763" s="25">
        <f t="shared" ca="1" si="634"/>
        <v>0</v>
      </c>
      <c r="BQ763" s="34">
        <f t="shared" ca="1" si="635"/>
        <v>68636</v>
      </c>
      <c r="BR763" s="23">
        <f t="shared" ca="1" si="636"/>
        <v>17002.411725396734</v>
      </c>
      <c r="BS763" s="24">
        <f t="shared" ca="1" si="637"/>
        <v>0</v>
      </c>
      <c r="BT763" s="24">
        <f t="shared" ca="1" si="642"/>
        <v>0</v>
      </c>
      <c r="BU763" s="24">
        <f t="shared" ca="1" si="638"/>
        <v>0</v>
      </c>
      <c r="BV763" s="24">
        <f t="shared" ca="1" si="643"/>
        <v>0</v>
      </c>
      <c r="BW763" s="24">
        <f t="shared" ca="1" si="639"/>
        <v>-249.82077607077431</v>
      </c>
      <c r="BX763" s="25">
        <f t="shared" ca="1" si="644"/>
        <v>-3281.020810793289</v>
      </c>
      <c r="BY763" s="23">
        <f t="shared" ca="1" si="611"/>
        <v>1436.8457670782752</v>
      </c>
      <c r="BZ763" s="24">
        <f t="shared" ca="1" si="612"/>
        <v>0</v>
      </c>
      <c r="CA763" s="24">
        <f t="shared" ca="1" si="645"/>
        <v>0</v>
      </c>
      <c r="CB763" s="24">
        <f t="shared" ca="1" si="613"/>
        <v>0</v>
      </c>
      <c r="CC763" s="24">
        <f t="shared" ca="1" si="646"/>
        <v>0</v>
      </c>
      <c r="CD763" s="24">
        <f t="shared" ca="1" si="614"/>
        <v>-21.181056675071293</v>
      </c>
      <c r="CE763" s="25">
        <f t="shared" ca="1" si="647"/>
        <v>-283.28498634072446</v>
      </c>
      <c r="CF763" s="23">
        <f t="shared" ca="1" si="648"/>
        <v>3114546.6166065522</v>
      </c>
      <c r="CG763" s="25">
        <f t="array" aca="1" ref="CG763" ca="1">SUM(BF752:BF763/(1+inflation/100)^(AP752:AP763/12))</f>
        <v>267980.53702225385</v>
      </c>
      <c r="CH763" s="32">
        <f ca="1">IFERROR(IF(MOD(AP763-ap_months_since_start,12)=0,ap_drawdown/100*(AQ763+AV763+BA763-BC763),CH762),0)</f>
        <v>2632.8675266821824</v>
      </c>
    </row>
    <row r="764" spans="40:86" x14ac:dyDescent="0.25">
      <c r="AN764" s="32">
        <f t="shared" ca="1" si="609"/>
        <v>117.91666666666667</v>
      </c>
      <c r="AO764" s="53">
        <f t="shared" ca="1" si="640"/>
        <v>68637</v>
      </c>
      <c r="AP764" s="22">
        <v>757</v>
      </c>
      <c r="AQ764" s="32">
        <f t="shared" ca="1" si="641"/>
        <v>17002.411725396734</v>
      </c>
      <c r="AR764" s="23">
        <f t="array" aca="1" ref="AR764" ca="1">SUM(IF(lsc_start_date=AO764,lsc_amount,0))</f>
        <v>0</v>
      </c>
      <c r="AS764" s="24">
        <f t="shared" ca="1" si="615"/>
        <v>0</v>
      </c>
      <c r="AT764" s="24">
        <f t="shared" ca="1" si="616"/>
        <v>0</v>
      </c>
      <c r="AU764" s="24">
        <f t="shared" ca="1" si="617"/>
        <v>0</v>
      </c>
      <c r="AV764" s="25">
        <f t="shared" ca="1" si="618"/>
        <v>0</v>
      </c>
      <c r="AW764" s="23">
        <f t="array" aca="1" ref="AW764" ca="1">SUM(IF(rcs_start_date&lt;=AO764,1,0)*IF(rcs_end_date&gt;=AO764,1,0)*rcs_amount*(1+rcs_escalation/100)^(INT((AP764-rcs_months_since_start)/12))*IF(MOD((AP764-rcs_months_since_start),rcs_frequency)=0,1,0)*IF(rcs_frequency=13,0,1))+SUM(IF(rcs_start_date=AO764,rcs_amount,0)*IF(rcs_frequency=13,1,0))</f>
        <v>0</v>
      </c>
      <c r="AX764" s="24">
        <f t="shared" ca="1" si="619"/>
        <v>0</v>
      </c>
      <c r="AY764" s="24">
        <f t="shared" ca="1" si="620"/>
        <v>0</v>
      </c>
      <c r="AZ764" s="24">
        <f t="shared" ca="1" si="621"/>
        <v>0</v>
      </c>
      <c r="BA764" s="25">
        <f t="shared" ca="1" si="622"/>
        <v>0</v>
      </c>
      <c r="BB764" s="23">
        <f t="array" aca="1" ref="BB764" ca="1">SUM(IF(w_start_date&lt;=AO764,1,0)*IF(w_end_date&gt;=AO764,1,0)*w_amount*(1+w_escalation/100)^(INT((AP764-w_months_since_start)/12))*IF(MOD(AP764-w_months_since_start,w_frequency)=0,1,0)*IF(w_frequency=13,0,1))+SUM(IF(w_start_date=AO764,w_amount,0)*IF(w_frequency=13,1,0))</f>
        <v>0</v>
      </c>
      <c r="BC764" s="25">
        <f t="shared" ca="1" si="623"/>
        <v>0</v>
      </c>
      <c r="BD764" s="24" t="b">
        <f t="shared" ca="1" si="624"/>
        <v>1</v>
      </c>
      <c r="BE764" s="24" t="b">
        <f t="shared" ca="1" si="625"/>
        <v>1</v>
      </c>
      <c r="BF764" s="23">
        <f t="array" aca="1" ref="BF764" ca="1">SUM(IF(BD764,1,0)*IF(ap_start_date&lt;=AO764,1,0)*IF(ap_end_date&gt;=AO764,1,0)*ap_amount*(1+ap_escalation/100)^(INT((AP764-ap_months_since_start)/12))*IF(MOD(AP764-ap_months_since_start,ap_frequency)=0,1,0))</f>
        <v>269030.60475671216</v>
      </c>
      <c r="BG764" s="24">
        <f t="shared" ca="1" si="626"/>
        <v>3228367.2570805452</v>
      </c>
      <c r="BH764" s="24">
        <f t="shared" ca="1" si="627"/>
        <v>428.26418754989874</v>
      </c>
      <c r="BI764">
        <f t="shared" ca="1" si="628"/>
        <v>0</v>
      </c>
      <c r="BJ764" s="24">
        <f t="shared" ca="1" si="629"/>
        <v>2997.849312849291</v>
      </c>
      <c r="BK764">
        <f t="shared" ca="1" si="630"/>
        <v>1</v>
      </c>
      <c r="BL764" s="25">
        <f t="shared" ca="1" si="631"/>
        <v>249.82077607077431</v>
      </c>
      <c r="BM764" s="32">
        <f t="shared" ca="1" si="610"/>
        <v>16873.33228868074</v>
      </c>
      <c r="BN764" s="23">
        <f t="shared" ca="1" si="632"/>
        <v>0</v>
      </c>
      <c r="BO764" s="24">
        <f t="shared" ca="1" si="633"/>
        <v>0</v>
      </c>
      <c r="BP764" s="25">
        <f t="shared" ca="1" si="634"/>
        <v>0</v>
      </c>
      <c r="BQ764" s="34">
        <f t="shared" ca="1" si="635"/>
        <v>68667</v>
      </c>
      <c r="BR764" s="23">
        <f t="shared" ca="1" si="636"/>
        <v>16873.33228868074</v>
      </c>
      <c r="BS764" s="24">
        <f t="shared" ca="1" si="637"/>
        <v>0</v>
      </c>
      <c r="BT764" s="24">
        <f t="shared" ca="1" si="642"/>
        <v>0</v>
      </c>
      <c r="BU764" s="24">
        <f t="shared" ca="1" si="638"/>
        <v>0</v>
      </c>
      <c r="BV764" s="24">
        <f t="shared" ca="1" si="643"/>
        <v>0</v>
      </c>
      <c r="BW764" s="24">
        <f t="shared" ca="1" si="639"/>
        <v>-249.82077607077431</v>
      </c>
      <c r="BX764" s="25">
        <f t="shared" ca="1" si="644"/>
        <v>-3255.2779473438345</v>
      </c>
      <c r="BY764" s="23">
        <f t="shared" ca="1" si="611"/>
        <v>1421.2845610066386</v>
      </c>
      <c r="BZ764" s="24">
        <f t="shared" ca="1" si="612"/>
        <v>0</v>
      </c>
      <c r="CA764" s="24">
        <f t="shared" ca="1" si="645"/>
        <v>0</v>
      </c>
      <c r="CB764" s="24">
        <f t="shared" ca="1" si="613"/>
        <v>0</v>
      </c>
      <c r="CC764" s="24">
        <f t="shared" ca="1" si="646"/>
        <v>0</v>
      </c>
      <c r="CD764" s="24">
        <f t="shared" ca="1" si="614"/>
        <v>-21.111941671741036</v>
      </c>
      <c r="CE764" s="25">
        <f t="shared" ca="1" si="647"/>
        <v>-280.17800227321544</v>
      </c>
      <c r="CF764" s="23">
        <f t="shared" ca="1" si="648"/>
        <v>3124893.9475587332</v>
      </c>
      <c r="CG764" s="25">
        <f t="array" aca="1" ref="CG764" ca="1">SUM(BF753:BF764/(1+inflation/100)^(AP753:AP764/12))</f>
        <v>267980.53702225385</v>
      </c>
      <c r="CH764" s="32">
        <f ca="1">IFERROR(IF(MOD(AP764-ap_months_since_start,12)=0,ap_drawdown/100*(AQ764+AV764+BA764-BC764),CH763),0)</f>
        <v>2632.8675266821824</v>
      </c>
    </row>
    <row r="765" spans="40:86" x14ac:dyDescent="0.25">
      <c r="AN765" s="32">
        <f t="shared" ca="1" si="609"/>
        <v>118</v>
      </c>
      <c r="AO765" s="53">
        <f t="shared" ca="1" si="640"/>
        <v>68668</v>
      </c>
      <c r="AP765" s="22">
        <v>758</v>
      </c>
      <c r="AQ765" s="32">
        <f t="shared" ca="1" si="641"/>
        <v>16873.33228868074</v>
      </c>
      <c r="AR765" s="23">
        <f t="array" aca="1" ref="AR765" ca="1">SUM(IF(lsc_start_date=AO765,lsc_amount,0))</f>
        <v>0</v>
      </c>
      <c r="AS765" s="24">
        <f t="shared" ca="1" si="615"/>
        <v>0</v>
      </c>
      <c r="AT765" s="24">
        <f t="shared" ca="1" si="616"/>
        <v>0</v>
      </c>
      <c r="AU765" s="24">
        <f t="shared" ca="1" si="617"/>
        <v>0</v>
      </c>
      <c r="AV765" s="25">
        <f t="shared" ca="1" si="618"/>
        <v>0</v>
      </c>
      <c r="AW765" s="23">
        <f t="array" aca="1" ref="AW765" ca="1">SUM(IF(rcs_start_date&lt;=AO765,1,0)*IF(rcs_end_date&gt;=AO765,1,0)*rcs_amount*(1+rcs_escalation/100)^(INT((AP765-rcs_months_since_start)/12))*IF(MOD((AP765-rcs_months_since_start),rcs_frequency)=0,1,0)*IF(rcs_frequency=13,0,1))+SUM(IF(rcs_start_date=AO765,rcs_amount,0)*IF(rcs_frequency=13,1,0))</f>
        <v>0</v>
      </c>
      <c r="AX765" s="24">
        <f t="shared" ca="1" si="619"/>
        <v>0</v>
      </c>
      <c r="AY765" s="24">
        <f t="shared" ca="1" si="620"/>
        <v>0</v>
      </c>
      <c r="AZ765" s="24">
        <f t="shared" ca="1" si="621"/>
        <v>0</v>
      </c>
      <c r="BA765" s="25">
        <f t="shared" ca="1" si="622"/>
        <v>0</v>
      </c>
      <c r="BB765" s="23">
        <f t="array" aca="1" ref="BB765" ca="1">SUM(IF(w_start_date&lt;=AO765,1,0)*IF(w_end_date&gt;=AO765,1,0)*w_amount*(1+w_escalation/100)^(INT((AP765-w_months_since_start)/12))*IF(MOD(AP765-w_months_since_start,w_frequency)=0,1,0)*IF(w_frequency=13,0,1))+SUM(IF(w_start_date=AO765,w_amount,0)*IF(w_frequency=13,1,0))</f>
        <v>0</v>
      </c>
      <c r="BC765" s="25">
        <f t="shared" ca="1" si="623"/>
        <v>0</v>
      </c>
      <c r="BD765" s="24" t="b">
        <f t="shared" ca="1" si="624"/>
        <v>1</v>
      </c>
      <c r="BE765" s="24" t="b">
        <f t="shared" ca="1" si="625"/>
        <v>1</v>
      </c>
      <c r="BF765" s="23">
        <f t="array" aca="1" ref="BF765" ca="1">SUM(IF(BD765,1,0)*IF(ap_start_date&lt;=AO765,1,0)*IF(ap_end_date&gt;=AO765,1,0)*ap_amount*(1+ap_escalation/100)^(INT((AP765-ap_months_since_start)/12))*IF(MOD(AP765-ap_months_since_start,ap_frequency)=0,1,0))</f>
        <v>269030.60475671216</v>
      </c>
      <c r="BG765" s="24">
        <f t="shared" ca="1" si="626"/>
        <v>3228367.2570805452</v>
      </c>
      <c r="BH765" s="24">
        <f t="shared" ca="1" si="627"/>
        <v>428.26418754989874</v>
      </c>
      <c r="BI765">
        <f t="shared" ca="1" si="628"/>
        <v>0</v>
      </c>
      <c r="BJ765" s="24">
        <f t="shared" ca="1" si="629"/>
        <v>2997.849312849291</v>
      </c>
      <c r="BK765">
        <f t="shared" ca="1" si="630"/>
        <v>1</v>
      </c>
      <c r="BL765" s="25">
        <f t="shared" ca="1" si="631"/>
        <v>249.82077607077431</v>
      </c>
      <c r="BM765" s="32">
        <f t="shared" ca="1" si="610"/>
        <v>16743.322534730869</v>
      </c>
      <c r="BN765" s="23">
        <f t="shared" ca="1" si="632"/>
        <v>0</v>
      </c>
      <c r="BO765" s="24">
        <f t="shared" ca="1" si="633"/>
        <v>0</v>
      </c>
      <c r="BP765" s="25">
        <f t="shared" ca="1" si="634"/>
        <v>0</v>
      </c>
      <c r="BQ765" s="34">
        <f t="shared" ca="1" si="635"/>
        <v>68698</v>
      </c>
      <c r="BR765" s="23">
        <f t="shared" ca="1" si="636"/>
        <v>16743.322534730869</v>
      </c>
      <c r="BS765" s="24">
        <f t="shared" ca="1" si="637"/>
        <v>0</v>
      </c>
      <c r="BT765" s="24">
        <f t="shared" ca="1" si="642"/>
        <v>0</v>
      </c>
      <c r="BU765" s="24">
        <f t="shared" ca="1" si="638"/>
        <v>0</v>
      </c>
      <c r="BV765" s="24">
        <f t="shared" ca="1" si="643"/>
        <v>0</v>
      </c>
      <c r="BW765" s="24">
        <f t="shared" ca="1" si="639"/>
        <v>-249.82077607077431</v>
      </c>
      <c r="BX765" s="25">
        <f t="shared" ca="1" si="644"/>
        <v>-3229.53508389438</v>
      </c>
      <c r="BY765" s="23">
        <f t="shared" ca="1" si="611"/>
        <v>1405.7315029424171</v>
      </c>
      <c r="BZ765" s="24">
        <f t="shared" ca="1" si="612"/>
        <v>0</v>
      </c>
      <c r="CA765" s="24">
        <f t="shared" ca="1" si="645"/>
        <v>0</v>
      </c>
      <c r="CB765" s="24">
        <f t="shared" ca="1" si="613"/>
        <v>0</v>
      </c>
      <c r="CC765" s="24">
        <f t="shared" ca="1" si="646"/>
        <v>0</v>
      </c>
      <c r="CD765" s="24">
        <f t="shared" ca="1" si="614"/>
        <v>-21.043052194632594</v>
      </c>
      <c r="CE765" s="25">
        <f t="shared" ca="1" si="647"/>
        <v>-277.08115647300195</v>
      </c>
      <c r="CF765" s="23">
        <f t="shared" ca="1" si="648"/>
        <v>3135241.2785109142</v>
      </c>
      <c r="CG765" s="25">
        <f t="array" aca="1" ref="CG765" ca="1">SUM(BF754:BF765/(1+inflation/100)^(AP754:AP765/12))</f>
        <v>267980.53702225385</v>
      </c>
      <c r="CH765" s="32">
        <f ca="1">IFERROR(IF(MOD(AP765-ap_months_since_start,12)=0,ap_drawdown/100*(AQ765+AV765+BA765-BC765),CH764),0)</f>
        <v>2632.8675266821824</v>
      </c>
    </row>
    <row r="766" spans="40:86" x14ac:dyDescent="0.25">
      <c r="AN766" s="32">
        <f t="shared" ca="1" si="609"/>
        <v>118.08333333333333</v>
      </c>
      <c r="AO766" s="53">
        <f t="shared" ca="1" si="640"/>
        <v>68699</v>
      </c>
      <c r="AP766" s="22">
        <v>759</v>
      </c>
      <c r="AQ766" s="32">
        <f t="shared" ca="1" si="641"/>
        <v>16743.322534730869</v>
      </c>
      <c r="AR766" s="23">
        <f t="array" aca="1" ref="AR766" ca="1">SUM(IF(lsc_start_date=AO766,lsc_amount,0))</f>
        <v>0</v>
      </c>
      <c r="AS766" s="24">
        <f t="shared" ca="1" si="615"/>
        <v>0</v>
      </c>
      <c r="AT766" s="24">
        <f t="shared" ca="1" si="616"/>
        <v>0</v>
      </c>
      <c r="AU766" s="24">
        <f t="shared" ca="1" si="617"/>
        <v>0</v>
      </c>
      <c r="AV766" s="25">
        <f t="shared" ca="1" si="618"/>
        <v>0</v>
      </c>
      <c r="AW766" s="23">
        <f t="array" aca="1" ref="AW766" ca="1">SUM(IF(rcs_start_date&lt;=AO766,1,0)*IF(rcs_end_date&gt;=AO766,1,0)*rcs_amount*(1+rcs_escalation/100)^(INT((AP766-rcs_months_since_start)/12))*IF(MOD((AP766-rcs_months_since_start),rcs_frequency)=0,1,0)*IF(rcs_frequency=13,0,1))+SUM(IF(rcs_start_date=AO766,rcs_amount,0)*IF(rcs_frequency=13,1,0))</f>
        <v>0</v>
      </c>
      <c r="AX766" s="24">
        <f t="shared" ca="1" si="619"/>
        <v>0</v>
      </c>
      <c r="AY766" s="24">
        <f t="shared" ca="1" si="620"/>
        <v>0</v>
      </c>
      <c r="AZ766" s="24">
        <f t="shared" ca="1" si="621"/>
        <v>0</v>
      </c>
      <c r="BA766" s="25">
        <f t="shared" ca="1" si="622"/>
        <v>0</v>
      </c>
      <c r="BB766" s="23">
        <f t="array" aca="1" ref="BB766" ca="1">SUM(IF(w_start_date&lt;=AO766,1,0)*IF(w_end_date&gt;=AO766,1,0)*w_amount*(1+w_escalation/100)^(INT((AP766-w_months_since_start)/12))*IF(MOD(AP766-w_months_since_start,w_frequency)=0,1,0)*IF(w_frequency=13,0,1))+SUM(IF(w_start_date=AO766,w_amount,0)*IF(w_frequency=13,1,0))</f>
        <v>0</v>
      </c>
      <c r="BC766" s="25">
        <f t="shared" ca="1" si="623"/>
        <v>0</v>
      </c>
      <c r="BD766" s="24" t="b">
        <f t="shared" ca="1" si="624"/>
        <v>1</v>
      </c>
      <c r="BE766" s="24" t="b">
        <f t="shared" ca="1" si="625"/>
        <v>1</v>
      </c>
      <c r="BF766" s="23">
        <f t="array" aca="1" ref="BF766" ca="1">SUM(IF(BD766,1,0)*IF(ap_start_date&lt;=AO766,1,0)*IF(ap_end_date&gt;=AO766,1,0)*ap_amount*(1+ap_escalation/100)^(INT((AP766-ap_months_since_start)/12))*IF(MOD(AP766-ap_months_since_start,ap_frequency)=0,1,0))</f>
        <v>269030.60475671216</v>
      </c>
      <c r="BG766" s="24">
        <f t="shared" ca="1" si="626"/>
        <v>3228367.2570805452</v>
      </c>
      <c r="BH766" s="24">
        <f t="shared" ca="1" si="627"/>
        <v>428.26418754989874</v>
      </c>
      <c r="BI766">
        <f t="shared" ca="1" si="628"/>
        <v>0</v>
      </c>
      <c r="BJ766" s="24">
        <f t="shared" ca="1" si="629"/>
        <v>2997.849312849291</v>
      </c>
      <c r="BK766">
        <f t="shared" ca="1" si="630"/>
        <v>1</v>
      </c>
      <c r="BL766" s="25">
        <f t="shared" ca="1" si="631"/>
        <v>249.82077607077431</v>
      </c>
      <c r="BM766" s="32">
        <f t="shared" ca="1" si="610"/>
        <v>16612.375758450027</v>
      </c>
      <c r="BN766" s="23">
        <f t="shared" ca="1" si="632"/>
        <v>0</v>
      </c>
      <c r="BO766" s="24">
        <f t="shared" ca="1" si="633"/>
        <v>0</v>
      </c>
      <c r="BP766" s="25">
        <f t="shared" ca="1" si="634"/>
        <v>0</v>
      </c>
      <c r="BQ766" s="34">
        <f t="shared" ca="1" si="635"/>
        <v>68727</v>
      </c>
      <c r="BR766" s="23">
        <f t="shared" ca="1" si="636"/>
        <v>16612.375758450027</v>
      </c>
      <c r="BS766" s="24">
        <f t="shared" ca="1" si="637"/>
        <v>0</v>
      </c>
      <c r="BT766" s="24">
        <f t="shared" ca="1" si="642"/>
        <v>0</v>
      </c>
      <c r="BU766" s="24">
        <f t="shared" ca="1" si="638"/>
        <v>0</v>
      </c>
      <c r="BV766" s="24">
        <f t="shared" ca="1" si="643"/>
        <v>0</v>
      </c>
      <c r="BW766" s="24">
        <f t="shared" ca="1" si="639"/>
        <v>-249.82077607077431</v>
      </c>
      <c r="BX766" s="25">
        <f t="shared" ca="1" si="644"/>
        <v>-3203.7922204449255</v>
      </c>
      <c r="BY766" s="23">
        <f t="shared" ca="1" si="611"/>
        <v>1390.1863991602308</v>
      </c>
      <c r="BZ766" s="24">
        <f t="shared" ca="1" si="612"/>
        <v>0</v>
      </c>
      <c r="CA766" s="24">
        <f t="shared" ca="1" si="645"/>
        <v>0</v>
      </c>
      <c r="CB766" s="24">
        <f t="shared" ca="1" si="613"/>
        <v>0</v>
      </c>
      <c r="CC766" s="24">
        <f t="shared" ca="1" si="646"/>
        <v>0</v>
      </c>
      <c r="CD766" s="24">
        <f t="shared" ca="1" si="614"/>
        <v>-20.974387507840927</v>
      </c>
      <c r="CE766" s="25">
        <f t="shared" ca="1" si="647"/>
        <v>-273.99441585833603</v>
      </c>
      <c r="CF766" s="23">
        <f t="shared" ca="1" si="648"/>
        <v>3145588.6094630957</v>
      </c>
      <c r="CG766" s="25">
        <f t="array" aca="1" ref="CG766" ca="1">SUM(BF755:BF766/(1+inflation/100)^(AP755:AP766/12))</f>
        <v>267980.53702225385</v>
      </c>
      <c r="CH766" s="32">
        <f ca="1">IFERROR(IF(MOD(AP766-ap_months_since_start,12)=0,ap_drawdown/100*(AQ766+AV766+BA766-BC766),CH765),0)</f>
        <v>2632.8675266821824</v>
      </c>
    </row>
    <row r="767" spans="40:86" x14ac:dyDescent="0.25">
      <c r="AN767" s="32">
        <f t="shared" ca="1" si="609"/>
        <v>118.16666666666667</v>
      </c>
      <c r="AO767" s="53">
        <f t="shared" ca="1" si="640"/>
        <v>68728</v>
      </c>
      <c r="AP767" s="22">
        <v>760</v>
      </c>
      <c r="AQ767" s="32">
        <f t="shared" ca="1" si="641"/>
        <v>16612.375758450027</v>
      </c>
      <c r="AR767" s="23">
        <f t="array" aca="1" ref="AR767" ca="1">SUM(IF(lsc_start_date=AO767,lsc_amount,0))</f>
        <v>0</v>
      </c>
      <c r="AS767" s="24">
        <f t="shared" ca="1" si="615"/>
        <v>0</v>
      </c>
      <c r="AT767" s="24">
        <f t="shared" ca="1" si="616"/>
        <v>0</v>
      </c>
      <c r="AU767" s="24">
        <f t="shared" ca="1" si="617"/>
        <v>0</v>
      </c>
      <c r="AV767" s="25">
        <f t="shared" ca="1" si="618"/>
        <v>0</v>
      </c>
      <c r="AW767" s="23">
        <f t="array" aca="1" ref="AW767" ca="1">SUM(IF(rcs_start_date&lt;=AO767,1,0)*IF(rcs_end_date&gt;=AO767,1,0)*rcs_amount*(1+rcs_escalation/100)^(INT((AP767-rcs_months_since_start)/12))*IF(MOD((AP767-rcs_months_since_start),rcs_frequency)=0,1,0)*IF(rcs_frequency=13,0,1))+SUM(IF(rcs_start_date=AO767,rcs_amount,0)*IF(rcs_frequency=13,1,0))</f>
        <v>0</v>
      </c>
      <c r="AX767" s="24">
        <f t="shared" ca="1" si="619"/>
        <v>0</v>
      </c>
      <c r="AY767" s="24">
        <f t="shared" ca="1" si="620"/>
        <v>0</v>
      </c>
      <c r="AZ767" s="24">
        <f t="shared" ca="1" si="621"/>
        <v>0</v>
      </c>
      <c r="BA767" s="25">
        <f t="shared" ca="1" si="622"/>
        <v>0</v>
      </c>
      <c r="BB767" s="23">
        <f t="array" aca="1" ref="BB767" ca="1">SUM(IF(w_start_date&lt;=AO767,1,0)*IF(w_end_date&gt;=AO767,1,0)*w_amount*(1+w_escalation/100)^(INT((AP767-w_months_since_start)/12))*IF(MOD(AP767-w_months_since_start,w_frequency)=0,1,0)*IF(w_frequency=13,0,1))+SUM(IF(w_start_date=AO767,w_amount,0)*IF(w_frequency=13,1,0))</f>
        <v>0</v>
      </c>
      <c r="BC767" s="25">
        <f t="shared" ca="1" si="623"/>
        <v>0</v>
      </c>
      <c r="BD767" s="24" t="b">
        <f t="shared" ca="1" si="624"/>
        <v>1</v>
      </c>
      <c r="BE767" s="24" t="b">
        <f t="shared" ca="1" si="625"/>
        <v>1</v>
      </c>
      <c r="BF767" s="23">
        <f t="array" aca="1" ref="BF767" ca="1">SUM(IF(BD767,1,0)*IF(ap_start_date&lt;=AO767,1,0)*IF(ap_end_date&gt;=AO767,1,0)*ap_amount*(1+ap_escalation/100)^(INT((AP767-ap_months_since_start)/12))*IF(MOD(AP767-ap_months_since_start,ap_frequency)=0,1,0))</f>
        <v>269030.60475671216</v>
      </c>
      <c r="BG767" s="24">
        <f t="shared" ca="1" si="626"/>
        <v>3228367.2570805452</v>
      </c>
      <c r="BH767" s="24">
        <f t="shared" ca="1" si="627"/>
        <v>428.26418754989874</v>
      </c>
      <c r="BI767">
        <f t="shared" ca="1" si="628"/>
        <v>0</v>
      </c>
      <c r="BJ767" s="24">
        <f t="shared" ca="1" si="629"/>
        <v>2997.849312849291</v>
      </c>
      <c r="BK767">
        <f t="shared" ca="1" si="630"/>
        <v>1</v>
      </c>
      <c r="BL767" s="25">
        <f t="shared" ca="1" si="631"/>
        <v>249.82077607077431</v>
      </c>
      <c r="BM767" s="32">
        <f t="shared" ca="1" si="610"/>
        <v>16480.485206415324</v>
      </c>
      <c r="BN767" s="23">
        <f t="shared" ca="1" si="632"/>
        <v>0</v>
      </c>
      <c r="BO767" s="24">
        <f t="shared" ca="1" si="633"/>
        <v>0</v>
      </c>
      <c r="BP767" s="25">
        <f t="shared" ca="1" si="634"/>
        <v>0</v>
      </c>
      <c r="BQ767" s="34">
        <f t="shared" ca="1" si="635"/>
        <v>68758</v>
      </c>
      <c r="BR767" s="23">
        <f t="shared" ca="1" si="636"/>
        <v>16480.485206415324</v>
      </c>
      <c r="BS767" s="24">
        <f t="shared" ca="1" si="637"/>
        <v>0</v>
      </c>
      <c r="BT767" s="24">
        <f t="shared" ca="1" si="642"/>
        <v>0</v>
      </c>
      <c r="BU767" s="24">
        <f t="shared" ca="1" si="638"/>
        <v>0</v>
      </c>
      <c r="BV767" s="24">
        <f t="shared" ca="1" si="643"/>
        <v>0</v>
      </c>
      <c r="BW767" s="24">
        <f t="shared" ca="1" si="639"/>
        <v>-249.82077607077431</v>
      </c>
      <c r="BX767" s="25">
        <f t="shared" ca="1" si="644"/>
        <v>-3178.049356995471</v>
      </c>
      <c r="BY767" s="23">
        <f t="shared" ca="1" si="611"/>
        <v>1374.6490559115337</v>
      </c>
      <c r="BZ767" s="24">
        <f t="shared" ca="1" si="612"/>
        <v>0</v>
      </c>
      <c r="CA767" s="24">
        <f t="shared" ca="1" si="645"/>
        <v>0</v>
      </c>
      <c r="CB767" s="24">
        <f t="shared" ca="1" si="613"/>
        <v>0</v>
      </c>
      <c r="CC767" s="24">
        <f t="shared" ca="1" si="646"/>
        <v>0</v>
      </c>
      <c r="CD767" s="24">
        <f t="shared" ca="1" si="614"/>
        <v>-20.905946877862327</v>
      </c>
      <c r="CE767" s="25">
        <f t="shared" ca="1" si="647"/>
        <v>-270.91774745541738</v>
      </c>
      <c r="CF767" s="23">
        <f t="shared" ca="1" si="648"/>
        <v>3155935.9404152767</v>
      </c>
      <c r="CG767" s="25">
        <f t="array" aca="1" ref="CG767" ca="1">SUM(BF756:BF767/(1+inflation/100)^(AP756:AP767/12))</f>
        <v>267980.53702225385</v>
      </c>
      <c r="CH767" s="32">
        <f ca="1">IFERROR(IF(MOD(AP767-ap_months_since_start,12)=0,ap_drawdown/100*(AQ767+AV767+BA767-BC767),CH766),0)</f>
        <v>2632.8675266821824</v>
      </c>
    </row>
    <row r="768" spans="40:86" x14ac:dyDescent="0.25">
      <c r="AN768" s="32">
        <f t="shared" ca="1" si="609"/>
        <v>118.25</v>
      </c>
      <c r="AO768" s="53">
        <f t="shared" ca="1" si="640"/>
        <v>68759</v>
      </c>
      <c r="AP768" s="22">
        <v>761</v>
      </c>
      <c r="AQ768" s="32">
        <f t="shared" ca="1" si="641"/>
        <v>16480.485206415324</v>
      </c>
      <c r="AR768" s="23">
        <f t="array" aca="1" ref="AR768" ca="1">SUM(IF(lsc_start_date=AO768,lsc_amount,0))</f>
        <v>0</v>
      </c>
      <c r="AS768" s="24">
        <f t="shared" ca="1" si="615"/>
        <v>0</v>
      </c>
      <c r="AT768" s="24">
        <f t="shared" ca="1" si="616"/>
        <v>0</v>
      </c>
      <c r="AU768" s="24">
        <f t="shared" ca="1" si="617"/>
        <v>0</v>
      </c>
      <c r="AV768" s="25">
        <f t="shared" ca="1" si="618"/>
        <v>0</v>
      </c>
      <c r="AW768" s="23">
        <f t="array" aca="1" ref="AW768" ca="1">SUM(IF(rcs_start_date&lt;=AO768,1,0)*IF(rcs_end_date&gt;=AO768,1,0)*rcs_amount*(1+rcs_escalation/100)^(INT((AP768-rcs_months_since_start)/12))*IF(MOD((AP768-rcs_months_since_start),rcs_frequency)=0,1,0)*IF(rcs_frequency=13,0,1))+SUM(IF(rcs_start_date=AO768,rcs_amount,0)*IF(rcs_frequency=13,1,0))</f>
        <v>0</v>
      </c>
      <c r="AX768" s="24">
        <f t="shared" ca="1" si="619"/>
        <v>0</v>
      </c>
      <c r="AY768" s="24">
        <f t="shared" ca="1" si="620"/>
        <v>0</v>
      </c>
      <c r="AZ768" s="24">
        <f t="shared" ca="1" si="621"/>
        <v>0</v>
      </c>
      <c r="BA768" s="25">
        <f t="shared" ca="1" si="622"/>
        <v>0</v>
      </c>
      <c r="BB768" s="23">
        <f t="array" aca="1" ref="BB768" ca="1">SUM(IF(w_start_date&lt;=AO768,1,0)*IF(w_end_date&gt;=AO768,1,0)*w_amount*(1+w_escalation/100)^(INT((AP768-w_months_since_start)/12))*IF(MOD(AP768-w_months_since_start,w_frequency)=0,1,0)*IF(w_frequency=13,0,1))+SUM(IF(w_start_date=AO768,w_amount,0)*IF(w_frequency=13,1,0))</f>
        <v>0</v>
      </c>
      <c r="BC768" s="25">
        <f t="shared" ca="1" si="623"/>
        <v>0</v>
      </c>
      <c r="BD768" s="24" t="b">
        <f t="shared" ca="1" si="624"/>
        <v>1</v>
      </c>
      <c r="BE768" s="24" t="b">
        <f t="shared" ca="1" si="625"/>
        <v>1</v>
      </c>
      <c r="BF768" s="23">
        <f t="array" aca="1" ref="BF768" ca="1">SUM(IF(BD768,1,0)*IF(ap_start_date&lt;=AO768,1,0)*IF(ap_end_date&gt;=AO768,1,0)*ap_amount*(1+ap_escalation/100)^(INT((AP768-ap_months_since_start)/12))*IF(MOD(AP768-ap_months_since_start,ap_frequency)=0,1,0))</f>
        <v>269030.60475671216</v>
      </c>
      <c r="BG768" s="24">
        <f t="shared" ca="1" si="626"/>
        <v>3228367.2570805452</v>
      </c>
      <c r="BH768" s="24">
        <f t="shared" ca="1" si="627"/>
        <v>428.26418754989874</v>
      </c>
      <c r="BI768">
        <f t="shared" ca="1" si="628"/>
        <v>0</v>
      </c>
      <c r="BJ768" s="24">
        <f t="shared" ca="1" si="629"/>
        <v>2997.849312849291</v>
      </c>
      <c r="BK768">
        <f t="shared" ca="1" si="630"/>
        <v>1</v>
      </c>
      <c r="BL768" s="25">
        <f t="shared" ca="1" si="631"/>
        <v>249.82077607077431</v>
      </c>
      <c r="BM768" s="32">
        <f t="shared" ca="1" si="610"/>
        <v>16347.644076529763</v>
      </c>
      <c r="BN768" s="23">
        <f t="shared" ca="1" si="632"/>
        <v>0</v>
      </c>
      <c r="BO768" s="24">
        <f t="shared" ca="1" si="633"/>
        <v>0</v>
      </c>
      <c r="BP768" s="25">
        <f t="shared" ca="1" si="634"/>
        <v>0</v>
      </c>
      <c r="BQ768" s="34">
        <f t="shared" ca="1" si="635"/>
        <v>68788</v>
      </c>
      <c r="BR768" s="23">
        <f t="shared" ca="1" si="636"/>
        <v>16347.644076529763</v>
      </c>
      <c r="BS768" s="24">
        <f t="shared" ca="1" si="637"/>
        <v>0</v>
      </c>
      <c r="BT768" s="24">
        <f t="shared" ca="1" si="642"/>
        <v>0</v>
      </c>
      <c r="BU768" s="24">
        <f t="shared" ca="1" si="638"/>
        <v>0</v>
      </c>
      <c r="BV768" s="24">
        <f t="shared" ca="1" si="643"/>
        <v>0</v>
      </c>
      <c r="BW768" s="24">
        <f t="shared" ca="1" si="639"/>
        <v>-249.82077607077431</v>
      </c>
      <c r="BX768" s="25">
        <f t="shared" ca="1" si="644"/>
        <v>-3152.306493546017</v>
      </c>
      <c r="BY768" s="23">
        <f t="shared" ca="1" si="611"/>
        <v>1359.1192794221151</v>
      </c>
      <c r="BZ768" s="24">
        <f t="shared" ca="1" si="612"/>
        <v>0</v>
      </c>
      <c r="CA768" s="24">
        <f t="shared" ca="1" si="645"/>
        <v>0</v>
      </c>
      <c r="CB768" s="24">
        <f t="shared" ca="1" si="613"/>
        <v>0</v>
      </c>
      <c r="CC768" s="24">
        <f t="shared" ca="1" si="646"/>
        <v>0</v>
      </c>
      <c r="CD768" s="24">
        <f t="shared" ca="1" si="614"/>
        <v>-20.837729573586572</v>
      </c>
      <c r="CE768" s="25">
        <f t="shared" ca="1" si="647"/>
        <v>-267.85111839804114</v>
      </c>
      <c r="CF768" s="23">
        <f t="shared" ca="1" si="648"/>
        <v>3166283.2713674582</v>
      </c>
      <c r="CG768" s="25">
        <f t="array" aca="1" ref="CG768" ca="1">SUM(BF757:BF768/(1+inflation/100)^(AP757:AP768/12))</f>
        <v>267980.53702225385</v>
      </c>
      <c r="CH768" s="32">
        <f ca="1">IFERROR(IF(MOD(AP768-ap_months_since_start,12)=0,ap_drawdown/100*(AQ768+AV768+BA768-BC768),CH767),0)</f>
        <v>2632.8675266821824</v>
      </c>
    </row>
    <row r="769" spans="40:86" x14ac:dyDescent="0.25">
      <c r="AN769" s="32">
        <f t="shared" ca="1" si="609"/>
        <v>118.33333333333333</v>
      </c>
      <c r="AO769" s="53">
        <f t="shared" ca="1" si="640"/>
        <v>68789</v>
      </c>
      <c r="AP769" s="22">
        <v>762</v>
      </c>
      <c r="AQ769" s="32">
        <f t="shared" ca="1" si="641"/>
        <v>16347.644076529763</v>
      </c>
      <c r="AR769" s="23">
        <f t="array" aca="1" ref="AR769" ca="1">SUM(IF(lsc_start_date=AO769,lsc_amount,0))</f>
        <v>0</v>
      </c>
      <c r="AS769" s="24">
        <f t="shared" ca="1" si="615"/>
        <v>0</v>
      </c>
      <c r="AT769" s="24">
        <f t="shared" ca="1" si="616"/>
        <v>0</v>
      </c>
      <c r="AU769" s="24">
        <f t="shared" ca="1" si="617"/>
        <v>0</v>
      </c>
      <c r="AV769" s="25">
        <f t="shared" ca="1" si="618"/>
        <v>0</v>
      </c>
      <c r="AW769" s="23">
        <f t="array" aca="1" ref="AW769" ca="1">SUM(IF(rcs_start_date&lt;=AO769,1,0)*IF(rcs_end_date&gt;=AO769,1,0)*rcs_amount*(1+rcs_escalation/100)^(INT((AP769-rcs_months_since_start)/12))*IF(MOD((AP769-rcs_months_since_start),rcs_frequency)=0,1,0)*IF(rcs_frequency=13,0,1))+SUM(IF(rcs_start_date=AO769,rcs_amount,0)*IF(rcs_frequency=13,1,0))</f>
        <v>0</v>
      </c>
      <c r="AX769" s="24">
        <f t="shared" ca="1" si="619"/>
        <v>0</v>
      </c>
      <c r="AY769" s="24">
        <f t="shared" ca="1" si="620"/>
        <v>0</v>
      </c>
      <c r="AZ769" s="24">
        <f t="shared" ca="1" si="621"/>
        <v>0</v>
      </c>
      <c r="BA769" s="25">
        <f t="shared" ca="1" si="622"/>
        <v>0</v>
      </c>
      <c r="BB769" s="23">
        <f t="array" aca="1" ref="BB769" ca="1">SUM(IF(w_start_date&lt;=AO769,1,0)*IF(w_end_date&gt;=AO769,1,0)*w_amount*(1+w_escalation/100)^(INT((AP769-w_months_since_start)/12))*IF(MOD(AP769-w_months_since_start,w_frequency)=0,1,0)*IF(w_frequency=13,0,1))+SUM(IF(w_start_date=AO769,w_amount,0)*IF(w_frequency=13,1,0))</f>
        <v>0</v>
      </c>
      <c r="BC769" s="25">
        <f t="shared" ca="1" si="623"/>
        <v>0</v>
      </c>
      <c r="BD769" s="24" t="b">
        <f t="shared" ca="1" si="624"/>
        <v>1</v>
      </c>
      <c r="BE769" s="24" t="b">
        <f t="shared" ca="1" si="625"/>
        <v>1</v>
      </c>
      <c r="BF769" s="23">
        <f t="array" aca="1" ref="BF769" ca="1">SUM(IF(BD769,1,0)*IF(ap_start_date&lt;=AO769,1,0)*IF(ap_end_date&gt;=AO769,1,0)*ap_amount*(1+ap_escalation/100)^(INT((AP769-ap_months_since_start)/12))*IF(MOD(AP769-ap_months_since_start,ap_frequency)=0,1,0))</f>
        <v>269030.60475671216</v>
      </c>
      <c r="BG769" s="24">
        <f t="shared" ca="1" si="626"/>
        <v>3228367.2570805452</v>
      </c>
      <c r="BH769" s="24">
        <f t="shared" ca="1" si="627"/>
        <v>428.26418754989874</v>
      </c>
      <c r="BI769">
        <f t="shared" ca="1" si="628"/>
        <v>0</v>
      </c>
      <c r="BJ769" s="24">
        <f t="shared" ca="1" si="629"/>
        <v>2997.849312849291</v>
      </c>
      <c r="BK769">
        <f t="shared" ca="1" si="630"/>
        <v>1</v>
      </c>
      <c r="BL769" s="25">
        <f t="shared" ca="1" si="631"/>
        <v>249.82077607077431</v>
      </c>
      <c r="BM769" s="32">
        <f t="shared" ca="1" si="610"/>
        <v>16213.845517671436</v>
      </c>
      <c r="BN769" s="23">
        <f t="shared" ca="1" si="632"/>
        <v>0</v>
      </c>
      <c r="BO769" s="24">
        <f t="shared" ca="1" si="633"/>
        <v>0</v>
      </c>
      <c r="BP769" s="25">
        <f t="shared" ca="1" si="634"/>
        <v>0</v>
      </c>
      <c r="BQ769" s="34">
        <f t="shared" ca="1" si="635"/>
        <v>68819</v>
      </c>
      <c r="BR769" s="23">
        <f t="shared" ca="1" si="636"/>
        <v>16213.845517671436</v>
      </c>
      <c r="BS769" s="24">
        <f t="shared" ca="1" si="637"/>
        <v>0</v>
      </c>
      <c r="BT769" s="24">
        <f t="shared" ca="1" si="642"/>
        <v>0</v>
      </c>
      <c r="BU769" s="24">
        <f t="shared" ca="1" si="638"/>
        <v>0</v>
      </c>
      <c r="BV769" s="24">
        <f t="shared" ca="1" si="643"/>
        <v>0</v>
      </c>
      <c r="BW769" s="24">
        <f t="shared" ca="1" si="639"/>
        <v>-249.82077607077431</v>
      </c>
      <c r="BX769" s="25">
        <f t="shared" ca="1" si="644"/>
        <v>-3126.5636300965625</v>
      </c>
      <c r="BY769" s="23">
        <f t="shared" ca="1" si="611"/>
        <v>1343.5968758896067</v>
      </c>
      <c r="BZ769" s="24">
        <f t="shared" ca="1" si="612"/>
        <v>0</v>
      </c>
      <c r="CA769" s="24">
        <f t="shared" ca="1" si="645"/>
        <v>0</v>
      </c>
      <c r="CB769" s="24">
        <f t="shared" ca="1" si="613"/>
        <v>0</v>
      </c>
      <c r="CC769" s="24">
        <f t="shared" ca="1" si="646"/>
        <v>0</v>
      </c>
      <c r="CD769" s="24">
        <f t="shared" ca="1" si="614"/>
        <v>-20.769734866289078</v>
      </c>
      <c r="CE769" s="25">
        <f t="shared" ca="1" si="647"/>
        <v>-264.79449592724671</v>
      </c>
      <c r="CF769" s="23">
        <f t="shared" ca="1" si="648"/>
        <v>3176630.6023196392</v>
      </c>
      <c r="CG769" s="25">
        <f t="array" aca="1" ref="CG769" ca="1">SUM(BF758:BF769/(1+inflation/100)^(AP758:AP769/12))</f>
        <v>267980.53702225385</v>
      </c>
      <c r="CH769" s="32">
        <f ca="1">IFERROR(IF(MOD(AP769-ap_months_since_start,12)=0,ap_drawdown/100*(AQ769+AV769+BA769-BC769),CH768),0)</f>
        <v>2632.8675266821824</v>
      </c>
    </row>
    <row r="770" spans="40:86" x14ac:dyDescent="0.25">
      <c r="AN770" s="32">
        <f t="shared" ca="1" si="609"/>
        <v>118.41666666666667</v>
      </c>
      <c r="AO770" s="53">
        <f t="shared" ca="1" si="640"/>
        <v>68820</v>
      </c>
      <c r="AP770" s="22">
        <v>763</v>
      </c>
      <c r="AQ770" s="32">
        <f t="shared" ca="1" si="641"/>
        <v>16213.845517671436</v>
      </c>
      <c r="AR770" s="23">
        <f t="array" aca="1" ref="AR770" ca="1">SUM(IF(lsc_start_date=AO770,lsc_amount,0))</f>
        <v>0</v>
      </c>
      <c r="AS770" s="24">
        <f t="shared" ca="1" si="615"/>
        <v>0</v>
      </c>
      <c r="AT770" s="24">
        <f t="shared" ca="1" si="616"/>
        <v>0</v>
      </c>
      <c r="AU770" s="24">
        <f t="shared" ca="1" si="617"/>
        <v>0</v>
      </c>
      <c r="AV770" s="25">
        <f t="shared" ca="1" si="618"/>
        <v>0</v>
      </c>
      <c r="AW770" s="23">
        <f t="array" aca="1" ref="AW770" ca="1">SUM(IF(rcs_start_date&lt;=AO770,1,0)*IF(rcs_end_date&gt;=AO770,1,0)*rcs_amount*(1+rcs_escalation/100)^(INT((AP770-rcs_months_since_start)/12))*IF(MOD((AP770-rcs_months_since_start),rcs_frequency)=0,1,0)*IF(rcs_frequency=13,0,1))+SUM(IF(rcs_start_date=AO770,rcs_amount,0)*IF(rcs_frequency=13,1,0))</f>
        <v>0</v>
      </c>
      <c r="AX770" s="24">
        <f t="shared" ca="1" si="619"/>
        <v>0</v>
      </c>
      <c r="AY770" s="24">
        <f t="shared" ca="1" si="620"/>
        <v>0</v>
      </c>
      <c r="AZ770" s="24">
        <f t="shared" ca="1" si="621"/>
        <v>0</v>
      </c>
      <c r="BA770" s="25">
        <f t="shared" ca="1" si="622"/>
        <v>0</v>
      </c>
      <c r="BB770" s="23">
        <f t="array" aca="1" ref="BB770" ca="1">SUM(IF(w_start_date&lt;=AO770,1,0)*IF(w_end_date&gt;=AO770,1,0)*w_amount*(1+w_escalation/100)^(INT((AP770-w_months_since_start)/12))*IF(MOD(AP770-w_months_since_start,w_frequency)=0,1,0)*IF(w_frequency=13,0,1))+SUM(IF(w_start_date=AO770,w_amount,0)*IF(w_frequency=13,1,0))</f>
        <v>0</v>
      </c>
      <c r="BC770" s="25">
        <f t="shared" ca="1" si="623"/>
        <v>0</v>
      </c>
      <c r="BD770" s="24" t="b">
        <f t="shared" ca="1" si="624"/>
        <v>1</v>
      </c>
      <c r="BE770" s="24" t="b">
        <f t="shared" ca="1" si="625"/>
        <v>1</v>
      </c>
      <c r="BF770" s="23">
        <f t="array" aca="1" ref="BF770" ca="1">SUM(IF(BD770,1,0)*IF(ap_start_date&lt;=AO770,1,0)*IF(ap_end_date&gt;=AO770,1,0)*ap_amount*(1+ap_escalation/100)^(INT((AP770-ap_months_since_start)/12))*IF(MOD(AP770-ap_months_since_start,ap_frequency)=0,1,0))</f>
        <v>269030.60475671216</v>
      </c>
      <c r="BG770" s="24">
        <f t="shared" ca="1" si="626"/>
        <v>3228367.2570805452</v>
      </c>
      <c r="BH770" s="24">
        <f t="shared" ca="1" si="627"/>
        <v>428.26418754989874</v>
      </c>
      <c r="BI770">
        <f t="shared" ca="1" si="628"/>
        <v>0</v>
      </c>
      <c r="BJ770" s="24">
        <f t="shared" ca="1" si="629"/>
        <v>2997.849312849291</v>
      </c>
      <c r="BK770">
        <f t="shared" ca="1" si="630"/>
        <v>1</v>
      </c>
      <c r="BL770" s="25">
        <f t="shared" ca="1" si="631"/>
        <v>249.82077607077431</v>
      </c>
      <c r="BM770" s="32">
        <f t="shared" ca="1" si="610"/>
        <v>16079.082629340184</v>
      </c>
      <c r="BN770" s="23">
        <f t="shared" ca="1" si="632"/>
        <v>0</v>
      </c>
      <c r="BO770" s="24">
        <f t="shared" ca="1" si="633"/>
        <v>0</v>
      </c>
      <c r="BP770" s="25">
        <f t="shared" ca="1" si="634"/>
        <v>0</v>
      </c>
      <c r="BQ770" s="34">
        <f t="shared" ca="1" si="635"/>
        <v>68849</v>
      </c>
      <c r="BR770" s="23">
        <f t="shared" ca="1" si="636"/>
        <v>16079.082629340184</v>
      </c>
      <c r="BS770" s="24">
        <f t="shared" ca="1" si="637"/>
        <v>0</v>
      </c>
      <c r="BT770" s="24">
        <f t="shared" ca="1" si="642"/>
        <v>0</v>
      </c>
      <c r="BU770" s="24">
        <f t="shared" ca="1" si="638"/>
        <v>0</v>
      </c>
      <c r="BV770" s="24">
        <f t="shared" ca="1" si="643"/>
        <v>0</v>
      </c>
      <c r="BW770" s="24">
        <f t="shared" ca="1" si="639"/>
        <v>-249.82077607077431</v>
      </c>
      <c r="BX770" s="25">
        <f t="shared" ca="1" si="644"/>
        <v>-3100.8207666471085</v>
      </c>
      <c r="BY770" s="23">
        <f t="shared" ca="1" si="611"/>
        <v>1328.0816514809833</v>
      </c>
      <c r="BZ770" s="24">
        <f t="shared" ca="1" si="612"/>
        <v>0</v>
      </c>
      <c r="CA770" s="24">
        <f t="shared" ca="1" si="645"/>
        <v>0</v>
      </c>
      <c r="CB770" s="24">
        <f t="shared" ca="1" si="613"/>
        <v>0</v>
      </c>
      <c r="CC770" s="24">
        <f t="shared" ca="1" si="646"/>
        <v>0</v>
      </c>
      <c r="CD770" s="24">
        <f t="shared" ca="1" si="614"/>
        <v>-20.701962029623139</v>
      </c>
      <c r="CE770" s="25">
        <f t="shared" ca="1" si="647"/>
        <v>-261.74784739096782</v>
      </c>
      <c r="CF770" s="23">
        <f t="shared" ca="1" si="648"/>
        <v>3186977.9332718202</v>
      </c>
      <c r="CG770" s="25">
        <f t="array" aca="1" ref="CG770" ca="1">SUM(BF759:BF770/(1+inflation/100)^(AP759:AP770/12))</f>
        <v>267980.53702225385</v>
      </c>
      <c r="CH770" s="32">
        <f ca="1">IFERROR(IF(MOD(AP770-ap_months_since_start,12)=0,ap_drawdown/100*(AQ770+AV770+BA770-BC770),CH769),0)</f>
        <v>2632.8675266821824</v>
      </c>
    </row>
    <row r="771" spans="40:86" x14ac:dyDescent="0.25">
      <c r="AN771" s="32">
        <f t="shared" ca="1" si="609"/>
        <v>118.5</v>
      </c>
      <c r="AO771" s="53">
        <f t="shared" ca="1" si="640"/>
        <v>68850</v>
      </c>
      <c r="AP771" s="22">
        <v>764</v>
      </c>
      <c r="AQ771" s="32">
        <f t="shared" ca="1" si="641"/>
        <v>16079.082629340184</v>
      </c>
      <c r="AR771" s="23">
        <f t="array" aca="1" ref="AR771" ca="1">SUM(IF(lsc_start_date=AO771,lsc_amount,0))</f>
        <v>0</v>
      </c>
      <c r="AS771" s="24">
        <f t="shared" ca="1" si="615"/>
        <v>0</v>
      </c>
      <c r="AT771" s="24">
        <f t="shared" ca="1" si="616"/>
        <v>0</v>
      </c>
      <c r="AU771" s="24">
        <f t="shared" ca="1" si="617"/>
        <v>0</v>
      </c>
      <c r="AV771" s="25">
        <f t="shared" ca="1" si="618"/>
        <v>0</v>
      </c>
      <c r="AW771" s="23">
        <f t="array" aca="1" ref="AW771" ca="1">SUM(IF(rcs_start_date&lt;=AO771,1,0)*IF(rcs_end_date&gt;=AO771,1,0)*rcs_amount*(1+rcs_escalation/100)^(INT((AP771-rcs_months_since_start)/12))*IF(MOD((AP771-rcs_months_since_start),rcs_frequency)=0,1,0)*IF(rcs_frequency=13,0,1))+SUM(IF(rcs_start_date=AO771,rcs_amount,0)*IF(rcs_frequency=13,1,0))</f>
        <v>0</v>
      </c>
      <c r="AX771" s="24">
        <f t="shared" ca="1" si="619"/>
        <v>0</v>
      </c>
      <c r="AY771" s="24">
        <f t="shared" ca="1" si="620"/>
        <v>0</v>
      </c>
      <c r="AZ771" s="24">
        <f t="shared" ca="1" si="621"/>
        <v>0</v>
      </c>
      <c r="BA771" s="25">
        <f t="shared" ca="1" si="622"/>
        <v>0</v>
      </c>
      <c r="BB771" s="23">
        <f t="array" aca="1" ref="BB771" ca="1">SUM(IF(w_start_date&lt;=AO771,1,0)*IF(w_end_date&gt;=AO771,1,0)*w_amount*(1+w_escalation/100)^(INT((AP771-w_months_since_start)/12))*IF(MOD(AP771-w_months_since_start,w_frequency)=0,1,0)*IF(w_frequency=13,0,1))+SUM(IF(w_start_date=AO771,w_amount,0)*IF(w_frequency=13,1,0))</f>
        <v>0</v>
      </c>
      <c r="BC771" s="25">
        <f t="shared" ca="1" si="623"/>
        <v>0</v>
      </c>
      <c r="BD771" s="24" t="b">
        <f t="shared" ca="1" si="624"/>
        <v>1</v>
      </c>
      <c r="BE771" s="24" t="b">
        <f t="shared" ca="1" si="625"/>
        <v>1</v>
      </c>
      <c r="BF771" s="23">
        <f t="array" aca="1" ref="BF771" ca="1">SUM(IF(BD771,1,0)*IF(ap_start_date&lt;=AO771,1,0)*IF(ap_end_date&gt;=AO771,1,0)*ap_amount*(1+ap_escalation/100)^(INT((AP771-ap_months_since_start)/12))*IF(MOD(AP771-ap_months_since_start,ap_frequency)=0,1,0))</f>
        <v>269030.60475671216</v>
      </c>
      <c r="BG771" s="24">
        <f t="shared" ca="1" si="626"/>
        <v>3228367.2570805452</v>
      </c>
      <c r="BH771" s="24">
        <f t="shared" ca="1" si="627"/>
        <v>428.26418754989874</v>
      </c>
      <c r="BI771">
        <f t="shared" ca="1" si="628"/>
        <v>0</v>
      </c>
      <c r="BJ771" s="24">
        <f t="shared" ca="1" si="629"/>
        <v>2997.849312849291</v>
      </c>
      <c r="BK771">
        <f t="shared" ca="1" si="630"/>
        <v>1</v>
      </c>
      <c r="BL771" s="25">
        <f t="shared" ca="1" si="631"/>
        <v>249.82077607077431</v>
      </c>
      <c r="BM771" s="32">
        <f t="shared" ca="1" si="610"/>
        <v>15943.348461301712</v>
      </c>
      <c r="BN771" s="23">
        <f t="shared" ca="1" si="632"/>
        <v>0</v>
      </c>
      <c r="BO771" s="24">
        <f t="shared" ca="1" si="633"/>
        <v>0</v>
      </c>
      <c r="BP771" s="25">
        <f t="shared" ca="1" si="634"/>
        <v>0</v>
      </c>
      <c r="BQ771" s="34">
        <f t="shared" ca="1" si="635"/>
        <v>68880</v>
      </c>
      <c r="BR771" s="23">
        <f t="shared" ca="1" si="636"/>
        <v>15943.348461301712</v>
      </c>
      <c r="BS771" s="24">
        <f t="shared" ca="1" si="637"/>
        <v>0</v>
      </c>
      <c r="BT771" s="24">
        <f t="shared" ca="1" si="642"/>
        <v>0</v>
      </c>
      <c r="BU771" s="24">
        <f t="shared" ca="1" si="638"/>
        <v>0</v>
      </c>
      <c r="BV771" s="24">
        <f t="shared" ca="1" si="643"/>
        <v>0</v>
      </c>
      <c r="BW771" s="24">
        <f t="shared" ca="1" si="639"/>
        <v>-249.82077607077431</v>
      </c>
      <c r="BX771" s="25">
        <f t="shared" ca="1" si="644"/>
        <v>-3075.077903197654</v>
      </c>
      <c r="BY771" s="23">
        <f t="shared" ca="1" si="611"/>
        <v>1312.5734123300667</v>
      </c>
      <c r="BZ771" s="24">
        <f t="shared" ca="1" si="612"/>
        <v>0</v>
      </c>
      <c r="CA771" s="24">
        <f t="shared" ca="1" si="645"/>
        <v>0</v>
      </c>
      <c r="CB771" s="24">
        <f t="shared" ca="1" si="613"/>
        <v>0</v>
      </c>
      <c r="CC771" s="24">
        <f t="shared" ca="1" si="646"/>
        <v>0</v>
      </c>
      <c r="CD771" s="24">
        <f t="shared" ca="1" si="614"/>
        <v>-20.634410339612128</v>
      </c>
      <c r="CE771" s="25">
        <f t="shared" ca="1" si="647"/>
        <v>-258.71114024368387</v>
      </c>
      <c r="CF771" s="23">
        <f t="shared" ca="1" si="648"/>
        <v>3197325.2642240017</v>
      </c>
      <c r="CG771" s="25">
        <f t="array" aca="1" ref="CG771" ca="1">SUM(BF760:BF771/(1+inflation/100)^(AP760:AP771/12))</f>
        <v>267980.53702225385</v>
      </c>
      <c r="CH771" s="32">
        <f ca="1">IFERROR(IF(MOD(AP771-ap_months_since_start,12)=0,ap_drawdown/100*(AQ771+AV771+BA771-BC771),CH770),0)</f>
        <v>2632.8675266821824</v>
      </c>
    </row>
    <row r="772" spans="40:86" x14ac:dyDescent="0.25">
      <c r="AN772" s="32">
        <f t="shared" ca="1" si="609"/>
        <v>118.58333333333333</v>
      </c>
      <c r="AO772" s="53">
        <f t="shared" ca="1" si="640"/>
        <v>68881</v>
      </c>
      <c r="AP772" s="22">
        <v>765</v>
      </c>
      <c r="AQ772" s="32">
        <f t="shared" ca="1" si="641"/>
        <v>15943.348461301712</v>
      </c>
      <c r="AR772" s="23">
        <f t="array" aca="1" ref="AR772" ca="1">SUM(IF(lsc_start_date=AO772,lsc_amount,0))</f>
        <v>0</v>
      </c>
      <c r="AS772" s="24">
        <f t="shared" ca="1" si="615"/>
        <v>0</v>
      </c>
      <c r="AT772" s="24">
        <f t="shared" ca="1" si="616"/>
        <v>0</v>
      </c>
      <c r="AU772" s="24">
        <f t="shared" ca="1" si="617"/>
        <v>0</v>
      </c>
      <c r="AV772" s="25">
        <f t="shared" ca="1" si="618"/>
        <v>0</v>
      </c>
      <c r="AW772" s="23">
        <f t="array" aca="1" ref="AW772" ca="1">SUM(IF(rcs_start_date&lt;=AO772,1,0)*IF(rcs_end_date&gt;=AO772,1,0)*rcs_amount*(1+rcs_escalation/100)^(INT((AP772-rcs_months_since_start)/12))*IF(MOD((AP772-rcs_months_since_start),rcs_frequency)=0,1,0)*IF(rcs_frequency=13,0,1))+SUM(IF(rcs_start_date=AO772,rcs_amount,0)*IF(rcs_frequency=13,1,0))</f>
        <v>0</v>
      </c>
      <c r="AX772" s="24">
        <f t="shared" ca="1" si="619"/>
        <v>0</v>
      </c>
      <c r="AY772" s="24">
        <f t="shared" ca="1" si="620"/>
        <v>0</v>
      </c>
      <c r="AZ772" s="24">
        <f t="shared" ca="1" si="621"/>
        <v>0</v>
      </c>
      <c r="BA772" s="25">
        <f t="shared" ca="1" si="622"/>
        <v>0</v>
      </c>
      <c r="BB772" s="23">
        <f t="array" aca="1" ref="BB772" ca="1">SUM(IF(w_start_date&lt;=AO772,1,0)*IF(w_end_date&gt;=AO772,1,0)*w_amount*(1+w_escalation/100)^(INT((AP772-w_months_since_start)/12))*IF(MOD(AP772-w_months_since_start,w_frequency)=0,1,0)*IF(w_frequency=13,0,1))+SUM(IF(w_start_date=AO772,w_amount,0)*IF(w_frequency=13,1,0))</f>
        <v>0</v>
      </c>
      <c r="BC772" s="25">
        <f t="shared" ca="1" si="623"/>
        <v>0</v>
      </c>
      <c r="BD772" s="24" t="b">
        <f t="shared" ca="1" si="624"/>
        <v>1</v>
      </c>
      <c r="BE772" s="24" t="b">
        <f t="shared" ca="1" si="625"/>
        <v>1</v>
      </c>
      <c r="BF772" s="23">
        <f t="array" aca="1" ref="BF772" ca="1">SUM(IF(BD772,1,0)*IF(ap_start_date&lt;=AO772,1,0)*IF(ap_end_date&gt;=AO772,1,0)*ap_amount*(1+ap_escalation/100)^(INT((AP772-ap_months_since_start)/12))*IF(MOD(AP772-ap_months_since_start,ap_frequency)=0,1,0))</f>
        <v>269030.60475671216</v>
      </c>
      <c r="BG772" s="24">
        <f t="shared" ca="1" si="626"/>
        <v>3228367.2570805452</v>
      </c>
      <c r="BH772" s="24">
        <f t="shared" ca="1" si="627"/>
        <v>428.26418754989874</v>
      </c>
      <c r="BI772">
        <f t="shared" ca="1" si="628"/>
        <v>0</v>
      </c>
      <c r="BJ772" s="24">
        <f t="shared" ca="1" si="629"/>
        <v>2997.849312849291</v>
      </c>
      <c r="BK772">
        <f t="shared" ca="1" si="630"/>
        <v>1</v>
      </c>
      <c r="BL772" s="25">
        <f t="shared" ca="1" si="631"/>
        <v>249.82077607077431</v>
      </c>
      <c r="BM772" s="32">
        <f t="shared" ca="1" si="610"/>
        <v>15806.636013229139</v>
      </c>
      <c r="BN772" s="23">
        <f t="shared" ca="1" si="632"/>
        <v>0</v>
      </c>
      <c r="BO772" s="24">
        <f t="shared" ca="1" si="633"/>
        <v>0</v>
      </c>
      <c r="BP772" s="25">
        <f t="shared" ca="1" si="634"/>
        <v>0</v>
      </c>
      <c r="BQ772" s="34">
        <f t="shared" ca="1" si="635"/>
        <v>68911</v>
      </c>
      <c r="BR772" s="23">
        <f t="shared" ca="1" si="636"/>
        <v>15806.636013229139</v>
      </c>
      <c r="BS772" s="24">
        <f t="shared" ca="1" si="637"/>
        <v>0</v>
      </c>
      <c r="BT772" s="24">
        <f t="shared" ca="1" si="642"/>
        <v>0</v>
      </c>
      <c r="BU772" s="24">
        <f t="shared" ca="1" si="638"/>
        <v>0</v>
      </c>
      <c r="BV772" s="24">
        <f t="shared" ca="1" si="643"/>
        <v>0</v>
      </c>
      <c r="BW772" s="24">
        <f t="shared" ca="1" si="639"/>
        <v>-249.82077607077431</v>
      </c>
      <c r="BX772" s="25">
        <f t="shared" ca="1" si="644"/>
        <v>-3049.3350397482</v>
      </c>
      <c r="BY772" s="23">
        <f t="shared" ca="1" si="611"/>
        <v>1297.0719645350196</v>
      </c>
      <c r="BZ772" s="24">
        <f t="shared" ca="1" si="612"/>
        <v>0</v>
      </c>
      <c r="CA772" s="24">
        <f t="shared" ca="1" si="645"/>
        <v>0</v>
      </c>
      <c r="CB772" s="24">
        <f t="shared" ca="1" si="613"/>
        <v>0</v>
      </c>
      <c r="CC772" s="24">
        <f t="shared" ca="1" si="646"/>
        <v>0</v>
      </c>
      <c r="CD772" s="24">
        <f t="shared" ca="1" si="614"/>
        <v>-20.567079074641846</v>
      </c>
      <c r="CE772" s="25">
        <f t="shared" ca="1" si="647"/>
        <v>-255.68434204607212</v>
      </c>
      <c r="CF772" s="23">
        <f t="shared" ca="1" si="648"/>
        <v>3207672.5951761827</v>
      </c>
      <c r="CG772" s="25">
        <f t="array" aca="1" ref="CG772" ca="1">SUM(BF761:BF772/(1+inflation/100)^(AP761:AP772/12))</f>
        <v>267980.53702225385</v>
      </c>
      <c r="CH772" s="32">
        <f ca="1">IFERROR(IF(MOD(AP772-ap_months_since_start,12)=0,ap_drawdown/100*(AQ772+AV772+BA772-BC772),CH771),0)</f>
        <v>2632.8675266821824</v>
      </c>
    </row>
    <row r="773" spans="40:86" x14ac:dyDescent="0.25">
      <c r="AN773" s="32">
        <f t="shared" ca="1" si="609"/>
        <v>118.66666666666667</v>
      </c>
      <c r="AO773" s="53">
        <f t="shared" ca="1" si="640"/>
        <v>68912</v>
      </c>
      <c r="AP773" s="22">
        <v>766</v>
      </c>
      <c r="AQ773" s="32">
        <f t="shared" ca="1" si="641"/>
        <v>15806.636013229139</v>
      </c>
      <c r="AR773" s="23">
        <f t="array" aca="1" ref="AR773" ca="1">SUM(IF(lsc_start_date=AO773,lsc_amount,0))</f>
        <v>0</v>
      </c>
      <c r="AS773" s="24">
        <f t="shared" ca="1" si="615"/>
        <v>0</v>
      </c>
      <c r="AT773" s="24">
        <f t="shared" ca="1" si="616"/>
        <v>0</v>
      </c>
      <c r="AU773" s="24">
        <f t="shared" ca="1" si="617"/>
        <v>0</v>
      </c>
      <c r="AV773" s="25">
        <f t="shared" ca="1" si="618"/>
        <v>0</v>
      </c>
      <c r="AW773" s="23">
        <f t="array" aca="1" ref="AW773" ca="1">SUM(IF(rcs_start_date&lt;=AO773,1,0)*IF(rcs_end_date&gt;=AO773,1,0)*rcs_amount*(1+rcs_escalation/100)^(INT((AP773-rcs_months_since_start)/12))*IF(MOD((AP773-rcs_months_since_start),rcs_frequency)=0,1,0)*IF(rcs_frequency=13,0,1))+SUM(IF(rcs_start_date=AO773,rcs_amount,0)*IF(rcs_frequency=13,1,0))</f>
        <v>0</v>
      </c>
      <c r="AX773" s="24">
        <f t="shared" ca="1" si="619"/>
        <v>0</v>
      </c>
      <c r="AY773" s="24">
        <f t="shared" ca="1" si="620"/>
        <v>0</v>
      </c>
      <c r="AZ773" s="24">
        <f t="shared" ca="1" si="621"/>
        <v>0</v>
      </c>
      <c r="BA773" s="25">
        <f t="shared" ca="1" si="622"/>
        <v>0</v>
      </c>
      <c r="BB773" s="23">
        <f t="array" aca="1" ref="BB773" ca="1">SUM(IF(w_start_date&lt;=AO773,1,0)*IF(w_end_date&gt;=AO773,1,0)*w_amount*(1+w_escalation/100)^(INT((AP773-w_months_since_start)/12))*IF(MOD(AP773-w_months_since_start,w_frequency)=0,1,0)*IF(w_frequency=13,0,1))+SUM(IF(w_start_date=AO773,w_amount,0)*IF(w_frequency=13,1,0))</f>
        <v>0</v>
      </c>
      <c r="BC773" s="25">
        <f t="shared" ca="1" si="623"/>
        <v>0</v>
      </c>
      <c r="BD773" s="24" t="b">
        <f t="shared" ca="1" si="624"/>
        <v>1</v>
      </c>
      <c r="BE773" s="24" t="b">
        <f t="shared" ca="1" si="625"/>
        <v>1</v>
      </c>
      <c r="BF773" s="23">
        <f t="array" aca="1" ref="BF773" ca="1">SUM(IF(BD773,1,0)*IF(ap_start_date&lt;=AO773,1,0)*IF(ap_end_date&gt;=AO773,1,0)*ap_amount*(1+ap_escalation/100)^(INT((AP773-ap_months_since_start)/12))*IF(MOD(AP773-ap_months_since_start,ap_frequency)=0,1,0))</f>
        <v>269030.60475671216</v>
      </c>
      <c r="BG773" s="24">
        <f t="shared" ca="1" si="626"/>
        <v>3228367.2570805452</v>
      </c>
      <c r="BH773" s="24">
        <f t="shared" ca="1" si="627"/>
        <v>428.26418754989874</v>
      </c>
      <c r="BI773">
        <f t="shared" ca="1" si="628"/>
        <v>0</v>
      </c>
      <c r="BJ773" s="24">
        <f t="shared" ca="1" si="629"/>
        <v>2997.849312849291</v>
      </c>
      <c r="BK773">
        <f t="shared" ca="1" si="630"/>
        <v>1</v>
      </c>
      <c r="BL773" s="25">
        <f t="shared" ca="1" si="631"/>
        <v>249.82077607077431</v>
      </c>
      <c r="BM773" s="32">
        <f t="shared" ca="1" si="610"/>
        <v>15668.938234341967</v>
      </c>
      <c r="BN773" s="23">
        <f t="shared" ca="1" si="632"/>
        <v>0</v>
      </c>
      <c r="BO773" s="24">
        <f t="shared" ca="1" si="633"/>
        <v>0</v>
      </c>
      <c r="BP773" s="25">
        <f t="shared" ca="1" si="634"/>
        <v>0</v>
      </c>
      <c r="BQ773" s="34">
        <f t="shared" ca="1" si="635"/>
        <v>68941</v>
      </c>
      <c r="BR773" s="23">
        <f t="shared" ca="1" si="636"/>
        <v>15668.938234341967</v>
      </c>
      <c r="BS773" s="24">
        <f t="shared" ca="1" si="637"/>
        <v>0</v>
      </c>
      <c r="BT773" s="24">
        <f t="shared" ca="1" si="642"/>
        <v>0</v>
      </c>
      <c r="BU773" s="24">
        <f t="shared" ca="1" si="638"/>
        <v>0</v>
      </c>
      <c r="BV773" s="24">
        <f t="shared" ca="1" si="643"/>
        <v>0</v>
      </c>
      <c r="BW773" s="24">
        <f t="shared" ca="1" si="639"/>
        <v>-249.82077607077431</v>
      </c>
      <c r="BX773" s="25">
        <f t="shared" ca="1" si="644"/>
        <v>-3023.5921762987459</v>
      </c>
      <c r="BY773" s="23">
        <f t="shared" ca="1" si="611"/>
        <v>1281.5771141558457</v>
      </c>
      <c r="BZ773" s="24">
        <f t="shared" ca="1" si="612"/>
        <v>0</v>
      </c>
      <c r="CA773" s="24">
        <f t="shared" ca="1" si="645"/>
        <v>0</v>
      </c>
      <c r="CB773" s="24">
        <f t="shared" ca="1" si="613"/>
        <v>0</v>
      </c>
      <c r="CC773" s="24">
        <f t="shared" ca="1" si="646"/>
        <v>0</v>
      </c>
      <c r="CD773" s="24">
        <f t="shared" ca="1" si="614"/>
        <v>-20.49996751545272</v>
      </c>
      <c r="CE773" s="25">
        <f t="shared" ca="1" si="647"/>
        <v>-252.66742046466126</v>
      </c>
      <c r="CF773" s="23">
        <f t="shared" ca="1" si="648"/>
        <v>3218019.9261283642</v>
      </c>
      <c r="CG773" s="25">
        <f t="array" aca="1" ref="CG773" ca="1">SUM(BF762:BF773/(1+inflation/100)^(AP762:AP773/12))</f>
        <v>267980.53702225385</v>
      </c>
      <c r="CH773" s="32">
        <f ca="1">IFERROR(IF(MOD(AP773-ap_months_since_start,12)=0,ap_drawdown/100*(AQ773+AV773+BA773-BC773),CH772),0)</f>
        <v>2632.8675266821824</v>
      </c>
    </row>
    <row r="774" spans="40:86" x14ac:dyDescent="0.25">
      <c r="AN774" s="32">
        <f t="shared" ca="1" si="609"/>
        <v>118.75</v>
      </c>
      <c r="AO774" s="53">
        <f t="shared" ca="1" si="640"/>
        <v>68942</v>
      </c>
      <c r="AP774" s="22">
        <v>767</v>
      </c>
      <c r="AQ774" s="32">
        <f t="shared" ca="1" si="641"/>
        <v>15668.938234341967</v>
      </c>
      <c r="AR774" s="23">
        <f t="array" aca="1" ref="AR774" ca="1">SUM(IF(lsc_start_date=AO774,lsc_amount,0))</f>
        <v>0</v>
      </c>
      <c r="AS774" s="24">
        <f t="shared" ca="1" si="615"/>
        <v>0</v>
      </c>
      <c r="AT774" s="24">
        <f t="shared" ca="1" si="616"/>
        <v>0</v>
      </c>
      <c r="AU774" s="24">
        <f t="shared" ca="1" si="617"/>
        <v>0</v>
      </c>
      <c r="AV774" s="25">
        <f t="shared" ca="1" si="618"/>
        <v>0</v>
      </c>
      <c r="AW774" s="23">
        <f t="array" aca="1" ref="AW774" ca="1">SUM(IF(rcs_start_date&lt;=AO774,1,0)*IF(rcs_end_date&gt;=AO774,1,0)*rcs_amount*(1+rcs_escalation/100)^(INT((AP774-rcs_months_since_start)/12))*IF(MOD((AP774-rcs_months_since_start),rcs_frequency)=0,1,0)*IF(rcs_frequency=13,0,1))+SUM(IF(rcs_start_date=AO774,rcs_amount,0)*IF(rcs_frequency=13,1,0))</f>
        <v>0</v>
      </c>
      <c r="AX774" s="24">
        <f t="shared" ca="1" si="619"/>
        <v>0</v>
      </c>
      <c r="AY774" s="24">
        <f t="shared" ca="1" si="620"/>
        <v>0</v>
      </c>
      <c r="AZ774" s="24">
        <f t="shared" ca="1" si="621"/>
        <v>0</v>
      </c>
      <c r="BA774" s="25">
        <f t="shared" ca="1" si="622"/>
        <v>0</v>
      </c>
      <c r="BB774" s="23">
        <f t="array" aca="1" ref="BB774" ca="1">SUM(IF(w_start_date&lt;=AO774,1,0)*IF(w_end_date&gt;=AO774,1,0)*w_amount*(1+w_escalation/100)^(INT((AP774-w_months_since_start)/12))*IF(MOD(AP774-w_months_since_start,w_frequency)=0,1,0)*IF(w_frequency=13,0,1))+SUM(IF(w_start_date=AO774,w_amount,0)*IF(w_frequency=13,1,0))</f>
        <v>0</v>
      </c>
      <c r="BC774" s="25">
        <f t="shared" ca="1" si="623"/>
        <v>0</v>
      </c>
      <c r="BD774" s="24" t="b">
        <f t="shared" ca="1" si="624"/>
        <v>1</v>
      </c>
      <c r="BE774" s="24" t="b">
        <f t="shared" ca="1" si="625"/>
        <v>1</v>
      </c>
      <c r="BF774" s="23">
        <f t="array" aca="1" ref="BF774" ca="1">SUM(IF(BD774,1,0)*IF(ap_start_date&lt;=AO774,1,0)*IF(ap_end_date&gt;=AO774,1,0)*ap_amount*(1+ap_escalation/100)^(INT((AP774-ap_months_since_start)/12))*IF(MOD(AP774-ap_months_since_start,ap_frequency)=0,1,0))</f>
        <v>269030.60475671216</v>
      </c>
      <c r="BG774" s="24">
        <f t="shared" ca="1" si="626"/>
        <v>3228367.2570805452</v>
      </c>
      <c r="BH774" s="24">
        <f t="shared" ca="1" si="627"/>
        <v>428.26418754989874</v>
      </c>
      <c r="BI774">
        <f t="shared" ca="1" si="628"/>
        <v>0</v>
      </c>
      <c r="BJ774" s="24">
        <f t="shared" ca="1" si="629"/>
        <v>2997.849312849291</v>
      </c>
      <c r="BK774">
        <f t="shared" ca="1" si="630"/>
        <v>1</v>
      </c>
      <c r="BL774" s="25">
        <f t="shared" ca="1" si="631"/>
        <v>249.82077607077431</v>
      </c>
      <c r="BM774" s="32">
        <f t="shared" ca="1" si="610"/>
        <v>15530.248023042443</v>
      </c>
      <c r="BN774" s="23">
        <f t="shared" ca="1" si="632"/>
        <v>0</v>
      </c>
      <c r="BO774" s="24">
        <f t="shared" ca="1" si="633"/>
        <v>0</v>
      </c>
      <c r="BP774" s="25">
        <f t="shared" ca="1" si="634"/>
        <v>0</v>
      </c>
      <c r="BQ774" s="34">
        <f t="shared" ca="1" si="635"/>
        <v>68972</v>
      </c>
      <c r="BR774" s="23">
        <f t="shared" ca="1" si="636"/>
        <v>15530.248023042443</v>
      </c>
      <c r="BS774" s="24">
        <f t="shared" ca="1" si="637"/>
        <v>0</v>
      </c>
      <c r="BT774" s="24">
        <f t="shared" ca="1" si="642"/>
        <v>0</v>
      </c>
      <c r="BU774" s="24">
        <f t="shared" ca="1" si="638"/>
        <v>0</v>
      </c>
      <c r="BV774" s="24">
        <f t="shared" ca="1" si="643"/>
        <v>0</v>
      </c>
      <c r="BW774" s="24">
        <f t="shared" ca="1" si="639"/>
        <v>-249.82077607077431</v>
      </c>
      <c r="BX774" s="25">
        <f t="shared" ca="1" si="644"/>
        <v>-2997.8493128492914</v>
      </c>
      <c r="BY774" s="23">
        <f t="shared" ca="1" si="611"/>
        <v>1266.0886672118816</v>
      </c>
      <c r="BZ774" s="24">
        <f t="shared" ca="1" si="612"/>
        <v>0</v>
      </c>
      <c r="CA774" s="24">
        <f t="shared" ca="1" si="645"/>
        <v>0</v>
      </c>
      <c r="CB774" s="24">
        <f t="shared" ca="1" si="613"/>
        <v>0</v>
      </c>
      <c r="CC774" s="24">
        <f t="shared" ca="1" si="646"/>
        <v>0</v>
      </c>
      <c r="CD774" s="24">
        <f t="shared" ca="1" si="614"/>
        <v>-20.433074945132194</v>
      </c>
      <c r="CE774" s="25">
        <f t="shared" ca="1" si="647"/>
        <v>-249.66034327148583</v>
      </c>
      <c r="CF774" s="23">
        <f t="shared" ca="1" si="648"/>
        <v>3228367.2570805452</v>
      </c>
      <c r="CG774" s="25">
        <f t="array" aca="1" ref="CG774" ca="1">SUM(BF763:BF774/(1+inflation/100)^(AP763:AP774/12))</f>
        <v>267980.53702225385</v>
      </c>
      <c r="CH774" s="32">
        <f ca="1">IFERROR(IF(MOD(AP774-ap_months_since_start,12)=0,ap_drawdown/100*(AQ774+AV774+BA774-BC774),CH773),0)</f>
        <v>2632.8675266821824</v>
      </c>
    </row>
    <row r="775" spans="40:86" x14ac:dyDescent="0.25">
      <c r="AN775" s="32">
        <f t="shared" ca="1" si="609"/>
        <v>118.83333333333333</v>
      </c>
      <c r="AO775" s="53">
        <f t="shared" ca="1" si="640"/>
        <v>68973</v>
      </c>
      <c r="AP775" s="22">
        <v>768</v>
      </c>
      <c r="AQ775" s="32">
        <f t="shared" ca="1" si="641"/>
        <v>15530.248023042443</v>
      </c>
      <c r="AR775" s="23">
        <f t="array" aca="1" ref="AR775" ca="1">SUM(IF(lsc_start_date=AO775,lsc_amount,0))</f>
        <v>0</v>
      </c>
      <c r="AS775" s="24">
        <f t="shared" ca="1" si="615"/>
        <v>0</v>
      </c>
      <c r="AT775" s="24">
        <f t="shared" ca="1" si="616"/>
        <v>0</v>
      </c>
      <c r="AU775" s="24">
        <f t="shared" ca="1" si="617"/>
        <v>0</v>
      </c>
      <c r="AV775" s="25">
        <f t="shared" ca="1" si="618"/>
        <v>0</v>
      </c>
      <c r="AW775" s="23">
        <f t="array" aca="1" ref="AW775" ca="1">SUM(IF(rcs_start_date&lt;=AO775,1,0)*IF(rcs_end_date&gt;=AO775,1,0)*rcs_amount*(1+rcs_escalation/100)^(INT((AP775-rcs_months_since_start)/12))*IF(MOD((AP775-rcs_months_since_start),rcs_frequency)=0,1,0)*IF(rcs_frequency=13,0,1))+SUM(IF(rcs_start_date=AO775,rcs_amount,0)*IF(rcs_frequency=13,1,0))</f>
        <v>0</v>
      </c>
      <c r="AX775" s="24">
        <f t="shared" ca="1" si="619"/>
        <v>0</v>
      </c>
      <c r="AY775" s="24">
        <f t="shared" ca="1" si="620"/>
        <v>0</v>
      </c>
      <c r="AZ775" s="24">
        <f t="shared" ca="1" si="621"/>
        <v>0</v>
      </c>
      <c r="BA775" s="25">
        <f t="shared" ca="1" si="622"/>
        <v>0</v>
      </c>
      <c r="BB775" s="23">
        <f t="array" aca="1" ref="BB775" ca="1">SUM(IF(w_start_date&lt;=AO775,1,0)*IF(w_end_date&gt;=AO775,1,0)*w_amount*(1+w_escalation/100)^(INT((AP775-w_months_since_start)/12))*IF(MOD(AP775-w_months_since_start,w_frequency)=0,1,0)*IF(w_frequency=13,0,1))+SUM(IF(w_start_date=AO775,w_amount,0)*IF(w_frequency=13,1,0))</f>
        <v>0</v>
      </c>
      <c r="BC775" s="25">
        <f t="shared" ca="1" si="623"/>
        <v>0</v>
      </c>
      <c r="BD775" s="24" t="b">
        <f t="shared" ca="1" si="624"/>
        <v>1</v>
      </c>
      <c r="BE775" s="24" t="b">
        <f t="shared" ca="1" si="625"/>
        <v>1</v>
      </c>
      <c r="BF775" s="23">
        <f t="array" aca="1" ref="BF775" ca="1">SUM(IF(BD775,1,0)*IF(ap_start_date&lt;=AO775,1,0)*IF(ap_end_date&gt;=AO775,1,0)*ap_amount*(1+ap_escalation/100)^(INT((AP775-ap_months_since_start)/12))*IF(MOD(AP775-ap_months_since_start,ap_frequency)=0,1,0))</f>
        <v>279791.82894698071</v>
      </c>
      <c r="BG775" s="24">
        <f t="shared" ca="1" si="626"/>
        <v>3357501.9473637682</v>
      </c>
      <c r="BH775" s="24">
        <f t="shared" ca="1" si="627"/>
        <v>388.25620057606108</v>
      </c>
      <c r="BI775">
        <f t="shared" ca="1" si="628"/>
        <v>0</v>
      </c>
      <c r="BJ775" s="24">
        <f t="shared" ca="1" si="629"/>
        <v>2717.7934040324271</v>
      </c>
      <c r="BK775">
        <f t="shared" ca="1" si="630"/>
        <v>1</v>
      </c>
      <c r="BL775" s="25">
        <f t="shared" ca="1" si="631"/>
        <v>226.48278366936896</v>
      </c>
      <c r="BM775" s="32">
        <f t="shared" ca="1" si="610"/>
        <v>15414.06442340749</v>
      </c>
      <c r="BN775" s="23">
        <f t="shared" ca="1" si="632"/>
        <v>0</v>
      </c>
      <c r="BO775" s="24">
        <f t="shared" ca="1" si="633"/>
        <v>0</v>
      </c>
      <c r="BP775" s="25">
        <f t="shared" ca="1" si="634"/>
        <v>0</v>
      </c>
      <c r="BQ775" s="34">
        <f t="shared" ca="1" si="635"/>
        <v>69002</v>
      </c>
      <c r="BR775" s="23">
        <f t="shared" ca="1" si="636"/>
        <v>15414.06442340749</v>
      </c>
      <c r="BS775" s="24">
        <f t="shared" ca="1" si="637"/>
        <v>0</v>
      </c>
      <c r="BT775" s="24">
        <f t="shared" ca="1" si="642"/>
        <v>0</v>
      </c>
      <c r="BU775" s="24">
        <f t="shared" ca="1" si="638"/>
        <v>0</v>
      </c>
      <c r="BV775" s="24">
        <f t="shared" ca="1" si="643"/>
        <v>0</v>
      </c>
      <c r="BW775" s="24">
        <f t="shared" ca="1" si="639"/>
        <v>-226.48278366936896</v>
      </c>
      <c r="BX775" s="25">
        <f t="shared" ca="1" si="644"/>
        <v>-2974.5113204478862</v>
      </c>
      <c r="BY775" s="23">
        <f t="shared" ca="1" si="611"/>
        <v>1252.5164969098212</v>
      </c>
      <c r="BZ775" s="24">
        <f t="shared" ca="1" si="612"/>
        <v>0</v>
      </c>
      <c r="CA775" s="24">
        <f t="shared" ca="1" si="645"/>
        <v>0</v>
      </c>
      <c r="CB775" s="24">
        <f t="shared" ca="1" si="613"/>
        <v>0</v>
      </c>
      <c r="CC775" s="24">
        <f t="shared" ca="1" si="646"/>
        <v>0</v>
      </c>
      <c r="CD775" s="24">
        <f t="shared" ca="1" si="614"/>
        <v>-18.463793063506607</v>
      </c>
      <c r="CE775" s="25">
        <f t="shared" ca="1" si="647"/>
        <v>-246.94307965992115</v>
      </c>
      <c r="CF775" s="23">
        <f t="shared" ca="1" si="648"/>
        <v>3239128.4812708138</v>
      </c>
      <c r="CG775" s="25">
        <f t="array" aca="1" ref="CG775" ca="1">SUM(BF764:BF775/(1+inflation/100)^(AP764:AP775/12))</f>
        <v>267980.53702225385</v>
      </c>
      <c r="CH775" s="32">
        <f ca="1">IFERROR(IF(MOD(AP775-ap_months_since_start,12)=0,ap_drawdown/100*(AQ775+AV775+BA775-BC775),CH774),0)</f>
        <v>2386.9078299025682</v>
      </c>
    </row>
    <row r="776" spans="40:86" x14ac:dyDescent="0.25">
      <c r="AN776" s="32">
        <f t="shared" ref="AN776:AN839" ca="1" si="649">IF(AND(Date_of_birth&lt;&gt;"",Date_of_birth&lt;&gt;"Please enter date of birth"),YEARFRAC(Date_of_birth,AO776),AP776/12)</f>
        <v>118.91666666666667</v>
      </c>
      <c r="AO776" s="53">
        <f t="shared" ca="1" si="640"/>
        <v>69003</v>
      </c>
      <c r="AP776" s="22">
        <v>769</v>
      </c>
      <c r="AQ776" s="32">
        <f t="shared" ca="1" si="641"/>
        <v>15414.06442340749</v>
      </c>
      <c r="AR776" s="23">
        <f t="array" aca="1" ref="AR776" ca="1">SUM(IF(lsc_start_date=AO776,lsc_amount,0))</f>
        <v>0</v>
      </c>
      <c r="AS776" s="24">
        <f t="shared" ca="1" si="615"/>
        <v>0</v>
      </c>
      <c r="AT776" s="24">
        <f t="shared" ca="1" si="616"/>
        <v>0</v>
      </c>
      <c r="AU776" s="24">
        <f t="shared" ca="1" si="617"/>
        <v>0</v>
      </c>
      <c r="AV776" s="25">
        <f t="shared" ca="1" si="618"/>
        <v>0</v>
      </c>
      <c r="AW776" s="23">
        <f t="array" aca="1" ref="AW776" ca="1">SUM(IF(rcs_start_date&lt;=AO776,1,0)*IF(rcs_end_date&gt;=AO776,1,0)*rcs_amount*(1+rcs_escalation/100)^(INT((AP776-rcs_months_since_start)/12))*IF(MOD((AP776-rcs_months_since_start),rcs_frequency)=0,1,0)*IF(rcs_frequency=13,0,1))+SUM(IF(rcs_start_date=AO776,rcs_amount,0)*IF(rcs_frequency=13,1,0))</f>
        <v>0</v>
      </c>
      <c r="AX776" s="24">
        <f t="shared" ca="1" si="619"/>
        <v>0</v>
      </c>
      <c r="AY776" s="24">
        <f t="shared" ca="1" si="620"/>
        <v>0</v>
      </c>
      <c r="AZ776" s="24">
        <f t="shared" ca="1" si="621"/>
        <v>0</v>
      </c>
      <c r="BA776" s="25">
        <f t="shared" ca="1" si="622"/>
        <v>0</v>
      </c>
      <c r="BB776" s="23">
        <f t="array" aca="1" ref="BB776" ca="1">SUM(IF(w_start_date&lt;=AO776,1,0)*IF(w_end_date&gt;=AO776,1,0)*w_amount*(1+w_escalation/100)^(INT((AP776-w_months_since_start)/12))*IF(MOD(AP776-w_months_since_start,w_frequency)=0,1,0)*IF(w_frequency=13,0,1))+SUM(IF(w_start_date=AO776,w_amount,0)*IF(w_frequency=13,1,0))</f>
        <v>0</v>
      </c>
      <c r="BC776" s="25">
        <f t="shared" ca="1" si="623"/>
        <v>0</v>
      </c>
      <c r="BD776" s="24" t="b">
        <f t="shared" ca="1" si="624"/>
        <v>1</v>
      </c>
      <c r="BE776" s="24" t="b">
        <f t="shared" ca="1" si="625"/>
        <v>1</v>
      </c>
      <c r="BF776" s="23">
        <f t="array" aca="1" ref="BF776" ca="1">SUM(IF(BD776,1,0)*IF(ap_start_date&lt;=AO776,1,0)*IF(ap_end_date&gt;=AO776,1,0)*ap_amount*(1+ap_escalation/100)^(INT((AP776-ap_months_since_start)/12))*IF(MOD(AP776-ap_months_since_start,ap_frequency)=0,1,0))</f>
        <v>279791.82894698071</v>
      </c>
      <c r="BG776" s="24">
        <f t="shared" ca="1" si="626"/>
        <v>3357501.9473637682</v>
      </c>
      <c r="BH776" s="24">
        <f t="shared" ca="1" si="627"/>
        <v>388.25620057606108</v>
      </c>
      <c r="BI776">
        <f t="shared" ca="1" si="628"/>
        <v>0</v>
      </c>
      <c r="BJ776" s="24">
        <f t="shared" ca="1" si="629"/>
        <v>2717.7934040324271</v>
      </c>
      <c r="BK776">
        <f t="shared" ca="1" si="630"/>
        <v>1</v>
      </c>
      <c r="BL776" s="25">
        <f t="shared" ca="1" si="631"/>
        <v>226.48278366936896</v>
      </c>
      <c r="BM776" s="32">
        <f t="shared" ref="BM776:BM839" ca="1" si="650">(AQ776+AV776+BA776-BC776-BL776)*(1+NomRetn/100)^(1/12)</f>
        <v>15297.043451005935</v>
      </c>
      <c r="BN776" s="23">
        <f t="shared" ca="1" si="632"/>
        <v>0</v>
      </c>
      <c r="BO776" s="24">
        <f t="shared" ca="1" si="633"/>
        <v>0</v>
      </c>
      <c r="BP776" s="25">
        <f t="shared" ca="1" si="634"/>
        <v>0</v>
      </c>
      <c r="BQ776" s="34">
        <f t="shared" ca="1" si="635"/>
        <v>69033</v>
      </c>
      <c r="BR776" s="23">
        <f t="shared" ca="1" si="636"/>
        <v>15297.043451005935</v>
      </c>
      <c r="BS776" s="24">
        <f t="shared" ca="1" si="637"/>
        <v>0</v>
      </c>
      <c r="BT776" s="24">
        <f t="shared" ca="1" si="642"/>
        <v>0</v>
      </c>
      <c r="BU776" s="24">
        <f t="shared" ca="1" si="638"/>
        <v>0</v>
      </c>
      <c r="BV776" s="24">
        <f t="shared" ca="1" si="643"/>
        <v>0</v>
      </c>
      <c r="BW776" s="24">
        <f t="shared" ca="1" si="639"/>
        <v>-226.48278366936896</v>
      </c>
      <c r="BX776" s="25">
        <f t="shared" ca="1" si="644"/>
        <v>-2951.1733280464809</v>
      </c>
      <c r="BY776" s="23">
        <f t="shared" ref="BY776:BY839" ca="1" si="651">BR776*(1+inflation/100)^(-$AP776/12)</f>
        <v>1238.9515981829588</v>
      </c>
      <c r="BZ776" s="24">
        <f t="shared" ref="BZ776:BZ839" ca="1" si="652">BS776*(1+inflation/100)^(-(AP776-1)/12)</f>
        <v>0</v>
      </c>
      <c r="CA776" s="24">
        <f t="shared" ca="1" si="645"/>
        <v>0</v>
      </c>
      <c r="CB776" s="24">
        <f t="shared" ref="CB776:CB839" ca="1" si="653">BU776*(1+inflation/100)^(-($AP776-1)/12)</f>
        <v>0</v>
      </c>
      <c r="CC776" s="24">
        <f t="shared" ca="1" si="646"/>
        <v>0</v>
      </c>
      <c r="CD776" s="24">
        <f t="shared" ref="CD776:CD839" ca="1" si="654">BW776*(1+inflation/100)^(-($AP776-1)/12)</f>
        <v>-18.403544647261374</v>
      </c>
      <c r="CE776" s="25">
        <f t="shared" ca="1" si="647"/>
        <v>-244.23468263544149</v>
      </c>
      <c r="CF776" s="23">
        <f t="shared" ca="1" si="648"/>
        <v>3249889.7054610825</v>
      </c>
      <c r="CG776" s="25">
        <f t="array" aca="1" ref="CG776" ca="1">SUM(BF765:BF776/(1+inflation/100)^(AP765:AP776/12))</f>
        <v>267980.53702225385</v>
      </c>
      <c r="CH776" s="32">
        <f ca="1">IFERROR(IF(MOD(AP776-ap_months_since_start,12)=0,ap_drawdown/100*(AQ776+AV776+BA776-BC776),CH775),0)</f>
        <v>2386.9078299025682</v>
      </c>
    </row>
    <row r="777" spans="40:86" x14ac:dyDescent="0.25">
      <c r="AN777" s="32">
        <f t="shared" ca="1" si="649"/>
        <v>119</v>
      </c>
      <c r="AO777" s="53">
        <f t="shared" ca="1" si="640"/>
        <v>69034</v>
      </c>
      <c r="AP777" s="22">
        <v>770</v>
      </c>
      <c r="AQ777" s="32">
        <f t="shared" ca="1" si="641"/>
        <v>15297.043451005935</v>
      </c>
      <c r="AR777" s="23">
        <f t="array" aca="1" ref="AR777" ca="1">SUM(IF(lsc_start_date=AO777,lsc_amount,0))</f>
        <v>0</v>
      </c>
      <c r="AS777" s="24">
        <f t="shared" ref="AS777:AS840" ca="1" si="655">AR777*$D$34/100</f>
        <v>0</v>
      </c>
      <c r="AT777" s="24">
        <f t="shared" ref="AT777:AT840" ca="1" si="656">AR777*$D$33/100</f>
        <v>0</v>
      </c>
      <c r="AU777" s="24">
        <f t="shared" ref="AU777:AU840" ca="1" si="657">AR777*$D$35/100</f>
        <v>0</v>
      </c>
      <c r="AV777" s="25">
        <f t="shared" ref="AV777:AV840" ca="1" si="658">AR777-AS777-AT777-AU777</f>
        <v>0</v>
      </c>
      <c r="AW777" s="23">
        <f t="array" aca="1" ref="AW777" ca="1">SUM(IF(rcs_start_date&lt;=AO777,1,0)*IF(rcs_end_date&gt;=AO777,1,0)*rcs_amount*(1+rcs_escalation/100)^(INT((AP777-rcs_months_since_start)/12))*IF(MOD((AP777-rcs_months_since_start),rcs_frequency)=0,1,0)*IF(rcs_frequency=13,0,1))+SUM(IF(rcs_start_date=AO777,rcs_amount,0)*IF(rcs_frequency=13,1,0))</f>
        <v>0</v>
      </c>
      <c r="AX777" s="24">
        <f t="shared" ref="AX777:AX840" ca="1" si="659">AW777*$D$34/100</f>
        <v>0</v>
      </c>
      <c r="AY777" s="24">
        <f t="shared" ref="AY777:AY840" ca="1" si="660">AW777*$D$33/100</f>
        <v>0</v>
      </c>
      <c r="AZ777" s="24">
        <f t="shared" ref="AZ777:AZ840" ca="1" si="661">AW777*$D$35/100</f>
        <v>0</v>
      </c>
      <c r="BA777" s="25">
        <f t="shared" ref="BA777:BA840" ca="1" si="662">AW777-AX777-AY777-AZ777</f>
        <v>0</v>
      </c>
      <c r="BB777" s="23">
        <f t="array" aca="1" ref="BB777" ca="1">SUM(IF(w_start_date&lt;=AO777,1,0)*IF(w_end_date&gt;=AO777,1,0)*w_amount*(1+w_escalation/100)^(INT((AP777-w_months_since_start)/12))*IF(MOD(AP777-w_months_since_start,w_frequency)=0,1,0)*IF(w_frequency=13,0,1))+SUM(IF(w_start_date=AO777,w_amount,0)*IF(w_frequency=13,1,0))</f>
        <v>0</v>
      </c>
      <c r="BC777" s="25">
        <f t="shared" ref="BC777:BC840" ca="1" si="663">IF(BB777&gt;AQ777+AV777+BA777,AQ777+AV777+BA777,BB777)</f>
        <v>0</v>
      </c>
      <c r="BD777" s="24" t="b">
        <f t="shared" ref="BD777:BD840" ca="1" si="664">AND($DV$11&lt;=AO777,$DV$11&lt;&gt;0)</f>
        <v>1</v>
      </c>
      <c r="BE777" s="24" t="b">
        <f t="shared" ref="BE777:BE840" ca="1" si="665">$DW$11&lt;&gt;""</f>
        <v>1</v>
      </c>
      <c r="BF777" s="23">
        <f t="array" aca="1" ref="BF777" ca="1">SUM(IF(BD777,1,0)*IF(ap_start_date&lt;=AO777,1,0)*IF(ap_end_date&gt;=AO777,1,0)*ap_amount*(1+ap_escalation/100)^(INT((AP777-ap_months_since_start)/12))*IF(MOD(AP777-ap_months_since_start,ap_frequency)=0,1,0))</f>
        <v>279791.82894698071</v>
      </c>
      <c r="BG777" s="24">
        <f t="shared" ref="BG777:BG840" ca="1" si="666">IF(MOD(YEAR(AO777)*12+MONTH(AO777)-YEAR(Earliest_annuity_payment)*12-MONTH(Earliest_annuity_payment),12)=0,SUM(BF777:BF788),BG776)</f>
        <v>3357501.9473637682</v>
      </c>
      <c r="BH777" s="24">
        <f t="shared" ref="BH777:BH840" ca="1" si="667">IF(AO777&gt;=Earliest_annuity_payment,IF(MOD(YEAR(AO777)*12+MONTH(AO777)-YEAR(Earliest_annuity_payment)*12-MONTH(Earliest_annuity_payment),12)=0,(AQ777+AV777+BA777-BC777)*Annuity_min,BH776),0)</f>
        <v>388.25620057606108</v>
      </c>
      <c r="BI777">
        <f t="shared" ref="BI777:BI840" ca="1" si="668">IF(AND(BH777&gt;BG777,BD777),1,0)</f>
        <v>0</v>
      </c>
      <c r="BJ777" s="24">
        <f t="shared" ref="BJ777:BJ840" ca="1" si="669">IF(AO777&gt;=Earliest_annuity_payment,IF(MOD(YEAR(AO777)*12+MONTH(AO777)-YEAR(Earliest_annuity_payment)*12-MONTH(Earliest_annuity_payment),12)=0,(AQ777+AV777+BA777-BC777)*Annuity_cap,BJ776),0)</f>
        <v>2717.7934040324271</v>
      </c>
      <c r="BK777">
        <f t="shared" ref="BK777:BK840" ca="1" si="670">IF(BJ777&lt;BG777,1,0)</f>
        <v>1</v>
      </c>
      <c r="BL777" s="25">
        <f t="shared" ref="BL777:BL840" ca="1" si="671">IF(BJ777&lt;BG777,BF777/BG777*BJ777,IF(AND(BH777&gt;BG777,BG777&lt;&gt;0),BF777/BG777*BH777,BF777))</f>
        <v>226.48278366936896</v>
      </c>
      <c r="BM777" s="32">
        <f t="shared" ca="1" si="650"/>
        <v>15179.179070621512</v>
      </c>
      <c r="BN777" s="23">
        <f t="shared" ref="BN777:BN840" ca="1" si="672">BM777*$E$34/1200</f>
        <v>0</v>
      </c>
      <c r="BO777" s="24">
        <f t="shared" ref="BO777:BO840" ca="1" si="673">BM777*$E$33/1200</f>
        <v>0</v>
      </c>
      <c r="BP777" s="25">
        <f t="shared" ref="BP777:BP840" ca="1" si="674">BM777*$E$35/1200</f>
        <v>0</v>
      </c>
      <c r="BQ777" s="34">
        <f t="shared" ref="BQ777:BQ840" ca="1" si="675">EOMONTH(AO777,0)</f>
        <v>69064</v>
      </c>
      <c r="BR777" s="23">
        <f t="shared" ref="BR777:BR840" ca="1" si="676">BM777-BN777-BO777-BP777</f>
        <v>15179.179070621512</v>
      </c>
      <c r="BS777" s="24">
        <f t="shared" ref="BS777:BS840" ca="1" si="677">AV777+BA777</f>
        <v>0</v>
      </c>
      <c r="BT777" s="24">
        <f t="shared" ca="1" si="642"/>
        <v>0</v>
      </c>
      <c r="BU777" s="24">
        <f t="shared" ref="BU777:BU840" ca="1" si="678">-BC777</f>
        <v>0</v>
      </c>
      <c r="BV777" s="24">
        <f t="shared" ca="1" si="643"/>
        <v>0</v>
      </c>
      <c r="BW777" s="24">
        <f t="shared" ref="BW777:BW840" ca="1" si="679">-BL777</f>
        <v>-226.48278366936896</v>
      </c>
      <c r="BX777" s="25">
        <f t="shared" ca="1" si="644"/>
        <v>-2927.8353356450757</v>
      </c>
      <c r="BY777" s="23">
        <f t="shared" ca="1" si="651"/>
        <v>1225.3938021764695</v>
      </c>
      <c r="BZ777" s="24">
        <f t="shared" ca="1" si="652"/>
        <v>0</v>
      </c>
      <c r="CA777" s="24">
        <f t="shared" ca="1" si="645"/>
        <v>0</v>
      </c>
      <c r="CB777" s="24">
        <f t="shared" ca="1" si="653"/>
        <v>0</v>
      </c>
      <c r="CC777" s="24">
        <f t="shared" ca="1" si="646"/>
        <v>0</v>
      </c>
      <c r="CD777" s="24">
        <f t="shared" ca="1" si="654"/>
        <v>-18.343492825055527</v>
      </c>
      <c r="CE777" s="25">
        <f t="shared" ca="1" si="647"/>
        <v>-241.53512326586446</v>
      </c>
      <c r="CF777" s="23">
        <f t="shared" ca="1" si="648"/>
        <v>3260650.9296513512</v>
      </c>
      <c r="CG777" s="25">
        <f t="array" aca="1" ref="CG777" ca="1">SUM(BF766:BF777/(1+inflation/100)^(AP766:AP777/12))</f>
        <v>267980.53702225385</v>
      </c>
      <c r="CH777" s="32">
        <f ca="1">IFERROR(IF(MOD(AP777-ap_months_since_start,12)=0,ap_drawdown/100*(AQ777+AV777+BA777-BC777),CH776),0)</f>
        <v>2386.9078299025682</v>
      </c>
    </row>
    <row r="778" spans="40:86" x14ac:dyDescent="0.25">
      <c r="AN778" s="32">
        <f t="shared" ca="1" si="649"/>
        <v>119.08333333333333</v>
      </c>
      <c r="AO778" s="53">
        <f t="shared" ref="AO778:AO841" ca="1" si="680">DATE(YEAR(AO777),MONTH(AO777)+1,1)</f>
        <v>69065</v>
      </c>
      <c r="AP778" s="22">
        <v>771</v>
      </c>
      <c r="AQ778" s="32">
        <f t="shared" ref="AQ778:AQ841" ca="1" si="681">IF(BR777&lt;0,0,BR777)</f>
        <v>15179.179070621512</v>
      </c>
      <c r="AR778" s="23">
        <f t="array" aca="1" ref="AR778" ca="1">SUM(IF(lsc_start_date=AO778,lsc_amount,0))</f>
        <v>0</v>
      </c>
      <c r="AS778" s="24">
        <f t="shared" ca="1" si="655"/>
        <v>0</v>
      </c>
      <c r="AT778" s="24">
        <f t="shared" ca="1" si="656"/>
        <v>0</v>
      </c>
      <c r="AU778" s="24">
        <f t="shared" ca="1" si="657"/>
        <v>0</v>
      </c>
      <c r="AV778" s="25">
        <f t="shared" ca="1" si="658"/>
        <v>0</v>
      </c>
      <c r="AW778" s="23">
        <f t="array" aca="1" ref="AW778" ca="1">SUM(IF(rcs_start_date&lt;=AO778,1,0)*IF(rcs_end_date&gt;=AO778,1,0)*rcs_amount*(1+rcs_escalation/100)^(INT((AP778-rcs_months_since_start)/12))*IF(MOD((AP778-rcs_months_since_start),rcs_frequency)=0,1,0)*IF(rcs_frequency=13,0,1))+SUM(IF(rcs_start_date=AO778,rcs_amount,0)*IF(rcs_frequency=13,1,0))</f>
        <v>0</v>
      </c>
      <c r="AX778" s="24">
        <f t="shared" ca="1" si="659"/>
        <v>0</v>
      </c>
      <c r="AY778" s="24">
        <f t="shared" ca="1" si="660"/>
        <v>0</v>
      </c>
      <c r="AZ778" s="24">
        <f t="shared" ca="1" si="661"/>
        <v>0</v>
      </c>
      <c r="BA778" s="25">
        <f t="shared" ca="1" si="662"/>
        <v>0</v>
      </c>
      <c r="BB778" s="23">
        <f t="array" aca="1" ref="BB778" ca="1">SUM(IF(w_start_date&lt;=AO778,1,0)*IF(w_end_date&gt;=AO778,1,0)*w_amount*(1+w_escalation/100)^(INT((AP778-w_months_since_start)/12))*IF(MOD(AP778-w_months_since_start,w_frequency)=0,1,0)*IF(w_frequency=13,0,1))+SUM(IF(w_start_date=AO778,w_amount,0)*IF(w_frequency=13,1,0))</f>
        <v>0</v>
      </c>
      <c r="BC778" s="25">
        <f t="shared" ca="1" si="663"/>
        <v>0</v>
      </c>
      <c r="BD778" s="24" t="b">
        <f t="shared" ca="1" si="664"/>
        <v>1</v>
      </c>
      <c r="BE778" s="24" t="b">
        <f t="shared" ca="1" si="665"/>
        <v>1</v>
      </c>
      <c r="BF778" s="23">
        <f t="array" aca="1" ref="BF778" ca="1">SUM(IF(BD778,1,0)*IF(ap_start_date&lt;=AO778,1,0)*IF(ap_end_date&gt;=AO778,1,0)*ap_amount*(1+ap_escalation/100)^(INT((AP778-ap_months_since_start)/12))*IF(MOD(AP778-ap_months_since_start,ap_frequency)=0,1,0))</f>
        <v>279791.82894698071</v>
      </c>
      <c r="BG778" s="24">
        <f t="shared" ca="1" si="666"/>
        <v>3357501.9473637682</v>
      </c>
      <c r="BH778" s="24">
        <f t="shared" ca="1" si="667"/>
        <v>388.25620057606108</v>
      </c>
      <c r="BI778">
        <f t="shared" ca="1" si="668"/>
        <v>0</v>
      </c>
      <c r="BJ778" s="24">
        <f t="shared" ca="1" si="669"/>
        <v>2717.7934040324271</v>
      </c>
      <c r="BK778">
        <f t="shared" ca="1" si="670"/>
        <v>1</v>
      </c>
      <c r="BL778" s="25">
        <f t="shared" ca="1" si="671"/>
        <v>226.48278366936896</v>
      </c>
      <c r="BM778" s="32">
        <f t="shared" ca="1" si="650"/>
        <v>15060.465203540203</v>
      </c>
      <c r="BN778" s="23">
        <f t="shared" ca="1" si="672"/>
        <v>0</v>
      </c>
      <c r="BO778" s="24">
        <f t="shared" ca="1" si="673"/>
        <v>0</v>
      </c>
      <c r="BP778" s="25">
        <f t="shared" ca="1" si="674"/>
        <v>0</v>
      </c>
      <c r="BQ778" s="34">
        <f t="shared" ca="1" si="675"/>
        <v>69092</v>
      </c>
      <c r="BR778" s="23">
        <f t="shared" ca="1" si="676"/>
        <v>15060.465203540203</v>
      </c>
      <c r="BS778" s="24">
        <f t="shared" ca="1" si="677"/>
        <v>0</v>
      </c>
      <c r="BT778" s="24">
        <f t="shared" ca="1" si="642"/>
        <v>0</v>
      </c>
      <c r="BU778" s="24">
        <f t="shared" ca="1" si="678"/>
        <v>0</v>
      </c>
      <c r="BV778" s="24">
        <f t="shared" ca="1" si="643"/>
        <v>0</v>
      </c>
      <c r="BW778" s="24">
        <f t="shared" ca="1" si="679"/>
        <v>-226.48278366936896</v>
      </c>
      <c r="BX778" s="25">
        <f t="shared" ca="1" si="644"/>
        <v>-2904.4973432436705</v>
      </c>
      <c r="BY778" s="23">
        <f t="shared" ca="1" si="651"/>
        <v>1211.8429400175096</v>
      </c>
      <c r="BZ778" s="24">
        <f t="shared" ca="1" si="652"/>
        <v>0</v>
      </c>
      <c r="CA778" s="24">
        <f t="shared" ca="1" si="645"/>
        <v>0</v>
      </c>
      <c r="CB778" s="24">
        <f t="shared" ca="1" si="653"/>
        <v>0</v>
      </c>
      <c r="CC778" s="24">
        <f t="shared" ca="1" si="646"/>
        <v>0</v>
      </c>
      <c r="CD778" s="24">
        <f t="shared" ca="1" si="654"/>
        <v>-18.28363695539138</v>
      </c>
      <c r="CE778" s="25">
        <f t="shared" ca="1" si="647"/>
        <v>-238.84437271341494</v>
      </c>
      <c r="CF778" s="23">
        <f t="shared" ca="1" si="648"/>
        <v>3271412.1538416198</v>
      </c>
      <c r="CG778" s="25">
        <f t="array" aca="1" ref="CG778" ca="1">SUM(BF767:BF778/(1+inflation/100)^(AP767:AP778/12))</f>
        <v>267980.53702225385</v>
      </c>
      <c r="CH778" s="32">
        <f ca="1">IFERROR(IF(MOD(AP778-ap_months_since_start,12)=0,ap_drawdown/100*(AQ778+AV778+BA778-BC778),CH777),0)</f>
        <v>2386.9078299025682</v>
      </c>
    </row>
    <row r="779" spans="40:86" x14ac:dyDescent="0.25">
      <c r="AN779" s="32">
        <f t="shared" ca="1" si="649"/>
        <v>119.16666666666667</v>
      </c>
      <c r="AO779" s="53">
        <f t="shared" ca="1" si="680"/>
        <v>69093</v>
      </c>
      <c r="AP779" s="22">
        <v>772</v>
      </c>
      <c r="AQ779" s="32">
        <f t="shared" ca="1" si="681"/>
        <v>15060.465203540203</v>
      </c>
      <c r="AR779" s="23">
        <f t="array" aca="1" ref="AR779" ca="1">SUM(IF(lsc_start_date=AO779,lsc_amount,0))</f>
        <v>0</v>
      </c>
      <c r="AS779" s="24">
        <f t="shared" ca="1" si="655"/>
        <v>0</v>
      </c>
      <c r="AT779" s="24">
        <f t="shared" ca="1" si="656"/>
        <v>0</v>
      </c>
      <c r="AU779" s="24">
        <f t="shared" ca="1" si="657"/>
        <v>0</v>
      </c>
      <c r="AV779" s="25">
        <f t="shared" ca="1" si="658"/>
        <v>0</v>
      </c>
      <c r="AW779" s="23">
        <f t="array" aca="1" ref="AW779" ca="1">SUM(IF(rcs_start_date&lt;=AO779,1,0)*IF(rcs_end_date&gt;=AO779,1,0)*rcs_amount*(1+rcs_escalation/100)^(INT((AP779-rcs_months_since_start)/12))*IF(MOD((AP779-rcs_months_since_start),rcs_frequency)=0,1,0)*IF(rcs_frequency=13,0,1))+SUM(IF(rcs_start_date=AO779,rcs_amount,0)*IF(rcs_frequency=13,1,0))</f>
        <v>0</v>
      </c>
      <c r="AX779" s="24">
        <f t="shared" ca="1" si="659"/>
        <v>0</v>
      </c>
      <c r="AY779" s="24">
        <f t="shared" ca="1" si="660"/>
        <v>0</v>
      </c>
      <c r="AZ779" s="24">
        <f t="shared" ca="1" si="661"/>
        <v>0</v>
      </c>
      <c r="BA779" s="25">
        <f t="shared" ca="1" si="662"/>
        <v>0</v>
      </c>
      <c r="BB779" s="23">
        <f t="array" aca="1" ref="BB779" ca="1">SUM(IF(w_start_date&lt;=AO779,1,0)*IF(w_end_date&gt;=AO779,1,0)*w_amount*(1+w_escalation/100)^(INT((AP779-w_months_since_start)/12))*IF(MOD(AP779-w_months_since_start,w_frequency)=0,1,0)*IF(w_frequency=13,0,1))+SUM(IF(w_start_date=AO779,w_amount,0)*IF(w_frequency=13,1,0))</f>
        <v>0</v>
      </c>
      <c r="BC779" s="25">
        <f t="shared" ca="1" si="663"/>
        <v>0</v>
      </c>
      <c r="BD779" s="24" t="b">
        <f t="shared" ca="1" si="664"/>
        <v>1</v>
      </c>
      <c r="BE779" s="24" t="b">
        <f t="shared" ca="1" si="665"/>
        <v>1</v>
      </c>
      <c r="BF779" s="23">
        <f t="array" aca="1" ref="BF779" ca="1">SUM(IF(BD779,1,0)*IF(ap_start_date&lt;=AO779,1,0)*IF(ap_end_date&gt;=AO779,1,0)*ap_amount*(1+ap_escalation/100)^(INT((AP779-ap_months_since_start)/12))*IF(MOD(AP779-ap_months_since_start,ap_frequency)=0,1,0))</f>
        <v>279791.82894698071</v>
      </c>
      <c r="BG779" s="24">
        <f t="shared" ca="1" si="666"/>
        <v>3357501.9473637682</v>
      </c>
      <c r="BH779" s="24">
        <f t="shared" ca="1" si="667"/>
        <v>388.25620057606108</v>
      </c>
      <c r="BI779">
        <f t="shared" ca="1" si="668"/>
        <v>0</v>
      </c>
      <c r="BJ779" s="24">
        <f t="shared" ca="1" si="669"/>
        <v>2717.7934040324271</v>
      </c>
      <c r="BK779">
        <f t="shared" ca="1" si="670"/>
        <v>1</v>
      </c>
      <c r="BL779" s="25">
        <f t="shared" ca="1" si="671"/>
        <v>226.48278366936896</v>
      </c>
      <c r="BM779" s="32">
        <f t="shared" ca="1" si="650"/>
        <v>14940.895727236732</v>
      </c>
      <c r="BN779" s="23">
        <f t="shared" ca="1" si="672"/>
        <v>0</v>
      </c>
      <c r="BO779" s="24">
        <f t="shared" ca="1" si="673"/>
        <v>0</v>
      </c>
      <c r="BP779" s="25">
        <f t="shared" ca="1" si="674"/>
        <v>0</v>
      </c>
      <c r="BQ779" s="34">
        <f t="shared" ca="1" si="675"/>
        <v>69123</v>
      </c>
      <c r="BR779" s="23">
        <f t="shared" ca="1" si="676"/>
        <v>14940.895727236732</v>
      </c>
      <c r="BS779" s="24">
        <f t="shared" ca="1" si="677"/>
        <v>0</v>
      </c>
      <c r="BT779" s="24">
        <f t="shared" ca="1" si="642"/>
        <v>0</v>
      </c>
      <c r="BU779" s="24">
        <f t="shared" ca="1" si="678"/>
        <v>0</v>
      </c>
      <c r="BV779" s="24">
        <f t="shared" ca="1" si="643"/>
        <v>0</v>
      </c>
      <c r="BW779" s="24">
        <f t="shared" ca="1" si="679"/>
        <v>-226.48278366936896</v>
      </c>
      <c r="BX779" s="25">
        <f t="shared" ca="1" si="644"/>
        <v>-2881.1593508422652</v>
      </c>
      <c r="BY779" s="23">
        <f t="shared" ca="1" si="651"/>
        <v>1198.298842813037</v>
      </c>
      <c r="BZ779" s="24">
        <f t="shared" ca="1" si="652"/>
        <v>0</v>
      </c>
      <c r="CA779" s="24">
        <f t="shared" ca="1" si="645"/>
        <v>0</v>
      </c>
      <c r="CB779" s="24">
        <f t="shared" ca="1" si="653"/>
        <v>0</v>
      </c>
      <c r="CC779" s="24">
        <f t="shared" ca="1" si="646"/>
        <v>0</v>
      </c>
      <c r="CD779" s="24">
        <f t="shared" ca="1" si="654"/>
        <v>-18.223976398864565</v>
      </c>
      <c r="CE779" s="25">
        <f t="shared" ca="1" si="647"/>
        <v>-236.16240223441719</v>
      </c>
      <c r="CF779" s="23">
        <f t="shared" ca="1" si="648"/>
        <v>3282173.3780318885</v>
      </c>
      <c r="CG779" s="25">
        <f t="array" aca="1" ref="CG779" ca="1">SUM(BF768:BF779/(1+inflation/100)^(AP768:AP779/12))</f>
        <v>267980.53702225385</v>
      </c>
      <c r="CH779" s="32">
        <f ca="1">IFERROR(IF(MOD(AP779-ap_months_since_start,12)=0,ap_drawdown/100*(AQ779+AV779+BA779-BC779),CH778),0)</f>
        <v>2386.9078299025682</v>
      </c>
    </row>
    <row r="780" spans="40:86" x14ac:dyDescent="0.25">
      <c r="AN780" s="32">
        <f t="shared" ca="1" si="649"/>
        <v>119.25</v>
      </c>
      <c r="AO780" s="53">
        <f t="shared" ca="1" si="680"/>
        <v>69124</v>
      </c>
      <c r="AP780" s="22">
        <v>773</v>
      </c>
      <c r="AQ780" s="32">
        <f t="shared" ca="1" si="681"/>
        <v>14940.895727236732</v>
      </c>
      <c r="AR780" s="23">
        <f t="array" aca="1" ref="AR780" ca="1">SUM(IF(lsc_start_date=AO780,lsc_amount,0))</f>
        <v>0</v>
      </c>
      <c r="AS780" s="24">
        <f t="shared" ca="1" si="655"/>
        <v>0</v>
      </c>
      <c r="AT780" s="24">
        <f t="shared" ca="1" si="656"/>
        <v>0</v>
      </c>
      <c r="AU780" s="24">
        <f t="shared" ca="1" si="657"/>
        <v>0</v>
      </c>
      <c r="AV780" s="25">
        <f t="shared" ca="1" si="658"/>
        <v>0</v>
      </c>
      <c r="AW780" s="23">
        <f t="array" aca="1" ref="AW780" ca="1">SUM(IF(rcs_start_date&lt;=AO780,1,0)*IF(rcs_end_date&gt;=AO780,1,0)*rcs_amount*(1+rcs_escalation/100)^(INT((AP780-rcs_months_since_start)/12))*IF(MOD((AP780-rcs_months_since_start),rcs_frequency)=0,1,0)*IF(rcs_frequency=13,0,1))+SUM(IF(rcs_start_date=AO780,rcs_amount,0)*IF(rcs_frequency=13,1,0))</f>
        <v>0</v>
      </c>
      <c r="AX780" s="24">
        <f t="shared" ca="1" si="659"/>
        <v>0</v>
      </c>
      <c r="AY780" s="24">
        <f t="shared" ca="1" si="660"/>
        <v>0</v>
      </c>
      <c r="AZ780" s="24">
        <f t="shared" ca="1" si="661"/>
        <v>0</v>
      </c>
      <c r="BA780" s="25">
        <f t="shared" ca="1" si="662"/>
        <v>0</v>
      </c>
      <c r="BB780" s="23">
        <f t="array" aca="1" ref="BB780" ca="1">SUM(IF(w_start_date&lt;=AO780,1,0)*IF(w_end_date&gt;=AO780,1,0)*w_amount*(1+w_escalation/100)^(INT((AP780-w_months_since_start)/12))*IF(MOD(AP780-w_months_since_start,w_frequency)=0,1,0)*IF(w_frequency=13,0,1))+SUM(IF(w_start_date=AO780,w_amount,0)*IF(w_frequency=13,1,0))</f>
        <v>0</v>
      </c>
      <c r="BC780" s="25">
        <f t="shared" ca="1" si="663"/>
        <v>0</v>
      </c>
      <c r="BD780" s="24" t="b">
        <f t="shared" ca="1" si="664"/>
        <v>1</v>
      </c>
      <c r="BE780" s="24" t="b">
        <f t="shared" ca="1" si="665"/>
        <v>1</v>
      </c>
      <c r="BF780" s="23">
        <f t="array" aca="1" ref="BF780" ca="1">SUM(IF(BD780,1,0)*IF(ap_start_date&lt;=AO780,1,0)*IF(ap_end_date&gt;=AO780,1,0)*ap_amount*(1+ap_escalation/100)^(INT((AP780-ap_months_since_start)/12))*IF(MOD(AP780-ap_months_since_start,ap_frequency)=0,1,0))</f>
        <v>279791.82894698071</v>
      </c>
      <c r="BG780" s="24">
        <f t="shared" ca="1" si="666"/>
        <v>3357501.9473637682</v>
      </c>
      <c r="BH780" s="24">
        <f t="shared" ca="1" si="667"/>
        <v>388.25620057606108</v>
      </c>
      <c r="BI780">
        <f t="shared" ca="1" si="668"/>
        <v>0</v>
      </c>
      <c r="BJ780" s="24">
        <f t="shared" ca="1" si="669"/>
        <v>2717.7934040324271</v>
      </c>
      <c r="BK780">
        <f t="shared" ca="1" si="670"/>
        <v>1</v>
      </c>
      <c r="BL780" s="25">
        <f t="shared" ca="1" si="671"/>
        <v>226.48278366936896</v>
      </c>
      <c r="BM780" s="32">
        <f t="shared" ca="1" si="650"/>
        <v>14820.4644750588</v>
      </c>
      <c r="BN780" s="23">
        <f t="shared" ca="1" si="672"/>
        <v>0</v>
      </c>
      <c r="BO780" s="24">
        <f t="shared" ca="1" si="673"/>
        <v>0</v>
      </c>
      <c r="BP780" s="25">
        <f t="shared" ca="1" si="674"/>
        <v>0</v>
      </c>
      <c r="BQ780" s="34">
        <f t="shared" ca="1" si="675"/>
        <v>69153</v>
      </c>
      <c r="BR780" s="23">
        <f t="shared" ca="1" si="676"/>
        <v>14820.4644750588</v>
      </c>
      <c r="BS780" s="24">
        <f t="shared" ca="1" si="677"/>
        <v>0</v>
      </c>
      <c r="BT780" s="24">
        <f t="shared" ca="1" si="642"/>
        <v>0</v>
      </c>
      <c r="BU780" s="24">
        <f t="shared" ca="1" si="678"/>
        <v>0</v>
      </c>
      <c r="BV780" s="24">
        <f t="shared" ca="1" si="643"/>
        <v>0</v>
      </c>
      <c r="BW780" s="24">
        <f t="shared" ca="1" si="679"/>
        <v>-226.48278366936896</v>
      </c>
      <c r="BX780" s="25">
        <f t="shared" ca="1" si="644"/>
        <v>-2857.8213584408595</v>
      </c>
      <c r="BY780" s="23">
        <f t="shared" ca="1" si="651"/>
        <v>1184.7613416476381</v>
      </c>
      <c r="BZ780" s="24">
        <f t="shared" ca="1" si="652"/>
        <v>0</v>
      </c>
      <c r="CA780" s="24">
        <f t="shared" ca="1" si="645"/>
        <v>0</v>
      </c>
      <c r="CB780" s="24">
        <f t="shared" ca="1" si="653"/>
        <v>0</v>
      </c>
      <c r="CC780" s="24">
        <f t="shared" ca="1" si="646"/>
        <v>0</v>
      </c>
      <c r="CD780" s="24">
        <f t="shared" ca="1" si="654"/>
        <v>-18.164510518157112</v>
      </c>
      <c r="CE780" s="25">
        <f t="shared" ca="1" si="647"/>
        <v>-233.48918317898767</v>
      </c>
      <c r="CF780" s="23">
        <f t="shared" ca="1" si="648"/>
        <v>3292934.6022221572</v>
      </c>
      <c r="CG780" s="25">
        <f t="array" aca="1" ref="CG780" ca="1">SUM(BF769:BF780/(1+inflation/100)^(AP769:AP780/12))</f>
        <v>267980.53702225385</v>
      </c>
      <c r="CH780" s="32">
        <f ca="1">IFERROR(IF(MOD(AP780-ap_months_since_start,12)=0,ap_drawdown/100*(AQ780+AV780+BA780-BC780),CH779),0)</f>
        <v>2386.9078299025682</v>
      </c>
    </row>
    <row r="781" spans="40:86" x14ac:dyDescent="0.25">
      <c r="AN781" s="32">
        <f t="shared" ca="1" si="649"/>
        <v>119.33333333333333</v>
      </c>
      <c r="AO781" s="53">
        <f t="shared" ca="1" si="680"/>
        <v>69154</v>
      </c>
      <c r="AP781" s="22">
        <v>774</v>
      </c>
      <c r="AQ781" s="32">
        <f t="shared" ca="1" si="681"/>
        <v>14820.4644750588</v>
      </c>
      <c r="AR781" s="23">
        <f t="array" aca="1" ref="AR781" ca="1">SUM(IF(lsc_start_date=AO781,lsc_amount,0))</f>
        <v>0</v>
      </c>
      <c r="AS781" s="24">
        <f t="shared" ca="1" si="655"/>
        <v>0</v>
      </c>
      <c r="AT781" s="24">
        <f t="shared" ca="1" si="656"/>
        <v>0</v>
      </c>
      <c r="AU781" s="24">
        <f t="shared" ca="1" si="657"/>
        <v>0</v>
      </c>
      <c r="AV781" s="25">
        <f t="shared" ca="1" si="658"/>
        <v>0</v>
      </c>
      <c r="AW781" s="23">
        <f t="array" aca="1" ref="AW781" ca="1">SUM(IF(rcs_start_date&lt;=AO781,1,0)*IF(rcs_end_date&gt;=AO781,1,0)*rcs_amount*(1+rcs_escalation/100)^(INT((AP781-rcs_months_since_start)/12))*IF(MOD((AP781-rcs_months_since_start),rcs_frequency)=0,1,0)*IF(rcs_frequency=13,0,1))+SUM(IF(rcs_start_date=AO781,rcs_amount,0)*IF(rcs_frequency=13,1,0))</f>
        <v>0</v>
      </c>
      <c r="AX781" s="24">
        <f t="shared" ca="1" si="659"/>
        <v>0</v>
      </c>
      <c r="AY781" s="24">
        <f t="shared" ca="1" si="660"/>
        <v>0</v>
      </c>
      <c r="AZ781" s="24">
        <f t="shared" ca="1" si="661"/>
        <v>0</v>
      </c>
      <c r="BA781" s="25">
        <f t="shared" ca="1" si="662"/>
        <v>0</v>
      </c>
      <c r="BB781" s="23">
        <f t="array" aca="1" ref="BB781" ca="1">SUM(IF(w_start_date&lt;=AO781,1,0)*IF(w_end_date&gt;=AO781,1,0)*w_amount*(1+w_escalation/100)^(INT((AP781-w_months_since_start)/12))*IF(MOD(AP781-w_months_since_start,w_frequency)=0,1,0)*IF(w_frequency=13,0,1))+SUM(IF(w_start_date=AO781,w_amount,0)*IF(w_frequency=13,1,0))</f>
        <v>0</v>
      </c>
      <c r="BC781" s="25">
        <f t="shared" ca="1" si="663"/>
        <v>0</v>
      </c>
      <c r="BD781" s="24" t="b">
        <f t="shared" ca="1" si="664"/>
        <v>1</v>
      </c>
      <c r="BE781" s="24" t="b">
        <f t="shared" ca="1" si="665"/>
        <v>1</v>
      </c>
      <c r="BF781" s="23">
        <f t="array" aca="1" ref="BF781" ca="1">SUM(IF(BD781,1,0)*IF(ap_start_date&lt;=AO781,1,0)*IF(ap_end_date&gt;=AO781,1,0)*ap_amount*(1+ap_escalation/100)^(INT((AP781-ap_months_since_start)/12))*IF(MOD(AP781-ap_months_since_start,ap_frequency)=0,1,0))</f>
        <v>279791.82894698071</v>
      </c>
      <c r="BG781" s="24">
        <f t="shared" ca="1" si="666"/>
        <v>3357501.9473637682</v>
      </c>
      <c r="BH781" s="24">
        <f t="shared" ca="1" si="667"/>
        <v>388.25620057606108</v>
      </c>
      <c r="BI781">
        <f t="shared" ca="1" si="668"/>
        <v>0</v>
      </c>
      <c r="BJ781" s="24">
        <f t="shared" ca="1" si="669"/>
        <v>2717.7934040324271</v>
      </c>
      <c r="BK781">
        <f t="shared" ca="1" si="670"/>
        <v>1</v>
      </c>
      <c r="BL781" s="25">
        <f t="shared" ca="1" si="671"/>
        <v>226.48278366936896</v>
      </c>
      <c r="BM781" s="32">
        <f t="shared" ca="1" si="650"/>
        <v>14699.165235909053</v>
      </c>
      <c r="BN781" s="23">
        <f t="shared" ca="1" si="672"/>
        <v>0</v>
      </c>
      <c r="BO781" s="24">
        <f t="shared" ca="1" si="673"/>
        <v>0</v>
      </c>
      <c r="BP781" s="25">
        <f t="shared" ca="1" si="674"/>
        <v>0</v>
      </c>
      <c r="BQ781" s="34">
        <f t="shared" ca="1" si="675"/>
        <v>69184</v>
      </c>
      <c r="BR781" s="23">
        <f t="shared" ca="1" si="676"/>
        <v>14699.165235909053</v>
      </c>
      <c r="BS781" s="24">
        <f t="shared" ca="1" si="677"/>
        <v>0</v>
      </c>
      <c r="BT781" s="24">
        <f t="shared" ca="1" si="642"/>
        <v>0</v>
      </c>
      <c r="BU781" s="24">
        <f t="shared" ca="1" si="678"/>
        <v>0</v>
      </c>
      <c r="BV781" s="24">
        <f t="shared" ca="1" si="643"/>
        <v>0</v>
      </c>
      <c r="BW781" s="24">
        <f t="shared" ca="1" si="679"/>
        <v>-226.48278366936896</v>
      </c>
      <c r="BX781" s="25">
        <f t="shared" ca="1" si="644"/>
        <v>-2834.4833660394543</v>
      </c>
      <c r="BY781" s="23">
        <f t="shared" ca="1" si="651"/>
        <v>1171.2302675813573</v>
      </c>
      <c r="BZ781" s="24">
        <f t="shared" ca="1" si="652"/>
        <v>0</v>
      </c>
      <c r="CA781" s="24">
        <f t="shared" ca="1" si="645"/>
        <v>0</v>
      </c>
      <c r="CB781" s="24">
        <f t="shared" ca="1" si="653"/>
        <v>0</v>
      </c>
      <c r="CC781" s="24">
        <f t="shared" ca="1" si="646"/>
        <v>0</v>
      </c>
      <c r="CD781" s="24">
        <f t="shared" ca="1" si="654"/>
        <v>-18.105238678030624</v>
      </c>
      <c r="CE781" s="25">
        <f t="shared" ca="1" si="647"/>
        <v>-230.82468699072922</v>
      </c>
      <c r="CF781" s="23">
        <f t="shared" ca="1" si="648"/>
        <v>3303695.8264124254</v>
      </c>
      <c r="CG781" s="25">
        <f t="array" aca="1" ref="CG781" ca="1">SUM(BF770:BF781/(1+inflation/100)^(AP770:AP781/12))</f>
        <v>267980.53702225385</v>
      </c>
      <c r="CH781" s="32">
        <f ca="1">IFERROR(IF(MOD(AP781-ap_months_since_start,12)=0,ap_drawdown/100*(AQ781+AV781+BA781-BC781),CH780),0)</f>
        <v>2386.9078299025682</v>
      </c>
    </row>
    <row r="782" spans="40:86" x14ac:dyDescent="0.25">
      <c r="AN782" s="32">
        <f t="shared" ca="1" si="649"/>
        <v>119.41666666666667</v>
      </c>
      <c r="AO782" s="53">
        <f t="shared" ca="1" si="680"/>
        <v>69185</v>
      </c>
      <c r="AP782" s="22">
        <v>775</v>
      </c>
      <c r="AQ782" s="32">
        <f t="shared" ca="1" si="681"/>
        <v>14699.165235909053</v>
      </c>
      <c r="AR782" s="23">
        <f t="array" aca="1" ref="AR782" ca="1">SUM(IF(lsc_start_date=AO782,lsc_amount,0))</f>
        <v>0</v>
      </c>
      <c r="AS782" s="24">
        <f t="shared" ca="1" si="655"/>
        <v>0</v>
      </c>
      <c r="AT782" s="24">
        <f t="shared" ca="1" si="656"/>
        <v>0</v>
      </c>
      <c r="AU782" s="24">
        <f t="shared" ca="1" si="657"/>
        <v>0</v>
      </c>
      <c r="AV782" s="25">
        <f t="shared" ca="1" si="658"/>
        <v>0</v>
      </c>
      <c r="AW782" s="23">
        <f t="array" aca="1" ref="AW782" ca="1">SUM(IF(rcs_start_date&lt;=AO782,1,0)*IF(rcs_end_date&gt;=AO782,1,0)*rcs_amount*(1+rcs_escalation/100)^(INT((AP782-rcs_months_since_start)/12))*IF(MOD((AP782-rcs_months_since_start),rcs_frequency)=0,1,0)*IF(rcs_frequency=13,0,1))+SUM(IF(rcs_start_date=AO782,rcs_amount,0)*IF(rcs_frequency=13,1,0))</f>
        <v>0</v>
      </c>
      <c r="AX782" s="24">
        <f t="shared" ca="1" si="659"/>
        <v>0</v>
      </c>
      <c r="AY782" s="24">
        <f t="shared" ca="1" si="660"/>
        <v>0</v>
      </c>
      <c r="AZ782" s="24">
        <f t="shared" ca="1" si="661"/>
        <v>0</v>
      </c>
      <c r="BA782" s="25">
        <f t="shared" ca="1" si="662"/>
        <v>0</v>
      </c>
      <c r="BB782" s="23">
        <f t="array" aca="1" ref="BB782" ca="1">SUM(IF(w_start_date&lt;=AO782,1,0)*IF(w_end_date&gt;=AO782,1,0)*w_amount*(1+w_escalation/100)^(INT((AP782-w_months_since_start)/12))*IF(MOD(AP782-w_months_since_start,w_frequency)=0,1,0)*IF(w_frequency=13,0,1))+SUM(IF(w_start_date=AO782,w_amount,0)*IF(w_frequency=13,1,0))</f>
        <v>0</v>
      </c>
      <c r="BC782" s="25">
        <f t="shared" ca="1" si="663"/>
        <v>0</v>
      </c>
      <c r="BD782" s="24" t="b">
        <f t="shared" ca="1" si="664"/>
        <v>1</v>
      </c>
      <c r="BE782" s="24" t="b">
        <f t="shared" ca="1" si="665"/>
        <v>1</v>
      </c>
      <c r="BF782" s="23">
        <f t="array" aca="1" ref="BF782" ca="1">SUM(IF(BD782,1,0)*IF(ap_start_date&lt;=AO782,1,0)*IF(ap_end_date&gt;=AO782,1,0)*ap_amount*(1+ap_escalation/100)^(INT((AP782-ap_months_since_start)/12))*IF(MOD(AP782-ap_months_since_start,ap_frequency)=0,1,0))</f>
        <v>279791.82894698071</v>
      </c>
      <c r="BG782" s="24">
        <f t="shared" ca="1" si="666"/>
        <v>3357501.9473637682</v>
      </c>
      <c r="BH782" s="24">
        <f t="shared" ca="1" si="667"/>
        <v>388.25620057606108</v>
      </c>
      <c r="BI782">
        <f t="shared" ca="1" si="668"/>
        <v>0</v>
      </c>
      <c r="BJ782" s="24">
        <f t="shared" ca="1" si="669"/>
        <v>2717.7934040324271</v>
      </c>
      <c r="BK782">
        <f t="shared" ca="1" si="670"/>
        <v>1</v>
      </c>
      <c r="BL782" s="25">
        <f t="shared" ca="1" si="671"/>
        <v>226.48278366936896</v>
      </c>
      <c r="BM782" s="32">
        <f t="shared" ca="1" si="650"/>
        <v>14576.991753924753</v>
      </c>
      <c r="BN782" s="23">
        <f t="shared" ca="1" si="672"/>
        <v>0</v>
      </c>
      <c r="BO782" s="24">
        <f t="shared" ca="1" si="673"/>
        <v>0</v>
      </c>
      <c r="BP782" s="25">
        <f t="shared" ca="1" si="674"/>
        <v>0</v>
      </c>
      <c r="BQ782" s="34">
        <f t="shared" ca="1" si="675"/>
        <v>69214</v>
      </c>
      <c r="BR782" s="23">
        <f t="shared" ca="1" si="676"/>
        <v>14576.991753924753</v>
      </c>
      <c r="BS782" s="24">
        <f t="shared" ca="1" si="677"/>
        <v>0</v>
      </c>
      <c r="BT782" s="24">
        <f t="shared" ca="1" si="642"/>
        <v>0</v>
      </c>
      <c r="BU782" s="24">
        <f t="shared" ca="1" si="678"/>
        <v>0</v>
      </c>
      <c r="BV782" s="24">
        <f t="shared" ca="1" si="643"/>
        <v>0</v>
      </c>
      <c r="BW782" s="24">
        <f t="shared" ca="1" si="679"/>
        <v>-226.48278366936896</v>
      </c>
      <c r="BX782" s="25">
        <f t="shared" ca="1" si="644"/>
        <v>-2811.145373638049</v>
      </c>
      <c r="BY782" s="23">
        <f t="shared" ca="1" si="651"/>
        <v>1157.7054516475123</v>
      </c>
      <c r="BZ782" s="24">
        <f t="shared" ca="1" si="652"/>
        <v>0</v>
      </c>
      <c r="CA782" s="24">
        <f t="shared" ca="1" si="645"/>
        <v>0</v>
      </c>
      <c r="CB782" s="24">
        <f t="shared" ca="1" si="653"/>
        <v>0</v>
      </c>
      <c r="CC782" s="24">
        <f t="shared" ca="1" si="646"/>
        <v>0</v>
      </c>
      <c r="CD782" s="24">
        <f t="shared" ca="1" si="654"/>
        <v>-18.046160245319587</v>
      </c>
      <c r="CE782" s="25">
        <f t="shared" ca="1" si="647"/>
        <v>-228.16888520642561</v>
      </c>
      <c r="CF782" s="23">
        <f t="shared" ca="1" si="648"/>
        <v>3314457.050602694</v>
      </c>
      <c r="CG782" s="25">
        <f t="array" aca="1" ref="CG782" ca="1">SUM(BF771:BF782/(1+inflation/100)^(AP771:AP782/12))</f>
        <v>267980.53702225385</v>
      </c>
      <c r="CH782" s="32">
        <f ca="1">IFERROR(IF(MOD(AP782-ap_months_since_start,12)=0,ap_drawdown/100*(AQ782+AV782+BA782-BC782),CH781),0)</f>
        <v>2386.9078299025682</v>
      </c>
    </row>
    <row r="783" spans="40:86" x14ac:dyDescent="0.25">
      <c r="AN783" s="32">
        <f t="shared" ca="1" si="649"/>
        <v>119.5</v>
      </c>
      <c r="AO783" s="53">
        <f t="shared" ca="1" si="680"/>
        <v>69215</v>
      </c>
      <c r="AP783" s="22">
        <v>776</v>
      </c>
      <c r="AQ783" s="32">
        <f t="shared" ca="1" si="681"/>
        <v>14576.991753924753</v>
      </c>
      <c r="AR783" s="23">
        <f t="array" aca="1" ref="AR783" ca="1">SUM(IF(lsc_start_date=AO783,lsc_amount,0))</f>
        <v>0</v>
      </c>
      <c r="AS783" s="24">
        <f t="shared" ca="1" si="655"/>
        <v>0</v>
      </c>
      <c r="AT783" s="24">
        <f t="shared" ca="1" si="656"/>
        <v>0</v>
      </c>
      <c r="AU783" s="24">
        <f t="shared" ca="1" si="657"/>
        <v>0</v>
      </c>
      <c r="AV783" s="25">
        <f t="shared" ca="1" si="658"/>
        <v>0</v>
      </c>
      <c r="AW783" s="23">
        <f t="array" aca="1" ref="AW783" ca="1">SUM(IF(rcs_start_date&lt;=AO783,1,0)*IF(rcs_end_date&gt;=AO783,1,0)*rcs_amount*(1+rcs_escalation/100)^(INT((AP783-rcs_months_since_start)/12))*IF(MOD((AP783-rcs_months_since_start),rcs_frequency)=0,1,0)*IF(rcs_frequency=13,0,1))+SUM(IF(rcs_start_date=AO783,rcs_amount,0)*IF(rcs_frequency=13,1,0))</f>
        <v>0</v>
      </c>
      <c r="AX783" s="24">
        <f t="shared" ca="1" si="659"/>
        <v>0</v>
      </c>
      <c r="AY783" s="24">
        <f t="shared" ca="1" si="660"/>
        <v>0</v>
      </c>
      <c r="AZ783" s="24">
        <f t="shared" ca="1" si="661"/>
        <v>0</v>
      </c>
      <c r="BA783" s="25">
        <f t="shared" ca="1" si="662"/>
        <v>0</v>
      </c>
      <c r="BB783" s="23">
        <f t="array" aca="1" ref="BB783" ca="1">SUM(IF(w_start_date&lt;=AO783,1,0)*IF(w_end_date&gt;=AO783,1,0)*w_amount*(1+w_escalation/100)^(INT((AP783-w_months_since_start)/12))*IF(MOD(AP783-w_months_since_start,w_frequency)=0,1,0)*IF(w_frequency=13,0,1))+SUM(IF(w_start_date=AO783,w_amount,0)*IF(w_frequency=13,1,0))</f>
        <v>0</v>
      </c>
      <c r="BC783" s="25">
        <f t="shared" ca="1" si="663"/>
        <v>0</v>
      </c>
      <c r="BD783" s="24" t="b">
        <f t="shared" ca="1" si="664"/>
        <v>1</v>
      </c>
      <c r="BE783" s="24" t="b">
        <f t="shared" ca="1" si="665"/>
        <v>1</v>
      </c>
      <c r="BF783" s="23">
        <f t="array" aca="1" ref="BF783" ca="1">SUM(IF(BD783,1,0)*IF(ap_start_date&lt;=AO783,1,0)*IF(ap_end_date&gt;=AO783,1,0)*ap_amount*(1+ap_escalation/100)^(INT((AP783-ap_months_since_start)/12))*IF(MOD(AP783-ap_months_since_start,ap_frequency)=0,1,0))</f>
        <v>279791.82894698071</v>
      </c>
      <c r="BG783" s="24">
        <f t="shared" ca="1" si="666"/>
        <v>3357501.9473637682</v>
      </c>
      <c r="BH783" s="24">
        <f t="shared" ca="1" si="667"/>
        <v>388.25620057606108</v>
      </c>
      <c r="BI783">
        <f t="shared" ca="1" si="668"/>
        <v>0</v>
      </c>
      <c r="BJ783" s="24">
        <f t="shared" ca="1" si="669"/>
        <v>2717.7934040324271</v>
      </c>
      <c r="BK783">
        <f t="shared" ca="1" si="670"/>
        <v>1</v>
      </c>
      <c r="BL783" s="25">
        <f t="shared" ca="1" si="671"/>
        <v>226.48278366936896</v>
      </c>
      <c r="BM783" s="32">
        <f t="shared" ca="1" si="650"/>
        <v>14453.937728155133</v>
      </c>
      <c r="BN783" s="23">
        <f t="shared" ca="1" si="672"/>
        <v>0</v>
      </c>
      <c r="BO783" s="24">
        <f t="shared" ca="1" si="673"/>
        <v>0</v>
      </c>
      <c r="BP783" s="25">
        <f t="shared" ca="1" si="674"/>
        <v>0</v>
      </c>
      <c r="BQ783" s="34">
        <f t="shared" ca="1" si="675"/>
        <v>69245</v>
      </c>
      <c r="BR783" s="23">
        <f t="shared" ca="1" si="676"/>
        <v>14453.937728155133</v>
      </c>
      <c r="BS783" s="24">
        <f t="shared" ca="1" si="677"/>
        <v>0</v>
      </c>
      <c r="BT783" s="24">
        <f t="shared" ca="1" si="642"/>
        <v>0</v>
      </c>
      <c r="BU783" s="24">
        <f t="shared" ca="1" si="678"/>
        <v>0</v>
      </c>
      <c r="BV783" s="24">
        <f t="shared" ca="1" si="643"/>
        <v>0</v>
      </c>
      <c r="BW783" s="24">
        <f t="shared" ca="1" si="679"/>
        <v>-226.48278366936896</v>
      </c>
      <c r="BX783" s="25">
        <f t="shared" ca="1" si="644"/>
        <v>-2787.8073812366433</v>
      </c>
      <c r="BY783" s="23">
        <f t="shared" ca="1" si="651"/>
        <v>1144.1867248505196</v>
      </c>
      <c r="BZ783" s="24">
        <f t="shared" ca="1" si="652"/>
        <v>0</v>
      </c>
      <c r="CA783" s="24">
        <f t="shared" ca="1" si="645"/>
        <v>0</v>
      </c>
      <c r="CB783" s="24">
        <f t="shared" ca="1" si="653"/>
        <v>0</v>
      </c>
      <c r="CC783" s="24">
        <f t="shared" ca="1" si="646"/>
        <v>0</v>
      </c>
      <c r="CD783" s="24">
        <f t="shared" ca="1" si="654"/>
        <v>-17.987274588924492</v>
      </c>
      <c r="CE783" s="25">
        <f t="shared" ca="1" si="647"/>
        <v>-225.52174945573802</v>
      </c>
      <c r="CF783" s="23">
        <f t="shared" ca="1" si="648"/>
        <v>3325218.2747929622</v>
      </c>
      <c r="CG783" s="25">
        <f t="array" aca="1" ref="CG783" ca="1">SUM(BF772:BF783/(1+inflation/100)^(AP772:AP783/12))</f>
        <v>267980.53702225385</v>
      </c>
      <c r="CH783" s="32">
        <f ca="1">IFERROR(IF(MOD(AP783-ap_months_since_start,12)=0,ap_drawdown/100*(AQ783+AV783+BA783-BC783),CH782),0)</f>
        <v>2386.9078299025682</v>
      </c>
    </row>
    <row r="784" spans="40:86" x14ac:dyDescent="0.25">
      <c r="AN784" s="32">
        <f t="shared" ca="1" si="649"/>
        <v>119.58333333333333</v>
      </c>
      <c r="AO784" s="53">
        <f t="shared" ca="1" si="680"/>
        <v>69246</v>
      </c>
      <c r="AP784" s="22">
        <v>777</v>
      </c>
      <c r="AQ784" s="32">
        <f t="shared" ca="1" si="681"/>
        <v>14453.937728155133</v>
      </c>
      <c r="AR784" s="23">
        <f t="array" aca="1" ref="AR784" ca="1">SUM(IF(lsc_start_date=AO784,lsc_amount,0))</f>
        <v>0</v>
      </c>
      <c r="AS784" s="24">
        <f t="shared" ca="1" si="655"/>
        <v>0</v>
      </c>
      <c r="AT784" s="24">
        <f t="shared" ca="1" si="656"/>
        <v>0</v>
      </c>
      <c r="AU784" s="24">
        <f t="shared" ca="1" si="657"/>
        <v>0</v>
      </c>
      <c r="AV784" s="25">
        <f t="shared" ca="1" si="658"/>
        <v>0</v>
      </c>
      <c r="AW784" s="23">
        <f t="array" aca="1" ref="AW784" ca="1">SUM(IF(rcs_start_date&lt;=AO784,1,0)*IF(rcs_end_date&gt;=AO784,1,0)*rcs_amount*(1+rcs_escalation/100)^(INT((AP784-rcs_months_since_start)/12))*IF(MOD((AP784-rcs_months_since_start),rcs_frequency)=0,1,0)*IF(rcs_frequency=13,0,1))+SUM(IF(rcs_start_date=AO784,rcs_amount,0)*IF(rcs_frequency=13,1,0))</f>
        <v>0</v>
      </c>
      <c r="AX784" s="24">
        <f t="shared" ca="1" si="659"/>
        <v>0</v>
      </c>
      <c r="AY784" s="24">
        <f t="shared" ca="1" si="660"/>
        <v>0</v>
      </c>
      <c r="AZ784" s="24">
        <f t="shared" ca="1" si="661"/>
        <v>0</v>
      </c>
      <c r="BA784" s="25">
        <f t="shared" ca="1" si="662"/>
        <v>0</v>
      </c>
      <c r="BB784" s="23">
        <f t="array" aca="1" ref="BB784" ca="1">SUM(IF(w_start_date&lt;=AO784,1,0)*IF(w_end_date&gt;=AO784,1,0)*w_amount*(1+w_escalation/100)^(INT((AP784-w_months_since_start)/12))*IF(MOD(AP784-w_months_since_start,w_frequency)=0,1,0)*IF(w_frequency=13,0,1))+SUM(IF(w_start_date=AO784,w_amount,0)*IF(w_frequency=13,1,0))</f>
        <v>0</v>
      </c>
      <c r="BC784" s="25">
        <f t="shared" ca="1" si="663"/>
        <v>0</v>
      </c>
      <c r="BD784" s="24" t="b">
        <f t="shared" ca="1" si="664"/>
        <v>1</v>
      </c>
      <c r="BE784" s="24" t="b">
        <f t="shared" ca="1" si="665"/>
        <v>1</v>
      </c>
      <c r="BF784" s="23">
        <f t="array" aca="1" ref="BF784" ca="1">SUM(IF(BD784,1,0)*IF(ap_start_date&lt;=AO784,1,0)*IF(ap_end_date&gt;=AO784,1,0)*ap_amount*(1+ap_escalation/100)^(INT((AP784-ap_months_since_start)/12))*IF(MOD(AP784-ap_months_since_start,ap_frequency)=0,1,0))</f>
        <v>279791.82894698071</v>
      </c>
      <c r="BG784" s="24">
        <f t="shared" ca="1" si="666"/>
        <v>3357501.9473637682</v>
      </c>
      <c r="BH784" s="24">
        <f t="shared" ca="1" si="667"/>
        <v>388.25620057606108</v>
      </c>
      <c r="BI784">
        <f t="shared" ca="1" si="668"/>
        <v>0</v>
      </c>
      <c r="BJ784" s="24">
        <f t="shared" ca="1" si="669"/>
        <v>2717.7934040324271</v>
      </c>
      <c r="BK784">
        <f t="shared" ca="1" si="670"/>
        <v>1</v>
      </c>
      <c r="BL784" s="25">
        <f t="shared" ca="1" si="671"/>
        <v>226.48278366936896</v>
      </c>
      <c r="BM784" s="32">
        <f t="shared" ca="1" si="650"/>
        <v>14329.996812236441</v>
      </c>
      <c r="BN784" s="23">
        <f t="shared" ca="1" si="672"/>
        <v>0</v>
      </c>
      <c r="BO784" s="24">
        <f t="shared" ca="1" si="673"/>
        <v>0</v>
      </c>
      <c r="BP784" s="25">
        <f t="shared" ca="1" si="674"/>
        <v>0</v>
      </c>
      <c r="BQ784" s="34">
        <f t="shared" ca="1" si="675"/>
        <v>69276</v>
      </c>
      <c r="BR784" s="23">
        <f t="shared" ca="1" si="676"/>
        <v>14329.996812236441</v>
      </c>
      <c r="BS784" s="24">
        <f t="shared" ca="1" si="677"/>
        <v>0</v>
      </c>
      <c r="BT784" s="24">
        <f t="shared" ca="1" si="642"/>
        <v>0</v>
      </c>
      <c r="BU784" s="24">
        <f t="shared" ca="1" si="678"/>
        <v>0</v>
      </c>
      <c r="BV784" s="24">
        <f t="shared" ca="1" si="643"/>
        <v>0</v>
      </c>
      <c r="BW784" s="24">
        <f t="shared" ca="1" si="679"/>
        <v>-226.48278366936896</v>
      </c>
      <c r="BX784" s="25">
        <f t="shared" ca="1" si="644"/>
        <v>-2764.4693888352381</v>
      </c>
      <c r="BY784" s="23">
        <f t="shared" ca="1" si="651"/>
        <v>1130.6739181637149</v>
      </c>
      <c r="BZ784" s="24">
        <f t="shared" ca="1" si="652"/>
        <v>0</v>
      </c>
      <c r="CA784" s="24">
        <f t="shared" ca="1" si="645"/>
        <v>0</v>
      </c>
      <c r="CB784" s="24">
        <f t="shared" ca="1" si="653"/>
        <v>0</v>
      </c>
      <c r="CC784" s="24">
        <f t="shared" ca="1" si="646"/>
        <v>0</v>
      </c>
      <c r="CD784" s="24">
        <f t="shared" ca="1" si="654"/>
        <v>-17.928581079805152</v>
      </c>
      <c r="CE784" s="25">
        <f t="shared" ca="1" si="647"/>
        <v>-222.88325146090131</v>
      </c>
      <c r="CF784" s="23">
        <f t="shared" ca="1" si="648"/>
        <v>3335979.4989832309</v>
      </c>
      <c r="CG784" s="25">
        <f t="array" aca="1" ref="CG784" ca="1">SUM(BF773:BF784/(1+inflation/100)^(AP773:AP784/12))</f>
        <v>267980.53702225391</v>
      </c>
      <c r="CH784" s="32">
        <f ca="1">IFERROR(IF(MOD(AP784-ap_months_since_start,12)=0,ap_drawdown/100*(AQ784+AV784+BA784-BC784),CH783),0)</f>
        <v>2386.9078299025682</v>
      </c>
    </row>
    <row r="785" spans="40:86" x14ac:dyDescent="0.25">
      <c r="AN785" s="32">
        <f t="shared" ca="1" si="649"/>
        <v>119.66666666666667</v>
      </c>
      <c r="AO785" s="53">
        <f t="shared" ca="1" si="680"/>
        <v>69277</v>
      </c>
      <c r="AP785" s="22">
        <v>778</v>
      </c>
      <c r="AQ785" s="32">
        <f t="shared" ca="1" si="681"/>
        <v>14329.996812236441</v>
      </c>
      <c r="AR785" s="23">
        <f t="array" aca="1" ref="AR785" ca="1">SUM(IF(lsc_start_date=AO785,lsc_amount,0))</f>
        <v>0</v>
      </c>
      <c r="AS785" s="24">
        <f t="shared" ca="1" si="655"/>
        <v>0</v>
      </c>
      <c r="AT785" s="24">
        <f t="shared" ca="1" si="656"/>
        <v>0</v>
      </c>
      <c r="AU785" s="24">
        <f t="shared" ca="1" si="657"/>
        <v>0</v>
      </c>
      <c r="AV785" s="25">
        <f t="shared" ca="1" si="658"/>
        <v>0</v>
      </c>
      <c r="AW785" s="23">
        <f t="array" aca="1" ref="AW785" ca="1">SUM(IF(rcs_start_date&lt;=AO785,1,0)*IF(rcs_end_date&gt;=AO785,1,0)*rcs_amount*(1+rcs_escalation/100)^(INT((AP785-rcs_months_since_start)/12))*IF(MOD((AP785-rcs_months_since_start),rcs_frequency)=0,1,0)*IF(rcs_frequency=13,0,1))+SUM(IF(rcs_start_date=AO785,rcs_amount,0)*IF(rcs_frequency=13,1,0))</f>
        <v>0</v>
      </c>
      <c r="AX785" s="24">
        <f t="shared" ca="1" si="659"/>
        <v>0</v>
      </c>
      <c r="AY785" s="24">
        <f t="shared" ca="1" si="660"/>
        <v>0</v>
      </c>
      <c r="AZ785" s="24">
        <f t="shared" ca="1" si="661"/>
        <v>0</v>
      </c>
      <c r="BA785" s="25">
        <f t="shared" ca="1" si="662"/>
        <v>0</v>
      </c>
      <c r="BB785" s="23">
        <f t="array" aca="1" ref="BB785" ca="1">SUM(IF(w_start_date&lt;=AO785,1,0)*IF(w_end_date&gt;=AO785,1,0)*w_amount*(1+w_escalation/100)^(INT((AP785-w_months_since_start)/12))*IF(MOD(AP785-w_months_since_start,w_frequency)=0,1,0)*IF(w_frequency=13,0,1))+SUM(IF(w_start_date=AO785,w_amount,0)*IF(w_frequency=13,1,0))</f>
        <v>0</v>
      </c>
      <c r="BC785" s="25">
        <f t="shared" ca="1" si="663"/>
        <v>0</v>
      </c>
      <c r="BD785" s="24" t="b">
        <f t="shared" ca="1" si="664"/>
        <v>1</v>
      </c>
      <c r="BE785" s="24" t="b">
        <f t="shared" ca="1" si="665"/>
        <v>1</v>
      </c>
      <c r="BF785" s="23">
        <f t="array" aca="1" ref="BF785" ca="1">SUM(IF(BD785,1,0)*IF(ap_start_date&lt;=AO785,1,0)*IF(ap_end_date&gt;=AO785,1,0)*ap_amount*(1+ap_escalation/100)^(INT((AP785-ap_months_since_start)/12))*IF(MOD(AP785-ap_months_since_start,ap_frequency)=0,1,0))</f>
        <v>279791.82894698071</v>
      </c>
      <c r="BG785" s="24">
        <f t="shared" ca="1" si="666"/>
        <v>3357501.9473637682</v>
      </c>
      <c r="BH785" s="24">
        <f t="shared" ca="1" si="667"/>
        <v>388.25620057606108</v>
      </c>
      <c r="BI785">
        <f t="shared" ca="1" si="668"/>
        <v>0</v>
      </c>
      <c r="BJ785" s="24">
        <f t="shared" ca="1" si="669"/>
        <v>2717.7934040324271</v>
      </c>
      <c r="BK785">
        <f t="shared" ca="1" si="670"/>
        <v>1</v>
      </c>
      <c r="BL785" s="25">
        <f t="shared" ca="1" si="671"/>
        <v>226.48278366936896</v>
      </c>
      <c r="BM785" s="32">
        <f t="shared" ca="1" si="650"/>
        <v>14205.162614064624</v>
      </c>
      <c r="BN785" s="23">
        <f t="shared" ca="1" si="672"/>
        <v>0</v>
      </c>
      <c r="BO785" s="24">
        <f t="shared" ca="1" si="673"/>
        <v>0</v>
      </c>
      <c r="BP785" s="25">
        <f t="shared" ca="1" si="674"/>
        <v>0</v>
      </c>
      <c r="BQ785" s="34">
        <f t="shared" ca="1" si="675"/>
        <v>69306</v>
      </c>
      <c r="BR785" s="23">
        <f t="shared" ca="1" si="676"/>
        <v>14205.162614064624</v>
      </c>
      <c r="BS785" s="24">
        <f t="shared" ca="1" si="677"/>
        <v>0</v>
      </c>
      <c r="BT785" s="24">
        <f t="shared" ca="1" si="642"/>
        <v>0</v>
      </c>
      <c r="BU785" s="24">
        <f t="shared" ca="1" si="678"/>
        <v>0</v>
      </c>
      <c r="BV785" s="24">
        <f t="shared" ca="1" si="643"/>
        <v>0</v>
      </c>
      <c r="BW785" s="24">
        <f t="shared" ca="1" si="679"/>
        <v>-226.48278366936896</v>
      </c>
      <c r="BX785" s="25">
        <f t="shared" ca="1" si="644"/>
        <v>-2741.1313964338328</v>
      </c>
      <c r="BY785" s="23">
        <f t="shared" ca="1" si="651"/>
        <v>1117.166862527167</v>
      </c>
      <c r="BZ785" s="24">
        <f t="shared" ca="1" si="652"/>
        <v>0</v>
      </c>
      <c r="CA785" s="24">
        <f t="shared" ca="1" si="645"/>
        <v>0</v>
      </c>
      <c r="CB785" s="24">
        <f t="shared" ca="1" si="653"/>
        <v>0</v>
      </c>
      <c r="CC785" s="24">
        <f t="shared" ca="1" si="646"/>
        <v>0</v>
      </c>
      <c r="CD785" s="24">
        <f t="shared" ca="1" si="654"/>
        <v>-17.870079090973995</v>
      </c>
      <c r="CE785" s="25">
        <f t="shared" ca="1" si="647"/>
        <v>-220.25336303642263</v>
      </c>
      <c r="CF785" s="23">
        <f t="shared" ca="1" si="648"/>
        <v>3346740.7231734996</v>
      </c>
      <c r="CG785" s="25">
        <f t="array" aca="1" ref="CG785" ca="1">SUM(BF774:BF785/(1+inflation/100)^(AP774:AP785/12))</f>
        <v>267980.53702225391</v>
      </c>
      <c r="CH785" s="32">
        <f ca="1">IFERROR(IF(MOD(AP785-ap_months_since_start,12)=0,ap_drawdown/100*(AQ785+AV785+BA785-BC785),CH784),0)</f>
        <v>2386.9078299025682</v>
      </c>
    </row>
    <row r="786" spans="40:86" x14ac:dyDescent="0.25">
      <c r="AN786" s="32">
        <f t="shared" ca="1" si="649"/>
        <v>119.75</v>
      </c>
      <c r="AO786" s="53">
        <f t="shared" ca="1" si="680"/>
        <v>69307</v>
      </c>
      <c r="AP786" s="22">
        <v>779</v>
      </c>
      <c r="AQ786" s="32">
        <f t="shared" ca="1" si="681"/>
        <v>14205.162614064624</v>
      </c>
      <c r="AR786" s="23">
        <f t="array" aca="1" ref="AR786" ca="1">SUM(IF(lsc_start_date=AO786,lsc_amount,0))</f>
        <v>0</v>
      </c>
      <c r="AS786" s="24">
        <f t="shared" ca="1" si="655"/>
        <v>0</v>
      </c>
      <c r="AT786" s="24">
        <f t="shared" ca="1" si="656"/>
        <v>0</v>
      </c>
      <c r="AU786" s="24">
        <f t="shared" ca="1" si="657"/>
        <v>0</v>
      </c>
      <c r="AV786" s="25">
        <f t="shared" ca="1" si="658"/>
        <v>0</v>
      </c>
      <c r="AW786" s="23">
        <f t="array" aca="1" ref="AW786" ca="1">SUM(IF(rcs_start_date&lt;=AO786,1,0)*IF(rcs_end_date&gt;=AO786,1,0)*rcs_amount*(1+rcs_escalation/100)^(INT((AP786-rcs_months_since_start)/12))*IF(MOD((AP786-rcs_months_since_start),rcs_frequency)=0,1,0)*IF(rcs_frequency=13,0,1))+SUM(IF(rcs_start_date=AO786,rcs_amount,0)*IF(rcs_frequency=13,1,0))</f>
        <v>0</v>
      </c>
      <c r="AX786" s="24">
        <f t="shared" ca="1" si="659"/>
        <v>0</v>
      </c>
      <c r="AY786" s="24">
        <f t="shared" ca="1" si="660"/>
        <v>0</v>
      </c>
      <c r="AZ786" s="24">
        <f t="shared" ca="1" si="661"/>
        <v>0</v>
      </c>
      <c r="BA786" s="25">
        <f t="shared" ca="1" si="662"/>
        <v>0</v>
      </c>
      <c r="BB786" s="23">
        <f t="array" aca="1" ref="BB786" ca="1">SUM(IF(w_start_date&lt;=AO786,1,0)*IF(w_end_date&gt;=AO786,1,0)*w_amount*(1+w_escalation/100)^(INT((AP786-w_months_since_start)/12))*IF(MOD(AP786-w_months_since_start,w_frequency)=0,1,0)*IF(w_frequency=13,0,1))+SUM(IF(w_start_date=AO786,w_amount,0)*IF(w_frequency=13,1,0))</f>
        <v>0</v>
      </c>
      <c r="BC786" s="25">
        <f t="shared" ca="1" si="663"/>
        <v>0</v>
      </c>
      <c r="BD786" s="24" t="b">
        <f t="shared" ca="1" si="664"/>
        <v>1</v>
      </c>
      <c r="BE786" s="24" t="b">
        <f t="shared" ca="1" si="665"/>
        <v>1</v>
      </c>
      <c r="BF786" s="23">
        <f t="array" aca="1" ref="BF786" ca="1">SUM(IF(BD786,1,0)*IF(ap_start_date&lt;=AO786,1,0)*IF(ap_end_date&gt;=AO786,1,0)*ap_amount*(1+ap_escalation/100)^(INT((AP786-ap_months_since_start)/12))*IF(MOD(AP786-ap_months_since_start,ap_frequency)=0,1,0))</f>
        <v>279791.82894698071</v>
      </c>
      <c r="BG786" s="24">
        <f t="shared" ca="1" si="666"/>
        <v>3357501.9473637682</v>
      </c>
      <c r="BH786" s="24">
        <f t="shared" ca="1" si="667"/>
        <v>388.25620057606108</v>
      </c>
      <c r="BI786">
        <f t="shared" ca="1" si="668"/>
        <v>0</v>
      </c>
      <c r="BJ786" s="24">
        <f t="shared" ca="1" si="669"/>
        <v>2717.7934040324271</v>
      </c>
      <c r="BK786">
        <f t="shared" ca="1" si="670"/>
        <v>1</v>
      </c>
      <c r="BL786" s="25">
        <f t="shared" ca="1" si="671"/>
        <v>226.48278366936896</v>
      </c>
      <c r="BM786" s="32">
        <f t="shared" ca="1" si="650"/>
        <v>14079.428695465673</v>
      </c>
      <c r="BN786" s="23">
        <f t="shared" ca="1" si="672"/>
        <v>0</v>
      </c>
      <c r="BO786" s="24">
        <f t="shared" ca="1" si="673"/>
        <v>0</v>
      </c>
      <c r="BP786" s="25">
        <f t="shared" ca="1" si="674"/>
        <v>0</v>
      </c>
      <c r="BQ786" s="34">
        <f t="shared" ca="1" si="675"/>
        <v>69337</v>
      </c>
      <c r="BR786" s="23">
        <f t="shared" ca="1" si="676"/>
        <v>14079.428695465673</v>
      </c>
      <c r="BS786" s="24">
        <f t="shared" ca="1" si="677"/>
        <v>0</v>
      </c>
      <c r="BT786" s="24">
        <f t="shared" ca="1" si="642"/>
        <v>0</v>
      </c>
      <c r="BU786" s="24">
        <f t="shared" ca="1" si="678"/>
        <v>0</v>
      </c>
      <c r="BV786" s="24">
        <f t="shared" ca="1" si="643"/>
        <v>0</v>
      </c>
      <c r="BW786" s="24">
        <f t="shared" ca="1" si="679"/>
        <v>-226.48278366936896</v>
      </c>
      <c r="BX786" s="25">
        <f t="shared" ca="1" si="644"/>
        <v>-2717.7934040324276</v>
      </c>
      <c r="BY786" s="23">
        <f t="shared" ca="1" si="651"/>
        <v>1103.6653888454955</v>
      </c>
      <c r="BZ786" s="24">
        <f t="shared" ca="1" si="652"/>
        <v>0</v>
      </c>
      <c r="CA786" s="24">
        <f t="shared" ca="1" si="645"/>
        <v>0</v>
      </c>
      <c r="CB786" s="24">
        <f t="shared" ca="1" si="653"/>
        <v>0</v>
      </c>
      <c r="CC786" s="24">
        <f t="shared" ca="1" si="646"/>
        <v>0</v>
      </c>
      <c r="CD786" s="24">
        <f t="shared" ca="1" si="654"/>
        <v>-17.811767997489319</v>
      </c>
      <c r="CE786" s="25">
        <f t="shared" ca="1" si="647"/>
        <v>-217.63205608877973</v>
      </c>
      <c r="CF786" s="23">
        <f t="shared" ca="1" si="648"/>
        <v>3357501.9473637682</v>
      </c>
      <c r="CG786" s="25">
        <f t="array" aca="1" ref="CG786" ca="1">SUM(BF775:BF786/(1+inflation/100)^(AP775:AP786/12))</f>
        <v>267980.53702225391</v>
      </c>
      <c r="CH786" s="32">
        <f ca="1">IFERROR(IF(MOD(AP786-ap_months_since_start,12)=0,ap_drawdown/100*(AQ786+AV786+BA786-BC786),CH785),0)</f>
        <v>2386.9078299025682</v>
      </c>
    </row>
    <row r="787" spans="40:86" x14ac:dyDescent="0.25">
      <c r="AN787" s="32">
        <f t="shared" ca="1" si="649"/>
        <v>119.83333333333333</v>
      </c>
      <c r="AO787" s="53">
        <f t="shared" ca="1" si="680"/>
        <v>69338</v>
      </c>
      <c r="AP787" s="22">
        <v>780</v>
      </c>
      <c r="AQ787" s="32">
        <f t="shared" ca="1" si="681"/>
        <v>14079.428695465673</v>
      </c>
      <c r="AR787" s="23">
        <f t="array" aca="1" ref="AR787" ca="1">SUM(IF(lsc_start_date=AO787,lsc_amount,0))</f>
        <v>0</v>
      </c>
      <c r="AS787" s="24">
        <f t="shared" ca="1" si="655"/>
        <v>0</v>
      </c>
      <c r="AT787" s="24">
        <f t="shared" ca="1" si="656"/>
        <v>0</v>
      </c>
      <c r="AU787" s="24">
        <f t="shared" ca="1" si="657"/>
        <v>0</v>
      </c>
      <c r="AV787" s="25">
        <f t="shared" ca="1" si="658"/>
        <v>0</v>
      </c>
      <c r="AW787" s="23">
        <f t="array" aca="1" ref="AW787" ca="1">SUM(IF(rcs_start_date&lt;=AO787,1,0)*IF(rcs_end_date&gt;=AO787,1,0)*rcs_amount*(1+rcs_escalation/100)^(INT((AP787-rcs_months_since_start)/12))*IF(MOD((AP787-rcs_months_since_start),rcs_frequency)=0,1,0)*IF(rcs_frequency=13,0,1))+SUM(IF(rcs_start_date=AO787,rcs_amount,0)*IF(rcs_frequency=13,1,0))</f>
        <v>0</v>
      </c>
      <c r="AX787" s="24">
        <f t="shared" ca="1" si="659"/>
        <v>0</v>
      </c>
      <c r="AY787" s="24">
        <f t="shared" ca="1" si="660"/>
        <v>0</v>
      </c>
      <c r="AZ787" s="24">
        <f t="shared" ca="1" si="661"/>
        <v>0</v>
      </c>
      <c r="BA787" s="25">
        <f t="shared" ca="1" si="662"/>
        <v>0</v>
      </c>
      <c r="BB787" s="23">
        <f t="array" aca="1" ref="BB787" ca="1">SUM(IF(w_start_date&lt;=AO787,1,0)*IF(w_end_date&gt;=AO787,1,0)*w_amount*(1+w_escalation/100)^(INT((AP787-w_months_since_start)/12))*IF(MOD(AP787-w_months_since_start,w_frequency)=0,1,0)*IF(w_frequency=13,0,1))+SUM(IF(w_start_date=AO787,w_amount,0)*IF(w_frequency=13,1,0))</f>
        <v>0</v>
      </c>
      <c r="BC787" s="25">
        <f t="shared" ca="1" si="663"/>
        <v>0</v>
      </c>
      <c r="BD787" s="24" t="b">
        <f t="shared" ca="1" si="664"/>
        <v>1</v>
      </c>
      <c r="BE787" s="24" t="b">
        <f t="shared" ca="1" si="665"/>
        <v>1</v>
      </c>
      <c r="BF787" s="23">
        <f t="array" aca="1" ref="BF787" ca="1">SUM(IF(BD787,1,0)*IF(ap_start_date&lt;=AO787,1,0)*IF(ap_end_date&gt;=AO787,1,0)*ap_amount*(1+ap_escalation/100)^(INT((AP787-ap_months_since_start)/12))*IF(MOD(AP787-ap_months_since_start,ap_frequency)=0,1,0))</f>
        <v>290983.50210485992</v>
      </c>
      <c r="BG787" s="24">
        <f t="shared" ca="1" si="666"/>
        <v>3491802.0252583181</v>
      </c>
      <c r="BH787" s="24">
        <f t="shared" ca="1" si="667"/>
        <v>351.98571738664185</v>
      </c>
      <c r="BI787">
        <f t="shared" ca="1" si="668"/>
        <v>0</v>
      </c>
      <c r="BJ787" s="24">
        <f t="shared" ca="1" si="669"/>
        <v>2463.9000217064927</v>
      </c>
      <c r="BK787">
        <f t="shared" ca="1" si="670"/>
        <v>1</v>
      </c>
      <c r="BL787" s="25">
        <f t="shared" ca="1" si="671"/>
        <v>205.32500180887445</v>
      </c>
      <c r="BM787" s="32">
        <f t="shared" ca="1" si="650"/>
        <v>13974.098844698588</v>
      </c>
      <c r="BN787" s="23">
        <f t="shared" ca="1" si="672"/>
        <v>0</v>
      </c>
      <c r="BO787" s="24">
        <f t="shared" ca="1" si="673"/>
        <v>0</v>
      </c>
      <c r="BP787" s="25">
        <f t="shared" ca="1" si="674"/>
        <v>0</v>
      </c>
      <c r="BQ787" s="34">
        <f t="shared" ca="1" si="675"/>
        <v>69367</v>
      </c>
      <c r="BR787" s="23">
        <f t="shared" ca="1" si="676"/>
        <v>13974.098844698588</v>
      </c>
      <c r="BS787" s="24">
        <f t="shared" ca="1" si="677"/>
        <v>0</v>
      </c>
      <c r="BT787" s="24">
        <f t="shared" ca="1" si="642"/>
        <v>0</v>
      </c>
      <c r="BU787" s="24">
        <f t="shared" ca="1" si="678"/>
        <v>0</v>
      </c>
      <c r="BV787" s="24">
        <f t="shared" ca="1" si="643"/>
        <v>0</v>
      </c>
      <c r="BW787" s="24">
        <f t="shared" ca="1" si="679"/>
        <v>-205.32500180887445</v>
      </c>
      <c r="BX787" s="25">
        <f t="shared" ca="1" si="644"/>
        <v>-2696.6356221719329</v>
      </c>
      <c r="BY787" s="23">
        <f t="shared" ca="1" si="651"/>
        <v>1091.8343575742917</v>
      </c>
      <c r="BZ787" s="24">
        <f t="shared" ca="1" si="652"/>
        <v>0</v>
      </c>
      <c r="CA787" s="24">
        <f t="shared" ca="1" si="645"/>
        <v>0</v>
      </c>
      <c r="CB787" s="24">
        <f t="shared" ca="1" si="653"/>
        <v>0</v>
      </c>
      <c r="CC787" s="24">
        <f t="shared" ca="1" si="646"/>
        <v>0</v>
      </c>
      <c r="CD787" s="24">
        <f t="shared" ca="1" si="654"/>
        <v>-16.095120253996811</v>
      </c>
      <c r="CE787" s="25">
        <f t="shared" ca="1" si="647"/>
        <v>-215.26338327926996</v>
      </c>
      <c r="CF787" s="23">
        <f t="shared" ca="1" si="648"/>
        <v>3368693.6205216474</v>
      </c>
      <c r="CG787" s="25">
        <f t="array" aca="1" ref="CG787" ca="1">SUM(BF776:BF787/(1+inflation/100)^(AP776:AP787/12))</f>
        <v>267980.53702225385</v>
      </c>
      <c r="CH787" s="32">
        <f ca="1">IFERROR(IF(MOD(AP787-ap_months_since_start,12)=0,ap_drawdown/100*(AQ787+AV787+BA787-BC787),CH786),0)</f>
        <v>2163.9254275849162</v>
      </c>
    </row>
    <row r="788" spans="40:86" x14ac:dyDescent="0.25">
      <c r="AN788" s="32">
        <f t="shared" ca="1" si="649"/>
        <v>119.91666666666667</v>
      </c>
      <c r="AO788" s="53">
        <f t="shared" ca="1" si="680"/>
        <v>69368</v>
      </c>
      <c r="AP788" s="22">
        <v>781</v>
      </c>
      <c r="AQ788" s="32">
        <f t="shared" ca="1" si="681"/>
        <v>13974.098844698588</v>
      </c>
      <c r="AR788" s="23">
        <f t="array" aca="1" ref="AR788" ca="1">SUM(IF(lsc_start_date=AO788,lsc_amount,0))</f>
        <v>0</v>
      </c>
      <c r="AS788" s="24">
        <f t="shared" ca="1" si="655"/>
        <v>0</v>
      </c>
      <c r="AT788" s="24">
        <f t="shared" ca="1" si="656"/>
        <v>0</v>
      </c>
      <c r="AU788" s="24">
        <f t="shared" ca="1" si="657"/>
        <v>0</v>
      </c>
      <c r="AV788" s="25">
        <f t="shared" ca="1" si="658"/>
        <v>0</v>
      </c>
      <c r="AW788" s="23">
        <f t="array" aca="1" ref="AW788" ca="1">SUM(IF(rcs_start_date&lt;=AO788,1,0)*IF(rcs_end_date&gt;=AO788,1,0)*rcs_amount*(1+rcs_escalation/100)^(INT((AP788-rcs_months_since_start)/12))*IF(MOD((AP788-rcs_months_since_start),rcs_frequency)=0,1,0)*IF(rcs_frequency=13,0,1))+SUM(IF(rcs_start_date=AO788,rcs_amount,0)*IF(rcs_frequency=13,1,0))</f>
        <v>0</v>
      </c>
      <c r="AX788" s="24">
        <f t="shared" ca="1" si="659"/>
        <v>0</v>
      </c>
      <c r="AY788" s="24">
        <f t="shared" ca="1" si="660"/>
        <v>0</v>
      </c>
      <c r="AZ788" s="24">
        <f t="shared" ca="1" si="661"/>
        <v>0</v>
      </c>
      <c r="BA788" s="25">
        <f t="shared" ca="1" si="662"/>
        <v>0</v>
      </c>
      <c r="BB788" s="23">
        <f t="array" aca="1" ref="BB788" ca="1">SUM(IF(w_start_date&lt;=AO788,1,0)*IF(w_end_date&gt;=AO788,1,0)*w_amount*(1+w_escalation/100)^(INT((AP788-w_months_since_start)/12))*IF(MOD(AP788-w_months_since_start,w_frequency)=0,1,0)*IF(w_frequency=13,0,1))+SUM(IF(w_start_date=AO788,w_amount,0)*IF(w_frequency=13,1,0))</f>
        <v>0</v>
      </c>
      <c r="BC788" s="25">
        <f t="shared" ca="1" si="663"/>
        <v>0</v>
      </c>
      <c r="BD788" s="24" t="b">
        <f t="shared" ca="1" si="664"/>
        <v>1</v>
      </c>
      <c r="BE788" s="24" t="b">
        <f t="shared" ca="1" si="665"/>
        <v>1</v>
      </c>
      <c r="BF788" s="23">
        <f t="array" aca="1" ref="BF788" ca="1">SUM(IF(BD788,1,0)*IF(ap_start_date&lt;=AO788,1,0)*IF(ap_end_date&gt;=AO788,1,0)*ap_amount*(1+ap_escalation/100)^(INT((AP788-ap_months_since_start)/12))*IF(MOD(AP788-ap_months_since_start,ap_frequency)=0,1,0))</f>
        <v>290983.50210485992</v>
      </c>
      <c r="BG788" s="24">
        <f t="shared" ca="1" si="666"/>
        <v>3491802.0252583181</v>
      </c>
      <c r="BH788" s="24">
        <f t="shared" ca="1" si="667"/>
        <v>351.98571738664185</v>
      </c>
      <c r="BI788">
        <f t="shared" ca="1" si="668"/>
        <v>0</v>
      </c>
      <c r="BJ788" s="24">
        <f t="shared" ca="1" si="669"/>
        <v>2463.9000217064927</v>
      </c>
      <c r="BK788">
        <f t="shared" ca="1" si="670"/>
        <v>1</v>
      </c>
      <c r="BL788" s="25">
        <f t="shared" ca="1" si="671"/>
        <v>205.32500180887445</v>
      </c>
      <c r="BM788" s="32">
        <f t="shared" ca="1" si="650"/>
        <v>13868.009847642186</v>
      </c>
      <c r="BN788" s="23">
        <f t="shared" ca="1" si="672"/>
        <v>0</v>
      </c>
      <c r="BO788" s="24">
        <f t="shared" ca="1" si="673"/>
        <v>0</v>
      </c>
      <c r="BP788" s="25">
        <f t="shared" ca="1" si="674"/>
        <v>0</v>
      </c>
      <c r="BQ788" s="34">
        <f t="shared" ca="1" si="675"/>
        <v>69398</v>
      </c>
      <c r="BR788" s="23">
        <f t="shared" ca="1" si="676"/>
        <v>13868.009847642186</v>
      </c>
      <c r="BS788" s="24">
        <f t="shared" ca="1" si="677"/>
        <v>0</v>
      </c>
      <c r="BT788" s="24">
        <f t="shared" ref="BT788:BT851" ca="1" si="682">SUM(BS777:BS788)</f>
        <v>0</v>
      </c>
      <c r="BU788" s="24">
        <f t="shared" ca="1" si="678"/>
        <v>0</v>
      </c>
      <c r="BV788" s="24">
        <f t="shared" ref="BV788:BV851" ca="1" si="683">SUM(BU777:BU788)</f>
        <v>0</v>
      </c>
      <c r="BW788" s="24">
        <f t="shared" ca="1" si="679"/>
        <v>-205.32500180887445</v>
      </c>
      <c r="BX788" s="25">
        <f t="shared" ref="BX788:BX851" ca="1" si="684">SUM(BW777:BW788)</f>
        <v>-2675.4778403114383</v>
      </c>
      <c r="BY788" s="23">
        <f t="shared" ca="1" si="651"/>
        <v>1080.0096650264936</v>
      </c>
      <c r="BZ788" s="24">
        <f t="shared" ca="1" si="652"/>
        <v>0</v>
      </c>
      <c r="CA788" s="24">
        <f t="shared" ref="CA788:CA851" ca="1" si="685">SUM(BZ777:BZ788)</f>
        <v>0</v>
      </c>
      <c r="CB788" s="24">
        <f t="shared" ca="1" si="653"/>
        <v>0</v>
      </c>
      <c r="CC788" s="24">
        <f t="shared" ref="CC788:CC851" ca="1" si="686">SUM(CB777:CB788)</f>
        <v>0</v>
      </c>
      <c r="CD788" s="24">
        <f t="shared" ca="1" si="654"/>
        <v>-16.042600953046868</v>
      </c>
      <c r="CE788" s="25">
        <f t="shared" ref="CE788:CE851" ca="1" si="687">SUM(CD777:CD788)</f>
        <v>-212.90243958505545</v>
      </c>
      <c r="CF788" s="23">
        <f t="shared" ref="CF788:CF851" ca="1" si="688">SUM(BF777:BF788)</f>
        <v>3379885.2936795265</v>
      </c>
      <c r="CG788" s="25">
        <f t="array" aca="1" ref="CG788" ca="1">SUM(BF777:BF788/(1+inflation/100)^(AP777:AP788/12))</f>
        <v>267980.53702225391</v>
      </c>
      <c r="CH788" s="32">
        <f ca="1">IFERROR(IF(MOD(AP788-ap_months_since_start,12)=0,ap_drawdown/100*(AQ788+AV788+BA788-BC788),CH787),0)</f>
        <v>2163.9254275849162</v>
      </c>
    </row>
    <row r="789" spans="40:86" x14ac:dyDescent="0.25">
      <c r="AN789" s="32">
        <f t="shared" ca="1" si="649"/>
        <v>120</v>
      </c>
      <c r="AO789" s="53">
        <f t="shared" ca="1" si="680"/>
        <v>69399</v>
      </c>
      <c r="AP789" s="22">
        <v>782</v>
      </c>
      <c r="AQ789" s="32">
        <f t="shared" ca="1" si="681"/>
        <v>13868.009847642186</v>
      </c>
      <c r="AR789" s="23">
        <f t="array" aca="1" ref="AR789" ca="1">SUM(IF(lsc_start_date=AO789,lsc_amount,0))</f>
        <v>0</v>
      </c>
      <c r="AS789" s="24">
        <f t="shared" ca="1" si="655"/>
        <v>0</v>
      </c>
      <c r="AT789" s="24">
        <f t="shared" ca="1" si="656"/>
        <v>0</v>
      </c>
      <c r="AU789" s="24">
        <f t="shared" ca="1" si="657"/>
        <v>0</v>
      </c>
      <c r="AV789" s="25">
        <f t="shared" ca="1" si="658"/>
        <v>0</v>
      </c>
      <c r="AW789" s="23">
        <f t="array" aca="1" ref="AW789" ca="1">SUM(IF(rcs_start_date&lt;=AO789,1,0)*IF(rcs_end_date&gt;=AO789,1,0)*rcs_amount*(1+rcs_escalation/100)^(INT((AP789-rcs_months_since_start)/12))*IF(MOD((AP789-rcs_months_since_start),rcs_frequency)=0,1,0)*IF(rcs_frequency=13,0,1))+SUM(IF(rcs_start_date=AO789,rcs_amount,0)*IF(rcs_frequency=13,1,0))</f>
        <v>0</v>
      </c>
      <c r="AX789" s="24">
        <f t="shared" ca="1" si="659"/>
        <v>0</v>
      </c>
      <c r="AY789" s="24">
        <f t="shared" ca="1" si="660"/>
        <v>0</v>
      </c>
      <c r="AZ789" s="24">
        <f t="shared" ca="1" si="661"/>
        <v>0</v>
      </c>
      <c r="BA789" s="25">
        <f t="shared" ca="1" si="662"/>
        <v>0</v>
      </c>
      <c r="BB789" s="23">
        <f t="array" aca="1" ref="BB789" ca="1">SUM(IF(w_start_date&lt;=AO789,1,0)*IF(w_end_date&gt;=AO789,1,0)*w_amount*(1+w_escalation/100)^(INT((AP789-w_months_since_start)/12))*IF(MOD(AP789-w_months_since_start,w_frequency)=0,1,0)*IF(w_frequency=13,0,1))+SUM(IF(w_start_date=AO789,w_amount,0)*IF(w_frequency=13,1,0))</f>
        <v>0</v>
      </c>
      <c r="BC789" s="25">
        <f t="shared" ca="1" si="663"/>
        <v>0</v>
      </c>
      <c r="BD789" s="24" t="b">
        <f t="shared" ca="1" si="664"/>
        <v>1</v>
      </c>
      <c r="BE789" s="24" t="b">
        <f t="shared" ca="1" si="665"/>
        <v>1</v>
      </c>
      <c r="BF789" s="23">
        <f t="array" aca="1" ref="BF789" ca="1">SUM(IF(BD789,1,0)*IF(ap_start_date&lt;=AO789,1,0)*IF(ap_end_date&gt;=AO789,1,0)*ap_amount*(1+ap_escalation/100)^(INT((AP789-ap_months_since_start)/12))*IF(MOD(AP789-ap_months_since_start,ap_frequency)=0,1,0))</f>
        <v>290983.50210485992</v>
      </c>
      <c r="BG789" s="24">
        <f t="shared" ca="1" si="666"/>
        <v>3491802.0252583181</v>
      </c>
      <c r="BH789" s="24">
        <f t="shared" ca="1" si="667"/>
        <v>351.98571738664185</v>
      </c>
      <c r="BI789">
        <f t="shared" ca="1" si="668"/>
        <v>0</v>
      </c>
      <c r="BJ789" s="24">
        <f t="shared" ca="1" si="669"/>
        <v>2463.9000217064927</v>
      </c>
      <c r="BK789">
        <f t="shared" ca="1" si="670"/>
        <v>1</v>
      </c>
      <c r="BL789" s="25">
        <f t="shared" ca="1" si="671"/>
        <v>205.32500180887445</v>
      </c>
      <c r="BM789" s="32">
        <f t="shared" ca="1" si="650"/>
        <v>13761.156232883714</v>
      </c>
      <c r="BN789" s="23">
        <f t="shared" ca="1" si="672"/>
        <v>0</v>
      </c>
      <c r="BO789" s="24">
        <f t="shared" ca="1" si="673"/>
        <v>0</v>
      </c>
      <c r="BP789" s="25">
        <f t="shared" ca="1" si="674"/>
        <v>0</v>
      </c>
      <c r="BQ789" s="34">
        <f t="shared" ca="1" si="675"/>
        <v>69429</v>
      </c>
      <c r="BR789" s="23">
        <f t="shared" ca="1" si="676"/>
        <v>13761.156232883714</v>
      </c>
      <c r="BS789" s="24">
        <f t="shared" ca="1" si="677"/>
        <v>0</v>
      </c>
      <c r="BT789" s="24">
        <f t="shared" ca="1" si="682"/>
        <v>0</v>
      </c>
      <c r="BU789" s="24">
        <f t="shared" ca="1" si="678"/>
        <v>0</v>
      </c>
      <c r="BV789" s="24">
        <f t="shared" ca="1" si="683"/>
        <v>0</v>
      </c>
      <c r="BW789" s="24">
        <f t="shared" ca="1" si="679"/>
        <v>-205.32500180887445</v>
      </c>
      <c r="BX789" s="25">
        <f t="shared" ca="1" si="684"/>
        <v>-2654.3200584509436</v>
      </c>
      <c r="BY789" s="23">
        <f t="shared" ca="1" si="651"/>
        <v>1068.1911640092292</v>
      </c>
      <c r="BZ789" s="24">
        <f t="shared" ca="1" si="652"/>
        <v>0</v>
      </c>
      <c r="CA789" s="24">
        <f t="shared" ca="1" si="685"/>
        <v>0</v>
      </c>
      <c r="CB789" s="24">
        <f t="shared" ca="1" si="653"/>
        <v>0</v>
      </c>
      <c r="CC789" s="24">
        <f t="shared" ca="1" si="686"/>
        <v>0</v>
      </c>
      <c r="CD789" s="24">
        <f t="shared" ca="1" si="654"/>
        <v>-15.990253025589588</v>
      </c>
      <c r="CE789" s="25">
        <f t="shared" ca="1" si="687"/>
        <v>-210.54919978558951</v>
      </c>
      <c r="CF789" s="23">
        <f t="shared" ca="1" si="688"/>
        <v>3391076.9668374057</v>
      </c>
      <c r="CG789" s="25">
        <f t="array" aca="1" ref="CG789" ca="1">SUM(BF778:BF789/(1+inflation/100)^(AP778:AP789/12))</f>
        <v>267980.53702225385</v>
      </c>
      <c r="CH789" s="32">
        <f ca="1">IFERROR(IF(MOD(AP789-ap_months_since_start,12)=0,ap_drawdown/100*(AQ789+AV789+BA789-BC789),CH788),0)</f>
        <v>2163.9254275849162</v>
      </c>
    </row>
    <row r="790" spans="40:86" x14ac:dyDescent="0.25">
      <c r="AN790" s="32">
        <f t="shared" ca="1" si="649"/>
        <v>120.08333333333333</v>
      </c>
      <c r="AO790" s="53">
        <f t="shared" ca="1" si="680"/>
        <v>69430</v>
      </c>
      <c r="AP790" s="22">
        <v>783</v>
      </c>
      <c r="AQ790" s="32">
        <f t="shared" ca="1" si="681"/>
        <v>13761.156232883714</v>
      </c>
      <c r="AR790" s="23">
        <f t="array" aca="1" ref="AR790" ca="1">SUM(IF(lsc_start_date=AO790,lsc_amount,0))</f>
        <v>0</v>
      </c>
      <c r="AS790" s="24">
        <f t="shared" ca="1" si="655"/>
        <v>0</v>
      </c>
      <c r="AT790" s="24">
        <f t="shared" ca="1" si="656"/>
        <v>0</v>
      </c>
      <c r="AU790" s="24">
        <f t="shared" ca="1" si="657"/>
        <v>0</v>
      </c>
      <c r="AV790" s="25">
        <f t="shared" ca="1" si="658"/>
        <v>0</v>
      </c>
      <c r="AW790" s="23">
        <f t="array" aca="1" ref="AW790" ca="1">SUM(IF(rcs_start_date&lt;=AO790,1,0)*IF(rcs_end_date&gt;=AO790,1,0)*rcs_amount*(1+rcs_escalation/100)^(INT((AP790-rcs_months_since_start)/12))*IF(MOD((AP790-rcs_months_since_start),rcs_frequency)=0,1,0)*IF(rcs_frequency=13,0,1))+SUM(IF(rcs_start_date=AO790,rcs_amount,0)*IF(rcs_frequency=13,1,0))</f>
        <v>0</v>
      </c>
      <c r="AX790" s="24">
        <f t="shared" ca="1" si="659"/>
        <v>0</v>
      </c>
      <c r="AY790" s="24">
        <f t="shared" ca="1" si="660"/>
        <v>0</v>
      </c>
      <c r="AZ790" s="24">
        <f t="shared" ca="1" si="661"/>
        <v>0</v>
      </c>
      <c r="BA790" s="25">
        <f t="shared" ca="1" si="662"/>
        <v>0</v>
      </c>
      <c r="BB790" s="23">
        <f t="array" aca="1" ref="BB790" ca="1">SUM(IF(w_start_date&lt;=AO790,1,0)*IF(w_end_date&gt;=AO790,1,0)*w_amount*(1+w_escalation/100)^(INT((AP790-w_months_since_start)/12))*IF(MOD(AP790-w_months_since_start,w_frequency)=0,1,0)*IF(w_frequency=13,0,1))+SUM(IF(w_start_date=AO790,w_amount,0)*IF(w_frequency=13,1,0))</f>
        <v>0</v>
      </c>
      <c r="BC790" s="25">
        <f t="shared" ca="1" si="663"/>
        <v>0</v>
      </c>
      <c r="BD790" s="24" t="b">
        <f t="shared" ca="1" si="664"/>
        <v>1</v>
      </c>
      <c r="BE790" s="24" t="b">
        <f t="shared" ca="1" si="665"/>
        <v>1</v>
      </c>
      <c r="BF790" s="23">
        <f t="array" aca="1" ref="BF790" ca="1">SUM(IF(BD790,1,0)*IF(ap_start_date&lt;=AO790,1,0)*IF(ap_end_date&gt;=AO790,1,0)*ap_amount*(1+ap_escalation/100)^(INT((AP790-ap_months_since_start)/12))*IF(MOD(AP790-ap_months_since_start,ap_frequency)=0,1,0))</f>
        <v>290983.50210485992</v>
      </c>
      <c r="BG790" s="24">
        <f t="shared" ca="1" si="666"/>
        <v>3491802.0252583181</v>
      </c>
      <c r="BH790" s="24">
        <f t="shared" ca="1" si="667"/>
        <v>351.98571738664185</v>
      </c>
      <c r="BI790">
        <f t="shared" ca="1" si="668"/>
        <v>0</v>
      </c>
      <c r="BJ790" s="24">
        <f t="shared" ca="1" si="669"/>
        <v>2463.9000217064927</v>
      </c>
      <c r="BK790">
        <f t="shared" ca="1" si="670"/>
        <v>1</v>
      </c>
      <c r="BL790" s="25">
        <f t="shared" ca="1" si="671"/>
        <v>205.32500180887445</v>
      </c>
      <c r="BM790" s="32">
        <f t="shared" ca="1" si="650"/>
        <v>13653.532489576179</v>
      </c>
      <c r="BN790" s="23">
        <f t="shared" ca="1" si="672"/>
        <v>0</v>
      </c>
      <c r="BO790" s="24">
        <f t="shared" ca="1" si="673"/>
        <v>0</v>
      </c>
      <c r="BP790" s="25">
        <f t="shared" ca="1" si="674"/>
        <v>0</v>
      </c>
      <c r="BQ790" s="34">
        <f t="shared" ca="1" si="675"/>
        <v>69457</v>
      </c>
      <c r="BR790" s="23">
        <f t="shared" ca="1" si="676"/>
        <v>13653.532489576179</v>
      </c>
      <c r="BS790" s="24">
        <f t="shared" ca="1" si="677"/>
        <v>0</v>
      </c>
      <c r="BT790" s="24">
        <f t="shared" ca="1" si="682"/>
        <v>0</v>
      </c>
      <c r="BU790" s="24">
        <f t="shared" ca="1" si="678"/>
        <v>0</v>
      </c>
      <c r="BV790" s="24">
        <f t="shared" ca="1" si="683"/>
        <v>0</v>
      </c>
      <c r="BW790" s="24">
        <f t="shared" ca="1" si="679"/>
        <v>-205.32500180887445</v>
      </c>
      <c r="BX790" s="25">
        <f t="shared" ca="1" si="684"/>
        <v>-2633.162276590449</v>
      </c>
      <c r="BY790" s="23">
        <f t="shared" ca="1" si="651"/>
        <v>1056.3787073139217</v>
      </c>
      <c r="BZ790" s="24">
        <f t="shared" ca="1" si="652"/>
        <v>0</v>
      </c>
      <c r="CA790" s="24">
        <f t="shared" ca="1" si="685"/>
        <v>0</v>
      </c>
      <c r="CB790" s="24">
        <f t="shared" ca="1" si="653"/>
        <v>0</v>
      </c>
      <c r="CC790" s="24">
        <f t="shared" ca="1" si="686"/>
        <v>0</v>
      </c>
      <c r="CD790" s="24">
        <f t="shared" ca="1" si="654"/>
        <v>-15.938075912423372</v>
      </c>
      <c r="CE790" s="25">
        <f t="shared" ca="1" si="687"/>
        <v>-208.20363874262148</v>
      </c>
      <c r="CF790" s="23">
        <f t="shared" ca="1" si="688"/>
        <v>3402268.6399952848</v>
      </c>
      <c r="CG790" s="25">
        <f t="array" aca="1" ref="CG790" ca="1">SUM(BF779:BF790/(1+inflation/100)^(AP779:AP790/12))</f>
        <v>267980.53702225385</v>
      </c>
      <c r="CH790" s="32">
        <f ca="1">IFERROR(IF(MOD(AP790-ap_months_since_start,12)=0,ap_drawdown/100*(AQ790+AV790+BA790-BC790),CH789),0)</f>
        <v>2163.9254275849162</v>
      </c>
    </row>
    <row r="791" spans="40:86" x14ac:dyDescent="0.25">
      <c r="AN791" s="32">
        <f t="shared" ca="1" si="649"/>
        <v>120.16666666666667</v>
      </c>
      <c r="AO791" s="53">
        <f t="shared" ca="1" si="680"/>
        <v>69458</v>
      </c>
      <c r="AP791" s="22">
        <v>784</v>
      </c>
      <c r="AQ791" s="32">
        <f t="shared" ca="1" si="681"/>
        <v>13653.532489576179</v>
      </c>
      <c r="AR791" s="23">
        <f t="array" aca="1" ref="AR791" ca="1">SUM(IF(lsc_start_date=AO791,lsc_amount,0))</f>
        <v>0</v>
      </c>
      <c r="AS791" s="24">
        <f t="shared" ca="1" si="655"/>
        <v>0</v>
      </c>
      <c r="AT791" s="24">
        <f t="shared" ca="1" si="656"/>
        <v>0</v>
      </c>
      <c r="AU791" s="24">
        <f t="shared" ca="1" si="657"/>
        <v>0</v>
      </c>
      <c r="AV791" s="25">
        <f t="shared" ca="1" si="658"/>
        <v>0</v>
      </c>
      <c r="AW791" s="23">
        <f t="array" aca="1" ref="AW791" ca="1">SUM(IF(rcs_start_date&lt;=AO791,1,0)*IF(rcs_end_date&gt;=AO791,1,0)*rcs_amount*(1+rcs_escalation/100)^(INT((AP791-rcs_months_since_start)/12))*IF(MOD((AP791-rcs_months_since_start),rcs_frequency)=0,1,0)*IF(rcs_frequency=13,0,1))+SUM(IF(rcs_start_date=AO791,rcs_amount,0)*IF(rcs_frequency=13,1,0))</f>
        <v>0</v>
      </c>
      <c r="AX791" s="24">
        <f t="shared" ca="1" si="659"/>
        <v>0</v>
      </c>
      <c r="AY791" s="24">
        <f t="shared" ca="1" si="660"/>
        <v>0</v>
      </c>
      <c r="AZ791" s="24">
        <f t="shared" ca="1" si="661"/>
        <v>0</v>
      </c>
      <c r="BA791" s="25">
        <f t="shared" ca="1" si="662"/>
        <v>0</v>
      </c>
      <c r="BB791" s="23">
        <f t="array" aca="1" ref="BB791" ca="1">SUM(IF(w_start_date&lt;=AO791,1,0)*IF(w_end_date&gt;=AO791,1,0)*w_amount*(1+w_escalation/100)^(INT((AP791-w_months_since_start)/12))*IF(MOD(AP791-w_months_since_start,w_frequency)=0,1,0)*IF(w_frequency=13,0,1))+SUM(IF(w_start_date=AO791,w_amount,0)*IF(w_frequency=13,1,0))</f>
        <v>0</v>
      </c>
      <c r="BC791" s="25">
        <f t="shared" ca="1" si="663"/>
        <v>0</v>
      </c>
      <c r="BD791" s="24" t="b">
        <f t="shared" ca="1" si="664"/>
        <v>1</v>
      </c>
      <c r="BE791" s="24" t="b">
        <f t="shared" ca="1" si="665"/>
        <v>1</v>
      </c>
      <c r="BF791" s="23">
        <f t="array" aca="1" ref="BF791" ca="1">SUM(IF(BD791,1,0)*IF(ap_start_date&lt;=AO791,1,0)*IF(ap_end_date&gt;=AO791,1,0)*ap_amount*(1+ap_escalation/100)^(INT((AP791-ap_months_since_start)/12))*IF(MOD(AP791-ap_months_since_start,ap_frequency)=0,1,0))</f>
        <v>290983.50210485992</v>
      </c>
      <c r="BG791" s="24">
        <f t="shared" ca="1" si="666"/>
        <v>3491802.0252583181</v>
      </c>
      <c r="BH791" s="24">
        <f t="shared" ca="1" si="667"/>
        <v>351.98571738664185</v>
      </c>
      <c r="BI791">
        <f t="shared" ca="1" si="668"/>
        <v>0</v>
      </c>
      <c r="BJ791" s="24">
        <f t="shared" ca="1" si="669"/>
        <v>2463.9000217064927</v>
      </c>
      <c r="BK791">
        <f t="shared" ca="1" si="670"/>
        <v>1</v>
      </c>
      <c r="BL791" s="25">
        <f t="shared" ca="1" si="671"/>
        <v>205.32500180887445</v>
      </c>
      <c r="BM791" s="32">
        <f t="shared" ca="1" si="650"/>
        <v>13545.133067154133</v>
      </c>
      <c r="BN791" s="23">
        <f t="shared" ca="1" si="672"/>
        <v>0</v>
      </c>
      <c r="BO791" s="24">
        <f t="shared" ca="1" si="673"/>
        <v>0</v>
      </c>
      <c r="BP791" s="25">
        <f t="shared" ca="1" si="674"/>
        <v>0</v>
      </c>
      <c r="BQ791" s="34">
        <f t="shared" ca="1" si="675"/>
        <v>69488</v>
      </c>
      <c r="BR791" s="23">
        <f t="shared" ca="1" si="676"/>
        <v>13545.133067154133</v>
      </c>
      <c r="BS791" s="24">
        <f t="shared" ca="1" si="677"/>
        <v>0</v>
      </c>
      <c r="BT791" s="24">
        <f t="shared" ca="1" si="682"/>
        <v>0</v>
      </c>
      <c r="BU791" s="24">
        <f t="shared" ca="1" si="678"/>
        <v>0</v>
      </c>
      <c r="BV791" s="24">
        <f t="shared" ca="1" si="683"/>
        <v>0</v>
      </c>
      <c r="BW791" s="24">
        <f t="shared" ca="1" si="679"/>
        <v>-205.32500180887445</v>
      </c>
      <c r="BX791" s="25">
        <f t="shared" ca="1" si="684"/>
        <v>-2612.0044947299548</v>
      </c>
      <c r="BY791" s="23">
        <f t="shared" ca="1" si="651"/>
        <v>1044.5721477143843</v>
      </c>
      <c r="BZ791" s="24">
        <f t="shared" ca="1" si="652"/>
        <v>0</v>
      </c>
      <c r="CA791" s="24">
        <f t="shared" ca="1" si="685"/>
        <v>0</v>
      </c>
      <c r="CB791" s="24">
        <f t="shared" ca="1" si="653"/>
        <v>0</v>
      </c>
      <c r="CC791" s="24">
        <f t="shared" ca="1" si="686"/>
        <v>0</v>
      </c>
      <c r="CD791" s="24">
        <f t="shared" ca="1" si="654"/>
        <v>-15.886069056171431</v>
      </c>
      <c r="CE791" s="25">
        <f t="shared" ca="1" si="687"/>
        <v>-205.86573139992834</v>
      </c>
      <c r="CF791" s="23">
        <f t="shared" ca="1" si="688"/>
        <v>3413460.313153164</v>
      </c>
      <c r="CG791" s="25">
        <f t="array" aca="1" ref="CG791" ca="1">SUM(BF780:BF791/(1+inflation/100)^(AP780:AP791/12))</f>
        <v>267980.53702225385</v>
      </c>
      <c r="CH791" s="32">
        <f ca="1">IFERROR(IF(MOD(AP791-ap_months_since_start,12)=0,ap_drawdown/100*(AQ791+AV791+BA791-BC791),CH790),0)</f>
        <v>2163.9254275849162</v>
      </c>
    </row>
    <row r="792" spans="40:86" x14ac:dyDescent="0.25">
      <c r="AN792" s="32">
        <f t="shared" ca="1" si="649"/>
        <v>120.25</v>
      </c>
      <c r="AO792" s="53">
        <f t="shared" ca="1" si="680"/>
        <v>69489</v>
      </c>
      <c r="AP792" s="22">
        <v>785</v>
      </c>
      <c r="AQ792" s="32">
        <f t="shared" ca="1" si="681"/>
        <v>13545.133067154133</v>
      </c>
      <c r="AR792" s="23">
        <f t="array" aca="1" ref="AR792" ca="1">SUM(IF(lsc_start_date=AO792,lsc_amount,0))</f>
        <v>0</v>
      </c>
      <c r="AS792" s="24">
        <f t="shared" ca="1" si="655"/>
        <v>0</v>
      </c>
      <c r="AT792" s="24">
        <f t="shared" ca="1" si="656"/>
        <v>0</v>
      </c>
      <c r="AU792" s="24">
        <f t="shared" ca="1" si="657"/>
        <v>0</v>
      </c>
      <c r="AV792" s="25">
        <f t="shared" ca="1" si="658"/>
        <v>0</v>
      </c>
      <c r="AW792" s="23">
        <f t="array" aca="1" ref="AW792" ca="1">SUM(IF(rcs_start_date&lt;=AO792,1,0)*IF(rcs_end_date&gt;=AO792,1,0)*rcs_amount*(1+rcs_escalation/100)^(INT((AP792-rcs_months_since_start)/12))*IF(MOD((AP792-rcs_months_since_start),rcs_frequency)=0,1,0)*IF(rcs_frequency=13,0,1))+SUM(IF(rcs_start_date=AO792,rcs_amount,0)*IF(rcs_frequency=13,1,0))</f>
        <v>0</v>
      </c>
      <c r="AX792" s="24">
        <f t="shared" ca="1" si="659"/>
        <v>0</v>
      </c>
      <c r="AY792" s="24">
        <f t="shared" ca="1" si="660"/>
        <v>0</v>
      </c>
      <c r="AZ792" s="24">
        <f t="shared" ca="1" si="661"/>
        <v>0</v>
      </c>
      <c r="BA792" s="25">
        <f t="shared" ca="1" si="662"/>
        <v>0</v>
      </c>
      <c r="BB792" s="23">
        <f t="array" aca="1" ref="BB792" ca="1">SUM(IF(w_start_date&lt;=AO792,1,0)*IF(w_end_date&gt;=AO792,1,0)*w_amount*(1+w_escalation/100)^(INT((AP792-w_months_since_start)/12))*IF(MOD(AP792-w_months_since_start,w_frequency)=0,1,0)*IF(w_frequency=13,0,1))+SUM(IF(w_start_date=AO792,w_amount,0)*IF(w_frequency=13,1,0))</f>
        <v>0</v>
      </c>
      <c r="BC792" s="25">
        <f t="shared" ca="1" si="663"/>
        <v>0</v>
      </c>
      <c r="BD792" s="24" t="b">
        <f t="shared" ca="1" si="664"/>
        <v>1</v>
      </c>
      <c r="BE792" s="24" t="b">
        <f t="shared" ca="1" si="665"/>
        <v>1</v>
      </c>
      <c r="BF792" s="23">
        <f t="array" aca="1" ref="BF792" ca="1">SUM(IF(BD792,1,0)*IF(ap_start_date&lt;=AO792,1,0)*IF(ap_end_date&gt;=AO792,1,0)*ap_amount*(1+ap_escalation/100)^(INT((AP792-ap_months_since_start)/12))*IF(MOD(AP792-ap_months_since_start,ap_frequency)=0,1,0))</f>
        <v>290983.50210485992</v>
      </c>
      <c r="BG792" s="24">
        <f t="shared" ca="1" si="666"/>
        <v>3491802.0252583181</v>
      </c>
      <c r="BH792" s="24">
        <f t="shared" ca="1" si="667"/>
        <v>351.98571738664185</v>
      </c>
      <c r="BI792">
        <f t="shared" ca="1" si="668"/>
        <v>0</v>
      </c>
      <c r="BJ792" s="24">
        <f t="shared" ca="1" si="669"/>
        <v>2463.9000217064927</v>
      </c>
      <c r="BK792">
        <f t="shared" ca="1" si="670"/>
        <v>1</v>
      </c>
      <c r="BL792" s="25">
        <f t="shared" ca="1" si="671"/>
        <v>205.32500180887445</v>
      </c>
      <c r="BM792" s="32">
        <f t="shared" ca="1" si="650"/>
        <v>13435.952375047409</v>
      </c>
      <c r="BN792" s="23">
        <f t="shared" ca="1" si="672"/>
        <v>0</v>
      </c>
      <c r="BO792" s="24">
        <f t="shared" ca="1" si="673"/>
        <v>0</v>
      </c>
      <c r="BP792" s="25">
        <f t="shared" ca="1" si="674"/>
        <v>0</v>
      </c>
      <c r="BQ792" s="34">
        <f t="shared" ca="1" si="675"/>
        <v>69518</v>
      </c>
      <c r="BR792" s="23">
        <f t="shared" ca="1" si="676"/>
        <v>13435.952375047409</v>
      </c>
      <c r="BS792" s="24">
        <f t="shared" ca="1" si="677"/>
        <v>0</v>
      </c>
      <c r="BT792" s="24">
        <f t="shared" ca="1" si="682"/>
        <v>0</v>
      </c>
      <c r="BU792" s="24">
        <f t="shared" ca="1" si="678"/>
        <v>0</v>
      </c>
      <c r="BV792" s="24">
        <f t="shared" ca="1" si="683"/>
        <v>0</v>
      </c>
      <c r="BW792" s="24">
        <f t="shared" ca="1" si="679"/>
        <v>-205.32500180887445</v>
      </c>
      <c r="BX792" s="25">
        <f t="shared" ca="1" si="684"/>
        <v>-2590.8467128694601</v>
      </c>
      <c r="BY792" s="23">
        <f t="shared" ca="1" si="651"/>
        <v>1032.7713379649315</v>
      </c>
      <c r="BZ792" s="24">
        <f t="shared" ca="1" si="652"/>
        <v>0</v>
      </c>
      <c r="CA792" s="24">
        <f t="shared" ca="1" si="685"/>
        <v>0</v>
      </c>
      <c r="CB792" s="24">
        <f t="shared" ca="1" si="653"/>
        <v>0</v>
      </c>
      <c r="CC792" s="24">
        <f t="shared" ca="1" si="686"/>
        <v>0</v>
      </c>
      <c r="CD792" s="24">
        <f t="shared" ca="1" si="654"/>
        <v>-15.834231901275661</v>
      </c>
      <c r="CE792" s="25">
        <f t="shared" ca="1" si="687"/>
        <v>-203.53545278304691</v>
      </c>
      <c r="CF792" s="23">
        <f t="shared" ca="1" si="688"/>
        <v>3424651.9863110431</v>
      </c>
      <c r="CG792" s="25">
        <f t="array" aca="1" ref="CG792" ca="1">SUM(BF781:BF792/(1+inflation/100)^(AP781:AP792/12))</f>
        <v>267980.53702225391</v>
      </c>
      <c r="CH792" s="32">
        <f ca="1">IFERROR(IF(MOD(AP792-ap_months_since_start,12)=0,ap_drawdown/100*(AQ792+AV792+BA792-BC792),CH791),0)</f>
        <v>2163.9254275849162</v>
      </c>
    </row>
    <row r="793" spans="40:86" x14ac:dyDescent="0.25">
      <c r="AN793" s="32">
        <f t="shared" ca="1" si="649"/>
        <v>120.33333333333333</v>
      </c>
      <c r="AO793" s="53">
        <f t="shared" ca="1" si="680"/>
        <v>69519</v>
      </c>
      <c r="AP793" s="22">
        <v>786</v>
      </c>
      <c r="AQ793" s="32">
        <f t="shared" ca="1" si="681"/>
        <v>13435.952375047409</v>
      </c>
      <c r="AR793" s="23">
        <f t="array" aca="1" ref="AR793" ca="1">SUM(IF(lsc_start_date=AO793,lsc_amount,0))</f>
        <v>0</v>
      </c>
      <c r="AS793" s="24">
        <f t="shared" ca="1" si="655"/>
        <v>0</v>
      </c>
      <c r="AT793" s="24">
        <f t="shared" ca="1" si="656"/>
        <v>0</v>
      </c>
      <c r="AU793" s="24">
        <f t="shared" ca="1" si="657"/>
        <v>0</v>
      </c>
      <c r="AV793" s="25">
        <f t="shared" ca="1" si="658"/>
        <v>0</v>
      </c>
      <c r="AW793" s="23">
        <f t="array" aca="1" ref="AW793" ca="1">SUM(IF(rcs_start_date&lt;=AO793,1,0)*IF(rcs_end_date&gt;=AO793,1,0)*rcs_amount*(1+rcs_escalation/100)^(INT((AP793-rcs_months_since_start)/12))*IF(MOD((AP793-rcs_months_since_start),rcs_frequency)=0,1,0)*IF(rcs_frequency=13,0,1))+SUM(IF(rcs_start_date=AO793,rcs_amount,0)*IF(rcs_frequency=13,1,0))</f>
        <v>0</v>
      </c>
      <c r="AX793" s="24">
        <f t="shared" ca="1" si="659"/>
        <v>0</v>
      </c>
      <c r="AY793" s="24">
        <f t="shared" ca="1" si="660"/>
        <v>0</v>
      </c>
      <c r="AZ793" s="24">
        <f t="shared" ca="1" si="661"/>
        <v>0</v>
      </c>
      <c r="BA793" s="25">
        <f t="shared" ca="1" si="662"/>
        <v>0</v>
      </c>
      <c r="BB793" s="23">
        <f t="array" aca="1" ref="BB793" ca="1">SUM(IF(w_start_date&lt;=AO793,1,0)*IF(w_end_date&gt;=AO793,1,0)*w_amount*(1+w_escalation/100)^(INT((AP793-w_months_since_start)/12))*IF(MOD(AP793-w_months_since_start,w_frequency)=0,1,0)*IF(w_frequency=13,0,1))+SUM(IF(w_start_date=AO793,w_amount,0)*IF(w_frequency=13,1,0))</f>
        <v>0</v>
      </c>
      <c r="BC793" s="25">
        <f t="shared" ca="1" si="663"/>
        <v>0</v>
      </c>
      <c r="BD793" s="24" t="b">
        <f t="shared" ca="1" si="664"/>
        <v>1</v>
      </c>
      <c r="BE793" s="24" t="b">
        <f t="shared" ca="1" si="665"/>
        <v>1</v>
      </c>
      <c r="BF793" s="23">
        <f t="array" aca="1" ref="BF793" ca="1">SUM(IF(BD793,1,0)*IF(ap_start_date&lt;=AO793,1,0)*IF(ap_end_date&gt;=AO793,1,0)*ap_amount*(1+ap_escalation/100)^(INT((AP793-ap_months_since_start)/12))*IF(MOD(AP793-ap_months_since_start,ap_frequency)=0,1,0))</f>
        <v>290983.50210485992</v>
      </c>
      <c r="BG793" s="24">
        <f t="shared" ca="1" si="666"/>
        <v>3491802.0252583181</v>
      </c>
      <c r="BH793" s="24">
        <f t="shared" ca="1" si="667"/>
        <v>351.98571738664185</v>
      </c>
      <c r="BI793">
        <f t="shared" ca="1" si="668"/>
        <v>0</v>
      </c>
      <c r="BJ793" s="24">
        <f t="shared" ca="1" si="669"/>
        <v>2463.9000217064927</v>
      </c>
      <c r="BK793">
        <f t="shared" ca="1" si="670"/>
        <v>1</v>
      </c>
      <c r="BL793" s="25">
        <f t="shared" ca="1" si="671"/>
        <v>205.32500180887445</v>
      </c>
      <c r="BM793" s="32">
        <f t="shared" ca="1" si="650"/>
        <v>13325.984782392794</v>
      </c>
      <c r="BN793" s="23">
        <f t="shared" ca="1" si="672"/>
        <v>0</v>
      </c>
      <c r="BO793" s="24">
        <f t="shared" ca="1" si="673"/>
        <v>0</v>
      </c>
      <c r="BP793" s="25">
        <f t="shared" ca="1" si="674"/>
        <v>0</v>
      </c>
      <c r="BQ793" s="34">
        <f t="shared" ca="1" si="675"/>
        <v>69549</v>
      </c>
      <c r="BR793" s="23">
        <f t="shared" ca="1" si="676"/>
        <v>13325.984782392794</v>
      </c>
      <c r="BS793" s="24">
        <f t="shared" ca="1" si="677"/>
        <v>0</v>
      </c>
      <c r="BT793" s="24">
        <f t="shared" ca="1" si="682"/>
        <v>0</v>
      </c>
      <c r="BU793" s="24">
        <f t="shared" ca="1" si="678"/>
        <v>0</v>
      </c>
      <c r="BV793" s="24">
        <f t="shared" ca="1" si="683"/>
        <v>0</v>
      </c>
      <c r="BW793" s="24">
        <f t="shared" ca="1" si="679"/>
        <v>-205.32500180887445</v>
      </c>
      <c r="BX793" s="25">
        <f t="shared" ca="1" si="684"/>
        <v>-2569.6889310089659</v>
      </c>
      <c r="BY793" s="23">
        <f t="shared" ca="1" si="651"/>
        <v>1020.9761307984813</v>
      </c>
      <c r="BZ793" s="24">
        <f t="shared" ca="1" si="652"/>
        <v>0</v>
      </c>
      <c r="CA793" s="24">
        <f t="shared" ca="1" si="685"/>
        <v>0</v>
      </c>
      <c r="CB793" s="24">
        <f t="shared" ca="1" si="653"/>
        <v>0</v>
      </c>
      <c r="CC793" s="24">
        <f t="shared" ca="1" si="686"/>
        <v>0</v>
      </c>
      <c r="CD793" s="24">
        <f t="shared" ca="1" si="654"/>
        <v>-15.782563893990806</v>
      </c>
      <c r="CE793" s="25">
        <f t="shared" ca="1" si="687"/>
        <v>-201.2127779990071</v>
      </c>
      <c r="CF793" s="23">
        <f t="shared" ca="1" si="688"/>
        <v>3435843.6594689223</v>
      </c>
      <c r="CG793" s="25">
        <f t="array" aca="1" ref="CG793" ca="1">SUM(BF782:BF793/(1+inflation/100)^(AP782:AP793/12))</f>
        <v>267980.53702225385</v>
      </c>
      <c r="CH793" s="32">
        <f ca="1">IFERROR(IF(MOD(AP793-ap_months_since_start,12)=0,ap_drawdown/100*(AQ793+AV793+BA793-BC793),CH792),0)</f>
        <v>2163.9254275849162</v>
      </c>
    </row>
    <row r="794" spans="40:86" x14ac:dyDescent="0.25">
      <c r="AN794" s="32">
        <f t="shared" ca="1" si="649"/>
        <v>120.41666666666667</v>
      </c>
      <c r="AO794" s="53">
        <f t="shared" ca="1" si="680"/>
        <v>69550</v>
      </c>
      <c r="AP794" s="22">
        <v>787</v>
      </c>
      <c r="AQ794" s="32">
        <f t="shared" ca="1" si="681"/>
        <v>13325.984782392794</v>
      </c>
      <c r="AR794" s="23">
        <f t="array" aca="1" ref="AR794" ca="1">SUM(IF(lsc_start_date=AO794,lsc_amount,0))</f>
        <v>0</v>
      </c>
      <c r="AS794" s="24">
        <f t="shared" ca="1" si="655"/>
        <v>0</v>
      </c>
      <c r="AT794" s="24">
        <f t="shared" ca="1" si="656"/>
        <v>0</v>
      </c>
      <c r="AU794" s="24">
        <f t="shared" ca="1" si="657"/>
        <v>0</v>
      </c>
      <c r="AV794" s="25">
        <f t="shared" ca="1" si="658"/>
        <v>0</v>
      </c>
      <c r="AW794" s="23">
        <f t="array" aca="1" ref="AW794" ca="1">SUM(IF(rcs_start_date&lt;=AO794,1,0)*IF(rcs_end_date&gt;=AO794,1,0)*rcs_amount*(1+rcs_escalation/100)^(INT((AP794-rcs_months_since_start)/12))*IF(MOD((AP794-rcs_months_since_start),rcs_frequency)=0,1,0)*IF(rcs_frequency=13,0,1))+SUM(IF(rcs_start_date=AO794,rcs_amount,0)*IF(rcs_frequency=13,1,0))</f>
        <v>0</v>
      </c>
      <c r="AX794" s="24">
        <f t="shared" ca="1" si="659"/>
        <v>0</v>
      </c>
      <c r="AY794" s="24">
        <f t="shared" ca="1" si="660"/>
        <v>0</v>
      </c>
      <c r="AZ794" s="24">
        <f t="shared" ca="1" si="661"/>
        <v>0</v>
      </c>
      <c r="BA794" s="25">
        <f t="shared" ca="1" si="662"/>
        <v>0</v>
      </c>
      <c r="BB794" s="23">
        <f t="array" aca="1" ref="BB794" ca="1">SUM(IF(w_start_date&lt;=AO794,1,0)*IF(w_end_date&gt;=AO794,1,0)*w_amount*(1+w_escalation/100)^(INT((AP794-w_months_since_start)/12))*IF(MOD(AP794-w_months_since_start,w_frequency)=0,1,0)*IF(w_frequency=13,0,1))+SUM(IF(w_start_date=AO794,w_amount,0)*IF(w_frequency=13,1,0))</f>
        <v>0</v>
      </c>
      <c r="BC794" s="25">
        <f t="shared" ca="1" si="663"/>
        <v>0</v>
      </c>
      <c r="BD794" s="24" t="b">
        <f t="shared" ca="1" si="664"/>
        <v>1</v>
      </c>
      <c r="BE794" s="24" t="b">
        <f t="shared" ca="1" si="665"/>
        <v>1</v>
      </c>
      <c r="BF794" s="23">
        <f t="array" aca="1" ref="BF794" ca="1">SUM(IF(BD794,1,0)*IF(ap_start_date&lt;=AO794,1,0)*IF(ap_end_date&gt;=AO794,1,0)*ap_amount*(1+ap_escalation/100)^(INT((AP794-ap_months_since_start)/12))*IF(MOD(AP794-ap_months_since_start,ap_frequency)=0,1,0))</f>
        <v>290983.50210485992</v>
      </c>
      <c r="BG794" s="24">
        <f t="shared" ca="1" si="666"/>
        <v>3491802.0252583181</v>
      </c>
      <c r="BH794" s="24">
        <f t="shared" ca="1" si="667"/>
        <v>351.98571738664185</v>
      </c>
      <c r="BI794">
        <f t="shared" ca="1" si="668"/>
        <v>0</v>
      </c>
      <c r="BJ794" s="24">
        <f t="shared" ca="1" si="669"/>
        <v>2463.9000217064927</v>
      </c>
      <c r="BK794">
        <f t="shared" ca="1" si="670"/>
        <v>1</v>
      </c>
      <c r="BL794" s="25">
        <f t="shared" ca="1" si="671"/>
        <v>205.32500180887445</v>
      </c>
      <c r="BM794" s="32">
        <f t="shared" ca="1" si="650"/>
        <v>13215.224617743619</v>
      </c>
      <c r="BN794" s="23">
        <f t="shared" ca="1" si="672"/>
        <v>0</v>
      </c>
      <c r="BO794" s="24">
        <f t="shared" ca="1" si="673"/>
        <v>0</v>
      </c>
      <c r="BP794" s="25">
        <f t="shared" ca="1" si="674"/>
        <v>0</v>
      </c>
      <c r="BQ794" s="34">
        <f t="shared" ca="1" si="675"/>
        <v>69579</v>
      </c>
      <c r="BR794" s="23">
        <f t="shared" ca="1" si="676"/>
        <v>13215.224617743619</v>
      </c>
      <c r="BS794" s="24">
        <f t="shared" ca="1" si="677"/>
        <v>0</v>
      </c>
      <c r="BT794" s="24">
        <f t="shared" ca="1" si="682"/>
        <v>0</v>
      </c>
      <c r="BU794" s="24">
        <f t="shared" ca="1" si="678"/>
        <v>0</v>
      </c>
      <c r="BV794" s="24">
        <f t="shared" ca="1" si="683"/>
        <v>0</v>
      </c>
      <c r="BW794" s="24">
        <f t="shared" ca="1" si="679"/>
        <v>-205.32500180887445</v>
      </c>
      <c r="BX794" s="25">
        <f t="shared" ca="1" si="684"/>
        <v>-2548.5311491484713</v>
      </c>
      <c r="BY794" s="23">
        <f t="shared" ca="1" si="651"/>
        <v>1009.1863789246556</v>
      </c>
      <c r="BZ794" s="24">
        <f t="shared" ca="1" si="652"/>
        <v>0</v>
      </c>
      <c r="CA794" s="24">
        <f t="shared" ca="1" si="685"/>
        <v>0</v>
      </c>
      <c r="CB794" s="24">
        <f t="shared" ca="1" si="653"/>
        <v>0</v>
      </c>
      <c r="CC794" s="24">
        <f t="shared" ca="1" si="686"/>
        <v>0</v>
      </c>
      <c r="CD794" s="24">
        <f t="shared" ca="1" si="654"/>
        <v>-15.73106448237851</v>
      </c>
      <c r="CE794" s="25">
        <f t="shared" ca="1" si="687"/>
        <v>-198.89768223606603</v>
      </c>
      <c r="CF794" s="23">
        <f t="shared" ca="1" si="688"/>
        <v>3447035.3326268014</v>
      </c>
      <c r="CG794" s="25">
        <f t="array" aca="1" ref="CG794" ca="1">SUM(BF783:BF794/(1+inflation/100)^(AP783:AP794/12))</f>
        <v>267980.53702225391</v>
      </c>
      <c r="CH794" s="32">
        <f ca="1">IFERROR(IF(MOD(AP794-ap_months_since_start,12)=0,ap_drawdown/100*(AQ794+AV794+BA794-BC794),CH793),0)</f>
        <v>2163.9254275849162</v>
      </c>
    </row>
    <row r="795" spans="40:86" x14ac:dyDescent="0.25">
      <c r="AN795" s="32">
        <f t="shared" ca="1" si="649"/>
        <v>120.5</v>
      </c>
      <c r="AO795" s="53">
        <f t="shared" ca="1" si="680"/>
        <v>69580</v>
      </c>
      <c r="AP795" s="22">
        <v>788</v>
      </c>
      <c r="AQ795" s="32">
        <f t="shared" ca="1" si="681"/>
        <v>13215.224617743619</v>
      </c>
      <c r="AR795" s="23">
        <f t="array" aca="1" ref="AR795" ca="1">SUM(IF(lsc_start_date=AO795,lsc_amount,0))</f>
        <v>0</v>
      </c>
      <c r="AS795" s="24">
        <f t="shared" ca="1" si="655"/>
        <v>0</v>
      </c>
      <c r="AT795" s="24">
        <f t="shared" ca="1" si="656"/>
        <v>0</v>
      </c>
      <c r="AU795" s="24">
        <f t="shared" ca="1" si="657"/>
        <v>0</v>
      </c>
      <c r="AV795" s="25">
        <f t="shared" ca="1" si="658"/>
        <v>0</v>
      </c>
      <c r="AW795" s="23">
        <f t="array" aca="1" ref="AW795" ca="1">SUM(IF(rcs_start_date&lt;=AO795,1,0)*IF(rcs_end_date&gt;=AO795,1,0)*rcs_amount*(1+rcs_escalation/100)^(INT((AP795-rcs_months_since_start)/12))*IF(MOD((AP795-rcs_months_since_start),rcs_frequency)=0,1,0)*IF(rcs_frequency=13,0,1))+SUM(IF(rcs_start_date=AO795,rcs_amount,0)*IF(rcs_frequency=13,1,0))</f>
        <v>0</v>
      </c>
      <c r="AX795" s="24">
        <f t="shared" ca="1" si="659"/>
        <v>0</v>
      </c>
      <c r="AY795" s="24">
        <f t="shared" ca="1" si="660"/>
        <v>0</v>
      </c>
      <c r="AZ795" s="24">
        <f t="shared" ca="1" si="661"/>
        <v>0</v>
      </c>
      <c r="BA795" s="25">
        <f t="shared" ca="1" si="662"/>
        <v>0</v>
      </c>
      <c r="BB795" s="23">
        <f t="array" aca="1" ref="BB795" ca="1">SUM(IF(w_start_date&lt;=AO795,1,0)*IF(w_end_date&gt;=AO795,1,0)*w_amount*(1+w_escalation/100)^(INT((AP795-w_months_since_start)/12))*IF(MOD(AP795-w_months_since_start,w_frequency)=0,1,0)*IF(w_frequency=13,0,1))+SUM(IF(w_start_date=AO795,w_amount,0)*IF(w_frequency=13,1,0))</f>
        <v>0</v>
      </c>
      <c r="BC795" s="25">
        <f t="shared" ca="1" si="663"/>
        <v>0</v>
      </c>
      <c r="BD795" s="24" t="b">
        <f t="shared" ca="1" si="664"/>
        <v>1</v>
      </c>
      <c r="BE795" s="24" t="b">
        <f t="shared" ca="1" si="665"/>
        <v>1</v>
      </c>
      <c r="BF795" s="23">
        <f t="array" aca="1" ref="BF795" ca="1">SUM(IF(BD795,1,0)*IF(ap_start_date&lt;=AO795,1,0)*IF(ap_end_date&gt;=AO795,1,0)*ap_amount*(1+ap_escalation/100)^(INT((AP795-ap_months_since_start)/12))*IF(MOD(AP795-ap_months_since_start,ap_frequency)=0,1,0))</f>
        <v>290983.50210485992</v>
      </c>
      <c r="BG795" s="24">
        <f t="shared" ca="1" si="666"/>
        <v>3491802.0252583181</v>
      </c>
      <c r="BH795" s="24">
        <f t="shared" ca="1" si="667"/>
        <v>351.98571738664185</v>
      </c>
      <c r="BI795">
        <f t="shared" ca="1" si="668"/>
        <v>0</v>
      </c>
      <c r="BJ795" s="24">
        <f t="shared" ca="1" si="669"/>
        <v>2463.9000217064927</v>
      </c>
      <c r="BK795">
        <f t="shared" ca="1" si="670"/>
        <v>1</v>
      </c>
      <c r="BL795" s="25">
        <f t="shared" ca="1" si="671"/>
        <v>205.32500180887445</v>
      </c>
      <c r="BM795" s="32">
        <f t="shared" ca="1" si="650"/>
        <v>13103.666168777268</v>
      </c>
      <c r="BN795" s="23">
        <f t="shared" ca="1" si="672"/>
        <v>0</v>
      </c>
      <c r="BO795" s="24">
        <f t="shared" ca="1" si="673"/>
        <v>0</v>
      </c>
      <c r="BP795" s="25">
        <f t="shared" ca="1" si="674"/>
        <v>0</v>
      </c>
      <c r="BQ795" s="34">
        <f t="shared" ca="1" si="675"/>
        <v>69610</v>
      </c>
      <c r="BR795" s="23">
        <f t="shared" ca="1" si="676"/>
        <v>13103.666168777268</v>
      </c>
      <c r="BS795" s="24">
        <f t="shared" ca="1" si="677"/>
        <v>0</v>
      </c>
      <c r="BT795" s="24">
        <f t="shared" ca="1" si="682"/>
        <v>0</v>
      </c>
      <c r="BU795" s="24">
        <f t="shared" ca="1" si="678"/>
        <v>0</v>
      </c>
      <c r="BV795" s="24">
        <f t="shared" ca="1" si="683"/>
        <v>0</v>
      </c>
      <c r="BW795" s="24">
        <f t="shared" ca="1" si="679"/>
        <v>-205.32500180887445</v>
      </c>
      <c r="BX795" s="25">
        <f t="shared" ca="1" si="684"/>
        <v>-2527.3733672879766</v>
      </c>
      <c r="BY795" s="23">
        <f t="shared" ca="1" si="651"/>
        <v>997.4019350278819</v>
      </c>
      <c r="BZ795" s="24">
        <f t="shared" ca="1" si="652"/>
        <v>0</v>
      </c>
      <c r="CA795" s="24">
        <f t="shared" ca="1" si="685"/>
        <v>0</v>
      </c>
      <c r="CB795" s="24">
        <f t="shared" ca="1" si="653"/>
        <v>0</v>
      </c>
      <c r="CC795" s="24">
        <f t="shared" ca="1" si="686"/>
        <v>0</v>
      </c>
      <c r="CD795" s="24">
        <f t="shared" ca="1" si="654"/>
        <v>-15.679733116301419</v>
      </c>
      <c r="CE795" s="25">
        <f t="shared" ca="1" si="687"/>
        <v>-196.59014076344295</v>
      </c>
      <c r="CF795" s="23">
        <f t="shared" ca="1" si="688"/>
        <v>3458227.0057846806</v>
      </c>
      <c r="CG795" s="25">
        <f t="array" aca="1" ref="CG795" ca="1">SUM(BF784:BF795/(1+inflation/100)^(AP784:AP795/12))</f>
        <v>267980.53702225391</v>
      </c>
      <c r="CH795" s="32">
        <f ca="1">IFERROR(IF(MOD(AP795-ap_months_since_start,12)=0,ap_drawdown/100*(AQ795+AV795+BA795-BC795),CH794),0)</f>
        <v>2163.9254275849162</v>
      </c>
    </row>
    <row r="796" spans="40:86" x14ac:dyDescent="0.25">
      <c r="AN796" s="32">
        <f t="shared" ca="1" si="649"/>
        <v>120.58333333333333</v>
      </c>
      <c r="AO796" s="53">
        <f t="shared" ca="1" si="680"/>
        <v>69611</v>
      </c>
      <c r="AP796" s="22">
        <v>789</v>
      </c>
      <c r="AQ796" s="32">
        <f t="shared" ca="1" si="681"/>
        <v>13103.666168777268</v>
      </c>
      <c r="AR796" s="23">
        <f t="array" aca="1" ref="AR796" ca="1">SUM(IF(lsc_start_date=AO796,lsc_amount,0))</f>
        <v>0</v>
      </c>
      <c r="AS796" s="24">
        <f t="shared" ca="1" si="655"/>
        <v>0</v>
      </c>
      <c r="AT796" s="24">
        <f t="shared" ca="1" si="656"/>
        <v>0</v>
      </c>
      <c r="AU796" s="24">
        <f t="shared" ca="1" si="657"/>
        <v>0</v>
      </c>
      <c r="AV796" s="25">
        <f t="shared" ca="1" si="658"/>
        <v>0</v>
      </c>
      <c r="AW796" s="23">
        <f t="array" aca="1" ref="AW796" ca="1">SUM(IF(rcs_start_date&lt;=AO796,1,0)*IF(rcs_end_date&gt;=AO796,1,0)*rcs_amount*(1+rcs_escalation/100)^(INT((AP796-rcs_months_since_start)/12))*IF(MOD((AP796-rcs_months_since_start),rcs_frequency)=0,1,0)*IF(rcs_frequency=13,0,1))+SUM(IF(rcs_start_date=AO796,rcs_amount,0)*IF(rcs_frequency=13,1,0))</f>
        <v>0</v>
      </c>
      <c r="AX796" s="24">
        <f t="shared" ca="1" si="659"/>
        <v>0</v>
      </c>
      <c r="AY796" s="24">
        <f t="shared" ca="1" si="660"/>
        <v>0</v>
      </c>
      <c r="AZ796" s="24">
        <f t="shared" ca="1" si="661"/>
        <v>0</v>
      </c>
      <c r="BA796" s="25">
        <f t="shared" ca="1" si="662"/>
        <v>0</v>
      </c>
      <c r="BB796" s="23">
        <f t="array" aca="1" ref="BB796" ca="1">SUM(IF(w_start_date&lt;=AO796,1,0)*IF(w_end_date&gt;=AO796,1,0)*w_amount*(1+w_escalation/100)^(INT((AP796-w_months_since_start)/12))*IF(MOD(AP796-w_months_since_start,w_frequency)=0,1,0)*IF(w_frequency=13,0,1))+SUM(IF(w_start_date=AO796,w_amount,0)*IF(w_frequency=13,1,0))</f>
        <v>0</v>
      </c>
      <c r="BC796" s="25">
        <f t="shared" ca="1" si="663"/>
        <v>0</v>
      </c>
      <c r="BD796" s="24" t="b">
        <f t="shared" ca="1" si="664"/>
        <v>1</v>
      </c>
      <c r="BE796" s="24" t="b">
        <f t="shared" ca="1" si="665"/>
        <v>1</v>
      </c>
      <c r="BF796" s="23">
        <f t="array" aca="1" ref="BF796" ca="1">SUM(IF(BD796,1,0)*IF(ap_start_date&lt;=AO796,1,0)*IF(ap_end_date&gt;=AO796,1,0)*ap_amount*(1+ap_escalation/100)^(INT((AP796-ap_months_since_start)/12))*IF(MOD(AP796-ap_months_since_start,ap_frequency)=0,1,0))</f>
        <v>290983.50210485992</v>
      </c>
      <c r="BG796" s="24">
        <f t="shared" ca="1" si="666"/>
        <v>3491802.0252583181</v>
      </c>
      <c r="BH796" s="24">
        <f t="shared" ca="1" si="667"/>
        <v>351.98571738664185</v>
      </c>
      <c r="BI796">
        <f t="shared" ca="1" si="668"/>
        <v>0</v>
      </c>
      <c r="BJ796" s="24">
        <f t="shared" ca="1" si="669"/>
        <v>2463.9000217064927</v>
      </c>
      <c r="BK796">
        <f t="shared" ca="1" si="670"/>
        <v>1</v>
      </c>
      <c r="BL796" s="25">
        <f t="shared" ca="1" si="671"/>
        <v>205.32500180887445</v>
      </c>
      <c r="BM796" s="32">
        <f t="shared" ca="1" si="650"/>
        <v>12991.303682000571</v>
      </c>
      <c r="BN796" s="23">
        <f t="shared" ca="1" si="672"/>
        <v>0</v>
      </c>
      <c r="BO796" s="24">
        <f t="shared" ca="1" si="673"/>
        <v>0</v>
      </c>
      <c r="BP796" s="25">
        <f t="shared" ca="1" si="674"/>
        <v>0</v>
      </c>
      <c r="BQ796" s="34">
        <f t="shared" ca="1" si="675"/>
        <v>69641</v>
      </c>
      <c r="BR796" s="23">
        <f t="shared" ca="1" si="676"/>
        <v>12991.303682000571</v>
      </c>
      <c r="BS796" s="24">
        <f t="shared" ca="1" si="677"/>
        <v>0</v>
      </c>
      <c r="BT796" s="24">
        <f t="shared" ca="1" si="682"/>
        <v>0</v>
      </c>
      <c r="BU796" s="24">
        <f t="shared" ca="1" si="678"/>
        <v>0</v>
      </c>
      <c r="BV796" s="24">
        <f t="shared" ca="1" si="683"/>
        <v>0</v>
      </c>
      <c r="BW796" s="24">
        <f t="shared" ca="1" si="679"/>
        <v>-205.32500180887445</v>
      </c>
      <c r="BX796" s="25">
        <f t="shared" ca="1" si="684"/>
        <v>-2506.2155854274824</v>
      </c>
      <c r="BY796" s="23">
        <f t="shared" ca="1" si="651"/>
        <v>985.62265176549511</v>
      </c>
      <c r="BZ796" s="24">
        <f t="shared" ca="1" si="652"/>
        <v>0</v>
      </c>
      <c r="CA796" s="24">
        <f t="shared" ca="1" si="685"/>
        <v>0</v>
      </c>
      <c r="CB796" s="24">
        <f t="shared" ca="1" si="653"/>
        <v>0</v>
      </c>
      <c r="CC796" s="24">
        <f t="shared" ca="1" si="686"/>
        <v>0</v>
      </c>
      <c r="CD796" s="24">
        <f t="shared" ca="1" si="654"/>
        <v>-15.628569247417287</v>
      </c>
      <c r="CE796" s="25">
        <f t="shared" ca="1" si="687"/>
        <v>-194.29012893105508</v>
      </c>
      <c r="CF796" s="23">
        <f t="shared" ca="1" si="688"/>
        <v>3469418.6789425598</v>
      </c>
      <c r="CG796" s="25">
        <f t="array" aca="1" ref="CG796" ca="1">SUM(BF785:BF796/(1+inflation/100)^(AP785:AP796/12))</f>
        <v>267980.53702225385</v>
      </c>
      <c r="CH796" s="32">
        <f ca="1">IFERROR(IF(MOD(AP796-ap_months_since_start,12)=0,ap_drawdown/100*(AQ796+AV796+BA796-BC796),CH795),0)</f>
        <v>2163.9254275849162</v>
      </c>
    </row>
    <row r="797" spans="40:86" x14ac:dyDescent="0.25">
      <c r="AN797" s="32">
        <f t="shared" ca="1" si="649"/>
        <v>120.66666666666667</v>
      </c>
      <c r="AO797" s="53">
        <f t="shared" ca="1" si="680"/>
        <v>69642</v>
      </c>
      <c r="AP797" s="22">
        <v>790</v>
      </c>
      <c r="AQ797" s="32">
        <f t="shared" ca="1" si="681"/>
        <v>12991.303682000571</v>
      </c>
      <c r="AR797" s="23">
        <f t="array" aca="1" ref="AR797" ca="1">SUM(IF(lsc_start_date=AO797,lsc_amount,0))</f>
        <v>0</v>
      </c>
      <c r="AS797" s="24">
        <f t="shared" ca="1" si="655"/>
        <v>0</v>
      </c>
      <c r="AT797" s="24">
        <f t="shared" ca="1" si="656"/>
        <v>0</v>
      </c>
      <c r="AU797" s="24">
        <f t="shared" ca="1" si="657"/>
        <v>0</v>
      </c>
      <c r="AV797" s="25">
        <f t="shared" ca="1" si="658"/>
        <v>0</v>
      </c>
      <c r="AW797" s="23">
        <f t="array" aca="1" ref="AW797" ca="1">SUM(IF(rcs_start_date&lt;=AO797,1,0)*IF(rcs_end_date&gt;=AO797,1,0)*rcs_amount*(1+rcs_escalation/100)^(INT((AP797-rcs_months_since_start)/12))*IF(MOD((AP797-rcs_months_since_start),rcs_frequency)=0,1,0)*IF(rcs_frequency=13,0,1))+SUM(IF(rcs_start_date=AO797,rcs_amount,0)*IF(rcs_frequency=13,1,0))</f>
        <v>0</v>
      </c>
      <c r="AX797" s="24">
        <f t="shared" ca="1" si="659"/>
        <v>0</v>
      </c>
      <c r="AY797" s="24">
        <f t="shared" ca="1" si="660"/>
        <v>0</v>
      </c>
      <c r="AZ797" s="24">
        <f t="shared" ca="1" si="661"/>
        <v>0</v>
      </c>
      <c r="BA797" s="25">
        <f t="shared" ca="1" si="662"/>
        <v>0</v>
      </c>
      <c r="BB797" s="23">
        <f t="array" aca="1" ref="BB797" ca="1">SUM(IF(w_start_date&lt;=AO797,1,0)*IF(w_end_date&gt;=AO797,1,0)*w_amount*(1+w_escalation/100)^(INT((AP797-w_months_since_start)/12))*IF(MOD(AP797-w_months_since_start,w_frequency)=0,1,0)*IF(w_frequency=13,0,1))+SUM(IF(w_start_date=AO797,w_amount,0)*IF(w_frequency=13,1,0))</f>
        <v>0</v>
      </c>
      <c r="BC797" s="25">
        <f t="shared" ca="1" si="663"/>
        <v>0</v>
      </c>
      <c r="BD797" s="24" t="b">
        <f t="shared" ca="1" si="664"/>
        <v>1</v>
      </c>
      <c r="BE797" s="24" t="b">
        <f t="shared" ca="1" si="665"/>
        <v>1</v>
      </c>
      <c r="BF797" s="23">
        <f t="array" aca="1" ref="BF797" ca="1">SUM(IF(BD797,1,0)*IF(ap_start_date&lt;=AO797,1,0)*IF(ap_end_date&gt;=AO797,1,0)*ap_amount*(1+ap_escalation/100)^(INT((AP797-ap_months_since_start)/12))*IF(MOD(AP797-ap_months_since_start,ap_frequency)=0,1,0))</f>
        <v>290983.50210485992</v>
      </c>
      <c r="BG797" s="24">
        <f t="shared" ca="1" si="666"/>
        <v>3491802.0252583181</v>
      </c>
      <c r="BH797" s="24">
        <f t="shared" ca="1" si="667"/>
        <v>351.98571738664185</v>
      </c>
      <c r="BI797">
        <f t="shared" ca="1" si="668"/>
        <v>0</v>
      </c>
      <c r="BJ797" s="24">
        <f t="shared" ca="1" si="669"/>
        <v>2463.9000217064927</v>
      </c>
      <c r="BK797">
        <f t="shared" ca="1" si="670"/>
        <v>1</v>
      </c>
      <c r="BL797" s="25">
        <f t="shared" ca="1" si="671"/>
        <v>205.32500180887445</v>
      </c>
      <c r="BM797" s="32">
        <f t="shared" ca="1" si="650"/>
        <v>12878.131362453069</v>
      </c>
      <c r="BN797" s="23">
        <f t="shared" ca="1" si="672"/>
        <v>0</v>
      </c>
      <c r="BO797" s="24">
        <f t="shared" ca="1" si="673"/>
        <v>0</v>
      </c>
      <c r="BP797" s="25">
        <f t="shared" ca="1" si="674"/>
        <v>0</v>
      </c>
      <c r="BQ797" s="34">
        <f t="shared" ca="1" si="675"/>
        <v>69671</v>
      </c>
      <c r="BR797" s="23">
        <f t="shared" ca="1" si="676"/>
        <v>12878.131362453069</v>
      </c>
      <c r="BS797" s="24">
        <f t="shared" ca="1" si="677"/>
        <v>0</v>
      </c>
      <c r="BT797" s="24">
        <f t="shared" ca="1" si="682"/>
        <v>0</v>
      </c>
      <c r="BU797" s="24">
        <f t="shared" ca="1" si="678"/>
        <v>0</v>
      </c>
      <c r="BV797" s="24">
        <f t="shared" ca="1" si="683"/>
        <v>0</v>
      </c>
      <c r="BW797" s="24">
        <f t="shared" ca="1" si="679"/>
        <v>-205.32500180887445</v>
      </c>
      <c r="BX797" s="25">
        <f t="shared" ca="1" si="684"/>
        <v>-2485.0578035669878</v>
      </c>
      <c r="BY797" s="23">
        <f t="shared" ca="1" si="651"/>
        <v>973.8483817658306</v>
      </c>
      <c r="BZ797" s="24">
        <f t="shared" ca="1" si="652"/>
        <v>0</v>
      </c>
      <c r="CA797" s="24">
        <f t="shared" ca="1" si="685"/>
        <v>0</v>
      </c>
      <c r="CB797" s="24">
        <f t="shared" ca="1" si="653"/>
        <v>0</v>
      </c>
      <c r="CC797" s="24">
        <f t="shared" ca="1" si="686"/>
        <v>0</v>
      </c>
      <c r="CD797" s="24">
        <f t="shared" ca="1" si="654"/>
        <v>-15.577572329173194</v>
      </c>
      <c r="CE797" s="25">
        <f t="shared" ca="1" si="687"/>
        <v>-191.99762216925427</v>
      </c>
      <c r="CF797" s="23">
        <f t="shared" ca="1" si="688"/>
        <v>3480610.3521004389</v>
      </c>
      <c r="CG797" s="25">
        <f t="array" aca="1" ref="CG797" ca="1">SUM(BF786:BF797/(1+inflation/100)^(AP786:AP797/12))</f>
        <v>267980.53702225385</v>
      </c>
      <c r="CH797" s="32">
        <f ca="1">IFERROR(IF(MOD(AP797-ap_months_since_start,12)=0,ap_drawdown/100*(AQ797+AV797+BA797-BC797),CH796),0)</f>
        <v>2163.9254275849162</v>
      </c>
    </row>
    <row r="798" spans="40:86" x14ac:dyDescent="0.25">
      <c r="AN798" s="32">
        <f t="shared" ca="1" si="649"/>
        <v>120.75</v>
      </c>
      <c r="AO798" s="53">
        <f t="shared" ca="1" si="680"/>
        <v>69672</v>
      </c>
      <c r="AP798" s="22">
        <v>791</v>
      </c>
      <c r="AQ798" s="32">
        <f t="shared" ca="1" si="681"/>
        <v>12878.131362453069</v>
      </c>
      <c r="AR798" s="23">
        <f t="array" aca="1" ref="AR798" ca="1">SUM(IF(lsc_start_date=AO798,lsc_amount,0))</f>
        <v>0</v>
      </c>
      <c r="AS798" s="24">
        <f t="shared" ca="1" si="655"/>
        <v>0</v>
      </c>
      <c r="AT798" s="24">
        <f t="shared" ca="1" si="656"/>
        <v>0</v>
      </c>
      <c r="AU798" s="24">
        <f t="shared" ca="1" si="657"/>
        <v>0</v>
      </c>
      <c r="AV798" s="25">
        <f t="shared" ca="1" si="658"/>
        <v>0</v>
      </c>
      <c r="AW798" s="23">
        <f t="array" aca="1" ref="AW798" ca="1">SUM(IF(rcs_start_date&lt;=AO798,1,0)*IF(rcs_end_date&gt;=AO798,1,0)*rcs_amount*(1+rcs_escalation/100)^(INT((AP798-rcs_months_since_start)/12))*IF(MOD((AP798-rcs_months_since_start),rcs_frequency)=0,1,0)*IF(rcs_frequency=13,0,1))+SUM(IF(rcs_start_date=AO798,rcs_amount,0)*IF(rcs_frequency=13,1,0))</f>
        <v>0</v>
      </c>
      <c r="AX798" s="24">
        <f t="shared" ca="1" si="659"/>
        <v>0</v>
      </c>
      <c r="AY798" s="24">
        <f t="shared" ca="1" si="660"/>
        <v>0</v>
      </c>
      <c r="AZ798" s="24">
        <f t="shared" ca="1" si="661"/>
        <v>0</v>
      </c>
      <c r="BA798" s="25">
        <f t="shared" ca="1" si="662"/>
        <v>0</v>
      </c>
      <c r="BB798" s="23">
        <f t="array" aca="1" ref="BB798" ca="1">SUM(IF(w_start_date&lt;=AO798,1,0)*IF(w_end_date&gt;=AO798,1,0)*w_amount*(1+w_escalation/100)^(INT((AP798-w_months_since_start)/12))*IF(MOD(AP798-w_months_since_start,w_frequency)=0,1,0)*IF(w_frequency=13,0,1))+SUM(IF(w_start_date=AO798,w_amount,0)*IF(w_frequency=13,1,0))</f>
        <v>0</v>
      </c>
      <c r="BC798" s="25">
        <f t="shared" ca="1" si="663"/>
        <v>0</v>
      </c>
      <c r="BD798" s="24" t="b">
        <f t="shared" ca="1" si="664"/>
        <v>1</v>
      </c>
      <c r="BE798" s="24" t="b">
        <f t="shared" ca="1" si="665"/>
        <v>1</v>
      </c>
      <c r="BF798" s="23">
        <f t="array" aca="1" ref="BF798" ca="1">SUM(IF(BD798,1,0)*IF(ap_start_date&lt;=AO798,1,0)*IF(ap_end_date&gt;=AO798,1,0)*ap_amount*(1+ap_escalation/100)^(INT((AP798-ap_months_since_start)/12))*IF(MOD(AP798-ap_months_since_start,ap_frequency)=0,1,0))</f>
        <v>290983.50210485992</v>
      </c>
      <c r="BG798" s="24">
        <f t="shared" ca="1" si="666"/>
        <v>3491802.0252583181</v>
      </c>
      <c r="BH798" s="24">
        <f t="shared" ca="1" si="667"/>
        <v>351.98571738664185</v>
      </c>
      <c r="BI798">
        <f t="shared" ca="1" si="668"/>
        <v>0</v>
      </c>
      <c r="BJ798" s="24">
        <f t="shared" ca="1" si="669"/>
        <v>2463.9000217064927</v>
      </c>
      <c r="BK798">
        <f t="shared" ca="1" si="670"/>
        <v>1</v>
      </c>
      <c r="BL798" s="25">
        <f t="shared" ca="1" si="671"/>
        <v>205.32500180887445</v>
      </c>
      <c r="BM798" s="32">
        <f t="shared" ca="1" si="650"/>
        <v>12764.143373408151</v>
      </c>
      <c r="BN798" s="23">
        <f t="shared" ca="1" si="672"/>
        <v>0</v>
      </c>
      <c r="BO798" s="24">
        <f t="shared" ca="1" si="673"/>
        <v>0</v>
      </c>
      <c r="BP798" s="25">
        <f t="shared" ca="1" si="674"/>
        <v>0</v>
      </c>
      <c r="BQ798" s="34">
        <f t="shared" ca="1" si="675"/>
        <v>69702</v>
      </c>
      <c r="BR798" s="23">
        <f t="shared" ca="1" si="676"/>
        <v>12764.143373408151</v>
      </c>
      <c r="BS798" s="24">
        <f t="shared" ca="1" si="677"/>
        <v>0</v>
      </c>
      <c r="BT798" s="24">
        <f t="shared" ca="1" si="682"/>
        <v>0</v>
      </c>
      <c r="BU798" s="24">
        <f t="shared" ca="1" si="678"/>
        <v>0</v>
      </c>
      <c r="BV798" s="24">
        <f t="shared" ca="1" si="683"/>
        <v>0</v>
      </c>
      <c r="BW798" s="24">
        <f t="shared" ca="1" si="679"/>
        <v>-205.32500180887445</v>
      </c>
      <c r="BX798" s="25">
        <f t="shared" ca="1" si="684"/>
        <v>-2463.9000217064931</v>
      </c>
      <c r="BY798" s="23">
        <f t="shared" ca="1" si="651"/>
        <v>962.07897762632126</v>
      </c>
      <c r="BZ798" s="24">
        <f t="shared" ca="1" si="652"/>
        <v>0</v>
      </c>
      <c r="CA798" s="24">
        <f t="shared" ca="1" si="685"/>
        <v>0</v>
      </c>
      <c r="CB798" s="24">
        <f t="shared" ca="1" si="653"/>
        <v>0</v>
      </c>
      <c r="CC798" s="24">
        <f t="shared" ca="1" si="686"/>
        <v>0</v>
      </c>
      <c r="CD798" s="24">
        <f t="shared" ca="1" si="654"/>
        <v>-15.526741816799612</v>
      </c>
      <c r="CE798" s="25">
        <f t="shared" ca="1" si="687"/>
        <v>-189.71259598856457</v>
      </c>
      <c r="CF798" s="23">
        <f t="shared" ca="1" si="688"/>
        <v>3491802.0252583181</v>
      </c>
      <c r="CG798" s="25">
        <f t="array" aca="1" ref="CG798" ca="1">SUM(BF787:BF798/(1+inflation/100)^(AP787:AP798/12))</f>
        <v>267980.53702225385</v>
      </c>
      <c r="CH798" s="32">
        <f ca="1">IFERROR(IF(MOD(AP798-ap_months_since_start,12)=0,ap_drawdown/100*(AQ798+AV798+BA798-BC798),CH797),0)</f>
        <v>2163.9254275849162</v>
      </c>
    </row>
    <row r="799" spans="40:86" x14ac:dyDescent="0.25">
      <c r="AN799" s="32">
        <f t="shared" ca="1" si="649"/>
        <v>120.83333333333333</v>
      </c>
      <c r="AO799" s="53">
        <f t="shared" ca="1" si="680"/>
        <v>69703</v>
      </c>
      <c r="AP799" s="22">
        <v>792</v>
      </c>
      <c r="AQ799" s="32">
        <f t="shared" ca="1" si="681"/>
        <v>12764.143373408151</v>
      </c>
      <c r="AR799" s="23">
        <f t="array" aca="1" ref="AR799" ca="1">SUM(IF(lsc_start_date=AO799,lsc_amount,0))</f>
        <v>0</v>
      </c>
      <c r="AS799" s="24">
        <f t="shared" ca="1" si="655"/>
        <v>0</v>
      </c>
      <c r="AT799" s="24">
        <f t="shared" ca="1" si="656"/>
        <v>0</v>
      </c>
      <c r="AU799" s="24">
        <f t="shared" ca="1" si="657"/>
        <v>0</v>
      </c>
      <c r="AV799" s="25">
        <f t="shared" ca="1" si="658"/>
        <v>0</v>
      </c>
      <c r="AW799" s="23">
        <f t="array" aca="1" ref="AW799" ca="1">SUM(IF(rcs_start_date&lt;=AO799,1,0)*IF(rcs_end_date&gt;=AO799,1,0)*rcs_amount*(1+rcs_escalation/100)^(INT((AP799-rcs_months_since_start)/12))*IF(MOD((AP799-rcs_months_since_start),rcs_frequency)=0,1,0)*IF(rcs_frequency=13,0,1))+SUM(IF(rcs_start_date=AO799,rcs_amount,0)*IF(rcs_frequency=13,1,0))</f>
        <v>0</v>
      </c>
      <c r="AX799" s="24">
        <f t="shared" ca="1" si="659"/>
        <v>0</v>
      </c>
      <c r="AY799" s="24">
        <f t="shared" ca="1" si="660"/>
        <v>0</v>
      </c>
      <c r="AZ799" s="24">
        <f t="shared" ca="1" si="661"/>
        <v>0</v>
      </c>
      <c r="BA799" s="25">
        <f t="shared" ca="1" si="662"/>
        <v>0</v>
      </c>
      <c r="BB799" s="23">
        <f t="array" aca="1" ref="BB799" ca="1">SUM(IF(w_start_date&lt;=AO799,1,0)*IF(w_end_date&gt;=AO799,1,0)*w_amount*(1+w_escalation/100)^(INT((AP799-w_months_since_start)/12))*IF(MOD(AP799-w_months_since_start,w_frequency)=0,1,0)*IF(w_frequency=13,0,1))+SUM(IF(w_start_date=AO799,w_amount,0)*IF(w_frequency=13,1,0))</f>
        <v>0</v>
      </c>
      <c r="BC799" s="25">
        <f t="shared" ca="1" si="663"/>
        <v>0</v>
      </c>
      <c r="BD799" s="24" t="b">
        <f t="shared" ca="1" si="664"/>
        <v>1</v>
      </c>
      <c r="BE799" s="24" t="b">
        <f t="shared" ca="1" si="665"/>
        <v>1</v>
      </c>
      <c r="BF799" s="23">
        <f t="array" aca="1" ref="BF799" ca="1">SUM(IF(BD799,1,0)*IF(ap_start_date&lt;=AO799,1,0)*IF(ap_end_date&gt;=AO799,1,0)*ap_amount*(1+ap_escalation/100)^(INT((AP799-ap_months_since_start)/12))*IF(MOD(AP799-ap_months_since_start,ap_frequency)=0,1,0))</f>
        <v>302622.8421890543</v>
      </c>
      <c r="BG799" s="24">
        <f t="shared" ca="1" si="666"/>
        <v>3631474.1062686522</v>
      </c>
      <c r="BH799" s="24">
        <f t="shared" ca="1" si="667"/>
        <v>319.10358433520378</v>
      </c>
      <c r="BI799">
        <f t="shared" ca="1" si="668"/>
        <v>0</v>
      </c>
      <c r="BJ799" s="24">
        <f t="shared" ca="1" si="669"/>
        <v>2233.7250903464264</v>
      </c>
      <c r="BK799">
        <f t="shared" ca="1" si="670"/>
        <v>1</v>
      </c>
      <c r="BL799" s="25">
        <f t="shared" ca="1" si="671"/>
        <v>186.14375752886883</v>
      </c>
      <c r="BM799" s="32">
        <f t="shared" ca="1" si="650"/>
        <v>12668.653325781168</v>
      </c>
      <c r="BN799" s="23">
        <f t="shared" ca="1" si="672"/>
        <v>0</v>
      </c>
      <c r="BO799" s="24">
        <f t="shared" ca="1" si="673"/>
        <v>0</v>
      </c>
      <c r="BP799" s="25">
        <f t="shared" ca="1" si="674"/>
        <v>0</v>
      </c>
      <c r="BQ799" s="34">
        <f t="shared" ca="1" si="675"/>
        <v>69732</v>
      </c>
      <c r="BR799" s="23">
        <f t="shared" ca="1" si="676"/>
        <v>12668.653325781168</v>
      </c>
      <c r="BS799" s="24">
        <f t="shared" ca="1" si="677"/>
        <v>0</v>
      </c>
      <c r="BT799" s="24">
        <f t="shared" ca="1" si="682"/>
        <v>0</v>
      </c>
      <c r="BU799" s="24">
        <f t="shared" ca="1" si="678"/>
        <v>0</v>
      </c>
      <c r="BV799" s="24">
        <f t="shared" ca="1" si="683"/>
        <v>0</v>
      </c>
      <c r="BW799" s="24">
        <f t="shared" ca="1" si="679"/>
        <v>-186.14375752886883</v>
      </c>
      <c r="BX799" s="25">
        <f t="shared" ca="1" si="684"/>
        <v>-2444.7187774264876</v>
      </c>
      <c r="BY799" s="23">
        <f t="shared" ca="1" si="651"/>
        <v>951.76571911092003</v>
      </c>
      <c r="BZ799" s="24">
        <f t="shared" ca="1" si="652"/>
        <v>0</v>
      </c>
      <c r="CA799" s="24">
        <f t="shared" ca="1" si="685"/>
        <v>0</v>
      </c>
      <c r="CB799" s="24">
        <f t="shared" ca="1" si="653"/>
        <v>0</v>
      </c>
      <c r="CC799" s="24">
        <f t="shared" ca="1" si="686"/>
        <v>0</v>
      </c>
      <c r="CD799" s="24">
        <f t="shared" ca="1" si="654"/>
        <v>-14.030318423717182</v>
      </c>
      <c r="CE799" s="25">
        <f t="shared" ca="1" si="687"/>
        <v>-187.64779415828494</v>
      </c>
      <c r="CF799" s="23">
        <f t="shared" ca="1" si="688"/>
        <v>3503441.3653425127</v>
      </c>
      <c r="CG799" s="25">
        <f t="array" aca="1" ref="CG799" ca="1">SUM(BF788:BF799/(1+inflation/100)^(AP788:AP799/12))</f>
        <v>267980.53702225385</v>
      </c>
      <c r="CH799" s="32">
        <f ca="1">IFERROR(IF(MOD(AP799-ap_months_since_start,12)=0,ap_drawdown/100*(AQ799+AV799+BA799-BC799),CH798),0)</f>
        <v>1961.7738052079296</v>
      </c>
    </row>
    <row r="800" spans="40:86" x14ac:dyDescent="0.25">
      <c r="AN800" s="32">
        <f t="shared" ca="1" si="649"/>
        <v>120.91666666666667</v>
      </c>
      <c r="AO800" s="53">
        <f t="shared" ca="1" si="680"/>
        <v>69733</v>
      </c>
      <c r="AP800" s="22">
        <v>793</v>
      </c>
      <c r="AQ800" s="32">
        <f t="shared" ca="1" si="681"/>
        <v>12668.653325781168</v>
      </c>
      <c r="AR800" s="23">
        <f t="array" aca="1" ref="AR800" ca="1">SUM(IF(lsc_start_date=AO800,lsc_amount,0))</f>
        <v>0</v>
      </c>
      <c r="AS800" s="24">
        <f t="shared" ca="1" si="655"/>
        <v>0</v>
      </c>
      <c r="AT800" s="24">
        <f t="shared" ca="1" si="656"/>
        <v>0</v>
      </c>
      <c r="AU800" s="24">
        <f t="shared" ca="1" si="657"/>
        <v>0</v>
      </c>
      <c r="AV800" s="25">
        <f t="shared" ca="1" si="658"/>
        <v>0</v>
      </c>
      <c r="AW800" s="23">
        <f t="array" aca="1" ref="AW800" ca="1">SUM(IF(rcs_start_date&lt;=AO800,1,0)*IF(rcs_end_date&gt;=AO800,1,0)*rcs_amount*(1+rcs_escalation/100)^(INT((AP800-rcs_months_since_start)/12))*IF(MOD((AP800-rcs_months_since_start),rcs_frequency)=0,1,0)*IF(rcs_frequency=13,0,1))+SUM(IF(rcs_start_date=AO800,rcs_amount,0)*IF(rcs_frequency=13,1,0))</f>
        <v>0</v>
      </c>
      <c r="AX800" s="24">
        <f t="shared" ca="1" si="659"/>
        <v>0</v>
      </c>
      <c r="AY800" s="24">
        <f t="shared" ca="1" si="660"/>
        <v>0</v>
      </c>
      <c r="AZ800" s="24">
        <f t="shared" ca="1" si="661"/>
        <v>0</v>
      </c>
      <c r="BA800" s="25">
        <f t="shared" ca="1" si="662"/>
        <v>0</v>
      </c>
      <c r="BB800" s="23">
        <f t="array" aca="1" ref="BB800" ca="1">SUM(IF(w_start_date&lt;=AO800,1,0)*IF(w_end_date&gt;=AO800,1,0)*w_amount*(1+w_escalation/100)^(INT((AP800-w_months_since_start)/12))*IF(MOD(AP800-w_months_since_start,w_frequency)=0,1,0)*IF(w_frequency=13,0,1))+SUM(IF(w_start_date=AO800,w_amount,0)*IF(w_frequency=13,1,0))</f>
        <v>0</v>
      </c>
      <c r="BC800" s="25">
        <f t="shared" ca="1" si="663"/>
        <v>0</v>
      </c>
      <c r="BD800" s="24" t="b">
        <f t="shared" ca="1" si="664"/>
        <v>1</v>
      </c>
      <c r="BE800" s="24" t="b">
        <f t="shared" ca="1" si="665"/>
        <v>1</v>
      </c>
      <c r="BF800" s="23">
        <f t="array" aca="1" ref="BF800" ca="1">SUM(IF(BD800,1,0)*IF(ap_start_date&lt;=AO800,1,0)*IF(ap_end_date&gt;=AO800,1,0)*ap_amount*(1+ap_escalation/100)^(INT((AP800-ap_months_since_start)/12))*IF(MOD(AP800-ap_months_since_start,ap_frequency)=0,1,0))</f>
        <v>302622.8421890543</v>
      </c>
      <c r="BG800" s="24">
        <f t="shared" ca="1" si="666"/>
        <v>3631474.1062686522</v>
      </c>
      <c r="BH800" s="24">
        <f t="shared" ca="1" si="667"/>
        <v>319.10358433520378</v>
      </c>
      <c r="BI800">
        <f t="shared" ca="1" si="668"/>
        <v>0</v>
      </c>
      <c r="BJ800" s="24">
        <f t="shared" ca="1" si="669"/>
        <v>2233.7250903464264</v>
      </c>
      <c r="BK800">
        <f t="shared" ca="1" si="670"/>
        <v>1</v>
      </c>
      <c r="BL800" s="25">
        <f t="shared" ca="1" si="671"/>
        <v>186.14375752886883</v>
      </c>
      <c r="BM800" s="32">
        <f t="shared" ca="1" si="650"/>
        <v>12572.475050507463</v>
      </c>
      <c r="BN800" s="23">
        <f t="shared" ca="1" si="672"/>
        <v>0</v>
      </c>
      <c r="BO800" s="24">
        <f t="shared" ca="1" si="673"/>
        <v>0</v>
      </c>
      <c r="BP800" s="25">
        <f t="shared" ca="1" si="674"/>
        <v>0</v>
      </c>
      <c r="BQ800" s="34">
        <f t="shared" ca="1" si="675"/>
        <v>69763</v>
      </c>
      <c r="BR800" s="23">
        <f t="shared" ca="1" si="676"/>
        <v>12572.475050507463</v>
      </c>
      <c r="BS800" s="24">
        <f t="shared" ca="1" si="677"/>
        <v>0</v>
      </c>
      <c r="BT800" s="24">
        <f t="shared" ca="1" si="682"/>
        <v>0</v>
      </c>
      <c r="BU800" s="24">
        <f t="shared" ca="1" si="678"/>
        <v>0</v>
      </c>
      <c r="BV800" s="24">
        <f t="shared" ca="1" si="683"/>
        <v>0</v>
      </c>
      <c r="BW800" s="24">
        <f t="shared" ca="1" si="679"/>
        <v>-186.14375752886883</v>
      </c>
      <c r="BX800" s="25">
        <f t="shared" ca="1" si="684"/>
        <v>-2425.537533146482</v>
      </c>
      <c r="BY800" s="23">
        <f t="shared" ca="1" si="651"/>
        <v>941.45798614030309</v>
      </c>
      <c r="BZ800" s="24">
        <f t="shared" ca="1" si="652"/>
        <v>0</v>
      </c>
      <c r="CA800" s="24">
        <f t="shared" ca="1" si="685"/>
        <v>0</v>
      </c>
      <c r="CB800" s="24">
        <f t="shared" ca="1" si="653"/>
        <v>0</v>
      </c>
      <c r="CC800" s="24">
        <f t="shared" ca="1" si="686"/>
        <v>0</v>
      </c>
      <c r="CD800" s="24">
        <f t="shared" ca="1" si="654"/>
        <v>-13.984536689620743</v>
      </c>
      <c r="CE800" s="25">
        <f t="shared" ca="1" si="687"/>
        <v>-185.58972989485881</v>
      </c>
      <c r="CF800" s="23">
        <f t="shared" ca="1" si="688"/>
        <v>3515080.7054267074</v>
      </c>
      <c r="CG800" s="25">
        <f t="array" aca="1" ref="CG800" ca="1">SUM(BF789:BF800/(1+inflation/100)^(AP789:AP800/12))</f>
        <v>267980.53702225391</v>
      </c>
      <c r="CH800" s="32">
        <f ca="1">IFERROR(IF(MOD(AP800-ap_months_since_start,12)=0,ap_drawdown/100*(AQ800+AV800+BA800-BC800),CH799),0)</f>
        <v>1961.7738052079296</v>
      </c>
    </row>
    <row r="801" spans="40:86" x14ac:dyDescent="0.25">
      <c r="AN801" s="32">
        <f t="shared" ca="1" si="649"/>
        <v>121</v>
      </c>
      <c r="AO801" s="53">
        <f t="shared" ca="1" si="680"/>
        <v>69764</v>
      </c>
      <c r="AP801" s="22">
        <v>794</v>
      </c>
      <c r="AQ801" s="32">
        <f t="shared" ca="1" si="681"/>
        <v>12572.475050507463</v>
      </c>
      <c r="AR801" s="23">
        <f t="array" aca="1" ref="AR801" ca="1">SUM(IF(lsc_start_date=AO801,lsc_amount,0))</f>
        <v>0</v>
      </c>
      <c r="AS801" s="24">
        <f t="shared" ca="1" si="655"/>
        <v>0</v>
      </c>
      <c r="AT801" s="24">
        <f t="shared" ca="1" si="656"/>
        <v>0</v>
      </c>
      <c r="AU801" s="24">
        <f t="shared" ca="1" si="657"/>
        <v>0</v>
      </c>
      <c r="AV801" s="25">
        <f t="shared" ca="1" si="658"/>
        <v>0</v>
      </c>
      <c r="AW801" s="23">
        <f t="array" aca="1" ref="AW801" ca="1">SUM(IF(rcs_start_date&lt;=AO801,1,0)*IF(rcs_end_date&gt;=AO801,1,0)*rcs_amount*(1+rcs_escalation/100)^(INT((AP801-rcs_months_since_start)/12))*IF(MOD((AP801-rcs_months_since_start),rcs_frequency)=0,1,0)*IF(rcs_frequency=13,0,1))+SUM(IF(rcs_start_date=AO801,rcs_amount,0)*IF(rcs_frequency=13,1,0))</f>
        <v>0</v>
      </c>
      <c r="AX801" s="24">
        <f t="shared" ca="1" si="659"/>
        <v>0</v>
      </c>
      <c r="AY801" s="24">
        <f t="shared" ca="1" si="660"/>
        <v>0</v>
      </c>
      <c r="AZ801" s="24">
        <f t="shared" ca="1" si="661"/>
        <v>0</v>
      </c>
      <c r="BA801" s="25">
        <f t="shared" ca="1" si="662"/>
        <v>0</v>
      </c>
      <c r="BB801" s="23">
        <f t="array" aca="1" ref="BB801" ca="1">SUM(IF(w_start_date&lt;=AO801,1,0)*IF(w_end_date&gt;=AO801,1,0)*w_amount*(1+w_escalation/100)^(INT((AP801-w_months_since_start)/12))*IF(MOD(AP801-w_months_since_start,w_frequency)=0,1,0)*IF(w_frequency=13,0,1))+SUM(IF(w_start_date=AO801,w_amount,0)*IF(w_frequency=13,1,0))</f>
        <v>0</v>
      </c>
      <c r="BC801" s="25">
        <f t="shared" ca="1" si="663"/>
        <v>0</v>
      </c>
      <c r="BD801" s="24" t="b">
        <f t="shared" ca="1" si="664"/>
        <v>1</v>
      </c>
      <c r="BE801" s="24" t="b">
        <f t="shared" ca="1" si="665"/>
        <v>1</v>
      </c>
      <c r="BF801" s="23">
        <f t="array" aca="1" ref="BF801" ca="1">SUM(IF(BD801,1,0)*IF(ap_start_date&lt;=AO801,1,0)*IF(ap_end_date&gt;=AO801,1,0)*ap_amount*(1+ap_escalation/100)^(INT((AP801-ap_months_since_start)/12))*IF(MOD(AP801-ap_months_since_start,ap_frequency)=0,1,0))</f>
        <v>302622.8421890543</v>
      </c>
      <c r="BG801" s="24">
        <f t="shared" ca="1" si="666"/>
        <v>3631474.1062686522</v>
      </c>
      <c r="BH801" s="24">
        <f t="shared" ca="1" si="667"/>
        <v>319.10358433520378</v>
      </c>
      <c r="BI801">
        <f t="shared" ca="1" si="668"/>
        <v>0</v>
      </c>
      <c r="BJ801" s="24">
        <f t="shared" ca="1" si="669"/>
        <v>2233.7250903464264</v>
      </c>
      <c r="BK801">
        <f t="shared" ca="1" si="670"/>
        <v>1</v>
      </c>
      <c r="BL801" s="25">
        <f t="shared" ca="1" si="671"/>
        <v>186.14375752886883</v>
      </c>
      <c r="BM801" s="32">
        <f t="shared" ca="1" si="650"/>
        <v>12475.603587307873</v>
      </c>
      <c r="BN801" s="23">
        <f t="shared" ca="1" si="672"/>
        <v>0</v>
      </c>
      <c r="BO801" s="24">
        <f t="shared" ca="1" si="673"/>
        <v>0</v>
      </c>
      <c r="BP801" s="25">
        <f t="shared" ca="1" si="674"/>
        <v>0</v>
      </c>
      <c r="BQ801" s="34">
        <f t="shared" ca="1" si="675"/>
        <v>69794</v>
      </c>
      <c r="BR801" s="23">
        <f t="shared" ca="1" si="676"/>
        <v>12475.603587307873</v>
      </c>
      <c r="BS801" s="24">
        <f t="shared" ca="1" si="677"/>
        <v>0</v>
      </c>
      <c r="BT801" s="24">
        <f t="shared" ca="1" si="682"/>
        <v>0</v>
      </c>
      <c r="BU801" s="24">
        <f t="shared" ca="1" si="678"/>
        <v>0</v>
      </c>
      <c r="BV801" s="24">
        <f t="shared" ca="1" si="683"/>
        <v>0</v>
      </c>
      <c r="BW801" s="24">
        <f t="shared" ca="1" si="679"/>
        <v>-186.14375752886883</v>
      </c>
      <c r="BX801" s="25">
        <f t="shared" ca="1" si="684"/>
        <v>-2406.3562888664765</v>
      </c>
      <c r="BY801" s="23">
        <f t="shared" ca="1" si="651"/>
        <v>931.15565040459705</v>
      </c>
      <c r="BZ801" s="24">
        <f t="shared" ca="1" si="652"/>
        <v>0</v>
      </c>
      <c r="CA801" s="24">
        <f t="shared" ca="1" si="685"/>
        <v>0</v>
      </c>
      <c r="CB801" s="24">
        <f t="shared" ca="1" si="653"/>
        <v>0</v>
      </c>
      <c r="CC801" s="24">
        <f t="shared" ca="1" si="686"/>
        <v>0</v>
      </c>
      <c r="CD801" s="24">
        <f t="shared" ca="1" si="654"/>
        <v>-13.938904343949703</v>
      </c>
      <c r="CE801" s="25">
        <f t="shared" ca="1" si="687"/>
        <v>-183.53838121321891</v>
      </c>
      <c r="CF801" s="23">
        <f t="shared" ca="1" si="688"/>
        <v>3526720.0455109021</v>
      </c>
      <c r="CG801" s="25">
        <f t="array" aca="1" ref="CG801" ca="1">SUM(BF790:BF801/(1+inflation/100)^(AP790:AP801/12))</f>
        <v>267980.53702225385</v>
      </c>
      <c r="CH801" s="32">
        <f ca="1">IFERROR(IF(MOD(AP801-ap_months_since_start,12)=0,ap_drawdown/100*(AQ801+AV801+BA801-BC801),CH800),0)</f>
        <v>1961.7738052079296</v>
      </c>
    </row>
    <row r="802" spans="40:86" x14ac:dyDescent="0.25">
      <c r="AN802" s="32">
        <f t="shared" ca="1" si="649"/>
        <v>121.08333333333333</v>
      </c>
      <c r="AO802" s="53">
        <f t="shared" ca="1" si="680"/>
        <v>69795</v>
      </c>
      <c r="AP802" s="22">
        <v>795</v>
      </c>
      <c r="AQ802" s="32">
        <f t="shared" ca="1" si="681"/>
        <v>12475.603587307873</v>
      </c>
      <c r="AR802" s="23">
        <f t="array" aca="1" ref="AR802" ca="1">SUM(IF(lsc_start_date=AO802,lsc_amount,0))</f>
        <v>0</v>
      </c>
      <c r="AS802" s="24">
        <f t="shared" ca="1" si="655"/>
        <v>0</v>
      </c>
      <c r="AT802" s="24">
        <f t="shared" ca="1" si="656"/>
        <v>0</v>
      </c>
      <c r="AU802" s="24">
        <f t="shared" ca="1" si="657"/>
        <v>0</v>
      </c>
      <c r="AV802" s="25">
        <f t="shared" ca="1" si="658"/>
        <v>0</v>
      </c>
      <c r="AW802" s="23">
        <f t="array" aca="1" ref="AW802" ca="1">SUM(IF(rcs_start_date&lt;=AO802,1,0)*IF(rcs_end_date&gt;=AO802,1,0)*rcs_amount*(1+rcs_escalation/100)^(INT((AP802-rcs_months_since_start)/12))*IF(MOD((AP802-rcs_months_since_start),rcs_frequency)=0,1,0)*IF(rcs_frequency=13,0,1))+SUM(IF(rcs_start_date=AO802,rcs_amount,0)*IF(rcs_frequency=13,1,0))</f>
        <v>0</v>
      </c>
      <c r="AX802" s="24">
        <f t="shared" ca="1" si="659"/>
        <v>0</v>
      </c>
      <c r="AY802" s="24">
        <f t="shared" ca="1" si="660"/>
        <v>0</v>
      </c>
      <c r="AZ802" s="24">
        <f t="shared" ca="1" si="661"/>
        <v>0</v>
      </c>
      <c r="BA802" s="25">
        <f t="shared" ca="1" si="662"/>
        <v>0</v>
      </c>
      <c r="BB802" s="23">
        <f t="array" aca="1" ref="BB802" ca="1">SUM(IF(w_start_date&lt;=AO802,1,0)*IF(w_end_date&gt;=AO802,1,0)*w_amount*(1+w_escalation/100)^(INT((AP802-w_months_since_start)/12))*IF(MOD(AP802-w_months_since_start,w_frequency)=0,1,0)*IF(w_frequency=13,0,1))+SUM(IF(w_start_date=AO802,w_amount,0)*IF(w_frequency=13,1,0))</f>
        <v>0</v>
      </c>
      <c r="BC802" s="25">
        <f t="shared" ca="1" si="663"/>
        <v>0</v>
      </c>
      <c r="BD802" s="24" t="b">
        <f t="shared" ca="1" si="664"/>
        <v>1</v>
      </c>
      <c r="BE802" s="24" t="b">
        <f t="shared" ca="1" si="665"/>
        <v>1</v>
      </c>
      <c r="BF802" s="23">
        <f t="array" aca="1" ref="BF802" ca="1">SUM(IF(BD802,1,0)*IF(ap_start_date&lt;=AO802,1,0)*IF(ap_end_date&gt;=AO802,1,0)*ap_amount*(1+ap_escalation/100)^(INT((AP802-ap_months_since_start)/12))*IF(MOD(AP802-ap_months_since_start,ap_frequency)=0,1,0))</f>
        <v>302622.8421890543</v>
      </c>
      <c r="BG802" s="24">
        <f t="shared" ca="1" si="666"/>
        <v>3631474.1062686522</v>
      </c>
      <c r="BH802" s="24">
        <f t="shared" ca="1" si="667"/>
        <v>319.10358433520378</v>
      </c>
      <c r="BI802">
        <f t="shared" ca="1" si="668"/>
        <v>0</v>
      </c>
      <c r="BJ802" s="24">
        <f t="shared" ca="1" si="669"/>
        <v>2233.7250903464264</v>
      </c>
      <c r="BK802">
        <f t="shared" ca="1" si="670"/>
        <v>1</v>
      </c>
      <c r="BL802" s="25">
        <f t="shared" ca="1" si="671"/>
        <v>186.14375752886883</v>
      </c>
      <c r="BM802" s="32">
        <f t="shared" ca="1" si="650"/>
        <v>12378.033940152895</v>
      </c>
      <c r="BN802" s="23">
        <f t="shared" ca="1" si="672"/>
        <v>0</v>
      </c>
      <c r="BO802" s="24">
        <f t="shared" ca="1" si="673"/>
        <v>0</v>
      </c>
      <c r="BP802" s="25">
        <f t="shared" ca="1" si="674"/>
        <v>0</v>
      </c>
      <c r="BQ802" s="34">
        <f t="shared" ca="1" si="675"/>
        <v>69822</v>
      </c>
      <c r="BR802" s="23">
        <f t="shared" ca="1" si="676"/>
        <v>12378.033940152895</v>
      </c>
      <c r="BS802" s="24">
        <f t="shared" ca="1" si="677"/>
        <v>0</v>
      </c>
      <c r="BT802" s="24">
        <f t="shared" ca="1" si="682"/>
        <v>0</v>
      </c>
      <c r="BU802" s="24">
        <f t="shared" ca="1" si="678"/>
        <v>0</v>
      </c>
      <c r="BV802" s="24">
        <f t="shared" ca="1" si="683"/>
        <v>0</v>
      </c>
      <c r="BW802" s="24">
        <f t="shared" ca="1" si="679"/>
        <v>-186.14375752886883</v>
      </c>
      <c r="BX802" s="25">
        <f t="shared" ca="1" si="684"/>
        <v>-2387.1750445864709</v>
      </c>
      <c r="BY802" s="23">
        <f t="shared" ca="1" si="651"/>
        <v>920.85858358023575</v>
      </c>
      <c r="BZ802" s="24">
        <f t="shared" ca="1" si="652"/>
        <v>0</v>
      </c>
      <c r="CA802" s="24">
        <f t="shared" ca="1" si="685"/>
        <v>0</v>
      </c>
      <c r="CB802" s="24">
        <f t="shared" ca="1" si="653"/>
        <v>0</v>
      </c>
      <c r="CC802" s="24">
        <f t="shared" ca="1" si="686"/>
        <v>0</v>
      </c>
      <c r="CD802" s="24">
        <f t="shared" ca="1" si="654"/>
        <v>-13.893420899241022</v>
      </c>
      <c r="CE802" s="25">
        <f t="shared" ca="1" si="687"/>
        <v>-181.49372620003658</v>
      </c>
      <c r="CF802" s="23">
        <f t="shared" ca="1" si="688"/>
        <v>3538359.3855950967</v>
      </c>
      <c r="CG802" s="25">
        <f t="array" aca="1" ref="CG802" ca="1">SUM(BF791:BF802/(1+inflation/100)^(AP791:AP802/12))</f>
        <v>267980.53702225385</v>
      </c>
      <c r="CH802" s="32">
        <f ca="1">IFERROR(IF(MOD(AP802-ap_months_since_start,12)=0,ap_drawdown/100*(AQ802+AV802+BA802-BC802),CH801),0)</f>
        <v>1961.7738052079296</v>
      </c>
    </row>
    <row r="803" spans="40:86" x14ac:dyDescent="0.25">
      <c r="AN803" s="32">
        <f t="shared" ca="1" si="649"/>
        <v>121.16666666666667</v>
      </c>
      <c r="AO803" s="53">
        <f t="shared" ca="1" si="680"/>
        <v>69823</v>
      </c>
      <c r="AP803" s="22">
        <v>796</v>
      </c>
      <c r="AQ803" s="32">
        <f t="shared" ca="1" si="681"/>
        <v>12378.033940152895</v>
      </c>
      <c r="AR803" s="23">
        <f t="array" aca="1" ref="AR803" ca="1">SUM(IF(lsc_start_date=AO803,lsc_amount,0))</f>
        <v>0</v>
      </c>
      <c r="AS803" s="24">
        <f t="shared" ca="1" si="655"/>
        <v>0</v>
      </c>
      <c r="AT803" s="24">
        <f t="shared" ca="1" si="656"/>
        <v>0</v>
      </c>
      <c r="AU803" s="24">
        <f t="shared" ca="1" si="657"/>
        <v>0</v>
      </c>
      <c r="AV803" s="25">
        <f t="shared" ca="1" si="658"/>
        <v>0</v>
      </c>
      <c r="AW803" s="23">
        <f t="array" aca="1" ref="AW803" ca="1">SUM(IF(rcs_start_date&lt;=AO803,1,0)*IF(rcs_end_date&gt;=AO803,1,0)*rcs_amount*(1+rcs_escalation/100)^(INT((AP803-rcs_months_since_start)/12))*IF(MOD((AP803-rcs_months_since_start),rcs_frequency)=0,1,0)*IF(rcs_frequency=13,0,1))+SUM(IF(rcs_start_date=AO803,rcs_amount,0)*IF(rcs_frequency=13,1,0))</f>
        <v>0</v>
      </c>
      <c r="AX803" s="24">
        <f t="shared" ca="1" si="659"/>
        <v>0</v>
      </c>
      <c r="AY803" s="24">
        <f t="shared" ca="1" si="660"/>
        <v>0</v>
      </c>
      <c r="AZ803" s="24">
        <f t="shared" ca="1" si="661"/>
        <v>0</v>
      </c>
      <c r="BA803" s="25">
        <f t="shared" ca="1" si="662"/>
        <v>0</v>
      </c>
      <c r="BB803" s="23">
        <f t="array" aca="1" ref="BB803" ca="1">SUM(IF(w_start_date&lt;=AO803,1,0)*IF(w_end_date&gt;=AO803,1,0)*w_amount*(1+w_escalation/100)^(INT((AP803-w_months_since_start)/12))*IF(MOD(AP803-w_months_since_start,w_frequency)=0,1,0)*IF(w_frequency=13,0,1))+SUM(IF(w_start_date=AO803,w_amount,0)*IF(w_frequency=13,1,0))</f>
        <v>0</v>
      </c>
      <c r="BC803" s="25">
        <f t="shared" ca="1" si="663"/>
        <v>0</v>
      </c>
      <c r="BD803" s="24" t="b">
        <f t="shared" ca="1" si="664"/>
        <v>1</v>
      </c>
      <c r="BE803" s="24" t="b">
        <f t="shared" ca="1" si="665"/>
        <v>1</v>
      </c>
      <c r="BF803" s="23">
        <f t="array" aca="1" ref="BF803" ca="1">SUM(IF(BD803,1,0)*IF(ap_start_date&lt;=AO803,1,0)*IF(ap_end_date&gt;=AO803,1,0)*ap_amount*(1+ap_escalation/100)^(INT((AP803-ap_months_since_start)/12))*IF(MOD(AP803-ap_months_since_start,ap_frequency)=0,1,0))</f>
        <v>302622.8421890543</v>
      </c>
      <c r="BG803" s="24">
        <f t="shared" ca="1" si="666"/>
        <v>3631474.1062686522</v>
      </c>
      <c r="BH803" s="24">
        <f t="shared" ca="1" si="667"/>
        <v>319.10358433520378</v>
      </c>
      <c r="BI803">
        <f t="shared" ca="1" si="668"/>
        <v>0</v>
      </c>
      <c r="BJ803" s="24">
        <f t="shared" ca="1" si="669"/>
        <v>2233.7250903464264</v>
      </c>
      <c r="BK803">
        <f t="shared" ca="1" si="670"/>
        <v>1</v>
      </c>
      <c r="BL803" s="25">
        <f t="shared" ca="1" si="671"/>
        <v>186.14375752886883</v>
      </c>
      <c r="BM803" s="32">
        <f t="shared" ca="1" si="650"/>
        <v>12279.761077005031</v>
      </c>
      <c r="BN803" s="23">
        <f t="shared" ca="1" si="672"/>
        <v>0</v>
      </c>
      <c r="BO803" s="24">
        <f t="shared" ca="1" si="673"/>
        <v>0</v>
      </c>
      <c r="BP803" s="25">
        <f t="shared" ca="1" si="674"/>
        <v>0</v>
      </c>
      <c r="BQ803" s="34">
        <f t="shared" ca="1" si="675"/>
        <v>69853</v>
      </c>
      <c r="BR803" s="23">
        <f t="shared" ca="1" si="676"/>
        <v>12279.761077005031</v>
      </c>
      <c r="BS803" s="24">
        <f t="shared" ca="1" si="677"/>
        <v>0</v>
      </c>
      <c r="BT803" s="24">
        <f t="shared" ca="1" si="682"/>
        <v>0</v>
      </c>
      <c r="BU803" s="24">
        <f t="shared" ca="1" si="678"/>
        <v>0</v>
      </c>
      <c r="BV803" s="24">
        <f t="shared" ca="1" si="683"/>
        <v>0</v>
      </c>
      <c r="BW803" s="24">
        <f t="shared" ca="1" si="679"/>
        <v>-186.14375752886883</v>
      </c>
      <c r="BX803" s="25">
        <f t="shared" ca="1" si="684"/>
        <v>-2367.9938003064649</v>
      </c>
      <c r="BY803" s="23">
        <f t="shared" ca="1" si="651"/>
        <v>910.56665732830459</v>
      </c>
      <c r="BZ803" s="24">
        <f t="shared" ca="1" si="652"/>
        <v>0</v>
      </c>
      <c r="CA803" s="24">
        <f t="shared" ca="1" si="685"/>
        <v>0</v>
      </c>
      <c r="CB803" s="24">
        <f t="shared" ca="1" si="653"/>
        <v>0</v>
      </c>
      <c r="CC803" s="24">
        <f t="shared" ca="1" si="686"/>
        <v>0</v>
      </c>
      <c r="CD803" s="24">
        <f t="shared" ca="1" si="654"/>
        <v>-13.848085869622338</v>
      </c>
      <c r="CE803" s="25">
        <f t="shared" ca="1" si="687"/>
        <v>-179.45574301348748</v>
      </c>
      <c r="CF803" s="23">
        <f t="shared" ca="1" si="688"/>
        <v>3549998.7256792914</v>
      </c>
      <c r="CG803" s="25">
        <f t="array" aca="1" ref="CG803" ca="1">SUM(BF792:BF803/(1+inflation/100)^(AP792:AP803/12))</f>
        <v>267980.53702225385</v>
      </c>
      <c r="CH803" s="32">
        <f ca="1">IFERROR(IF(MOD(AP803-ap_months_since_start,12)=0,ap_drawdown/100*(AQ803+AV803+BA803-BC803),CH802),0)</f>
        <v>1961.7738052079296</v>
      </c>
    </row>
    <row r="804" spans="40:86" x14ac:dyDescent="0.25">
      <c r="AN804" s="32">
        <f t="shared" ca="1" si="649"/>
        <v>121.25</v>
      </c>
      <c r="AO804" s="53">
        <f t="shared" ca="1" si="680"/>
        <v>69854</v>
      </c>
      <c r="AP804" s="22">
        <v>797</v>
      </c>
      <c r="AQ804" s="32">
        <f t="shared" ca="1" si="681"/>
        <v>12279.761077005031</v>
      </c>
      <c r="AR804" s="23">
        <f t="array" aca="1" ref="AR804" ca="1">SUM(IF(lsc_start_date=AO804,lsc_amount,0))</f>
        <v>0</v>
      </c>
      <c r="AS804" s="24">
        <f t="shared" ca="1" si="655"/>
        <v>0</v>
      </c>
      <c r="AT804" s="24">
        <f t="shared" ca="1" si="656"/>
        <v>0</v>
      </c>
      <c r="AU804" s="24">
        <f t="shared" ca="1" si="657"/>
        <v>0</v>
      </c>
      <c r="AV804" s="25">
        <f t="shared" ca="1" si="658"/>
        <v>0</v>
      </c>
      <c r="AW804" s="23">
        <f t="array" aca="1" ref="AW804" ca="1">SUM(IF(rcs_start_date&lt;=AO804,1,0)*IF(rcs_end_date&gt;=AO804,1,0)*rcs_amount*(1+rcs_escalation/100)^(INT((AP804-rcs_months_since_start)/12))*IF(MOD((AP804-rcs_months_since_start),rcs_frequency)=0,1,0)*IF(rcs_frequency=13,0,1))+SUM(IF(rcs_start_date=AO804,rcs_amount,0)*IF(rcs_frequency=13,1,0))</f>
        <v>0</v>
      </c>
      <c r="AX804" s="24">
        <f t="shared" ca="1" si="659"/>
        <v>0</v>
      </c>
      <c r="AY804" s="24">
        <f t="shared" ca="1" si="660"/>
        <v>0</v>
      </c>
      <c r="AZ804" s="24">
        <f t="shared" ca="1" si="661"/>
        <v>0</v>
      </c>
      <c r="BA804" s="25">
        <f t="shared" ca="1" si="662"/>
        <v>0</v>
      </c>
      <c r="BB804" s="23">
        <f t="array" aca="1" ref="BB804" ca="1">SUM(IF(w_start_date&lt;=AO804,1,0)*IF(w_end_date&gt;=AO804,1,0)*w_amount*(1+w_escalation/100)^(INT((AP804-w_months_since_start)/12))*IF(MOD(AP804-w_months_since_start,w_frequency)=0,1,0)*IF(w_frequency=13,0,1))+SUM(IF(w_start_date=AO804,w_amount,0)*IF(w_frequency=13,1,0))</f>
        <v>0</v>
      </c>
      <c r="BC804" s="25">
        <f t="shared" ca="1" si="663"/>
        <v>0</v>
      </c>
      <c r="BD804" s="24" t="b">
        <f t="shared" ca="1" si="664"/>
        <v>1</v>
      </c>
      <c r="BE804" s="24" t="b">
        <f t="shared" ca="1" si="665"/>
        <v>1</v>
      </c>
      <c r="BF804" s="23">
        <f t="array" aca="1" ref="BF804" ca="1">SUM(IF(BD804,1,0)*IF(ap_start_date&lt;=AO804,1,0)*IF(ap_end_date&gt;=AO804,1,0)*ap_amount*(1+ap_escalation/100)^(INT((AP804-ap_months_since_start)/12))*IF(MOD(AP804-ap_months_since_start,ap_frequency)=0,1,0))</f>
        <v>302622.8421890543</v>
      </c>
      <c r="BG804" s="24">
        <f t="shared" ca="1" si="666"/>
        <v>3631474.1062686522</v>
      </c>
      <c r="BH804" s="24">
        <f t="shared" ca="1" si="667"/>
        <v>319.10358433520378</v>
      </c>
      <c r="BI804">
        <f t="shared" ca="1" si="668"/>
        <v>0</v>
      </c>
      <c r="BJ804" s="24">
        <f t="shared" ca="1" si="669"/>
        <v>2233.7250903464264</v>
      </c>
      <c r="BK804">
        <f t="shared" ca="1" si="670"/>
        <v>1</v>
      </c>
      <c r="BL804" s="25">
        <f t="shared" ca="1" si="671"/>
        <v>186.14375752886883</v>
      </c>
      <c r="BM804" s="32">
        <f t="shared" ca="1" si="650"/>
        <v>12180.779929559256</v>
      </c>
      <c r="BN804" s="23">
        <f t="shared" ca="1" si="672"/>
        <v>0</v>
      </c>
      <c r="BO804" s="24">
        <f t="shared" ca="1" si="673"/>
        <v>0</v>
      </c>
      <c r="BP804" s="25">
        <f t="shared" ca="1" si="674"/>
        <v>0</v>
      </c>
      <c r="BQ804" s="34">
        <f t="shared" ca="1" si="675"/>
        <v>69883</v>
      </c>
      <c r="BR804" s="23">
        <f t="shared" ca="1" si="676"/>
        <v>12180.779929559256</v>
      </c>
      <c r="BS804" s="24">
        <f t="shared" ca="1" si="677"/>
        <v>0</v>
      </c>
      <c r="BT804" s="24">
        <f t="shared" ca="1" si="682"/>
        <v>0</v>
      </c>
      <c r="BU804" s="24">
        <f t="shared" ca="1" si="678"/>
        <v>0</v>
      </c>
      <c r="BV804" s="24">
        <f t="shared" ca="1" si="683"/>
        <v>0</v>
      </c>
      <c r="BW804" s="24">
        <f t="shared" ca="1" si="679"/>
        <v>-186.14375752886883</v>
      </c>
      <c r="BX804" s="25">
        <f t="shared" ca="1" si="684"/>
        <v>-2348.8125560264593</v>
      </c>
      <c r="BY804" s="23">
        <f t="shared" ca="1" si="651"/>
        <v>900.27974329288929</v>
      </c>
      <c r="BZ804" s="24">
        <f t="shared" ca="1" si="652"/>
        <v>0</v>
      </c>
      <c r="CA804" s="24">
        <f t="shared" ca="1" si="685"/>
        <v>0</v>
      </c>
      <c r="CB804" s="24">
        <f t="shared" ca="1" si="653"/>
        <v>0</v>
      </c>
      <c r="CC804" s="24">
        <f t="shared" ca="1" si="686"/>
        <v>0</v>
      </c>
      <c r="CD804" s="24">
        <f t="shared" ca="1" si="654"/>
        <v>-13.802898770806687</v>
      </c>
      <c r="CE804" s="25">
        <f t="shared" ca="1" si="687"/>
        <v>-177.42440988301848</v>
      </c>
      <c r="CF804" s="23">
        <f t="shared" ca="1" si="688"/>
        <v>3561638.0657634856</v>
      </c>
      <c r="CG804" s="25">
        <f t="array" aca="1" ref="CG804" ca="1">SUM(BF793:BF804/(1+inflation/100)^(AP793:AP804/12))</f>
        <v>267980.53702225391</v>
      </c>
      <c r="CH804" s="32">
        <f ca="1">IFERROR(IF(MOD(AP804-ap_months_since_start,12)=0,ap_drawdown/100*(AQ804+AV804+BA804-BC804),CH803),0)</f>
        <v>1961.7738052079296</v>
      </c>
    </row>
    <row r="805" spans="40:86" x14ac:dyDescent="0.25">
      <c r="AN805" s="32">
        <f t="shared" ca="1" si="649"/>
        <v>121.33333333333333</v>
      </c>
      <c r="AO805" s="53">
        <f t="shared" ca="1" si="680"/>
        <v>69884</v>
      </c>
      <c r="AP805" s="22">
        <v>798</v>
      </c>
      <c r="AQ805" s="32">
        <f t="shared" ca="1" si="681"/>
        <v>12180.779929559256</v>
      </c>
      <c r="AR805" s="23">
        <f t="array" aca="1" ref="AR805" ca="1">SUM(IF(lsc_start_date=AO805,lsc_amount,0))</f>
        <v>0</v>
      </c>
      <c r="AS805" s="24">
        <f t="shared" ca="1" si="655"/>
        <v>0</v>
      </c>
      <c r="AT805" s="24">
        <f t="shared" ca="1" si="656"/>
        <v>0</v>
      </c>
      <c r="AU805" s="24">
        <f t="shared" ca="1" si="657"/>
        <v>0</v>
      </c>
      <c r="AV805" s="25">
        <f t="shared" ca="1" si="658"/>
        <v>0</v>
      </c>
      <c r="AW805" s="23">
        <f t="array" aca="1" ref="AW805" ca="1">SUM(IF(rcs_start_date&lt;=AO805,1,0)*IF(rcs_end_date&gt;=AO805,1,0)*rcs_amount*(1+rcs_escalation/100)^(INT((AP805-rcs_months_since_start)/12))*IF(MOD((AP805-rcs_months_since_start),rcs_frequency)=0,1,0)*IF(rcs_frequency=13,0,1))+SUM(IF(rcs_start_date=AO805,rcs_amount,0)*IF(rcs_frequency=13,1,0))</f>
        <v>0</v>
      </c>
      <c r="AX805" s="24">
        <f t="shared" ca="1" si="659"/>
        <v>0</v>
      </c>
      <c r="AY805" s="24">
        <f t="shared" ca="1" si="660"/>
        <v>0</v>
      </c>
      <c r="AZ805" s="24">
        <f t="shared" ca="1" si="661"/>
        <v>0</v>
      </c>
      <c r="BA805" s="25">
        <f t="shared" ca="1" si="662"/>
        <v>0</v>
      </c>
      <c r="BB805" s="23">
        <f t="array" aca="1" ref="BB805" ca="1">SUM(IF(w_start_date&lt;=AO805,1,0)*IF(w_end_date&gt;=AO805,1,0)*w_amount*(1+w_escalation/100)^(INT((AP805-w_months_since_start)/12))*IF(MOD(AP805-w_months_since_start,w_frequency)=0,1,0)*IF(w_frequency=13,0,1))+SUM(IF(w_start_date=AO805,w_amount,0)*IF(w_frequency=13,1,0))</f>
        <v>0</v>
      </c>
      <c r="BC805" s="25">
        <f t="shared" ca="1" si="663"/>
        <v>0</v>
      </c>
      <c r="BD805" s="24" t="b">
        <f t="shared" ca="1" si="664"/>
        <v>1</v>
      </c>
      <c r="BE805" s="24" t="b">
        <f t="shared" ca="1" si="665"/>
        <v>1</v>
      </c>
      <c r="BF805" s="23">
        <f t="array" aca="1" ref="BF805" ca="1">SUM(IF(BD805,1,0)*IF(ap_start_date&lt;=AO805,1,0)*IF(ap_end_date&gt;=AO805,1,0)*ap_amount*(1+ap_escalation/100)^(INT((AP805-ap_months_since_start)/12))*IF(MOD(AP805-ap_months_since_start,ap_frequency)=0,1,0))</f>
        <v>302622.8421890543</v>
      </c>
      <c r="BG805" s="24">
        <f t="shared" ca="1" si="666"/>
        <v>3631474.1062686522</v>
      </c>
      <c r="BH805" s="24">
        <f t="shared" ca="1" si="667"/>
        <v>319.10358433520378</v>
      </c>
      <c r="BI805">
        <f t="shared" ca="1" si="668"/>
        <v>0</v>
      </c>
      <c r="BJ805" s="24">
        <f t="shared" ca="1" si="669"/>
        <v>2233.7250903464264</v>
      </c>
      <c r="BK805">
        <f t="shared" ca="1" si="670"/>
        <v>1</v>
      </c>
      <c r="BL805" s="25">
        <f t="shared" ca="1" si="671"/>
        <v>186.14375752886883</v>
      </c>
      <c r="BM805" s="32">
        <f t="shared" ca="1" si="650"/>
        <v>12081.085392981639</v>
      </c>
      <c r="BN805" s="23">
        <f t="shared" ca="1" si="672"/>
        <v>0</v>
      </c>
      <c r="BO805" s="24">
        <f t="shared" ca="1" si="673"/>
        <v>0</v>
      </c>
      <c r="BP805" s="25">
        <f t="shared" ca="1" si="674"/>
        <v>0</v>
      </c>
      <c r="BQ805" s="34">
        <f t="shared" ca="1" si="675"/>
        <v>69914</v>
      </c>
      <c r="BR805" s="23">
        <f t="shared" ca="1" si="676"/>
        <v>12081.085392981639</v>
      </c>
      <c r="BS805" s="24">
        <f t="shared" ca="1" si="677"/>
        <v>0</v>
      </c>
      <c r="BT805" s="24">
        <f t="shared" ca="1" si="682"/>
        <v>0</v>
      </c>
      <c r="BU805" s="24">
        <f t="shared" ca="1" si="678"/>
        <v>0</v>
      </c>
      <c r="BV805" s="24">
        <f t="shared" ca="1" si="683"/>
        <v>0</v>
      </c>
      <c r="BW805" s="24">
        <f t="shared" ca="1" si="679"/>
        <v>-186.14375752886883</v>
      </c>
      <c r="BX805" s="25">
        <f t="shared" ca="1" si="684"/>
        <v>-2329.6313117464533</v>
      </c>
      <c r="BY805" s="23">
        <f t="shared" ca="1" si="651"/>
        <v>889.99771309942662</v>
      </c>
      <c r="BZ805" s="24">
        <f t="shared" ca="1" si="652"/>
        <v>0</v>
      </c>
      <c r="CA805" s="24">
        <f t="shared" ca="1" si="685"/>
        <v>0</v>
      </c>
      <c r="CB805" s="24">
        <f t="shared" ca="1" si="653"/>
        <v>0</v>
      </c>
      <c r="CC805" s="24">
        <f t="shared" ca="1" si="686"/>
        <v>0</v>
      </c>
      <c r="CD805" s="24">
        <f t="shared" ca="1" si="654"/>
        <v>-13.757859120087359</v>
      </c>
      <c r="CE805" s="25">
        <f t="shared" ca="1" si="687"/>
        <v>-175.39970510911502</v>
      </c>
      <c r="CF805" s="23">
        <f t="shared" ca="1" si="688"/>
        <v>3573277.4058476803</v>
      </c>
      <c r="CG805" s="25">
        <f t="array" aca="1" ref="CG805" ca="1">SUM(BF794:BF805/(1+inflation/100)^(AP794:AP805/12))</f>
        <v>267980.53702225385</v>
      </c>
      <c r="CH805" s="32">
        <f ca="1">IFERROR(IF(MOD(AP805-ap_months_since_start,12)=0,ap_drawdown/100*(AQ805+AV805+BA805-BC805),CH804),0)</f>
        <v>1961.7738052079296</v>
      </c>
    </row>
    <row r="806" spans="40:86" x14ac:dyDescent="0.25">
      <c r="AN806" s="32">
        <f t="shared" ca="1" si="649"/>
        <v>121.41666666666667</v>
      </c>
      <c r="AO806" s="53">
        <f t="shared" ca="1" si="680"/>
        <v>69915</v>
      </c>
      <c r="AP806" s="22">
        <v>799</v>
      </c>
      <c r="AQ806" s="32">
        <f t="shared" ca="1" si="681"/>
        <v>12081.085392981639</v>
      </c>
      <c r="AR806" s="23">
        <f t="array" aca="1" ref="AR806" ca="1">SUM(IF(lsc_start_date=AO806,lsc_amount,0))</f>
        <v>0</v>
      </c>
      <c r="AS806" s="24">
        <f t="shared" ca="1" si="655"/>
        <v>0</v>
      </c>
      <c r="AT806" s="24">
        <f t="shared" ca="1" si="656"/>
        <v>0</v>
      </c>
      <c r="AU806" s="24">
        <f t="shared" ca="1" si="657"/>
        <v>0</v>
      </c>
      <c r="AV806" s="25">
        <f t="shared" ca="1" si="658"/>
        <v>0</v>
      </c>
      <c r="AW806" s="23">
        <f t="array" aca="1" ref="AW806" ca="1">SUM(IF(rcs_start_date&lt;=AO806,1,0)*IF(rcs_end_date&gt;=AO806,1,0)*rcs_amount*(1+rcs_escalation/100)^(INT((AP806-rcs_months_since_start)/12))*IF(MOD((AP806-rcs_months_since_start),rcs_frequency)=0,1,0)*IF(rcs_frequency=13,0,1))+SUM(IF(rcs_start_date=AO806,rcs_amount,0)*IF(rcs_frequency=13,1,0))</f>
        <v>0</v>
      </c>
      <c r="AX806" s="24">
        <f t="shared" ca="1" si="659"/>
        <v>0</v>
      </c>
      <c r="AY806" s="24">
        <f t="shared" ca="1" si="660"/>
        <v>0</v>
      </c>
      <c r="AZ806" s="24">
        <f t="shared" ca="1" si="661"/>
        <v>0</v>
      </c>
      <c r="BA806" s="25">
        <f t="shared" ca="1" si="662"/>
        <v>0</v>
      </c>
      <c r="BB806" s="23">
        <f t="array" aca="1" ref="BB806" ca="1">SUM(IF(w_start_date&lt;=AO806,1,0)*IF(w_end_date&gt;=AO806,1,0)*w_amount*(1+w_escalation/100)^(INT((AP806-w_months_since_start)/12))*IF(MOD(AP806-w_months_since_start,w_frequency)=0,1,0)*IF(w_frequency=13,0,1))+SUM(IF(w_start_date=AO806,w_amount,0)*IF(w_frequency=13,1,0))</f>
        <v>0</v>
      </c>
      <c r="BC806" s="25">
        <f t="shared" ca="1" si="663"/>
        <v>0</v>
      </c>
      <c r="BD806" s="24" t="b">
        <f t="shared" ca="1" si="664"/>
        <v>1</v>
      </c>
      <c r="BE806" s="24" t="b">
        <f t="shared" ca="1" si="665"/>
        <v>1</v>
      </c>
      <c r="BF806" s="23">
        <f t="array" aca="1" ref="BF806" ca="1">SUM(IF(BD806,1,0)*IF(ap_start_date&lt;=AO806,1,0)*IF(ap_end_date&gt;=AO806,1,0)*ap_amount*(1+ap_escalation/100)^(INT((AP806-ap_months_since_start)/12))*IF(MOD(AP806-ap_months_since_start,ap_frequency)=0,1,0))</f>
        <v>302622.8421890543</v>
      </c>
      <c r="BG806" s="24">
        <f t="shared" ca="1" si="666"/>
        <v>3631474.1062686522</v>
      </c>
      <c r="BH806" s="24">
        <f t="shared" ca="1" si="667"/>
        <v>319.10358433520378</v>
      </c>
      <c r="BI806">
        <f t="shared" ca="1" si="668"/>
        <v>0</v>
      </c>
      <c r="BJ806" s="24">
        <f t="shared" ca="1" si="669"/>
        <v>2233.7250903464264</v>
      </c>
      <c r="BK806">
        <f t="shared" ca="1" si="670"/>
        <v>1</v>
      </c>
      <c r="BL806" s="25">
        <f t="shared" ca="1" si="671"/>
        <v>186.14375752886883</v>
      </c>
      <c r="BM806" s="32">
        <f t="shared" ca="1" si="650"/>
        <v>11980.672325646054</v>
      </c>
      <c r="BN806" s="23">
        <f t="shared" ca="1" si="672"/>
        <v>0</v>
      </c>
      <c r="BO806" s="24">
        <f t="shared" ca="1" si="673"/>
        <v>0</v>
      </c>
      <c r="BP806" s="25">
        <f t="shared" ca="1" si="674"/>
        <v>0</v>
      </c>
      <c r="BQ806" s="34">
        <f t="shared" ca="1" si="675"/>
        <v>69944</v>
      </c>
      <c r="BR806" s="23">
        <f t="shared" ca="1" si="676"/>
        <v>11980.672325646054</v>
      </c>
      <c r="BS806" s="24">
        <f t="shared" ca="1" si="677"/>
        <v>0</v>
      </c>
      <c r="BT806" s="24">
        <f t="shared" ca="1" si="682"/>
        <v>0</v>
      </c>
      <c r="BU806" s="24">
        <f t="shared" ca="1" si="678"/>
        <v>0</v>
      </c>
      <c r="BV806" s="24">
        <f t="shared" ca="1" si="683"/>
        <v>0</v>
      </c>
      <c r="BW806" s="24">
        <f t="shared" ca="1" si="679"/>
        <v>-186.14375752886883</v>
      </c>
      <c r="BX806" s="25">
        <f t="shared" ca="1" si="684"/>
        <v>-2310.4500674664478</v>
      </c>
      <c r="BY806" s="23">
        <f t="shared" ca="1" si="651"/>
        <v>879.72043835304407</v>
      </c>
      <c r="BZ806" s="24">
        <f t="shared" ca="1" si="652"/>
        <v>0</v>
      </c>
      <c r="CA806" s="24">
        <f t="shared" ca="1" si="685"/>
        <v>0</v>
      </c>
      <c r="CB806" s="24">
        <f t="shared" ca="1" si="653"/>
        <v>0</v>
      </c>
      <c r="CC806" s="24">
        <f t="shared" ca="1" si="686"/>
        <v>0</v>
      </c>
      <c r="CD806" s="24">
        <f t="shared" ca="1" si="654"/>
        <v>-13.712966436332781</v>
      </c>
      <c r="CE806" s="25">
        <f t="shared" ca="1" si="687"/>
        <v>-173.38160706306931</v>
      </c>
      <c r="CF806" s="23">
        <f t="shared" ca="1" si="688"/>
        <v>3584916.7459318745</v>
      </c>
      <c r="CG806" s="25">
        <f t="array" aca="1" ref="CG806" ca="1">SUM(BF795:BF806/(1+inflation/100)^(AP795:AP806/12))</f>
        <v>267980.53702225385</v>
      </c>
      <c r="CH806" s="32">
        <f ca="1">IFERROR(IF(MOD(AP806-ap_months_since_start,12)=0,ap_drawdown/100*(AQ806+AV806+BA806-BC806),CH805),0)</f>
        <v>1961.7738052079296</v>
      </c>
    </row>
    <row r="807" spans="40:86" x14ac:dyDescent="0.25">
      <c r="AN807" s="32">
        <f t="shared" ca="1" si="649"/>
        <v>121.5</v>
      </c>
      <c r="AO807" s="53">
        <f t="shared" ca="1" si="680"/>
        <v>69945</v>
      </c>
      <c r="AP807" s="22">
        <v>800</v>
      </c>
      <c r="AQ807" s="32">
        <f t="shared" ca="1" si="681"/>
        <v>11980.672325646054</v>
      </c>
      <c r="AR807" s="23">
        <f t="array" aca="1" ref="AR807" ca="1">SUM(IF(lsc_start_date=AO807,lsc_amount,0))</f>
        <v>0</v>
      </c>
      <c r="AS807" s="24">
        <f t="shared" ca="1" si="655"/>
        <v>0</v>
      </c>
      <c r="AT807" s="24">
        <f t="shared" ca="1" si="656"/>
        <v>0</v>
      </c>
      <c r="AU807" s="24">
        <f t="shared" ca="1" si="657"/>
        <v>0</v>
      </c>
      <c r="AV807" s="25">
        <f t="shared" ca="1" si="658"/>
        <v>0</v>
      </c>
      <c r="AW807" s="23">
        <f t="array" aca="1" ref="AW807" ca="1">SUM(IF(rcs_start_date&lt;=AO807,1,0)*IF(rcs_end_date&gt;=AO807,1,0)*rcs_amount*(1+rcs_escalation/100)^(INT((AP807-rcs_months_since_start)/12))*IF(MOD((AP807-rcs_months_since_start),rcs_frequency)=0,1,0)*IF(rcs_frequency=13,0,1))+SUM(IF(rcs_start_date=AO807,rcs_amount,0)*IF(rcs_frequency=13,1,0))</f>
        <v>0</v>
      </c>
      <c r="AX807" s="24">
        <f t="shared" ca="1" si="659"/>
        <v>0</v>
      </c>
      <c r="AY807" s="24">
        <f t="shared" ca="1" si="660"/>
        <v>0</v>
      </c>
      <c r="AZ807" s="24">
        <f t="shared" ca="1" si="661"/>
        <v>0</v>
      </c>
      <c r="BA807" s="25">
        <f t="shared" ca="1" si="662"/>
        <v>0</v>
      </c>
      <c r="BB807" s="23">
        <f t="array" aca="1" ref="BB807" ca="1">SUM(IF(w_start_date&lt;=AO807,1,0)*IF(w_end_date&gt;=AO807,1,0)*w_amount*(1+w_escalation/100)^(INT((AP807-w_months_since_start)/12))*IF(MOD(AP807-w_months_since_start,w_frequency)=0,1,0)*IF(w_frequency=13,0,1))+SUM(IF(w_start_date=AO807,w_amount,0)*IF(w_frequency=13,1,0))</f>
        <v>0</v>
      </c>
      <c r="BC807" s="25">
        <f t="shared" ca="1" si="663"/>
        <v>0</v>
      </c>
      <c r="BD807" s="24" t="b">
        <f t="shared" ca="1" si="664"/>
        <v>1</v>
      </c>
      <c r="BE807" s="24" t="b">
        <f t="shared" ca="1" si="665"/>
        <v>1</v>
      </c>
      <c r="BF807" s="23">
        <f t="array" aca="1" ref="BF807" ca="1">SUM(IF(BD807,1,0)*IF(ap_start_date&lt;=AO807,1,0)*IF(ap_end_date&gt;=AO807,1,0)*ap_amount*(1+ap_escalation/100)^(INT((AP807-ap_months_since_start)/12))*IF(MOD(AP807-ap_months_since_start,ap_frequency)=0,1,0))</f>
        <v>302622.8421890543</v>
      </c>
      <c r="BG807" s="24">
        <f t="shared" ca="1" si="666"/>
        <v>3631474.1062686522</v>
      </c>
      <c r="BH807" s="24">
        <f t="shared" ca="1" si="667"/>
        <v>319.10358433520378</v>
      </c>
      <c r="BI807">
        <f t="shared" ca="1" si="668"/>
        <v>0</v>
      </c>
      <c r="BJ807" s="24">
        <f t="shared" ca="1" si="669"/>
        <v>2233.7250903464264</v>
      </c>
      <c r="BK807">
        <f t="shared" ca="1" si="670"/>
        <v>1</v>
      </c>
      <c r="BL807" s="25">
        <f t="shared" ca="1" si="671"/>
        <v>186.14375752886883</v>
      </c>
      <c r="BM807" s="32">
        <f t="shared" ca="1" si="650"/>
        <v>11879.535548869017</v>
      </c>
      <c r="BN807" s="23">
        <f t="shared" ca="1" si="672"/>
        <v>0</v>
      </c>
      <c r="BO807" s="24">
        <f t="shared" ca="1" si="673"/>
        <v>0</v>
      </c>
      <c r="BP807" s="25">
        <f t="shared" ca="1" si="674"/>
        <v>0</v>
      </c>
      <c r="BQ807" s="34">
        <f t="shared" ca="1" si="675"/>
        <v>69975</v>
      </c>
      <c r="BR807" s="23">
        <f t="shared" ca="1" si="676"/>
        <v>11879.535548869017</v>
      </c>
      <c r="BS807" s="24">
        <f t="shared" ca="1" si="677"/>
        <v>0</v>
      </c>
      <c r="BT807" s="24">
        <f t="shared" ca="1" si="682"/>
        <v>0</v>
      </c>
      <c r="BU807" s="24">
        <f t="shared" ca="1" si="678"/>
        <v>0</v>
      </c>
      <c r="BV807" s="24">
        <f t="shared" ca="1" si="683"/>
        <v>0</v>
      </c>
      <c r="BW807" s="24">
        <f t="shared" ca="1" si="679"/>
        <v>-186.14375752886883</v>
      </c>
      <c r="BX807" s="25">
        <f t="shared" ca="1" si="684"/>
        <v>-2291.2688231864422</v>
      </c>
      <c r="BY807" s="23">
        <f t="shared" ca="1" si="651"/>
        <v>869.44779063690771</v>
      </c>
      <c r="BZ807" s="24">
        <f t="shared" ca="1" si="652"/>
        <v>0</v>
      </c>
      <c r="CA807" s="24">
        <f t="shared" ca="1" si="685"/>
        <v>0</v>
      </c>
      <c r="CB807" s="24">
        <f t="shared" ca="1" si="653"/>
        <v>0</v>
      </c>
      <c r="CC807" s="24">
        <f t="shared" ca="1" si="686"/>
        <v>0</v>
      </c>
      <c r="CD807" s="24">
        <f t="shared" ca="1" si="654"/>
        <v>-13.668220239981302</v>
      </c>
      <c r="CE807" s="25">
        <f t="shared" ca="1" si="687"/>
        <v>-171.37009418674921</v>
      </c>
      <c r="CF807" s="23">
        <f t="shared" ca="1" si="688"/>
        <v>3596556.0860160692</v>
      </c>
      <c r="CG807" s="25">
        <f t="array" aca="1" ref="CG807" ca="1">SUM(BF796:BF807/(1+inflation/100)^(AP796:AP807/12))</f>
        <v>267980.53702225385</v>
      </c>
      <c r="CH807" s="32">
        <f ca="1">IFERROR(IF(MOD(AP807-ap_months_since_start,12)=0,ap_drawdown/100*(AQ807+AV807+BA807-BC807),CH806),0)</f>
        <v>1961.7738052079296</v>
      </c>
    </row>
    <row r="808" spans="40:86" x14ac:dyDescent="0.25">
      <c r="AN808" s="32">
        <f t="shared" ca="1" si="649"/>
        <v>121.58333333333333</v>
      </c>
      <c r="AO808" s="53">
        <f t="shared" ca="1" si="680"/>
        <v>69976</v>
      </c>
      <c r="AP808" s="22">
        <v>801</v>
      </c>
      <c r="AQ808" s="32">
        <f t="shared" ca="1" si="681"/>
        <v>11879.535548869017</v>
      </c>
      <c r="AR808" s="23">
        <f t="array" aca="1" ref="AR808" ca="1">SUM(IF(lsc_start_date=AO808,lsc_amount,0))</f>
        <v>0</v>
      </c>
      <c r="AS808" s="24">
        <f t="shared" ca="1" si="655"/>
        <v>0</v>
      </c>
      <c r="AT808" s="24">
        <f t="shared" ca="1" si="656"/>
        <v>0</v>
      </c>
      <c r="AU808" s="24">
        <f t="shared" ca="1" si="657"/>
        <v>0</v>
      </c>
      <c r="AV808" s="25">
        <f t="shared" ca="1" si="658"/>
        <v>0</v>
      </c>
      <c r="AW808" s="23">
        <f t="array" aca="1" ref="AW808" ca="1">SUM(IF(rcs_start_date&lt;=AO808,1,0)*IF(rcs_end_date&gt;=AO808,1,0)*rcs_amount*(1+rcs_escalation/100)^(INT((AP808-rcs_months_since_start)/12))*IF(MOD((AP808-rcs_months_since_start),rcs_frequency)=0,1,0)*IF(rcs_frequency=13,0,1))+SUM(IF(rcs_start_date=AO808,rcs_amount,0)*IF(rcs_frequency=13,1,0))</f>
        <v>0</v>
      </c>
      <c r="AX808" s="24">
        <f t="shared" ca="1" si="659"/>
        <v>0</v>
      </c>
      <c r="AY808" s="24">
        <f t="shared" ca="1" si="660"/>
        <v>0</v>
      </c>
      <c r="AZ808" s="24">
        <f t="shared" ca="1" si="661"/>
        <v>0</v>
      </c>
      <c r="BA808" s="25">
        <f t="shared" ca="1" si="662"/>
        <v>0</v>
      </c>
      <c r="BB808" s="23">
        <f t="array" aca="1" ref="BB808" ca="1">SUM(IF(w_start_date&lt;=AO808,1,0)*IF(w_end_date&gt;=AO808,1,0)*w_amount*(1+w_escalation/100)^(INT((AP808-w_months_since_start)/12))*IF(MOD(AP808-w_months_since_start,w_frequency)=0,1,0)*IF(w_frequency=13,0,1))+SUM(IF(w_start_date=AO808,w_amount,0)*IF(w_frequency=13,1,0))</f>
        <v>0</v>
      </c>
      <c r="BC808" s="25">
        <f t="shared" ca="1" si="663"/>
        <v>0</v>
      </c>
      <c r="BD808" s="24" t="b">
        <f t="shared" ca="1" si="664"/>
        <v>1</v>
      </c>
      <c r="BE808" s="24" t="b">
        <f t="shared" ca="1" si="665"/>
        <v>1</v>
      </c>
      <c r="BF808" s="23">
        <f t="array" aca="1" ref="BF808" ca="1">SUM(IF(BD808,1,0)*IF(ap_start_date&lt;=AO808,1,0)*IF(ap_end_date&gt;=AO808,1,0)*ap_amount*(1+ap_escalation/100)^(INT((AP808-ap_months_since_start)/12))*IF(MOD(AP808-ap_months_since_start,ap_frequency)=0,1,0))</f>
        <v>302622.8421890543</v>
      </c>
      <c r="BG808" s="24">
        <f t="shared" ca="1" si="666"/>
        <v>3631474.1062686522</v>
      </c>
      <c r="BH808" s="24">
        <f t="shared" ca="1" si="667"/>
        <v>319.10358433520378</v>
      </c>
      <c r="BI808">
        <f t="shared" ca="1" si="668"/>
        <v>0</v>
      </c>
      <c r="BJ808" s="24">
        <f t="shared" ca="1" si="669"/>
        <v>2233.7250903464264</v>
      </c>
      <c r="BK808">
        <f t="shared" ca="1" si="670"/>
        <v>1</v>
      </c>
      <c r="BL808" s="25">
        <f t="shared" ca="1" si="671"/>
        <v>186.14375752886883</v>
      </c>
      <c r="BM808" s="32">
        <f t="shared" ca="1" si="650"/>
        <v>11777.669846642595</v>
      </c>
      <c r="BN808" s="23">
        <f t="shared" ca="1" si="672"/>
        <v>0</v>
      </c>
      <c r="BO808" s="24">
        <f t="shared" ca="1" si="673"/>
        <v>0</v>
      </c>
      <c r="BP808" s="25">
        <f t="shared" ca="1" si="674"/>
        <v>0</v>
      </c>
      <c r="BQ808" s="34">
        <f t="shared" ca="1" si="675"/>
        <v>70006</v>
      </c>
      <c r="BR808" s="23">
        <f t="shared" ca="1" si="676"/>
        <v>11777.669846642595</v>
      </c>
      <c r="BS808" s="24">
        <f t="shared" ca="1" si="677"/>
        <v>0</v>
      </c>
      <c r="BT808" s="24">
        <f t="shared" ca="1" si="682"/>
        <v>0</v>
      </c>
      <c r="BU808" s="24">
        <f t="shared" ca="1" si="678"/>
        <v>0</v>
      </c>
      <c r="BV808" s="24">
        <f t="shared" ca="1" si="683"/>
        <v>0</v>
      </c>
      <c r="BW808" s="24">
        <f t="shared" ca="1" si="679"/>
        <v>-186.14375752886883</v>
      </c>
      <c r="BX808" s="25">
        <f t="shared" ca="1" si="684"/>
        <v>-2272.0875789064366</v>
      </c>
      <c r="BY808" s="23">
        <f t="shared" ca="1" si="651"/>
        <v>859.17964151056583</v>
      </c>
      <c r="BZ808" s="24">
        <f t="shared" ca="1" si="652"/>
        <v>0</v>
      </c>
      <c r="CA808" s="24">
        <f t="shared" ca="1" si="685"/>
        <v>0</v>
      </c>
      <c r="CB808" s="24">
        <f t="shared" ca="1" si="653"/>
        <v>0</v>
      </c>
      <c r="CC808" s="24">
        <f t="shared" ca="1" si="686"/>
        <v>0</v>
      </c>
      <c r="CD808" s="24">
        <f t="shared" ca="1" si="654"/>
        <v>-13.62362005303611</v>
      </c>
      <c r="CE808" s="25">
        <f t="shared" ca="1" si="687"/>
        <v>-169.36514499236804</v>
      </c>
      <c r="CF808" s="23">
        <f t="shared" ca="1" si="688"/>
        <v>3608195.4261002634</v>
      </c>
      <c r="CG808" s="25">
        <f t="array" aca="1" ref="CG808" ca="1">SUM(BF797:BF808/(1+inflation/100)^(AP797:AP808/12))</f>
        <v>267980.53702225385</v>
      </c>
      <c r="CH808" s="32">
        <f ca="1">IFERROR(IF(MOD(AP808-ap_months_since_start,12)=0,ap_drawdown/100*(AQ808+AV808+BA808-BC808),CH807),0)</f>
        <v>1961.7738052079296</v>
      </c>
    </row>
    <row r="809" spans="40:86" x14ac:dyDescent="0.25">
      <c r="AN809" s="32">
        <f t="shared" ca="1" si="649"/>
        <v>121.66666666666667</v>
      </c>
      <c r="AO809" s="53">
        <f t="shared" ca="1" si="680"/>
        <v>70007</v>
      </c>
      <c r="AP809" s="22">
        <v>802</v>
      </c>
      <c r="AQ809" s="32">
        <f t="shared" ca="1" si="681"/>
        <v>11777.669846642595</v>
      </c>
      <c r="AR809" s="23">
        <f t="array" aca="1" ref="AR809" ca="1">SUM(IF(lsc_start_date=AO809,lsc_amount,0))</f>
        <v>0</v>
      </c>
      <c r="AS809" s="24">
        <f t="shared" ca="1" si="655"/>
        <v>0</v>
      </c>
      <c r="AT809" s="24">
        <f t="shared" ca="1" si="656"/>
        <v>0</v>
      </c>
      <c r="AU809" s="24">
        <f t="shared" ca="1" si="657"/>
        <v>0</v>
      </c>
      <c r="AV809" s="25">
        <f t="shared" ca="1" si="658"/>
        <v>0</v>
      </c>
      <c r="AW809" s="23">
        <f t="array" aca="1" ref="AW809" ca="1">SUM(IF(rcs_start_date&lt;=AO809,1,0)*IF(rcs_end_date&gt;=AO809,1,0)*rcs_amount*(1+rcs_escalation/100)^(INT((AP809-rcs_months_since_start)/12))*IF(MOD((AP809-rcs_months_since_start),rcs_frequency)=0,1,0)*IF(rcs_frequency=13,0,1))+SUM(IF(rcs_start_date=AO809,rcs_amount,0)*IF(rcs_frequency=13,1,0))</f>
        <v>0</v>
      </c>
      <c r="AX809" s="24">
        <f t="shared" ca="1" si="659"/>
        <v>0</v>
      </c>
      <c r="AY809" s="24">
        <f t="shared" ca="1" si="660"/>
        <v>0</v>
      </c>
      <c r="AZ809" s="24">
        <f t="shared" ca="1" si="661"/>
        <v>0</v>
      </c>
      <c r="BA809" s="25">
        <f t="shared" ca="1" si="662"/>
        <v>0</v>
      </c>
      <c r="BB809" s="23">
        <f t="array" aca="1" ref="BB809" ca="1">SUM(IF(w_start_date&lt;=AO809,1,0)*IF(w_end_date&gt;=AO809,1,0)*w_amount*(1+w_escalation/100)^(INT((AP809-w_months_since_start)/12))*IF(MOD(AP809-w_months_since_start,w_frequency)=0,1,0)*IF(w_frequency=13,0,1))+SUM(IF(w_start_date=AO809,w_amount,0)*IF(w_frequency=13,1,0))</f>
        <v>0</v>
      </c>
      <c r="BC809" s="25">
        <f t="shared" ca="1" si="663"/>
        <v>0</v>
      </c>
      <c r="BD809" s="24" t="b">
        <f t="shared" ca="1" si="664"/>
        <v>1</v>
      </c>
      <c r="BE809" s="24" t="b">
        <f t="shared" ca="1" si="665"/>
        <v>1</v>
      </c>
      <c r="BF809" s="23">
        <f t="array" aca="1" ref="BF809" ca="1">SUM(IF(BD809,1,0)*IF(ap_start_date&lt;=AO809,1,0)*IF(ap_end_date&gt;=AO809,1,0)*ap_amount*(1+ap_escalation/100)^(INT((AP809-ap_months_since_start)/12))*IF(MOD(AP809-ap_months_since_start,ap_frequency)=0,1,0))</f>
        <v>302622.8421890543</v>
      </c>
      <c r="BG809" s="24">
        <f t="shared" ca="1" si="666"/>
        <v>3631474.1062686522</v>
      </c>
      <c r="BH809" s="24">
        <f t="shared" ca="1" si="667"/>
        <v>319.10358433520378</v>
      </c>
      <c r="BI809">
        <f t="shared" ca="1" si="668"/>
        <v>0</v>
      </c>
      <c r="BJ809" s="24">
        <f t="shared" ca="1" si="669"/>
        <v>2233.7250903464264</v>
      </c>
      <c r="BK809">
        <f t="shared" ca="1" si="670"/>
        <v>1</v>
      </c>
      <c r="BL809" s="25">
        <f t="shared" ca="1" si="671"/>
        <v>186.14375752886883</v>
      </c>
      <c r="BM809" s="32">
        <f t="shared" ca="1" si="650"/>
        <v>11675.069965365403</v>
      </c>
      <c r="BN809" s="23">
        <f t="shared" ca="1" si="672"/>
        <v>0</v>
      </c>
      <c r="BO809" s="24">
        <f t="shared" ca="1" si="673"/>
        <v>0</v>
      </c>
      <c r="BP809" s="25">
        <f t="shared" ca="1" si="674"/>
        <v>0</v>
      </c>
      <c r="BQ809" s="34">
        <f t="shared" ca="1" si="675"/>
        <v>70036</v>
      </c>
      <c r="BR809" s="23">
        <f t="shared" ca="1" si="676"/>
        <v>11675.069965365403</v>
      </c>
      <c r="BS809" s="24">
        <f t="shared" ca="1" si="677"/>
        <v>0</v>
      </c>
      <c r="BT809" s="24">
        <f t="shared" ca="1" si="682"/>
        <v>0</v>
      </c>
      <c r="BU809" s="24">
        <f t="shared" ca="1" si="678"/>
        <v>0</v>
      </c>
      <c r="BV809" s="24">
        <f t="shared" ca="1" si="683"/>
        <v>0</v>
      </c>
      <c r="BW809" s="24">
        <f t="shared" ca="1" si="679"/>
        <v>-186.14375752886883</v>
      </c>
      <c r="BX809" s="25">
        <f t="shared" ca="1" si="684"/>
        <v>-2252.9063346264311</v>
      </c>
      <c r="BY809" s="23">
        <f t="shared" ca="1" si="651"/>
        <v>848.91586250828766</v>
      </c>
      <c r="BZ809" s="24">
        <f t="shared" ca="1" si="652"/>
        <v>0</v>
      </c>
      <c r="CA809" s="24">
        <f t="shared" ca="1" si="685"/>
        <v>0</v>
      </c>
      <c r="CB809" s="24">
        <f t="shared" ca="1" si="653"/>
        <v>0</v>
      </c>
      <c r="CC809" s="24">
        <f t="shared" ca="1" si="686"/>
        <v>0</v>
      </c>
      <c r="CD809" s="24">
        <f t="shared" ca="1" si="654"/>
        <v>-13.579165399060154</v>
      </c>
      <c r="CE809" s="25">
        <f t="shared" ca="1" si="687"/>
        <v>-167.366738062255</v>
      </c>
      <c r="CF809" s="23">
        <f t="shared" ca="1" si="688"/>
        <v>3619834.766184458</v>
      </c>
      <c r="CG809" s="25">
        <f t="array" aca="1" ref="CG809" ca="1">SUM(BF798:BF809/(1+inflation/100)^(AP798:AP809/12))</f>
        <v>267980.53702225385</v>
      </c>
      <c r="CH809" s="32">
        <f ca="1">IFERROR(IF(MOD(AP809-ap_months_since_start,12)=0,ap_drawdown/100*(AQ809+AV809+BA809-BC809),CH808),0)</f>
        <v>1961.7738052079296</v>
      </c>
    </row>
    <row r="810" spans="40:86" x14ac:dyDescent="0.25">
      <c r="AN810" s="32">
        <f t="shared" ca="1" si="649"/>
        <v>121.75</v>
      </c>
      <c r="AO810" s="53">
        <f t="shared" ca="1" si="680"/>
        <v>70037</v>
      </c>
      <c r="AP810" s="22">
        <v>803</v>
      </c>
      <c r="AQ810" s="32">
        <f t="shared" ca="1" si="681"/>
        <v>11675.069965365403</v>
      </c>
      <c r="AR810" s="23">
        <f t="array" aca="1" ref="AR810" ca="1">SUM(IF(lsc_start_date=AO810,lsc_amount,0))</f>
        <v>0</v>
      </c>
      <c r="AS810" s="24">
        <f t="shared" ca="1" si="655"/>
        <v>0</v>
      </c>
      <c r="AT810" s="24">
        <f t="shared" ca="1" si="656"/>
        <v>0</v>
      </c>
      <c r="AU810" s="24">
        <f t="shared" ca="1" si="657"/>
        <v>0</v>
      </c>
      <c r="AV810" s="25">
        <f t="shared" ca="1" si="658"/>
        <v>0</v>
      </c>
      <c r="AW810" s="23">
        <f t="array" aca="1" ref="AW810" ca="1">SUM(IF(rcs_start_date&lt;=AO810,1,0)*IF(rcs_end_date&gt;=AO810,1,0)*rcs_amount*(1+rcs_escalation/100)^(INT((AP810-rcs_months_since_start)/12))*IF(MOD((AP810-rcs_months_since_start),rcs_frequency)=0,1,0)*IF(rcs_frequency=13,0,1))+SUM(IF(rcs_start_date=AO810,rcs_amount,0)*IF(rcs_frequency=13,1,0))</f>
        <v>0</v>
      </c>
      <c r="AX810" s="24">
        <f t="shared" ca="1" si="659"/>
        <v>0</v>
      </c>
      <c r="AY810" s="24">
        <f t="shared" ca="1" si="660"/>
        <v>0</v>
      </c>
      <c r="AZ810" s="24">
        <f t="shared" ca="1" si="661"/>
        <v>0</v>
      </c>
      <c r="BA810" s="25">
        <f t="shared" ca="1" si="662"/>
        <v>0</v>
      </c>
      <c r="BB810" s="23">
        <f t="array" aca="1" ref="BB810" ca="1">SUM(IF(w_start_date&lt;=AO810,1,0)*IF(w_end_date&gt;=AO810,1,0)*w_amount*(1+w_escalation/100)^(INT((AP810-w_months_since_start)/12))*IF(MOD(AP810-w_months_since_start,w_frequency)=0,1,0)*IF(w_frequency=13,0,1))+SUM(IF(w_start_date=AO810,w_amount,0)*IF(w_frequency=13,1,0))</f>
        <v>0</v>
      </c>
      <c r="BC810" s="25">
        <f t="shared" ca="1" si="663"/>
        <v>0</v>
      </c>
      <c r="BD810" s="24" t="b">
        <f t="shared" ca="1" si="664"/>
        <v>1</v>
      </c>
      <c r="BE810" s="24" t="b">
        <f t="shared" ca="1" si="665"/>
        <v>1</v>
      </c>
      <c r="BF810" s="23">
        <f t="array" aca="1" ref="BF810" ca="1">SUM(IF(BD810,1,0)*IF(ap_start_date&lt;=AO810,1,0)*IF(ap_end_date&gt;=AO810,1,0)*ap_amount*(1+ap_escalation/100)^(INT((AP810-ap_months_since_start)/12))*IF(MOD(AP810-ap_months_since_start,ap_frequency)=0,1,0))</f>
        <v>302622.8421890543</v>
      </c>
      <c r="BG810" s="24">
        <f t="shared" ca="1" si="666"/>
        <v>3631474.1062686522</v>
      </c>
      <c r="BH810" s="24">
        <f t="shared" ca="1" si="667"/>
        <v>319.10358433520378</v>
      </c>
      <c r="BI810">
        <f t="shared" ca="1" si="668"/>
        <v>0</v>
      </c>
      <c r="BJ810" s="24">
        <f t="shared" ca="1" si="669"/>
        <v>2233.7250903464264</v>
      </c>
      <c r="BK810">
        <f t="shared" ca="1" si="670"/>
        <v>1</v>
      </c>
      <c r="BL810" s="25">
        <f t="shared" ca="1" si="671"/>
        <v>186.14375752886883</v>
      </c>
      <c r="BM810" s="32">
        <f t="shared" ca="1" si="650"/>
        <v>11571.730613571648</v>
      </c>
      <c r="BN810" s="23">
        <f t="shared" ca="1" si="672"/>
        <v>0</v>
      </c>
      <c r="BO810" s="24">
        <f t="shared" ca="1" si="673"/>
        <v>0</v>
      </c>
      <c r="BP810" s="25">
        <f t="shared" ca="1" si="674"/>
        <v>0</v>
      </c>
      <c r="BQ810" s="34">
        <f t="shared" ca="1" si="675"/>
        <v>70067</v>
      </c>
      <c r="BR810" s="23">
        <f t="shared" ca="1" si="676"/>
        <v>11571.730613571648</v>
      </c>
      <c r="BS810" s="24">
        <f t="shared" ca="1" si="677"/>
        <v>0</v>
      </c>
      <c r="BT810" s="24">
        <f t="shared" ca="1" si="682"/>
        <v>0</v>
      </c>
      <c r="BU810" s="24">
        <f t="shared" ca="1" si="678"/>
        <v>0</v>
      </c>
      <c r="BV810" s="24">
        <f t="shared" ca="1" si="683"/>
        <v>0</v>
      </c>
      <c r="BW810" s="24">
        <f t="shared" ca="1" si="679"/>
        <v>-186.14375752886883</v>
      </c>
      <c r="BX810" s="25">
        <f t="shared" ca="1" si="684"/>
        <v>-2233.7250903464255</v>
      </c>
      <c r="BY810" s="23">
        <f t="shared" ca="1" si="651"/>
        <v>838.65632513740491</v>
      </c>
      <c r="BZ810" s="24">
        <f t="shared" ca="1" si="652"/>
        <v>0</v>
      </c>
      <c r="CA810" s="24">
        <f t="shared" ca="1" si="685"/>
        <v>0</v>
      </c>
      <c r="CB810" s="24">
        <f t="shared" ca="1" si="653"/>
        <v>0</v>
      </c>
      <c r="CC810" s="24">
        <f t="shared" ca="1" si="686"/>
        <v>0</v>
      </c>
      <c r="CD810" s="24">
        <f t="shared" ca="1" si="654"/>
        <v>-13.53485580317099</v>
      </c>
      <c r="CE810" s="25">
        <f t="shared" ca="1" si="687"/>
        <v>-165.37485204862637</v>
      </c>
      <c r="CF810" s="23">
        <f t="shared" ca="1" si="688"/>
        <v>3631474.1062686522</v>
      </c>
      <c r="CG810" s="25">
        <f t="array" aca="1" ref="CG810" ca="1">SUM(BF799:BF810/(1+inflation/100)^(AP799:AP810/12))</f>
        <v>267980.53702225385</v>
      </c>
      <c r="CH810" s="32">
        <f ca="1">IFERROR(IF(MOD(AP810-ap_months_since_start,12)=0,ap_drawdown/100*(AQ810+AV810+BA810-BC810),CH809),0)</f>
        <v>1961.7738052079296</v>
      </c>
    </row>
    <row r="811" spans="40:86" x14ac:dyDescent="0.25">
      <c r="AN811" s="32">
        <f t="shared" ca="1" si="649"/>
        <v>121.83333333333333</v>
      </c>
      <c r="AO811" s="53">
        <f t="shared" ca="1" si="680"/>
        <v>70068</v>
      </c>
      <c r="AP811" s="22">
        <v>804</v>
      </c>
      <c r="AQ811" s="32">
        <f t="shared" ca="1" si="681"/>
        <v>11571.730613571648</v>
      </c>
      <c r="AR811" s="23">
        <f t="array" aca="1" ref="AR811" ca="1">SUM(IF(lsc_start_date=AO811,lsc_amount,0))</f>
        <v>0</v>
      </c>
      <c r="AS811" s="24">
        <f t="shared" ca="1" si="655"/>
        <v>0</v>
      </c>
      <c r="AT811" s="24">
        <f t="shared" ca="1" si="656"/>
        <v>0</v>
      </c>
      <c r="AU811" s="24">
        <f t="shared" ca="1" si="657"/>
        <v>0</v>
      </c>
      <c r="AV811" s="25">
        <f t="shared" ca="1" si="658"/>
        <v>0</v>
      </c>
      <c r="AW811" s="23">
        <f t="array" aca="1" ref="AW811" ca="1">SUM(IF(rcs_start_date&lt;=AO811,1,0)*IF(rcs_end_date&gt;=AO811,1,0)*rcs_amount*(1+rcs_escalation/100)^(INT((AP811-rcs_months_since_start)/12))*IF(MOD((AP811-rcs_months_since_start),rcs_frequency)=0,1,0)*IF(rcs_frequency=13,0,1))+SUM(IF(rcs_start_date=AO811,rcs_amount,0)*IF(rcs_frequency=13,1,0))</f>
        <v>0</v>
      </c>
      <c r="AX811" s="24">
        <f t="shared" ca="1" si="659"/>
        <v>0</v>
      </c>
      <c r="AY811" s="24">
        <f t="shared" ca="1" si="660"/>
        <v>0</v>
      </c>
      <c r="AZ811" s="24">
        <f t="shared" ca="1" si="661"/>
        <v>0</v>
      </c>
      <c r="BA811" s="25">
        <f t="shared" ca="1" si="662"/>
        <v>0</v>
      </c>
      <c r="BB811" s="23">
        <f t="array" aca="1" ref="BB811" ca="1">SUM(IF(w_start_date&lt;=AO811,1,0)*IF(w_end_date&gt;=AO811,1,0)*w_amount*(1+w_escalation/100)^(INT((AP811-w_months_since_start)/12))*IF(MOD(AP811-w_months_since_start,w_frequency)=0,1,0)*IF(w_frequency=13,0,1))+SUM(IF(w_start_date=AO811,w_amount,0)*IF(w_frequency=13,1,0))</f>
        <v>0</v>
      </c>
      <c r="BC811" s="25">
        <f t="shared" ca="1" si="663"/>
        <v>0</v>
      </c>
      <c r="BD811" s="24" t="b">
        <f t="shared" ca="1" si="664"/>
        <v>1</v>
      </c>
      <c r="BE811" s="24" t="b">
        <f t="shared" ca="1" si="665"/>
        <v>1</v>
      </c>
      <c r="BF811" s="23">
        <f t="array" aca="1" ref="BF811" ca="1">SUM(IF(BD811,1,0)*IF(ap_start_date&lt;=AO811,1,0)*IF(ap_end_date&gt;=AO811,1,0)*ap_amount*(1+ap_escalation/100)^(INT((AP811-ap_months_since_start)/12))*IF(MOD(AP811-ap_months_since_start,ap_frequency)=0,1,0))</f>
        <v>314727.75587661646</v>
      </c>
      <c r="BG811" s="24">
        <f t="shared" ca="1" si="666"/>
        <v>3776733.0705193984</v>
      </c>
      <c r="BH811" s="24">
        <f t="shared" ca="1" si="667"/>
        <v>289.29326533929122</v>
      </c>
      <c r="BI811">
        <f t="shared" ca="1" si="668"/>
        <v>0</v>
      </c>
      <c r="BJ811" s="24">
        <f t="shared" ca="1" si="669"/>
        <v>2025.0528573750382</v>
      </c>
      <c r="BK811">
        <f t="shared" ca="1" si="670"/>
        <v>1</v>
      </c>
      <c r="BL811" s="25">
        <f t="shared" ca="1" si="671"/>
        <v>168.75440478125316</v>
      </c>
      <c r="BM811" s="32">
        <f t="shared" ca="1" si="650"/>
        <v>11485.161145093361</v>
      </c>
      <c r="BN811" s="23">
        <f t="shared" ca="1" si="672"/>
        <v>0</v>
      </c>
      <c r="BO811" s="24">
        <f t="shared" ca="1" si="673"/>
        <v>0</v>
      </c>
      <c r="BP811" s="25">
        <f t="shared" ca="1" si="674"/>
        <v>0</v>
      </c>
      <c r="BQ811" s="34">
        <f t="shared" ca="1" si="675"/>
        <v>70097</v>
      </c>
      <c r="BR811" s="23">
        <f t="shared" ca="1" si="676"/>
        <v>11485.161145093361</v>
      </c>
      <c r="BS811" s="24">
        <f t="shared" ca="1" si="677"/>
        <v>0</v>
      </c>
      <c r="BT811" s="24">
        <f t="shared" ca="1" si="682"/>
        <v>0</v>
      </c>
      <c r="BU811" s="24">
        <f t="shared" ca="1" si="678"/>
        <v>0</v>
      </c>
      <c r="BV811" s="24">
        <f t="shared" ca="1" si="683"/>
        <v>0</v>
      </c>
      <c r="BW811" s="24">
        <f t="shared" ca="1" si="679"/>
        <v>-168.75440478125316</v>
      </c>
      <c r="BX811" s="25">
        <f t="shared" ca="1" si="684"/>
        <v>-2216.3357375988098</v>
      </c>
      <c r="BY811" s="23">
        <f t="shared" ca="1" si="651"/>
        <v>829.66612819114346</v>
      </c>
      <c r="BZ811" s="24">
        <f t="shared" ca="1" si="652"/>
        <v>0</v>
      </c>
      <c r="CA811" s="24">
        <f t="shared" ca="1" si="685"/>
        <v>0</v>
      </c>
      <c r="CB811" s="24">
        <f t="shared" ca="1" si="653"/>
        <v>0</v>
      </c>
      <c r="CC811" s="24">
        <f t="shared" ca="1" si="686"/>
        <v>0</v>
      </c>
      <c r="CD811" s="24">
        <f t="shared" ca="1" si="654"/>
        <v>-12.230404741587151</v>
      </c>
      <c r="CE811" s="25">
        <f t="shared" ca="1" si="687"/>
        <v>-163.57493836649633</v>
      </c>
      <c r="CF811" s="23">
        <f t="shared" ca="1" si="688"/>
        <v>3643579.0199562144</v>
      </c>
      <c r="CG811" s="25">
        <f t="array" aca="1" ref="CG811" ca="1">SUM(BF800:BF811/(1+inflation/100)^(AP800:AP811/12))</f>
        <v>267980.53702225385</v>
      </c>
      <c r="CH811" s="32">
        <f ca="1">IFERROR(IF(MOD(AP811-ap_months_since_start,12)=0,ap_drawdown/100*(AQ811+AV811+BA811-BC811),CH810),0)</f>
        <v>1778.5069733642549</v>
      </c>
    </row>
    <row r="812" spans="40:86" x14ac:dyDescent="0.25">
      <c r="AN812" s="32">
        <f t="shared" ca="1" si="649"/>
        <v>121.91666666666667</v>
      </c>
      <c r="AO812" s="53">
        <f t="shared" ca="1" si="680"/>
        <v>70098</v>
      </c>
      <c r="AP812" s="22">
        <v>805</v>
      </c>
      <c r="AQ812" s="32">
        <f t="shared" ca="1" si="681"/>
        <v>11485.161145093361</v>
      </c>
      <c r="AR812" s="23">
        <f t="array" aca="1" ref="AR812" ca="1">SUM(IF(lsc_start_date=AO812,lsc_amount,0))</f>
        <v>0</v>
      </c>
      <c r="AS812" s="24">
        <f t="shared" ca="1" si="655"/>
        <v>0</v>
      </c>
      <c r="AT812" s="24">
        <f t="shared" ca="1" si="656"/>
        <v>0</v>
      </c>
      <c r="AU812" s="24">
        <f t="shared" ca="1" si="657"/>
        <v>0</v>
      </c>
      <c r="AV812" s="25">
        <f t="shared" ca="1" si="658"/>
        <v>0</v>
      </c>
      <c r="AW812" s="23">
        <f t="array" aca="1" ref="AW812" ca="1">SUM(IF(rcs_start_date&lt;=AO812,1,0)*IF(rcs_end_date&gt;=AO812,1,0)*rcs_amount*(1+rcs_escalation/100)^(INT((AP812-rcs_months_since_start)/12))*IF(MOD((AP812-rcs_months_since_start),rcs_frequency)=0,1,0)*IF(rcs_frequency=13,0,1))+SUM(IF(rcs_start_date=AO812,rcs_amount,0)*IF(rcs_frequency=13,1,0))</f>
        <v>0</v>
      </c>
      <c r="AX812" s="24">
        <f t="shared" ca="1" si="659"/>
        <v>0</v>
      </c>
      <c r="AY812" s="24">
        <f t="shared" ca="1" si="660"/>
        <v>0</v>
      </c>
      <c r="AZ812" s="24">
        <f t="shared" ca="1" si="661"/>
        <v>0</v>
      </c>
      <c r="BA812" s="25">
        <f t="shared" ca="1" si="662"/>
        <v>0</v>
      </c>
      <c r="BB812" s="23">
        <f t="array" aca="1" ref="BB812" ca="1">SUM(IF(w_start_date&lt;=AO812,1,0)*IF(w_end_date&gt;=AO812,1,0)*w_amount*(1+w_escalation/100)^(INT((AP812-w_months_since_start)/12))*IF(MOD(AP812-w_months_since_start,w_frequency)=0,1,0)*IF(w_frequency=13,0,1))+SUM(IF(w_start_date=AO812,w_amount,0)*IF(w_frequency=13,1,0))</f>
        <v>0</v>
      </c>
      <c r="BC812" s="25">
        <f t="shared" ca="1" si="663"/>
        <v>0</v>
      </c>
      <c r="BD812" s="24" t="b">
        <f t="shared" ca="1" si="664"/>
        <v>1</v>
      </c>
      <c r="BE812" s="24" t="b">
        <f t="shared" ca="1" si="665"/>
        <v>1</v>
      </c>
      <c r="BF812" s="23">
        <f t="array" aca="1" ref="BF812" ca="1">SUM(IF(BD812,1,0)*IF(ap_start_date&lt;=AO812,1,0)*IF(ap_end_date&gt;=AO812,1,0)*ap_amount*(1+ap_escalation/100)^(INT((AP812-ap_months_since_start)/12))*IF(MOD(AP812-ap_months_since_start,ap_frequency)=0,1,0))</f>
        <v>314727.75587661646</v>
      </c>
      <c r="BG812" s="24">
        <f t="shared" ca="1" si="666"/>
        <v>3776733.0705193984</v>
      </c>
      <c r="BH812" s="24">
        <f t="shared" ca="1" si="667"/>
        <v>289.29326533929122</v>
      </c>
      <c r="BI812">
        <f t="shared" ca="1" si="668"/>
        <v>0</v>
      </c>
      <c r="BJ812" s="24">
        <f t="shared" ca="1" si="669"/>
        <v>2025.0528573750382</v>
      </c>
      <c r="BK812">
        <f t="shared" ca="1" si="670"/>
        <v>1</v>
      </c>
      <c r="BL812" s="25">
        <f t="shared" ca="1" si="671"/>
        <v>168.75440478125316</v>
      </c>
      <c r="BM812" s="32">
        <f t="shared" ca="1" si="650"/>
        <v>11397.967742466446</v>
      </c>
      <c r="BN812" s="23">
        <f t="shared" ca="1" si="672"/>
        <v>0</v>
      </c>
      <c r="BO812" s="24">
        <f t="shared" ca="1" si="673"/>
        <v>0</v>
      </c>
      <c r="BP812" s="25">
        <f t="shared" ca="1" si="674"/>
        <v>0</v>
      </c>
      <c r="BQ812" s="34">
        <f t="shared" ca="1" si="675"/>
        <v>70128</v>
      </c>
      <c r="BR812" s="23">
        <f t="shared" ca="1" si="676"/>
        <v>11397.967742466446</v>
      </c>
      <c r="BS812" s="24">
        <f t="shared" ca="1" si="677"/>
        <v>0</v>
      </c>
      <c r="BT812" s="24">
        <f t="shared" ca="1" si="682"/>
        <v>0</v>
      </c>
      <c r="BU812" s="24">
        <f t="shared" ca="1" si="678"/>
        <v>0</v>
      </c>
      <c r="BV812" s="24">
        <f t="shared" ca="1" si="683"/>
        <v>0</v>
      </c>
      <c r="BW812" s="24">
        <f t="shared" ca="1" si="679"/>
        <v>-168.75440478125316</v>
      </c>
      <c r="BX812" s="25">
        <f t="shared" ca="1" si="684"/>
        <v>-2198.9463848511946</v>
      </c>
      <c r="BY812" s="23">
        <f t="shared" ca="1" si="651"/>
        <v>820.68074793165204</v>
      </c>
      <c r="BZ812" s="24">
        <f t="shared" ca="1" si="652"/>
        <v>0</v>
      </c>
      <c r="CA812" s="24">
        <f t="shared" ca="1" si="685"/>
        <v>0</v>
      </c>
      <c r="CB812" s="24">
        <f t="shared" ca="1" si="653"/>
        <v>0</v>
      </c>
      <c r="CC812" s="24">
        <f t="shared" ca="1" si="686"/>
        <v>0</v>
      </c>
      <c r="CD812" s="24">
        <f t="shared" ca="1" si="654"/>
        <v>-12.190496229117137</v>
      </c>
      <c r="CE812" s="25">
        <f t="shared" ca="1" si="687"/>
        <v>-161.7808979059927</v>
      </c>
      <c r="CF812" s="23">
        <f t="shared" ca="1" si="688"/>
        <v>3655683.9336437765</v>
      </c>
      <c r="CG812" s="25">
        <f t="array" aca="1" ref="CG812" ca="1">SUM(BF801:BF812/(1+inflation/100)^(AP801:AP812/12))</f>
        <v>267980.53702225385</v>
      </c>
      <c r="CH812" s="32">
        <f ca="1">IFERROR(IF(MOD(AP812-ap_months_since_start,12)=0,ap_drawdown/100*(AQ812+AV812+BA812-BC812),CH811),0)</f>
        <v>1778.5069733642549</v>
      </c>
    </row>
    <row r="813" spans="40:86" x14ac:dyDescent="0.25">
      <c r="AN813" s="32">
        <f t="shared" ca="1" si="649"/>
        <v>122</v>
      </c>
      <c r="AO813" s="53">
        <f t="shared" ca="1" si="680"/>
        <v>70129</v>
      </c>
      <c r="AP813" s="22">
        <v>806</v>
      </c>
      <c r="AQ813" s="32">
        <f t="shared" ca="1" si="681"/>
        <v>11397.967742466446</v>
      </c>
      <c r="AR813" s="23">
        <f t="array" aca="1" ref="AR813" ca="1">SUM(IF(lsc_start_date=AO813,lsc_amount,0))</f>
        <v>0</v>
      </c>
      <c r="AS813" s="24">
        <f t="shared" ca="1" si="655"/>
        <v>0</v>
      </c>
      <c r="AT813" s="24">
        <f t="shared" ca="1" si="656"/>
        <v>0</v>
      </c>
      <c r="AU813" s="24">
        <f t="shared" ca="1" si="657"/>
        <v>0</v>
      </c>
      <c r="AV813" s="25">
        <f t="shared" ca="1" si="658"/>
        <v>0</v>
      </c>
      <c r="AW813" s="23">
        <f t="array" aca="1" ref="AW813" ca="1">SUM(IF(rcs_start_date&lt;=AO813,1,0)*IF(rcs_end_date&gt;=AO813,1,0)*rcs_amount*(1+rcs_escalation/100)^(INT((AP813-rcs_months_since_start)/12))*IF(MOD((AP813-rcs_months_since_start),rcs_frequency)=0,1,0)*IF(rcs_frequency=13,0,1))+SUM(IF(rcs_start_date=AO813,rcs_amount,0)*IF(rcs_frequency=13,1,0))</f>
        <v>0</v>
      </c>
      <c r="AX813" s="24">
        <f t="shared" ca="1" si="659"/>
        <v>0</v>
      </c>
      <c r="AY813" s="24">
        <f t="shared" ca="1" si="660"/>
        <v>0</v>
      </c>
      <c r="AZ813" s="24">
        <f t="shared" ca="1" si="661"/>
        <v>0</v>
      </c>
      <c r="BA813" s="25">
        <f t="shared" ca="1" si="662"/>
        <v>0</v>
      </c>
      <c r="BB813" s="23">
        <f t="array" aca="1" ref="BB813" ca="1">SUM(IF(w_start_date&lt;=AO813,1,0)*IF(w_end_date&gt;=AO813,1,0)*w_amount*(1+w_escalation/100)^(INT((AP813-w_months_since_start)/12))*IF(MOD(AP813-w_months_since_start,w_frequency)=0,1,0)*IF(w_frequency=13,0,1))+SUM(IF(w_start_date=AO813,w_amount,0)*IF(w_frequency=13,1,0))</f>
        <v>0</v>
      </c>
      <c r="BC813" s="25">
        <f t="shared" ca="1" si="663"/>
        <v>0</v>
      </c>
      <c r="BD813" s="24" t="b">
        <f t="shared" ca="1" si="664"/>
        <v>1</v>
      </c>
      <c r="BE813" s="24" t="b">
        <f t="shared" ca="1" si="665"/>
        <v>1</v>
      </c>
      <c r="BF813" s="23">
        <f t="array" aca="1" ref="BF813" ca="1">SUM(IF(BD813,1,0)*IF(ap_start_date&lt;=AO813,1,0)*IF(ap_end_date&gt;=AO813,1,0)*ap_amount*(1+ap_escalation/100)^(INT((AP813-ap_months_since_start)/12))*IF(MOD(AP813-ap_months_since_start,ap_frequency)=0,1,0))</f>
        <v>314727.75587661646</v>
      </c>
      <c r="BG813" s="24">
        <f t="shared" ca="1" si="666"/>
        <v>3776733.0705193984</v>
      </c>
      <c r="BH813" s="24">
        <f t="shared" ca="1" si="667"/>
        <v>289.29326533929122</v>
      </c>
      <c r="BI813">
        <f t="shared" ca="1" si="668"/>
        <v>0</v>
      </c>
      <c r="BJ813" s="24">
        <f t="shared" ca="1" si="669"/>
        <v>2025.0528573750382</v>
      </c>
      <c r="BK813">
        <f t="shared" ca="1" si="670"/>
        <v>1</v>
      </c>
      <c r="BL813" s="25">
        <f t="shared" ca="1" si="671"/>
        <v>168.75440478125316</v>
      </c>
      <c r="BM813" s="32">
        <f t="shared" ca="1" si="650"/>
        <v>11310.145908795765</v>
      </c>
      <c r="BN813" s="23">
        <f t="shared" ca="1" si="672"/>
        <v>0</v>
      </c>
      <c r="BO813" s="24">
        <f t="shared" ca="1" si="673"/>
        <v>0</v>
      </c>
      <c r="BP813" s="25">
        <f t="shared" ca="1" si="674"/>
        <v>0</v>
      </c>
      <c r="BQ813" s="34">
        <f t="shared" ca="1" si="675"/>
        <v>70159</v>
      </c>
      <c r="BR813" s="23">
        <f t="shared" ca="1" si="676"/>
        <v>11310.145908795765</v>
      </c>
      <c r="BS813" s="24">
        <f t="shared" ca="1" si="677"/>
        <v>0</v>
      </c>
      <c r="BT813" s="24">
        <f t="shared" ca="1" si="682"/>
        <v>0</v>
      </c>
      <c r="BU813" s="24">
        <f t="shared" ca="1" si="678"/>
        <v>0</v>
      </c>
      <c r="BV813" s="24">
        <f t="shared" ca="1" si="683"/>
        <v>0</v>
      </c>
      <c r="BW813" s="24">
        <f t="shared" ca="1" si="679"/>
        <v>-168.75440478125316</v>
      </c>
      <c r="BX813" s="25">
        <f t="shared" ca="1" si="684"/>
        <v>-2181.5570321035789</v>
      </c>
      <c r="BY813" s="23">
        <f t="shared" ca="1" si="651"/>
        <v>811.70007250960236</v>
      </c>
      <c r="BZ813" s="24">
        <f t="shared" ca="1" si="652"/>
        <v>0</v>
      </c>
      <c r="CA813" s="24">
        <f t="shared" ca="1" si="685"/>
        <v>0</v>
      </c>
      <c r="CB813" s="24">
        <f t="shared" ca="1" si="653"/>
        <v>0</v>
      </c>
      <c r="CC813" s="24">
        <f t="shared" ca="1" si="686"/>
        <v>0</v>
      </c>
      <c r="CD813" s="24">
        <f t="shared" ca="1" si="654"/>
        <v>-12.15071794041334</v>
      </c>
      <c r="CE813" s="25">
        <f t="shared" ca="1" si="687"/>
        <v>-159.99271150245636</v>
      </c>
      <c r="CF813" s="23">
        <f t="shared" ca="1" si="688"/>
        <v>3667788.8473313386</v>
      </c>
      <c r="CG813" s="25">
        <f t="array" aca="1" ref="CG813" ca="1">SUM(BF802:BF813/(1+inflation/100)^(AP802:AP813/12))</f>
        <v>267980.53702225385</v>
      </c>
      <c r="CH813" s="32">
        <f ca="1">IFERROR(IF(MOD(AP813-ap_months_since_start,12)=0,ap_drawdown/100*(AQ813+AV813+BA813-BC813),CH812),0)</f>
        <v>1778.5069733642549</v>
      </c>
    </row>
    <row r="814" spans="40:86" x14ac:dyDescent="0.25">
      <c r="AN814" s="32">
        <f t="shared" ca="1" si="649"/>
        <v>122.08333333333333</v>
      </c>
      <c r="AO814" s="53">
        <f t="shared" ca="1" si="680"/>
        <v>70160</v>
      </c>
      <c r="AP814" s="22">
        <v>807</v>
      </c>
      <c r="AQ814" s="32">
        <f t="shared" ca="1" si="681"/>
        <v>11310.145908795765</v>
      </c>
      <c r="AR814" s="23">
        <f t="array" aca="1" ref="AR814" ca="1">SUM(IF(lsc_start_date=AO814,lsc_amount,0))</f>
        <v>0</v>
      </c>
      <c r="AS814" s="24">
        <f t="shared" ca="1" si="655"/>
        <v>0</v>
      </c>
      <c r="AT814" s="24">
        <f t="shared" ca="1" si="656"/>
        <v>0</v>
      </c>
      <c r="AU814" s="24">
        <f t="shared" ca="1" si="657"/>
        <v>0</v>
      </c>
      <c r="AV814" s="25">
        <f t="shared" ca="1" si="658"/>
        <v>0</v>
      </c>
      <c r="AW814" s="23">
        <f t="array" aca="1" ref="AW814" ca="1">SUM(IF(rcs_start_date&lt;=AO814,1,0)*IF(rcs_end_date&gt;=AO814,1,0)*rcs_amount*(1+rcs_escalation/100)^(INT((AP814-rcs_months_since_start)/12))*IF(MOD((AP814-rcs_months_since_start),rcs_frequency)=0,1,0)*IF(rcs_frequency=13,0,1))+SUM(IF(rcs_start_date=AO814,rcs_amount,0)*IF(rcs_frequency=13,1,0))</f>
        <v>0</v>
      </c>
      <c r="AX814" s="24">
        <f t="shared" ca="1" si="659"/>
        <v>0</v>
      </c>
      <c r="AY814" s="24">
        <f t="shared" ca="1" si="660"/>
        <v>0</v>
      </c>
      <c r="AZ814" s="24">
        <f t="shared" ca="1" si="661"/>
        <v>0</v>
      </c>
      <c r="BA814" s="25">
        <f t="shared" ca="1" si="662"/>
        <v>0</v>
      </c>
      <c r="BB814" s="23">
        <f t="array" aca="1" ref="BB814" ca="1">SUM(IF(w_start_date&lt;=AO814,1,0)*IF(w_end_date&gt;=AO814,1,0)*w_amount*(1+w_escalation/100)^(INT((AP814-w_months_since_start)/12))*IF(MOD(AP814-w_months_since_start,w_frequency)=0,1,0)*IF(w_frequency=13,0,1))+SUM(IF(w_start_date=AO814,w_amount,0)*IF(w_frequency=13,1,0))</f>
        <v>0</v>
      </c>
      <c r="BC814" s="25">
        <f t="shared" ca="1" si="663"/>
        <v>0</v>
      </c>
      <c r="BD814" s="24" t="b">
        <f t="shared" ca="1" si="664"/>
        <v>1</v>
      </c>
      <c r="BE814" s="24" t="b">
        <f t="shared" ca="1" si="665"/>
        <v>1</v>
      </c>
      <c r="BF814" s="23">
        <f t="array" aca="1" ref="BF814" ca="1">SUM(IF(BD814,1,0)*IF(ap_start_date&lt;=AO814,1,0)*IF(ap_end_date&gt;=AO814,1,0)*ap_amount*(1+ap_escalation/100)^(INT((AP814-ap_months_since_start)/12))*IF(MOD(AP814-ap_months_since_start,ap_frequency)=0,1,0))</f>
        <v>314727.75587661646</v>
      </c>
      <c r="BG814" s="24">
        <f t="shared" ca="1" si="666"/>
        <v>3776733.0705193984</v>
      </c>
      <c r="BH814" s="24">
        <f t="shared" ca="1" si="667"/>
        <v>289.29326533929122</v>
      </c>
      <c r="BI814">
        <f t="shared" ca="1" si="668"/>
        <v>0</v>
      </c>
      <c r="BJ814" s="24">
        <f t="shared" ca="1" si="669"/>
        <v>2025.0528573750382</v>
      </c>
      <c r="BK814">
        <f t="shared" ca="1" si="670"/>
        <v>1</v>
      </c>
      <c r="BL814" s="25">
        <f t="shared" ca="1" si="671"/>
        <v>168.75440478125316</v>
      </c>
      <c r="BM814" s="32">
        <f t="shared" ca="1" si="650"/>
        <v>11221.691114775602</v>
      </c>
      <c r="BN814" s="23">
        <f t="shared" ca="1" si="672"/>
        <v>0</v>
      </c>
      <c r="BO814" s="24">
        <f t="shared" ca="1" si="673"/>
        <v>0</v>
      </c>
      <c r="BP814" s="25">
        <f t="shared" ca="1" si="674"/>
        <v>0</v>
      </c>
      <c r="BQ814" s="34">
        <f t="shared" ca="1" si="675"/>
        <v>70188</v>
      </c>
      <c r="BR814" s="23">
        <f t="shared" ca="1" si="676"/>
        <v>11221.691114775602</v>
      </c>
      <c r="BS814" s="24">
        <f t="shared" ca="1" si="677"/>
        <v>0</v>
      </c>
      <c r="BT814" s="24">
        <f t="shared" ca="1" si="682"/>
        <v>0</v>
      </c>
      <c r="BU814" s="24">
        <f t="shared" ca="1" si="678"/>
        <v>0</v>
      </c>
      <c r="BV814" s="24">
        <f t="shared" ca="1" si="683"/>
        <v>0</v>
      </c>
      <c r="BW814" s="24">
        <f t="shared" ca="1" si="679"/>
        <v>-168.75440478125316</v>
      </c>
      <c r="BX814" s="25">
        <f t="shared" ca="1" si="684"/>
        <v>-2164.1676793559636</v>
      </c>
      <c r="BY814" s="23">
        <f t="shared" ca="1" si="651"/>
        <v>802.72399006373132</v>
      </c>
      <c r="BZ814" s="24">
        <f t="shared" ca="1" si="652"/>
        <v>0</v>
      </c>
      <c r="CA814" s="24">
        <f t="shared" ca="1" si="685"/>
        <v>0</v>
      </c>
      <c r="CB814" s="24">
        <f t="shared" ca="1" si="653"/>
        <v>0</v>
      </c>
      <c r="CC814" s="24">
        <f t="shared" ca="1" si="686"/>
        <v>0</v>
      </c>
      <c r="CD814" s="24">
        <f t="shared" ca="1" si="654"/>
        <v>-12.111069450548101</v>
      </c>
      <c r="CE814" s="25">
        <f t="shared" ca="1" si="687"/>
        <v>-158.21036005376345</v>
      </c>
      <c r="CF814" s="23">
        <f t="shared" ca="1" si="688"/>
        <v>3679893.7610189007</v>
      </c>
      <c r="CG814" s="25">
        <f t="array" aca="1" ref="CG814" ca="1">SUM(BF803:BF814/(1+inflation/100)^(AP803:AP814/12))</f>
        <v>267980.53702225385</v>
      </c>
      <c r="CH814" s="32">
        <f ca="1">IFERROR(IF(MOD(AP814-ap_months_since_start,12)=0,ap_drawdown/100*(AQ814+AV814+BA814-BC814),CH813),0)</f>
        <v>1778.5069733642549</v>
      </c>
    </row>
    <row r="815" spans="40:86" x14ac:dyDescent="0.25">
      <c r="AN815" s="32">
        <f t="shared" ca="1" si="649"/>
        <v>122.16666666666667</v>
      </c>
      <c r="AO815" s="53">
        <f t="shared" ca="1" si="680"/>
        <v>70189</v>
      </c>
      <c r="AP815" s="22">
        <v>808</v>
      </c>
      <c r="AQ815" s="32">
        <f t="shared" ca="1" si="681"/>
        <v>11221.691114775602</v>
      </c>
      <c r="AR815" s="23">
        <f t="array" aca="1" ref="AR815" ca="1">SUM(IF(lsc_start_date=AO815,lsc_amount,0))</f>
        <v>0</v>
      </c>
      <c r="AS815" s="24">
        <f t="shared" ca="1" si="655"/>
        <v>0</v>
      </c>
      <c r="AT815" s="24">
        <f t="shared" ca="1" si="656"/>
        <v>0</v>
      </c>
      <c r="AU815" s="24">
        <f t="shared" ca="1" si="657"/>
        <v>0</v>
      </c>
      <c r="AV815" s="25">
        <f t="shared" ca="1" si="658"/>
        <v>0</v>
      </c>
      <c r="AW815" s="23">
        <f t="array" aca="1" ref="AW815" ca="1">SUM(IF(rcs_start_date&lt;=AO815,1,0)*IF(rcs_end_date&gt;=AO815,1,0)*rcs_amount*(1+rcs_escalation/100)^(INT((AP815-rcs_months_since_start)/12))*IF(MOD((AP815-rcs_months_since_start),rcs_frequency)=0,1,0)*IF(rcs_frequency=13,0,1))+SUM(IF(rcs_start_date=AO815,rcs_amount,0)*IF(rcs_frequency=13,1,0))</f>
        <v>0</v>
      </c>
      <c r="AX815" s="24">
        <f t="shared" ca="1" si="659"/>
        <v>0</v>
      </c>
      <c r="AY815" s="24">
        <f t="shared" ca="1" si="660"/>
        <v>0</v>
      </c>
      <c r="AZ815" s="24">
        <f t="shared" ca="1" si="661"/>
        <v>0</v>
      </c>
      <c r="BA815" s="25">
        <f t="shared" ca="1" si="662"/>
        <v>0</v>
      </c>
      <c r="BB815" s="23">
        <f t="array" aca="1" ref="BB815" ca="1">SUM(IF(w_start_date&lt;=AO815,1,0)*IF(w_end_date&gt;=AO815,1,0)*w_amount*(1+w_escalation/100)^(INT((AP815-w_months_since_start)/12))*IF(MOD(AP815-w_months_since_start,w_frequency)=0,1,0)*IF(w_frequency=13,0,1))+SUM(IF(w_start_date=AO815,w_amount,0)*IF(w_frequency=13,1,0))</f>
        <v>0</v>
      </c>
      <c r="BC815" s="25">
        <f t="shared" ca="1" si="663"/>
        <v>0</v>
      </c>
      <c r="BD815" s="24" t="b">
        <f t="shared" ca="1" si="664"/>
        <v>1</v>
      </c>
      <c r="BE815" s="24" t="b">
        <f t="shared" ca="1" si="665"/>
        <v>1</v>
      </c>
      <c r="BF815" s="23">
        <f t="array" aca="1" ref="BF815" ca="1">SUM(IF(BD815,1,0)*IF(ap_start_date&lt;=AO815,1,0)*IF(ap_end_date&gt;=AO815,1,0)*ap_amount*(1+ap_escalation/100)^(INT((AP815-ap_months_since_start)/12))*IF(MOD(AP815-ap_months_since_start,ap_frequency)=0,1,0))</f>
        <v>314727.75587661646</v>
      </c>
      <c r="BG815" s="24">
        <f t="shared" ca="1" si="666"/>
        <v>3776733.0705193984</v>
      </c>
      <c r="BH815" s="24">
        <f t="shared" ca="1" si="667"/>
        <v>289.29326533929122</v>
      </c>
      <c r="BI815">
        <f t="shared" ca="1" si="668"/>
        <v>0</v>
      </c>
      <c r="BJ815" s="24">
        <f t="shared" ca="1" si="669"/>
        <v>2025.0528573750382</v>
      </c>
      <c r="BK815">
        <f t="shared" ca="1" si="670"/>
        <v>1</v>
      </c>
      <c r="BL815" s="25">
        <f t="shared" ca="1" si="671"/>
        <v>168.75440478125316</v>
      </c>
      <c r="BM815" s="32">
        <f t="shared" ca="1" si="650"/>
        <v>11132.598798456074</v>
      </c>
      <c r="BN815" s="23">
        <f t="shared" ca="1" si="672"/>
        <v>0</v>
      </c>
      <c r="BO815" s="24">
        <f t="shared" ca="1" si="673"/>
        <v>0</v>
      </c>
      <c r="BP815" s="25">
        <f t="shared" ca="1" si="674"/>
        <v>0</v>
      </c>
      <c r="BQ815" s="34">
        <f t="shared" ca="1" si="675"/>
        <v>70219</v>
      </c>
      <c r="BR815" s="23">
        <f t="shared" ca="1" si="676"/>
        <v>11132.598798456074</v>
      </c>
      <c r="BS815" s="24">
        <f t="shared" ca="1" si="677"/>
        <v>0</v>
      </c>
      <c r="BT815" s="24">
        <f t="shared" ca="1" si="682"/>
        <v>0</v>
      </c>
      <c r="BU815" s="24">
        <f t="shared" ca="1" si="678"/>
        <v>0</v>
      </c>
      <c r="BV815" s="24">
        <f t="shared" ca="1" si="683"/>
        <v>0</v>
      </c>
      <c r="BW815" s="24">
        <f t="shared" ca="1" si="679"/>
        <v>-168.75440478125316</v>
      </c>
      <c r="BX815" s="25">
        <f t="shared" ca="1" si="684"/>
        <v>-2146.7783266083479</v>
      </c>
      <c r="BY815" s="23">
        <f t="shared" ca="1" si="651"/>
        <v>793.75238871939519</v>
      </c>
      <c r="BZ815" s="24">
        <f t="shared" ca="1" si="652"/>
        <v>0</v>
      </c>
      <c r="CA815" s="24">
        <f t="shared" ca="1" si="685"/>
        <v>0</v>
      </c>
      <c r="CB815" s="24">
        <f t="shared" ca="1" si="653"/>
        <v>0</v>
      </c>
      <c r="CC815" s="24">
        <f t="shared" ca="1" si="686"/>
        <v>0</v>
      </c>
      <c r="CD815" s="24">
        <f t="shared" ca="1" si="654"/>
        <v>-12.071550335980389</v>
      </c>
      <c r="CE815" s="25">
        <f t="shared" ca="1" si="687"/>
        <v>-156.43382452012148</v>
      </c>
      <c r="CF815" s="23">
        <f t="shared" ca="1" si="688"/>
        <v>3691998.6747064628</v>
      </c>
      <c r="CG815" s="25">
        <f t="array" aca="1" ref="CG815" ca="1">SUM(BF804:BF815/(1+inflation/100)^(AP804:AP815/12))</f>
        <v>267980.53702225385</v>
      </c>
      <c r="CH815" s="32">
        <f ca="1">IFERROR(IF(MOD(AP815-ap_months_since_start,12)=0,ap_drawdown/100*(AQ815+AV815+BA815-BC815),CH814),0)</f>
        <v>1778.5069733642549</v>
      </c>
    </row>
    <row r="816" spans="40:86" x14ac:dyDescent="0.25">
      <c r="AN816" s="32">
        <f t="shared" ca="1" si="649"/>
        <v>122.25</v>
      </c>
      <c r="AO816" s="53">
        <f t="shared" ca="1" si="680"/>
        <v>70220</v>
      </c>
      <c r="AP816" s="22">
        <v>809</v>
      </c>
      <c r="AQ816" s="32">
        <f t="shared" ca="1" si="681"/>
        <v>11132.598798456074</v>
      </c>
      <c r="AR816" s="23">
        <f t="array" aca="1" ref="AR816" ca="1">SUM(IF(lsc_start_date=AO816,lsc_amount,0))</f>
        <v>0</v>
      </c>
      <c r="AS816" s="24">
        <f t="shared" ca="1" si="655"/>
        <v>0</v>
      </c>
      <c r="AT816" s="24">
        <f t="shared" ca="1" si="656"/>
        <v>0</v>
      </c>
      <c r="AU816" s="24">
        <f t="shared" ca="1" si="657"/>
        <v>0</v>
      </c>
      <c r="AV816" s="25">
        <f t="shared" ca="1" si="658"/>
        <v>0</v>
      </c>
      <c r="AW816" s="23">
        <f t="array" aca="1" ref="AW816" ca="1">SUM(IF(rcs_start_date&lt;=AO816,1,0)*IF(rcs_end_date&gt;=AO816,1,0)*rcs_amount*(1+rcs_escalation/100)^(INT((AP816-rcs_months_since_start)/12))*IF(MOD((AP816-rcs_months_since_start),rcs_frequency)=0,1,0)*IF(rcs_frequency=13,0,1))+SUM(IF(rcs_start_date=AO816,rcs_amount,0)*IF(rcs_frequency=13,1,0))</f>
        <v>0</v>
      </c>
      <c r="AX816" s="24">
        <f t="shared" ca="1" si="659"/>
        <v>0</v>
      </c>
      <c r="AY816" s="24">
        <f t="shared" ca="1" si="660"/>
        <v>0</v>
      </c>
      <c r="AZ816" s="24">
        <f t="shared" ca="1" si="661"/>
        <v>0</v>
      </c>
      <c r="BA816" s="25">
        <f t="shared" ca="1" si="662"/>
        <v>0</v>
      </c>
      <c r="BB816" s="23">
        <f t="array" aca="1" ref="BB816" ca="1">SUM(IF(w_start_date&lt;=AO816,1,0)*IF(w_end_date&gt;=AO816,1,0)*w_amount*(1+w_escalation/100)^(INT((AP816-w_months_since_start)/12))*IF(MOD(AP816-w_months_since_start,w_frequency)=0,1,0)*IF(w_frequency=13,0,1))+SUM(IF(w_start_date=AO816,w_amount,0)*IF(w_frequency=13,1,0))</f>
        <v>0</v>
      </c>
      <c r="BC816" s="25">
        <f t="shared" ca="1" si="663"/>
        <v>0</v>
      </c>
      <c r="BD816" s="24" t="b">
        <f t="shared" ca="1" si="664"/>
        <v>1</v>
      </c>
      <c r="BE816" s="24" t="b">
        <f t="shared" ca="1" si="665"/>
        <v>1</v>
      </c>
      <c r="BF816" s="23">
        <f t="array" aca="1" ref="BF816" ca="1">SUM(IF(BD816,1,0)*IF(ap_start_date&lt;=AO816,1,0)*IF(ap_end_date&gt;=AO816,1,0)*ap_amount*(1+ap_escalation/100)^(INT((AP816-ap_months_since_start)/12))*IF(MOD(AP816-ap_months_since_start,ap_frequency)=0,1,0))</f>
        <v>314727.75587661646</v>
      </c>
      <c r="BG816" s="24">
        <f t="shared" ca="1" si="666"/>
        <v>3776733.0705193984</v>
      </c>
      <c r="BH816" s="24">
        <f t="shared" ca="1" si="667"/>
        <v>289.29326533929122</v>
      </c>
      <c r="BI816">
        <f t="shared" ca="1" si="668"/>
        <v>0</v>
      </c>
      <c r="BJ816" s="24">
        <f t="shared" ca="1" si="669"/>
        <v>2025.0528573750382</v>
      </c>
      <c r="BK816">
        <f t="shared" ca="1" si="670"/>
        <v>1</v>
      </c>
      <c r="BL816" s="25">
        <f t="shared" ca="1" si="671"/>
        <v>168.75440478125316</v>
      </c>
      <c r="BM816" s="32">
        <f t="shared" ca="1" si="650"/>
        <v>11042.864365007848</v>
      </c>
      <c r="BN816" s="23">
        <f t="shared" ca="1" si="672"/>
        <v>0</v>
      </c>
      <c r="BO816" s="24">
        <f t="shared" ca="1" si="673"/>
        <v>0</v>
      </c>
      <c r="BP816" s="25">
        <f t="shared" ca="1" si="674"/>
        <v>0</v>
      </c>
      <c r="BQ816" s="34">
        <f t="shared" ca="1" si="675"/>
        <v>70249</v>
      </c>
      <c r="BR816" s="23">
        <f t="shared" ca="1" si="676"/>
        <v>11042.864365007848</v>
      </c>
      <c r="BS816" s="24">
        <f t="shared" ca="1" si="677"/>
        <v>0</v>
      </c>
      <c r="BT816" s="24">
        <f t="shared" ca="1" si="682"/>
        <v>0</v>
      </c>
      <c r="BU816" s="24">
        <f t="shared" ca="1" si="678"/>
        <v>0</v>
      </c>
      <c r="BV816" s="24">
        <f t="shared" ca="1" si="683"/>
        <v>0</v>
      </c>
      <c r="BW816" s="24">
        <f t="shared" ca="1" si="679"/>
        <v>-168.75440478125316</v>
      </c>
      <c r="BX816" s="25">
        <f t="shared" ca="1" si="684"/>
        <v>-2129.3889738607322</v>
      </c>
      <c r="BY816" s="23">
        <f t="shared" ca="1" si="651"/>
        <v>784.78515658713241</v>
      </c>
      <c r="BZ816" s="24">
        <f t="shared" ca="1" si="652"/>
        <v>0</v>
      </c>
      <c r="CA816" s="24">
        <f t="shared" ca="1" si="685"/>
        <v>0</v>
      </c>
      <c r="CB816" s="24">
        <f t="shared" ca="1" si="653"/>
        <v>0</v>
      </c>
      <c r="CC816" s="24">
        <f t="shared" ca="1" si="686"/>
        <v>0</v>
      </c>
      <c r="CD816" s="24">
        <f t="shared" ca="1" si="654"/>
        <v>-12.032160174551173</v>
      </c>
      <c r="CE816" s="25">
        <f t="shared" ca="1" si="687"/>
        <v>-154.66308592386599</v>
      </c>
      <c r="CF816" s="23">
        <f t="shared" ca="1" si="688"/>
        <v>3704103.5883940249</v>
      </c>
      <c r="CG816" s="25">
        <f t="array" aca="1" ref="CG816" ca="1">SUM(BF805:BF816/(1+inflation/100)^(AP805:AP816/12))</f>
        <v>267980.53702225385</v>
      </c>
      <c r="CH816" s="32">
        <f ca="1">IFERROR(IF(MOD(AP816-ap_months_since_start,12)=0,ap_drawdown/100*(AQ816+AV816+BA816-BC816),CH815),0)</f>
        <v>1778.5069733642549</v>
      </c>
    </row>
    <row r="817" spans="40:86" x14ac:dyDescent="0.25">
      <c r="AN817" s="32">
        <f t="shared" ca="1" si="649"/>
        <v>122.33333333333333</v>
      </c>
      <c r="AO817" s="53">
        <f t="shared" ca="1" si="680"/>
        <v>70250</v>
      </c>
      <c r="AP817" s="22">
        <v>810</v>
      </c>
      <c r="AQ817" s="32">
        <f t="shared" ca="1" si="681"/>
        <v>11042.864365007848</v>
      </c>
      <c r="AR817" s="23">
        <f t="array" aca="1" ref="AR817" ca="1">SUM(IF(lsc_start_date=AO817,lsc_amount,0))</f>
        <v>0</v>
      </c>
      <c r="AS817" s="24">
        <f t="shared" ca="1" si="655"/>
        <v>0</v>
      </c>
      <c r="AT817" s="24">
        <f t="shared" ca="1" si="656"/>
        <v>0</v>
      </c>
      <c r="AU817" s="24">
        <f t="shared" ca="1" si="657"/>
        <v>0</v>
      </c>
      <c r="AV817" s="25">
        <f t="shared" ca="1" si="658"/>
        <v>0</v>
      </c>
      <c r="AW817" s="23">
        <f t="array" aca="1" ref="AW817" ca="1">SUM(IF(rcs_start_date&lt;=AO817,1,0)*IF(rcs_end_date&gt;=AO817,1,0)*rcs_amount*(1+rcs_escalation/100)^(INT((AP817-rcs_months_since_start)/12))*IF(MOD((AP817-rcs_months_since_start),rcs_frequency)=0,1,0)*IF(rcs_frequency=13,0,1))+SUM(IF(rcs_start_date=AO817,rcs_amount,0)*IF(rcs_frequency=13,1,0))</f>
        <v>0</v>
      </c>
      <c r="AX817" s="24">
        <f t="shared" ca="1" si="659"/>
        <v>0</v>
      </c>
      <c r="AY817" s="24">
        <f t="shared" ca="1" si="660"/>
        <v>0</v>
      </c>
      <c r="AZ817" s="24">
        <f t="shared" ca="1" si="661"/>
        <v>0</v>
      </c>
      <c r="BA817" s="25">
        <f t="shared" ca="1" si="662"/>
        <v>0</v>
      </c>
      <c r="BB817" s="23">
        <f t="array" aca="1" ref="BB817" ca="1">SUM(IF(w_start_date&lt;=AO817,1,0)*IF(w_end_date&gt;=AO817,1,0)*w_amount*(1+w_escalation/100)^(INT((AP817-w_months_since_start)/12))*IF(MOD(AP817-w_months_since_start,w_frequency)=0,1,0)*IF(w_frequency=13,0,1))+SUM(IF(w_start_date=AO817,w_amount,0)*IF(w_frequency=13,1,0))</f>
        <v>0</v>
      </c>
      <c r="BC817" s="25">
        <f t="shared" ca="1" si="663"/>
        <v>0</v>
      </c>
      <c r="BD817" s="24" t="b">
        <f t="shared" ca="1" si="664"/>
        <v>1</v>
      </c>
      <c r="BE817" s="24" t="b">
        <f t="shared" ca="1" si="665"/>
        <v>1</v>
      </c>
      <c r="BF817" s="23">
        <f t="array" aca="1" ref="BF817" ca="1">SUM(IF(BD817,1,0)*IF(ap_start_date&lt;=AO817,1,0)*IF(ap_end_date&gt;=AO817,1,0)*ap_amount*(1+ap_escalation/100)^(INT((AP817-ap_months_since_start)/12))*IF(MOD(AP817-ap_months_since_start,ap_frequency)=0,1,0))</f>
        <v>314727.75587661646</v>
      </c>
      <c r="BG817" s="24">
        <f t="shared" ca="1" si="666"/>
        <v>3776733.0705193984</v>
      </c>
      <c r="BH817" s="24">
        <f t="shared" ca="1" si="667"/>
        <v>289.29326533929122</v>
      </c>
      <c r="BI817">
        <f t="shared" ca="1" si="668"/>
        <v>0</v>
      </c>
      <c r="BJ817" s="24">
        <f t="shared" ca="1" si="669"/>
        <v>2025.0528573750382</v>
      </c>
      <c r="BK817">
        <f t="shared" ca="1" si="670"/>
        <v>1</v>
      </c>
      <c r="BL817" s="25">
        <f t="shared" ca="1" si="671"/>
        <v>168.75440478125316</v>
      </c>
      <c r="BM817" s="32">
        <f t="shared" ca="1" si="650"/>
        <v>10952.483186485171</v>
      </c>
      <c r="BN817" s="23">
        <f t="shared" ca="1" si="672"/>
        <v>0</v>
      </c>
      <c r="BO817" s="24">
        <f t="shared" ca="1" si="673"/>
        <v>0</v>
      </c>
      <c r="BP817" s="25">
        <f t="shared" ca="1" si="674"/>
        <v>0</v>
      </c>
      <c r="BQ817" s="34">
        <f t="shared" ca="1" si="675"/>
        <v>70280</v>
      </c>
      <c r="BR817" s="23">
        <f t="shared" ca="1" si="676"/>
        <v>10952.483186485171</v>
      </c>
      <c r="BS817" s="24">
        <f t="shared" ca="1" si="677"/>
        <v>0</v>
      </c>
      <c r="BT817" s="24">
        <f t="shared" ca="1" si="682"/>
        <v>0</v>
      </c>
      <c r="BU817" s="24">
        <f t="shared" ca="1" si="678"/>
        <v>0</v>
      </c>
      <c r="BV817" s="24">
        <f t="shared" ca="1" si="683"/>
        <v>0</v>
      </c>
      <c r="BW817" s="24">
        <f t="shared" ca="1" si="679"/>
        <v>-168.75440478125316</v>
      </c>
      <c r="BX817" s="25">
        <f t="shared" ca="1" si="684"/>
        <v>-2111.9996211131165</v>
      </c>
      <c r="BY817" s="23">
        <f t="shared" ca="1" si="651"/>
        <v>775.82218176122308</v>
      </c>
      <c r="BZ817" s="24">
        <f t="shared" ca="1" si="652"/>
        <v>0</v>
      </c>
      <c r="CA817" s="24">
        <f t="shared" ca="1" si="685"/>
        <v>0</v>
      </c>
      <c r="CB817" s="24">
        <f t="shared" ca="1" si="653"/>
        <v>0</v>
      </c>
      <c r="CC817" s="24">
        <f t="shared" ca="1" si="686"/>
        <v>0</v>
      </c>
      <c r="CD817" s="24">
        <f t="shared" ca="1" si="654"/>
        <v>-11.992898545478962</v>
      </c>
      <c r="CE817" s="25">
        <f t="shared" ca="1" si="687"/>
        <v>-152.89812534925758</v>
      </c>
      <c r="CF817" s="23">
        <f t="shared" ca="1" si="688"/>
        <v>3716208.5020815874</v>
      </c>
      <c r="CG817" s="25">
        <f t="array" aca="1" ref="CG817" ca="1">SUM(BF806:BF817/(1+inflation/100)^(AP806:AP817/12))</f>
        <v>267980.53702225379</v>
      </c>
      <c r="CH817" s="32">
        <f ca="1">IFERROR(IF(MOD(AP817-ap_months_since_start,12)=0,ap_drawdown/100*(AQ817+AV817+BA817-BC817),CH816),0)</f>
        <v>1778.5069733642549</v>
      </c>
    </row>
    <row r="818" spans="40:86" x14ac:dyDescent="0.25">
      <c r="AN818" s="32">
        <f t="shared" ca="1" si="649"/>
        <v>122.41666666666667</v>
      </c>
      <c r="AO818" s="53">
        <f t="shared" ca="1" si="680"/>
        <v>70281</v>
      </c>
      <c r="AP818" s="22">
        <v>811</v>
      </c>
      <c r="AQ818" s="32">
        <f t="shared" ca="1" si="681"/>
        <v>10952.483186485171</v>
      </c>
      <c r="AR818" s="23">
        <f t="array" aca="1" ref="AR818" ca="1">SUM(IF(lsc_start_date=AO818,lsc_amount,0))</f>
        <v>0</v>
      </c>
      <c r="AS818" s="24">
        <f t="shared" ca="1" si="655"/>
        <v>0</v>
      </c>
      <c r="AT818" s="24">
        <f t="shared" ca="1" si="656"/>
        <v>0</v>
      </c>
      <c r="AU818" s="24">
        <f t="shared" ca="1" si="657"/>
        <v>0</v>
      </c>
      <c r="AV818" s="25">
        <f t="shared" ca="1" si="658"/>
        <v>0</v>
      </c>
      <c r="AW818" s="23">
        <f t="array" aca="1" ref="AW818" ca="1">SUM(IF(rcs_start_date&lt;=AO818,1,0)*IF(rcs_end_date&gt;=AO818,1,0)*rcs_amount*(1+rcs_escalation/100)^(INT((AP818-rcs_months_since_start)/12))*IF(MOD((AP818-rcs_months_since_start),rcs_frequency)=0,1,0)*IF(rcs_frequency=13,0,1))+SUM(IF(rcs_start_date=AO818,rcs_amount,0)*IF(rcs_frequency=13,1,0))</f>
        <v>0</v>
      </c>
      <c r="AX818" s="24">
        <f t="shared" ca="1" si="659"/>
        <v>0</v>
      </c>
      <c r="AY818" s="24">
        <f t="shared" ca="1" si="660"/>
        <v>0</v>
      </c>
      <c r="AZ818" s="24">
        <f t="shared" ca="1" si="661"/>
        <v>0</v>
      </c>
      <c r="BA818" s="25">
        <f t="shared" ca="1" si="662"/>
        <v>0</v>
      </c>
      <c r="BB818" s="23">
        <f t="array" aca="1" ref="BB818" ca="1">SUM(IF(w_start_date&lt;=AO818,1,0)*IF(w_end_date&gt;=AO818,1,0)*w_amount*(1+w_escalation/100)^(INT((AP818-w_months_since_start)/12))*IF(MOD(AP818-w_months_since_start,w_frequency)=0,1,0)*IF(w_frequency=13,0,1))+SUM(IF(w_start_date=AO818,w_amount,0)*IF(w_frequency=13,1,0))</f>
        <v>0</v>
      </c>
      <c r="BC818" s="25">
        <f t="shared" ca="1" si="663"/>
        <v>0</v>
      </c>
      <c r="BD818" s="24" t="b">
        <f t="shared" ca="1" si="664"/>
        <v>1</v>
      </c>
      <c r="BE818" s="24" t="b">
        <f t="shared" ca="1" si="665"/>
        <v>1</v>
      </c>
      <c r="BF818" s="23">
        <f t="array" aca="1" ref="BF818" ca="1">SUM(IF(BD818,1,0)*IF(ap_start_date&lt;=AO818,1,0)*IF(ap_end_date&gt;=AO818,1,0)*ap_amount*(1+ap_escalation/100)^(INT((AP818-ap_months_since_start)/12))*IF(MOD(AP818-ap_months_since_start,ap_frequency)=0,1,0))</f>
        <v>314727.75587661646</v>
      </c>
      <c r="BG818" s="24">
        <f t="shared" ca="1" si="666"/>
        <v>3776733.0705193984</v>
      </c>
      <c r="BH818" s="24">
        <f t="shared" ca="1" si="667"/>
        <v>289.29326533929122</v>
      </c>
      <c r="BI818">
        <f t="shared" ca="1" si="668"/>
        <v>0</v>
      </c>
      <c r="BJ818" s="24">
        <f t="shared" ca="1" si="669"/>
        <v>2025.0528573750382</v>
      </c>
      <c r="BK818">
        <f t="shared" ca="1" si="670"/>
        <v>1</v>
      </c>
      <c r="BL818" s="25">
        <f t="shared" ca="1" si="671"/>
        <v>168.75440478125316</v>
      </c>
      <c r="BM818" s="32">
        <f t="shared" ca="1" si="650"/>
        <v>10861.450601587187</v>
      </c>
      <c r="BN818" s="23">
        <f t="shared" ca="1" si="672"/>
        <v>0</v>
      </c>
      <c r="BO818" s="24">
        <f t="shared" ca="1" si="673"/>
        <v>0</v>
      </c>
      <c r="BP818" s="25">
        <f t="shared" ca="1" si="674"/>
        <v>0</v>
      </c>
      <c r="BQ818" s="34">
        <f t="shared" ca="1" si="675"/>
        <v>70310</v>
      </c>
      <c r="BR818" s="23">
        <f t="shared" ca="1" si="676"/>
        <v>10861.450601587187</v>
      </c>
      <c r="BS818" s="24">
        <f t="shared" ca="1" si="677"/>
        <v>0</v>
      </c>
      <c r="BT818" s="24">
        <f t="shared" ca="1" si="682"/>
        <v>0</v>
      </c>
      <c r="BU818" s="24">
        <f t="shared" ca="1" si="678"/>
        <v>0</v>
      </c>
      <c r="BV818" s="24">
        <f t="shared" ca="1" si="683"/>
        <v>0</v>
      </c>
      <c r="BW818" s="24">
        <f t="shared" ca="1" si="679"/>
        <v>-168.75440478125316</v>
      </c>
      <c r="BX818" s="25">
        <f t="shared" ca="1" si="684"/>
        <v>-2094.6102683655008</v>
      </c>
      <c r="BY818" s="23">
        <f t="shared" ca="1" si="651"/>
        <v>766.86335231824523</v>
      </c>
      <c r="BZ818" s="24">
        <f t="shared" ca="1" si="652"/>
        <v>0</v>
      </c>
      <c r="CA818" s="24">
        <f t="shared" ca="1" si="685"/>
        <v>0</v>
      </c>
      <c r="CB818" s="24">
        <f t="shared" ca="1" si="653"/>
        <v>0</v>
      </c>
      <c r="CC818" s="24">
        <f t="shared" ca="1" si="686"/>
        <v>0</v>
      </c>
      <c r="CD818" s="24">
        <f t="shared" ca="1" si="654"/>
        <v>-11.953765029355305</v>
      </c>
      <c r="CE818" s="25">
        <f t="shared" ca="1" si="687"/>
        <v>-151.13892394228012</v>
      </c>
      <c r="CF818" s="23">
        <f t="shared" ca="1" si="688"/>
        <v>3728313.4157691495</v>
      </c>
      <c r="CG818" s="25">
        <f t="array" aca="1" ref="CG818" ca="1">SUM(BF807:BF818/(1+inflation/100)^(AP807:AP818/12))</f>
        <v>267980.53702225385</v>
      </c>
      <c r="CH818" s="32">
        <f ca="1">IFERROR(IF(MOD(AP818-ap_months_since_start,12)=0,ap_drawdown/100*(AQ818+AV818+BA818-BC818),CH817),0)</f>
        <v>1778.5069733642549</v>
      </c>
    </row>
    <row r="819" spans="40:86" x14ac:dyDescent="0.25">
      <c r="AN819" s="32">
        <f t="shared" ca="1" si="649"/>
        <v>122.5</v>
      </c>
      <c r="AO819" s="53">
        <f t="shared" ca="1" si="680"/>
        <v>70311</v>
      </c>
      <c r="AP819" s="22">
        <v>812</v>
      </c>
      <c r="AQ819" s="32">
        <f t="shared" ca="1" si="681"/>
        <v>10861.450601587187</v>
      </c>
      <c r="AR819" s="23">
        <f t="array" aca="1" ref="AR819" ca="1">SUM(IF(lsc_start_date=AO819,lsc_amount,0))</f>
        <v>0</v>
      </c>
      <c r="AS819" s="24">
        <f t="shared" ca="1" si="655"/>
        <v>0</v>
      </c>
      <c r="AT819" s="24">
        <f t="shared" ca="1" si="656"/>
        <v>0</v>
      </c>
      <c r="AU819" s="24">
        <f t="shared" ca="1" si="657"/>
        <v>0</v>
      </c>
      <c r="AV819" s="25">
        <f t="shared" ca="1" si="658"/>
        <v>0</v>
      </c>
      <c r="AW819" s="23">
        <f t="array" aca="1" ref="AW819" ca="1">SUM(IF(rcs_start_date&lt;=AO819,1,0)*IF(rcs_end_date&gt;=AO819,1,0)*rcs_amount*(1+rcs_escalation/100)^(INT((AP819-rcs_months_since_start)/12))*IF(MOD((AP819-rcs_months_since_start),rcs_frequency)=0,1,0)*IF(rcs_frequency=13,0,1))+SUM(IF(rcs_start_date=AO819,rcs_amount,0)*IF(rcs_frequency=13,1,0))</f>
        <v>0</v>
      </c>
      <c r="AX819" s="24">
        <f t="shared" ca="1" si="659"/>
        <v>0</v>
      </c>
      <c r="AY819" s="24">
        <f t="shared" ca="1" si="660"/>
        <v>0</v>
      </c>
      <c r="AZ819" s="24">
        <f t="shared" ca="1" si="661"/>
        <v>0</v>
      </c>
      <c r="BA819" s="25">
        <f t="shared" ca="1" si="662"/>
        <v>0</v>
      </c>
      <c r="BB819" s="23">
        <f t="array" aca="1" ref="BB819" ca="1">SUM(IF(w_start_date&lt;=AO819,1,0)*IF(w_end_date&gt;=AO819,1,0)*w_amount*(1+w_escalation/100)^(INT((AP819-w_months_since_start)/12))*IF(MOD(AP819-w_months_since_start,w_frequency)=0,1,0)*IF(w_frequency=13,0,1))+SUM(IF(w_start_date=AO819,w_amount,0)*IF(w_frequency=13,1,0))</f>
        <v>0</v>
      </c>
      <c r="BC819" s="25">
        <f t="shared" ca="1" si="663"/>
        <v>0</v>
      </c>
      <c r="BD819" s="24" t="b">
        <f t="shared" ca="1" si="664"/>
        <v>1</v>
      </c>
      <c r="BE819" s="24" t="b">
        <f t="shared" ca="1" si="665"/>
        <v>1</v>
      </c>
      <c r="BF819" s="23">
        <f t="array" aca="1" ref="BF819" ca="1">SUM(IF(BD819,1,0)*IF(ap_start_date&lt;=AO819,1,0)*IF(ap_end_date&gt;=AO819,1,0)*ap_amount*(1+ap_escalation/100)^(INT((AP819-ap_months_since_start)/12))*IF(MOD(AP819-ap_months_since_start,ap_frequency)=0,1,0))</f>
        <v>314727.75587661646</v>
      </c>
      <c r="BG819" s="24">
        <f t="shared" ca="1" si="666"/>
        <v>3776733.0705193984</v>
      </c>
      <c r="BH819" s="24">
        <f t="shared" ca="1" si="667"/>
        <v>289.29326533929122</v>
      </c>
      <c r="BI819">
        <f t="shared" ca="1" si="668"/>
        <v>0</v>
      </c>
      <c r="BJ819" s="24">
        <f t="shared" ca="1" si="669"/>
        <v>2025.0528573750382</v>
      </c>
      <c r="BK819">
        <f t="shared" ca="1" si="670"/>
        <v>1</v>
      </c>
      <c r="BL819" s="25">
        <f t="shared" ca="1" si="671"/>
        <v>168.75440478125316</v>
      </c>
      <c r="BM819" s="32">
        <f t="shared" ca="1" si="650"/>
        <v>10769.761915417539</v>
      </c>
      <c r="BN819" s="23">
        <f t="shared" ca="1" si="672"/>
        <v>0</v>
      </c>
      <c r="BO819" s="24">
        <f t="shared" ca="1" si="673"/>
        <v>0</v>
      </c>
      <c r="BP819" s="25">
        <f t="shared" ca="1" si="674"/>
        <v>0</v>
      </c>
      <c r="BQ819" s="34">
        <f t="shared" ca="1" si="675"/>
        <v>70341</v>
      </c>
      <c r="BR819" s="23">
        <f t="shared" ca="1" si="676"/>
        <v>10769.761915417539</v>
      </c>
      <c r="BS819" s="24">
        <f t="shared" ca="1" si="677"/>
        <v>0</v>
      </c>
      <c r="BT819" s="24">
        <f t="shared" ca="1" si="682"/>
        <v>0</v>
      </c>
      <c r="BU819" s="24">
        <f t="shared" ca="1" si="678"/>
        <v>0</v>
      </c>
      <c r="BV819" s="24">
        <f t="shared" ca="1" si="683"/>
        <v>0</v>
      </c>
      <c r="BW819" s="24">
        <f t="shared" ca="1" si="679"/>
        <v>-168.75440478125316</v>
      </c>
      <c r="BX819" s="25">
        <f t="shared" ca="1" si="684"/>
        <v>-2077.2209156178851</v>
      </c>
      <c r="BY819" s="23">
        <f t="shared" ca="1" si="651"/>
        <v>757.9085563156325</v>
      </c>
      <c r="BZ819" s="24">
        <f t="shared" ca="1" si="652"/>
        <v>0</v>
      </c>
      <c r="CA819" s="24">
        <f t="shared" ca="1" si="685"/>
        <v>0</v>
      </c>
      <c r="CB819" s="24">
        <f t="shared" ca="1" si="653"/>
        <v>0</v>
      </c>
      <c r="CC819" s="24">
        <f t="shared" ca="1" si="686"/>
        <v>0</v>
      </c>
      <c r="CD819" s="24">
        <f t="shared" ca="1" si="654"/>
        <v>-11.914759208140298</v>
      </c>
      <c r="CE819" s="25">
        <f t="shared" ca="1" si="687"/>
        <v>-149.38546291043914</v>
      </c>
      <c r="CF819" s="23">
        <f t="shared" ca="1" si="688"/>
        <v>3740418.3294567121</v>
      </c>
      <c r="CG819" s="25">
        <f t="array" aca="1" ref="CG819" ca="1">SUM(BF808:BF819/(1+inflation/100)^(AP808:AP819/12))</f>
        <v>267980.53702225385</v>
      </c>
      <c r="CH819" s="32">
        <f ca="1">IFERROR(IF(MOD(AP819-ap_months_since_start,12)=0,ap_drawdown/100*(AQ819+AV819+BA819-BC819),CH818),0)</f>
        <v>1778.5069733642549</v>
      </c>
    </row>
    <row r="820" spans="40:86" x14ac:dyDescent="0.25">
      <c r="AN820" s="32">
        <f t="shared" ca="1" si="649"/>
        <v>122.58333333333333</v>
      </c>
      <c r="AO820" s="53">
        <f t="shared" ca="1" si="680"/>
        <v>70342</v>
      </c>
      <c r="AP820" s="22">
        <v>813</v>
      </c>
      <c r="AQ820" s="32">
        <f t="shared" ca="1" si="681"/>
        <v>10769.761915417539</v>
      </c>
      <c r="AR820" s="23">
        <f t="array" aca="1" ref="AR820" ca="1">SUM(IF(lsc_start_date=AO820,lsc_amount,0))</f>
        <v>0</v>
      </c>
      <c r="AS820" s="24">
        <f t="shared" ca="1" si="655"/>
        <v>0</v>
      </c>
      <c r="AT820" s="24">
        <f t="shared" ca="1" si="656"/>
        <v>0</v>
      </c>
      <c r="AU820" s="24">
        <f t="shared" ca="1" si="657"/>
        <v>0</v>
      </c>
      <c r="AV820" s="25">
        <f t="shared" ca="1" si="658"/>
        <v>0</v>
      </c>
      <c r="AW820" s="23">
        <f t="array" aca="1" ref="AW820" ca="1">SUM(IF(rcs_start_date&lt;=AO820,1,0)*IF(rcs_end_date&gt;=AO820,1,0)*rcs_amount*(1+rcs_escalation/100)^(INT((AP820-rcs_months_since_start)/12))*IF(MOD((AP820-rcs_months_since_start),rcs_frequency)=0,1,0)*IF(rcs_frequency=13,0,1))+SUM(IF(rcs_start_date=AO820,rcs_amount,0)*IF(rcs_frequency=13,1,0))</f>
        <v>0</v>
      </c>
      <c r="AX820" s="24">
        <f t="shared" ca="1" si="659"/>
        <v>0</v>
      </c>
      <c r="AY820" s="24">
        <f t="shared" ca="1" si="660"/>
        <v>0</v>
      </c>
      <c r="AZ820" s="24">
        <f t="shared" ca="1" si="661"/>
        <v>0</v>
      </c>
      <c r="BA820" s="25">
        <f t="shared" ca="1" si="662"/>
        <v>0</v>
      </c>
      <c r="BB820" s="23">
        <f t="array" aca="1" ref="BB820" ca="1">SUM(IF(w_start_date&lt;=AO820,1,0)*IF(w_end_date&gt;=AO820,1,0)*w_amount*(1+w_escalation/100)^(INT((AP820-w_months_since_start)/12))*IF(MOD(AP820-w_months_since_start,w_frequency)=0,1,0)*IF(w_frequency=13,0,1))+SUM(IF(w_start_date=AO820,w_amount,0)*IF(w_frequency=13,1,0))</f>
        <v>0</v>
      </c>
      <c r="BC820" s="25">
        <f t="shared" ca="1" si="663"/>
        <v>0</v>
      </c>
      <c r="BD820" s="24" t="b">
        <f t="shared" ca="1" si="664"/>
        <v>1</v>
      </c>
      <c r="BE820" s="24" t="b">
        <f t="shared" ca="1" si="665"/>
        <v>1</v>
      </c>
      <c r="BF820" s="23">
        <f t="array" aca="1" ref="BF820" ca="1">SUM(IF(BD820,1,0)*IF(ap_start_date&lt;=AO820,1,0)*IF(ap_end_date&gt;=AO820,1,0)*ap_amount*(1+ap_escalation/100)^(INT((AP820-ap_months_since_start)/12))*IF(MOD(AP820-ap_months_since_start,ap_frequency)=0,1,0))</f>
        <v>314727.75587661646</v>
      </c>
      <c r="BG820" s="24">
        <f t="shared" ca="1" si="666"/>
        <v>3776733.0705193984</v>
      </c>
      <c r="BH820" s="24">
        <f t="shared" ca="1" si="667"/>
        <v>289.29326533929122</v>
      </c>
      <c r="BI820">
        <f t="shared" ca="1" si="668"/>
        <v>0</v>
      </c>
      <c r="BJ820" s="24">
        <f t="shared" ca="1" si="669"/>
        <v>2025.0528573750382</v>
      </c>
      <c r="BK820">
        <f t="shared" ca="1" si="670"/>
        <v>1</v>
      </c>
      <c r="BL820" s="25">
        <f t="shared" ca="1" si="671"/>
        <v>168.75440478125316</v>
      </c>
      <c r="BM820" s="32">
        <f t="shared" ca="1" si="650"/>
        <v>10677.412399242236</v>
      </c>
      <c r="BN820" s="23">
        <f t="shared" ca="1" si="672"/>
        <v>0</v>
      </c>
      <c r="BO820" s="24">
        <f t="shared" ca="1" si="673"/>
        <v>0</v>
      </c>
      <c r="BP820" s="25">
        <f t="shared" ca="1" si="674"/>
        <v>0</v>
      </c>
      <c r="BQ820" s="34">
        <f t="shared" ca="1" si="675"/>
        <v>70372</v>
      </c>
      <c r="BR820" s="23">
        <f t="shared" ca="1" si="676"/>
        <v>10677.412399242236</v>
      </c>
      <c r="BS820" s="24">
        <f t="shared" ca="1" si="677"/>
        <v>0</v>
      </c>
      <c r="BT820" s="24">
        <f t="shared" ca="1" si="682"/>
        <v>0</v>
      </c>
      <c r="BU820" s="24">
        <f t="shared" ca="1" si="678"/>
        <v>0</v>
      </c>
      <c r="BV820" s="24">
        <f t="shared" ca="1" si="683"/>
        <v>0</v>
      </c>
      <c r="BW820" s="24">
        <f t="shared" ca="1" si="679"/>
        <v>-168.75440478125316</v>
      </c>
      <c r="BX820" s="25">
        <f t="shared" ca="1" si="684"/>
        <v>-2059.8315628702694</v>
      </c>
      <c r="BY820" s="23">
        <f t="shared" ca="1" si="651"/>
        <v>748.95768179022991</v>
      </c>
      <c r="BZ820" s="24">
        <f t="shared" ca="1" si="652"/>
        <v>0</v>
      </c>
      <c r="CA820" s="24">
        <f t="shared" ca="1" si="685"/>
        <v>0</v>
      </c>
      <c r="CB820" s="24">
        <f t="shared" ca="1" si="653"/>
        <v>0</v>
      </c>
      <c r="CC820" s="24">
        <f t="shared" ca="1" si="686"/>
        <v>0</v>
      </c>
      <c r="CD820" s="24">
        <f t="shared" ca="1" si="654"/>
        <v>-11.875880665158123</v>
      </c>
      <c r="CE820" s="25">
        <f t="shared" ca="1" si="687"/>
        <v>-147.63772352256115</v>
      </c>
      <c r="CF820" s="23">
        <f t="shared" ca="1" si="688"/>
        <v>3752523.2431442742</v>
      </c>
      <c r="CG820" s="25">
        <f t="array" aca="1" ref="CG820" ca="1">SUM(BF809:BF820/(1+inflation/100)^(AP809:AP820/12))</f>
        <v>267980.53702225385</v>
      </c>
      <c r="CH820" s="32">
        <f ca="1">IFERROR(IF(MOD(AP820-ap_months_since_start,12)=0,ap_drawdown/100*(AQ820+AV820+BA820-BC820),CH819),0)</f>
        <v>1778.5069733642549</v>
      </c>
    </row>
    <row r="821" spans="40:86" x14ac:dyDescent="0.25">
      <c r="AN821" s="32">
        <f t="shared" ca="1" si="649"/>
        <v>122.66666666666667</v>
      </c>
      <c r="AO821" s="53">
        <f t="shared" ca="1" si="680"/>
        <v>70373</v>
      </c>
      <c r="AP821" s="22">
        <v>814</v>
      </c>
      <c r="AQ821" s="32">
        <f t="shared" ca="1" si="681"/>
        <v>10677.412399242236</v>
      </c>
      <c r="AR821" s="23">
        <f t="array" aca="1" ref="AR821" ca="1">SUM(IF(lsc_start_date=AO821,lsc_amount,0))</f>
        <v>0</v>
      </c>
      <c r="AS821" s="24">
        <f t="shared" ca="1" si="655"/>
        <v>0</v>
      </c>
      <c r="AT821" s="24">
        <f t="shared" ca="1" si="656"/>
        <v>0</v>
      </c>
      <c r="AU821" s="24">
        <f t="shared" ca="1" si="657"/>
        <v>0</v>
      </c>
      <c r="AV821" s="25">
        <f t="shared" ca="1" si="658"/>
        <v>0</v>
      </c>
      <c r="AW821" s="23">
        <f t="array" aca="1" ref="AW821" ca="1">SUM(IF(rcs_start_date&lt;=AO821,1,0)*IF(rcs_end_date&gt;=AO821,1,0)*rcs_amount*(1+rcs_escalation/100)^(INT((AP821-rcs_months_since_start)/12))*IF(MOD((AP821-rcs_months_since_start),rcs_frequency)=0,1,0)*IF(rcs_frequency=13,0,1))+SUM(IF(rcs_start_date=AO821,rcs_amount,0)*IF(rcs_frequency=13,1,0))</f>
        <v>0</v>
      </c>
      <c r="AX821" s="24">
        <f t="shared" ca="1" si="659"/>
        <v>0</v>
      </c>
      <c r="AY821" s="24">
        <f t="shared" ca="1" si="660"/>
        <v>0</v>
      </c>
      <c r="AZ821" s="24">
        <f t="shared" ca="1" si="661"/>
        <v>0</v>
      </c>
      <c r="BA821" s="25">
        <f t="shared" ca="1" si="662"/>
        <v>0</v>
      </c>
      <c r="BB821" s="23">
        <f t="array" aca="1" ref="BB821" ca="1">SUM(IF(w_start_date&lt;=AO821,1,0)*IF(w_end_date&gt;=AO821,1,0)*w_amount*(1+w_escalation/100)^(INT((AP821-w_months_since_start)/12))*IF(MOD(AP821-w_months_since_start,w_frequency)=0,1,0)*IF(w_frequency=13,0,1))+SUM(IF(w_start_date=AO821,w_amount,0)*IF(w_frequency=13,1,0))</f>
        <v>0</v>
      </c>
      <c r="BC821" s="25">
        <f t="shared" ca="1" si="663"/>
        <v>0</v>
      </c>
      <c r="BD821" s="24" t="b">
        <f t="shared" ca="1" si="664"/>
        <v>1</v>
      </c>
      <c r="BE821" s="24" t="b">
        <f t="shared" ca="1" si="665"/>
        <v>1</v>
      </c>
      <c r="BF821" s="23">
        <f t="array" aca="1" ref="BF821" ca="1">SUM(IF(BD821,1,0)*IF(ap_start_date&lt;=AO821,1,0)*IF(ap_end_date&gt;=AO821,1,0)*ap_amount*(1+ap_escalation/100)^(INT((AP821-ap_months_since_start)/12))*IF(MOD(AP821-ap_months_since_start,ap_frequency)=0,1,0))</f>
        <v>314727.75587661646</v>
      </c>
      <c r="BG821" s="24">
        <f t="shared" ca="1" si="666"/>
        <v>3776733.0705193984</v>
      </c>
      <c r="BH821" s="24">
        <f t="shared" ca="1" si="667"/>
        <v>289.29326533929122</v>
      </c>
      <c r="BI821">
        <f t="shared" ca="1" si="668"/>
        <v>0</v>
      </c>
      <c r="BJ821" s="24">
        <f t="shared" ca="1" si="669"/>
        <v>2025.0528573750382</v>
      </c>
      <c r="BK821">
        <f t="shared" ca="1" si="670"/>
        <v>1</v>
      </c>
      <c r="BL821" s="25">
        <f t="shared" ca="1" si="671"/>
        <v>168.75440478125316</v>
      </c>
      <c r="BM821" s="32">
        <f t="shared" ca="1" si="650"/>
        <v>10584.397290245768</v>
      </c>
      <c r="BN821" s="23">
        <f t="shared" ca="1" si="672"/>
        <v>0</v>
      </c>
      <c r="BO821" s="24">
        <f t="shared" ca="1" si="673"/>
        <v>0</v>
      </c>
      <c r="BP821" s="25">
        <f t="shared" ca="1" si="674"/>
        <v>0</v>
      </c>
      <c r="BQ821" s="34">
        <f t="shared" ca="1" si="675"/>
        <v>70402</v>
      </c>
      <c r="BR821" s="23">
        <f t="shared" ca="1" si="676"/>
        <v>10584.397290245768</v>
      </c>
      <c r="BS821" s="24">
        <f t="shared" ca="1" si="677"/>
        <v>0</v>
      </c>
      <c r="BT821" s="24">
        <f t="shared" ca="1" si="682"/>
        <v>0</v>
      </c>
      <c r="BU821" s="24">
        <f t="shared" ca="1" si="678"/>
        <v>0</v>
      </c>
      <c r="BV821" s="24">
        <f t="shared" ca="1" si="683"/>
        <v>0</v>
      </c>
      <c r="BW821" s="24">
        <f t="shared" ca="1" si="679"/>
        <v>-168.75440478125316</v>
      </c>
      <c r="BX821" s="25">
        <f t="shared" ca="1" si="684"/>
        <v>-2042.4422101226539</v>
      </c>
      <c r="BY821" s="23">
        <f t="shared" ca="1" si="651"/>
        <v>740.01061675684718</v>
      </c>
      <c r="BZ821" s="24">
        <f t="shared" ca="1" si="652"/>
        <v>0</v>
      </c>
      <c r="CA821" s="24">
        <f t="shared" ca="1" si="685"/>
        <v>0</v>
      </c>
      <c r="CB821" s="24">
        <f t="shared" ca="1" si="653"/>
        <v>0</v>
      </c>
      <c r="CC821" s="24">
        <f t="shared" ca="1" si="686"/>
        <v>0</v>
      </c>
      <c r="CD821" s="24">
        <f t="shared" ca="1" si="654"/>
        <v>-11.837128985092606</v>
      </c>
      <c r="CE821" s="25">
        <f t="shared" ca="1" si="687"/>
        <v>-145.89568710859362</v>
      </c>
      <c r="CF821" s="23">
        <f t="shared" ca="1" si="688"/>
        <v>3764628.1568318363</v>
      </c>
      <c r="CG821" s="25">
        <f t="array" aca="1" ref="CG821" ca="1">SUM(BF810:BF821/(1+inflation/100)^(AP810:AP821/12))</f>
        <v>267980.53702225385</v>
      </c>
      <c r="CH821" s="32">
        <f ca="1">IFERROR(IF(MOD(AP821-ap_months_since_start,12)=0,ap_drawdown/100*(AQ821+AV821+BA821-BC821),CH820),0)</f>
        <v>1778.5069733642549</v>
      </c>
    </row>
    <row r="822" spans="40:86" x14ac:dyDescent="0.25">
      <c r="AN822" s="32">
        <f t="shared" ca="1" si="649"/>
        <v>122.75</v>
      </c>
      <c r="AO822" s="53">
        <f t="shared" ca="1" si="680"/>
        <v>70403</v>
      </c>
      <c r="AP822" s="22">
        <v>815</v>
      </c>
      <c r="AQ822" s="32">
        <f t="shared" ca="1" si="681"/>
        <v>10584.397290245768</v>
      </c>
      <c r="AR822" s="23">
        <f t="array" aca="1" ref="AR822" ca="1">SUM(IF(lsc_start_date=AO822,lsc_amount,0))</f>
        <v>0</v>
      </c>
      <c r="AS822" s="24">
        <f t="shared" ca="1" si="655"/>
        <v>0</v>
      </c>
      <c r="AT822" s="24">
        <f t="shared" ca="1" si="656"/>
        <v>0</v>
      </c>
      <c r="AU822" s="24">
        <f t="shared" ca="1" si="657"/>
        <v>0</v>
      </c>
      <c r="AV822" s="25">
        <f t="shared" ca="1" si="658"/>
        <v>0</v>
      </c>
      <c r="AW822" s="23">
        <f t="array" aca="1" ref="AW822" ca="1">SUM(IF(rcs_start_date&lt;=AO822,1,0)*IF(rcs_end_date&gt;=AO822,1,0)*rcs_amount*(1+rcs_escalation/100)^(INT((AP822-rcs_months_since_start)/12))*IF(MOD((AP822-rcs_months_since_start),rcs_frequency)=0,1,0)*IF(rcs_frequency=13,0,1))+SUM(IF(rcs_start_date=AO822,rcs_amount,0)*IF(rcs_frequency=13,1,0))</f>
        <v>0</v>
      </c>
      <c r="AX822" s="24">
        <f t="shared" ca="1" si="659"/>
        <v>0</v>
      </c>
      <c r="AY822" s="24">
        <f t="shared" ca="1" si="660"/>
        <v>0</v>
      </c>
      <c r="AZ822" s="24">
        <f t="shared" ca="1" si="661"/>
        <v>0</v>
      </c>
      <c r="BA822" s="25">
        <f t="shared" ca="1" si="662"/>
        <v>0</v>
      </c>
      <c r="BB822" s="23">
        <f t="array" aca="1" ref="BB822" ca="1">SUM(IF(w_start_date&lt;=AO822,1,0)*IF(w_end_date&gt;=AO822,1,0)*w_amount*(1+w_escalation/100)^(INT((AP822-w_months_since_start)/12))*IF(MOD(AP822-w_months_since_start,w_frequency)=0,1,0)*IF(w_frequency=13,0,1))+SUM(IF(w_start_date=AO822,w_amount,0)*IF(w_frequency=13,1,0))</f>
        <v>0</v>
      </c>
      <c r="BC822" s="25">
        <f t="shared" ca="1" si="663"/>
        <v>0</v>
      </c>
      <c r="BD822" s="24" t="b">
        <f t="shared" ca="1" si="664"/>
        <v>1</v>
      </c>
      <c r="BE822" s="24" t="b">
        <f t="shared" ca="1" si="665"/>
        <v>1</v>
      </c>
      <c r="BF822" s="23">
        <f t="array" aca="1" ref="BF822" ca="1">SUM(IF(BD822,1,0)*IF(ap_start_date&lt;=AO822,1,0)*IF(ap_end_date&gt;=AO822,1,0)*ap_amount*(1+ap_escalation/100)^(INT((AP822-ap_months_since_start)/12))*IF(MOD(AP822-ap_months_since_start,ap_frequency)=0,1,0))</f>
        <v>314727.75587661646</v>
      </c>
      <c r="BG822" s="24">
        <f t="shared" ca="1" si="666"/>
        <v>3776733.0705193984</v>
      </c>
      <c r="BH822" s="24">
        <f t="shared" ca="1" si="667"/>
        <v>289.29326533929122</v>
      </c>
      <c r="BI822">
        <f t="shared" ca="1" si="668"/>
        <v>0</v>
      </c>
      <c r="BJ822" s="24">
        <f t="shared" ca="1" si="669"/>
        <v>2025.0528573750382</v>
      </c>
      <c r="BK822">
        <f t="shared" ca="1" si="670"/>
        <v>1</v>
      </c>
      <c r="BL822" s="25">
        <f t="shared" ca="1" si="671"/>
        <v>168.75440478125316</v>
      </c>
      <c r="BM822" s="32">
        <f t="shared" ca="1" si="650"/>
        <v>10490.711791285477</v>
      </c>
      <c r="BN822" s="23">
        <f t="shared" ca="1" si="672"/>
        <v>0</v>
      </c>
      <c r="BO822" s="24">
        <f t="shared" ca="1" si="673"/>
        <v>0</v>
      </c>
      <c r="BP822" s="25">
        <f t="shared" ca="1" si="674"/>
        <v>0</v>
      </c>
      <c r="BQ822" s="34">
        <f t="shared" ca="1" si="675"/>
        <v>70433</v>
      </c>
      <c r="BR822" s="23">
        <f t="shared" ca="1" si="676"/>
        <v>10490.711791285477</v>
      </c>
      <c r="BS822" s="24">
        <f t="shared" ca="1" si="677"/>
        <v>0</v>
      </c>
      <c r="BT822" s="24">
        <f t="shared" ca="1" si="682"/>
        <v>0</v>
      </c>
      <c r="BU822" s="24">
        <f t="shared" ca="1" si="678"/>
        <v>0</v>
      </c>
      <c r="BV822" s="24">
        <f t="shared" ca="1" si="683"/>
        <v>0</v>
      </c>
      <c r="BW822" s="24">
        <f t="shared" ca="1" si="679"/>
        <v>-168.75440478125316</v>
      </c>
      <c r="BX822" s="25">
        <f t="shared" ca="1" si="684"/>
        <v>-2025.0528573750382</v>
      </c>
      <c r="BY822" s="23">
        <f t="shared" ca="1" si="651"/>
        <v>731.06724920681165</v>
      </c>
      <c r="BZ822" s="24">
        <f t="shared" ca="1" si="652"/>
        <v>0</v>
      </c>
      <c r="CA822" s="24">
        <f t="shared" ca="1" si="685"/>
        <v>0</v>
      </c>
      <c r="CB822" s="24">
        <f t="shared" ca="1" si="653"/>
        <v>0</v>
      </c>
      <c r="CC822" s="24">
        <f t="shared" ca="1" si="686"/>
        <v>0</v>
      </c>
      <c r="CD822" s="24">
        <f t="shared" ca="1" si="654"/>
        <v>-11.798503753982773</v>
      </c>
      <c r="CE822" s="25">
        <f t="shared" ca="1" si="687"/>
        <v>-144.15933505940535</v>
      </c>
      <c r="CF822" s="23">
        <f t="shared" ca="1" si="688"/>
        <v>3776733.0705193984</v>
      </c>
      <c r="CG822" s="25">
        <f t="array" aca="1" ref="CG822" ca="1">SUM(BF811:BF822/(1+inflation/100)^(AP811:AP822/12))</f>
        <v>267980.53702225379</v>
      </c>
      <c r="CH822" s="32">
        <f ca="1">IFERROR(IF(MOD(AP822-ap_months_since_start,12)=0,ap_drawdown/100*(AQ822+AV822+BA822-BC822),CH821),0)</f>
        <v>1778.5069733642549</v>
      </c>
    </row>
    <row r="823" spans="40:86" x14ac:dyDescent="0.25">
      <c r="AN823" s="32">
        <f t="shared" ca="1" si="649"/>
        <v>122.83333333333333</v>
      </c>
      <c r="AO823" s="53">
        <f t="shared" ca="1" si="680"/>
        <v>70434</v>
      </c>
      <c r="AP823" s="22">
        <v>816</v>
      </c>
      <c r="AQ823" s="32">
        <f t="shared" ca="1" si="681"/>
        <v>10490.711791285477</v>
      </c>
      <c r="AR823" s="23">
        <f t="array" aca="1" ref="AR823" ca="1">SUM(IF(lsc_start_date=AO823,lsc_amount,0))</f>
        <v>0</v>
      </c>
      <c r="AS823" s="24">
        <f t="shared" ca="1" si="655"/>
        <v>0</v>
      </c>
      <c r="AT823" s="24">
        <f t="shared" ca="1" si="656"/>
        <v>0</v>
      </c>
      <c r="AU823" s="24">
        <f t="shared" ca="1" si="657"/>
        <v>0</v>
      </c>
      <c r="AV823" s="25">
        <f t="shared" ca="1" si="658"/>
        <v>0</v>
      </c>
      <c r="AW823" s="23">
        <f t="array" aca="1" ref="AW823" ca="1">SUM(IF(rcs_start_date&lt;=AO823,1,0)*IF(rcs_end_date&gt;=AO823,1,0)*rcs_amount*(1+rcs_escalation/100)^(INT((AP823-rcs_months_since_start)/12))*IF(MOD((AP823-rcs_months_since_start),rcs_frequency)=0,1,0)*IF(rcs_frequency=13,0,1))+SUM(IF(rcs_start_date=AO823,rcs_amount,0)*IF(rcs_frequency=13,1,0))</f>
        <v>0</v>
      </c>
      <c r="AX823" s="24">
        <f t="shared" ca="1" si="659"/>
        <v>0</v>
      </c>
      <c r="AY823" s="24">
        <f t="shared" ca="1" si="660"/>
        <v>0</v>
      </c>
      <c r="AZ823" s="24">
        <f t="shared" ca="1" si="661"/>
        <v>0</v>
      </c>
      <c r="BA823" s="25">
        <f t="shared" ca="1" si="662"/>
        <v>0</v>
      </c>
      <c r="BB823" s="23">
        <f t="array" aca="1" ref="BB823" ca="1">SUM(IF(w_start_date&lt;=AO823,1,0)*IF(w_end_date&gt;=AO823,1,0)*w_amount*(1+w_escalation/100)^(INT((AP823-w_months_since_start)/12))*IF(MOD(AP823-w_months_since_start,w_frequency)=0,1,0)*IF(w_frequency=13,0,1))+SUM(IF(w_start_date=AO823,w_amount,0)*IF(w_frequency=13,1,0))</f>
        <v>0</v>
      </c>
      <c r="BC823" s="25">
        <f t="shared" ca="1" si="663"/>
        <v>0</v>
      </c>
      <c r="BD823" s="24" t="b">
        <f t="shared" ca="1" si="664"/>
        <v>1</v>
      </c>
      <c r="BE823" s="24" t="b">
        <f t="shared" ca="1" si="665"/>
        <v>1</v>
      </c>
      <c r="BF823" s="23">
        <f t="array" aca="1" ref="BF823" ca="1">SUM(IF(BD823,1,0)*IF(ap_start_date&lt;=AO823,1,0)*IF(ap_end_date&gt;=AO823,1,0)*ap_amount*(1+ap_escalation/100)^(INT((AP823-ap_months_since_start)/12))*IF(MOD(AP823-ap_months_since_start,ap_frequency)=0,1,0))</f>
        <v>327316.86611168127</v>
      </c>
      <c r="BG823" s="24">
        <f t="shared" ca="1" si="666"/>
        <v>3927802.3933401755</v>
      </c>
      <c r="BH823" s="24">
        <f t="shared" ca="1" si="667"/>
        <v>262.26779478213695</v>
      </c>
      <c r="BI823">
        <f t="shared" ca="1" si="668"/>
        <v>0</v>
      </c>
      <c r="BJ823" s="24">
        <f t="shared" ca="1" si="669"/>
        <v>1835.8745634749584</v>
      </c>
      <c r="BK823">
        <f t="shared" ca="1" si="670"/>
        <v>1</v>
      </c>
      <c r="BL823" s="25">
        <f t="shared" ca="1" si="671"/>
        <v>152.98954695624653</v>
      </c>
      <c r="BM823" s="32">
        <f t="shared" ca="1" si="650"/>
        <v>10412.229550896529</v>
      </c>
      <c r="BN823" s="23">
        <f t="shared" ca="1" si="672"/>
        <v>0</v>
      </c>
      <c r="BO823" s="24">
        <f t="shared" ca="1" si="673"/>
        <v>0</v>
      </c>
      <c r="BP823" s="25">
        <f t="shared" ca="1" si="674"/>
        <v>0</v>
      </c>
      <c r="BQ823" s="34">
        <f t="shared" ca="1" si="675"/>
        <v>70463</v>
      </c>
      <c r="BR823" s="23">
        <f t="shared" ca="1" si="676"/>
        <v>10412.229550896529</v>
      </c>
      <c r="BS823" s="24">
        <f t="shared" ca="1" si="677"/>
        <v>0</v>
      </c>
      <c r="BT823" s="24">
        <f t="shared" ca="1" si="682"/>
        <v>0</v>
      </c>
      <c r="BU823" s="24">
        <f t="shared" ca="1" si="678"/>
        <v>0</v>
      </c>
      <c r="BV823" s="24">
        <f t="shared" ca="1" si="683"/>
        <v>0</v>
      </c>
      <c r="BW823" s="24">
        <f t="shared" ca="1" si="679"/>
        <v>-152.98954695624653</v>
      </c>
      <c r="BX823" s="25">
        <f t="shared" ca="1" si="684"/>
        <v>-2009.2879995500316</v>
      </c>
      <c r="BY823" s="23">
        <f t="shared" ca="1" si="651"/>
        <v>723.23038164338629</v>
      </c>
      <c r="BZ823" s="24">
        <f t="shared" ca="1" si="652"/>
        <v>0</v>
      </c>
      <c r="CA823" s="24">
        <f t="shared" ca="1" si="685"/>
        <v>0</v>
      </c>
      <c r="CB823" s="24">
        <f t="shared" ca="1" si="653"/>
        <v>0</v>
      </c>
      <c r="CC823" s="24">
        <f t="shared" ca="1" si="686"/>
        <v>0</v>
      </c>
      <c r="CD823" s="24">
        <f t="shared" ca="1" si="654"/>
        <v>-10.661397384266001</v>
      </c>
      <c r="CE823" s="25">
        <f t="shared" ca="1" si="687"/>
        <v>-142.59032770208421</v>
      </c>
      <c r="CF823" s="23">
        <f t="shared" ca="1" si="688"/>
        <v>3789322.1807544632</v>
      </c>
      <c r="CG823" s="25">
        <f t="array" aca="1" ref="CG823" ca="1">SUM(BF812:BF823/(1+inflation/100)^(AP812:AP823/12))</f>
        <v>267980.53702225385</v>
      </c>
      <c r="CH823" s="32">
        <f ca="1">IFERROR(IF(MOD(AP823-ap_months_since_start,12)=0,ap_drawdown/100*(AQ823+AV823+BA823-BC823),CH822),0)</f>
        <v>1612.3607349166462</v>
      </c>
    </row>
    <row r="824" spans="40:86" x14ac:dyDescent="0.25">
      <c r="AN824" s="32">
        <f t="shared" ca="1" si="649"/>
        <v>122.91666666666667</v>
      </c>
      <c r="AO824" s="53">
        <f t="shared" ca="1" si="680"/>
        <v>70464</v>
      </c>
      <c r="AP824" s="22">
        <v>817</v>
      </c>
      <c r="AQ824" s="32">
        <f t="shared" ca="1" si="681"/>
        <v>10412.229550896529</v>
      </c>
      <c r="AR824" s="23">
        <f t="array" aca="1" ref="AR824" ca="1">SUM(IF(lsc_start_date=AO824,lsc_amount,0))</f>
        <v>0</v>
      </c>
      <c r="AS824" s="24">
        <f t="shared" ca="1" si="655"/>
        <v>0</v>
      </c>
      <c r="AT824" s="24">
        <f t="shared" ca="1" si="656"/>
        <v>0</v>
      </c>
      <c r="AU824" s="24">
        <f t="shared" ca="1" si="657"/>
        <v>0</v>
      </c>
      <c r="AV824" s="25">
        <f t="shared" ca="1" si="658"/>
        <v>0</v>
      </c>
      <c r="AW824" s="23">
        <f t="array" aca="1" ref="AW824" ca="1">SUM(IF(rcs_start_date&lt;=AO824,1,0)*IF(rcs_end_date&gt;=AO824,1,0)*rcs_amount*(1+rcs_escalation/100)^(INT((AP824-rcs_months_since_start)/12))*IF(MOD((AP824-rcs_months_since_start),rcs_frequency)=0,1,0)*IF(rcs_frequency=13,0,1))+SUM(IF(rcs_start_date=AO824,rcs_amount,0)*IF(rcs_frequency=13,1,0))</f>
        <v>0</v>
      </c>
      <c r="AX824" s="24">
        <f t="shared" ca="1" si="659"/>
        <v>0</v>
      </c>
      <c r="AY824" s="24">
        <f t="shared" ca="1" si="660"/>
        <v>0</v>
      </c>
      <c r="AZ824" s="24">
        <f t="shared" ca="1" si="661"/>
        <v>0</v>
      </c>
      <c r="BA824" s="25">
        <f t="shared" ca="1" si="662"/>
        <v>0</v>
      </c>
      <c r="BB824" s="23">
        <f t="array" aca="1" ref="BB824" ca="1">SUM(IF(w_start_date&lt;=AO824,1,0)*IF(w_end_date&gt;=AO824,1,0)*w_amount*(1+w_escalation/100)^(INT((AP824-w_months_since_start)/12))*IF(MOD(AP824-w_months_since_start,w_frequency)=0,1,0)*IF(w_frequency=13,0,1))+SUM(IF(w_start_date=AO824,w_amount,0)*IF(w_frequency=13,1,0))</f>
        <v>0</v>
      </c>
      <c r="BC824" s="25">
        <f t="shared" ca="1" si="663"/>
        <v>0</v>
      </c>
      <c r="BD824" s="24" t="b">
        <f t="shared" ca="1" si="664"/>
        <v>1</v>
      </c>
      <c r="BE824" s="24" t="b">
        <f t="shared" ca="1" si="665"/>
        <v>1</v>
      </c>
      <c r="BF824" s="23">
        <f t="array" aca="1" ref="BF824" ca="1">SUM(IF(BD824,1,0)*IF(ap_start_date&lt;=AO824,1,0)*IF(ap_end_date&gt;=AO824,1,0)*ap_amount*(1+ap_escalation/100)^(INT((AP824-ap_months_since_start)/12))*IF(MOD(AP824-ap_months_since_start,ap_frequency)=0,1,0))</f>
        <v>327316.86611168127</v>
      </c>
      <c r="BG824" s="24">
        <f t="shared" ca="1" si="666"/>
        <v>3927802.3933401755</v>
      </c>
      <c r="BH824" s="24">
        <f t="shared" ca="1" si="667"/>
        <v>262.26779478213695</v>
      </c>
      <c r="BI824">
        <f t="shared" ca="1" si="668"/>
        <v>0</v>
      </c>
      <c r="BJ824" s="24">
        <f t="shared" ca="1" si="669"/>
        <v>1835.8745634749584</v>
      </c>
      <c r="BK824">
        <f t="shared" ca="1" si="670"/>
        <v>1</v>
      </c>
      <c r="BL824" s="25">
        <f t="shared" ca="1" si="671"/>
        <v>152.98954695624653</v>
      </c>
      <c r="BM824" s="32">
        <f t="shared" ca="1" si="650"/>
        <v>10333.181663626523</v>
      </c>
      <c r="BN824" s="23">
        <f t="shared" ca="1" si="672"/>
        <v>0</v>
      </c>
      <c r="BO824" s="24">
        <f t="shared" ca="1" si="673"/>
        <v>0</v>
      </c>
      <c r="BP824" s="25">
        <f t="shared" ca="1" si="674"/>
        <v>0</v>
      </c>
      <c r="BQ824" s="34">
        <f t="shared" ca="1" si="675"/>
        <v>70494</v>
      </c>
      <c r="BR824" s="23">
        <f t="shared" ca="1" si="676"/>
        <v>10333.181663626523</v>
      </c>
      <c r="BS824" s="24">
        <f t="shared" ca="1" si="677"/>
        <v>0</v>
      </c>
      <c r="BT824" s="24">
        <f t="shared" ca="1" si="682"/>
        <v>0</v>
      </c>
      <c r="BU824" s="24">
        <f t="shared" ca="1" si="678"/>
        <v>0</v>
      </c>
      <c r="BV824" s="24">
        <f t="shared" ca="1" si="683"/>
        <v>0</v>
      </c>
      <c r="BW824" s="24">
        <f t="shared" ca="1" si="679"/>
        <v>-152.98954695624653</v>
      </c>
      <c r="BX824" s="25">
        <f t="shared" ca="1" si="684"/>
        <v>-1993.523141725025</v>
      </c>
      <c r="BY824" s="23">
        <f t="shared" ca="1" si="651"/>
        <v>715.3977128462991</v>
      </c>
      <c r="BZ824" s="24">
        <f t="shared" ca="1" si="652"/>
        <v>0</v>
      </c>
      <c r="CA824" s="24">
        <f t="shared" ca="1" si="685"/>
        <v>0</v>
      </c>
      <c r="CB824" s="24">
        <f t="shared" ca="1" si="653"/>
        <v>0</v>
      </c>
      <c r="CC824" s="24">
        <f t="shared" ca="1" si="686"/>
        <v>0</v>
      </c>
      <c r="CD824" s="24">
        <f t="shared" ca="1" si="654"/>
        <v>-10.626608632834825</v>
      </c>
      <c r="CE824" s="25">
        <f t="shared" ca="1" si="687"/>
        <v>-141.0264401058019</v>
      </c>
      <c r="CF824" s="23">
        <f t="shared" ca="1" si="688"/>
        <v>3801911.2909895279</v>
      </c>
      <c r="CG824" s="25">
        <f t="array" aca="1" ref="CG824" ca="1">SUM(BF813:BF824/(1+inflation/100)^(AP813:AP824/12))</f>
        <v>267980.53702225385</v>
      </c>
      <c r="CH824" s="32">
        <f ca="1">IFERROR(IF(MOD(AP824-ap_months_since_start,12)=0,ap_drawdown/100*(AQ824+AV824+BA824-BC824),CH823),0)</f>
        <v>1612.3607349166462</v>
      </c>
    </row>
    <row r="825" spans="40:86" x14ac:dyDescent="0.25">
      <c r="AN825" s="32">
        <f t="shared" ca="1" si="649"/>
        <v>123</v>
      </c>
      <c r="AO825" s="53">
        <f t="shared" ca="1" si="680"/>
        <v>70495</v>
      </c>
      <c r="AP825" s="22">
        <v>818</v>
      </c>
      <c r="AQ825" s="32">
        <f t="shared" ca="1" si="681"/>
        <v>10333.181663626523</v>
      </c>
      <c r="AR825" s="23">
        <f t="array" aca="1" ref="AR825" ca="1">SUM(IF(lsc_start_date=AO825,lsc_amount,0))</f>
        <v>0</v>
      </c>
      <c r="AS825" s="24">
        <f t="shared" ca="1" si="655"/>
        <v>0</v>
      </c>
      <c r="AT825" s="24">
        <f t="shared" ca="1" si="656"/>
        <v>0</v>
      </c>
      <c r="AU825" s="24">
        <f t="shared" ca="1" si="657"/>
        <v>0</v>
      </c>
      <c r="AV825" s="25">
        <f t="shared" ca="1" si="658"/>
        <v>0</v>
      </c>
      <c r="AW825" s="23">
        <f t="array" aca="1" ref="AW825" ca="1">SUM(IF(rcs_start_date&lt;=AO825,1,0)*IF(rcs_end_date&gt;=AO825,1,0)*rcs_amount*(1+rcs_escalation/100)^(INT((AP825-rcs_months_since_start)/12))*IF(MOD((AP825-rcs_months_since_start),rcs_frequency)=0,1,0)*IF(rcs_frequency=13,0,1))+SUM(IF(rcs_start_date=AO825,rcs_amount,0)*IF(rcs_frequency=13,1,0))</f>
        <v>0</v>
      </c>
      <c r="AX825" s="24">
        <f t="shared" ca="1" si="659"/>
        <v>0</v>
      </c>
      <c r="AY825" s="24">
        <f t="shared" ca="1" si="660"/>
        <v>0</v>
      </c>
      <c r="AZ825" s="24">
        <f t="shared" ca="1" si="661"/>
        <v>0</v>
      </c>
      <c r="BA825" s="25">
        <f t="shared" ca="1" si="662"/>
        <v>0</v>
      </c>
      <c r="BB825" s="23">
        <f t="array" aca="1" ref="BB825" ca="1">SUM(IF(w_start_date&lt;=AO825,1,0)*IF(w_end_date&gt;=AO825,1,0)*w_amount*(1+w_escalation/100)^(INT((AP825-w_months_since_start)/12))*IF(MOD(AP825-w_months_since_start,w_frequency)=0,1,0)*IF(w_frequency=13,0,1))+SUM(IF(w_start_date=AO825,w_amount,0)*IF(w_frequency=13,1,0))</f>
        <v>0</v>
      </c>
      <c r="BC825" s="25">
        <f t="shared" ca="1" si="663"/>
        <v>0</v>
      </c>
      <c r="BD825" s="24" t="b">
        <f t="shared" ca="1" si="664"/>
        <v>1</v>
      </c>
      <c r="BE825" s="24" t="b">
        <f t="shared" ca="1" si="665"/>
        <v>1</v>
      </c>
      <c r="BF825" s="23">
        <f t="array" aca="1" ref="BF825" ca="1">SUM(IF(BD825,1,0)*IF(ap_start_date&lt;=AO825,1,0)*IF(ap_end_date&gt;=AO825,1,0)*ap_amount*(1+ap_escalation/100)^(INT((AP825-ap_months_since_start)/12))*IF(MOD(AP825-ap_months_since_start,ap_frequency)=0,1,0))</f>
        <v>327316.86611168127</v>
      </c>
      <c r="BG825" s="24">
        <f t="shared" ca="1" si="666"/>
        <v>3927802.3933401755</v>
      </c>
      <c r="BH825" s="24">
        <f t="shared" ca="1" si="667"/>
        <v>262.26779478213695</v>
      </c>
      <c r="BI825">
        <f t="shared" ca="1" si="668"/>
        <v>0</v>
      </c>
      <c r="BJ825" s="24">
        <f t="shared" ca="1" si="669"/>
        <v>1835.8745634749584</v>
      </c>
      <c r="BK825">
        <f t="shared" ca="1" si="670"/>
        <v>1</v>
      </c>
      <c r="BL825" s="25">
        <f t="shared" ca="1" si="671"/>
        <v>152.98954695624653</v>
      </c>
      <c r="BM825" s="32">
        <f t="shared" ca="1" si="650"/>
        <v>10253.564052675505</v>
      </c>
      <c r="BN825" s="23">
        <f t="shared" ca="1" si="672"/>
        <v>0</v>
      </c>
      <c r="BO825" s="24">
        <f t="shared" ca="1" si="673"/>
        <v>0</v>
      </c>
      <c r="BP825" s="25">
        <f t="shared" ca="1" si="674"/>
        <v>0</v>
      </c>
      <c r="BQ825" s="34">
        <f t="shared" ca="1" si="675"/>
        <v>70525</v>
      </c>
      <c r="BR825" s="23">
        <f t="shared" ca="1" si="676"/>
        <v>10253.564052675505</v>
      </c>
      <c r="BS825" s="24">
        <f t="shared" ca="1" si="677"/>
        <v>0</v>
      </c>
      <c r="BT825" s="24">
        <f t="shared" ca="1" si="682"/>
        <v>0</v>
      </c>
      <c r="BU825" s="24">
        <f t="shared" ca="1" si="678"/>
        <v>0</v>
      </c>
      <c r="BV825" s="24">
        <f t="shared" ca="1" si="683"/>
        <v>0</v>
      </c>
      <c r="BW825" s="24">
        <f t="shared" ca="1" si="679"/>
        <v>-152.98954695624653</v>
      </c>
      <c r="BX825" s="25">
        <f t="shared" ca="1" si="684"/>
        <v>-1977.7582839000183</v>
      </c>
      <c r="BY825" s="23">
        <f t="shared" ca="1" si="651"/>
        <v>707.56914531508619</v>
      </c>
      <c r="BZ825" s="24">
        <f t="shared" ca="1" si="652"/>
        <v>0</v>
      </c>
      <c r="CA825" s="24">
        <f t="shared" ca="1" si="685"/>
        <v>0</v>
      </c>
      <c r="CB825" s="24">
        <f t="shared" ca="1" si="653"/>
        <v>0</v>
      </c>
      <c r="CC825" s="24">
        <f t="shared" ca="1" si="686"/>
        <v>0</v>
      </c>
      <c r="CD825" s="24">
        <f t="shared" ca="1" si="654"/>
        <v>-10.591933399095817</v>
      </c>
      <c r="CE825" s="25">
        <f t="shared" ca="1" si="687"/>
        <v>-139.46765556448435</v>
      </c>
      <c r="CF825" s="23">
        <f t="shared" ca="1" si="688"/>
        <v>3814500.4012245927</v>
      </c>
      <c r="CG825" s="25">
        <f t="array" aca="1" ref="CG825" ca="1">SUM(BF814:BF825/(1+inflation/100)^(AP814:AP825/12))</f>
        <v>267980.53702225385</v>
      </c>
      <c r="CH825" s="32">
        <f ca="1">IFERROR(IF(MOD(AP825-ap_months_since_start,12)=0,ap_drawdown/100*(AQ825+AV825+BA825-BC825),CH824),0)</f>
        <v>1612.3607349166462</v>
      </c>
    </row>
    <row r="826" spans="40:86" x14ac:dyDescent="0.25">
      <c r="AN826" s="32">
        <f t="shared" ca="1" si="649"/>
        <v>123.08333333333333</v>
      </c>
      <c r="AO826" s="53">
        <f t="shared" ca="1" si="680"/>
        <v>70526</v>
      </c>
      <c r="AP826" s="22">
        <v>819</v>
      </c>
      <c r="AQ826" s="32">
        <f t="shared" ca="1" si="681"/>
        <v>10253.564052675505</v>
      </c>
      <c r="AR826" s="23">
        <f t="array" aca="1" ref="AR826" ca="1">SUM(IF(lsc_start_date=AO826,lsc_amount,0))</f>
        <v>0</v>
      </c>
      <c r="AS826" s="24">
        <f t="shared" ca="1" si="655"/>
        <v>0</v>
      </c>
      <c r="AT826" s="24">
        <f t="shared" ca="1" si="656"/>
        <v>0</v>
      </c>
      <c r="AU826" s="24">
        <f t="shared" ca="1" si="657"/>
        <v>0</v>
      </c>
      <c r="AV826" s="25">
        <f t="shared" ca="1" si="658"/>
        <v>0</v>
      </c>
      <c r="AW826" s="23">
        <f t="array" aca="1" ref="AW826" ca="1">SUM(IF(rcs_start_date&lt;=AO826,1,0)*IF(rcs_end_date&gt;=AO826,1,0)*rcs_amount*(1+rcs_escalation/100)^(INT((AP826-rcs_months_since_start)/12))*IF(MOD((AP826-rcs_months_since_start),rcs_frequency)=0,1,0)*IF(rcs_frequency=13,0,1))+SUM(IF(rcs_start_date=AO826,rcs_amount,0)*IF(rcs_frequency=13,1,0))</f>
        <v>0</v>
      </c>
      <c r="AX826" s="24">
        <f t="shared" ca="1" si="659"/>
        <v>0</v>
      </c>
      <c r="AY826" s="24">
        <f t="shared" ca="1" si="660"/>
        <v>0</v>
      </c>
      <c r="AZ826" s="24">
        <f t="shared" ca="1" si="661"/>
        <v>0</v>
      </c>
      <c r="BA826" s="25">
        <f t="shared" ca="1" si="662"/>
        <v>0</v>
      </c>
      <c r="BB826" s="23">
        <f t="array" aca="1" ref="BB826" ca="1">SUM(IF(w_start_date&lt;=AO826,1,0)*IF(w_end_date&gt;=AO826,1,0)*w_amount*(1+w_escalation/100)^(INT((AP826-w_months_since_start)/12))*IF(MOD(AP826-w_months_since_start,w_frequency)=0,1,0)*IF(w_frequency=13,0,1))+SUM(IF(w_start_date=AO826,w_amount,0)*IF(w_frequency=13,1,0))</f>
        <v>0</v>
      </c>
      <c r="BC826" s="25">
        <f t="shared" ca="1" si="663"/>
        <v>0</v>
      </c>
      <c r="BD826" s="24" t="b">
        <f t="shared" ca="1" si="664"/>
        <v>1</v>
      </c>
      <c r="BE826" s="24" t="b">
        <f t="shared" ca="1" si="665"/>
        <v>1</v>
      </c>
      <c r="BF826" s="23">
        <f t="array" aca="1" ref="BF826" ca="1">SUM(IF(BD826,1,0)*IF(ap_start_date&lt;=AO826,1,0)*IF(ap_end_date&gt;=AO826,1,0)*ap_amount*(1+ap_escalation/100)^(INT((AP826-ap_months_since_start)/12))*IF(MOD(AP826-ap_months_since_start,ap_frequency)=0,1,0))</f>
        <v>327316.86611168127</v>
      </c>
      <c r="BG826" s="24">
        <f t="shared" ca="1" si="666"/>
        <v>3927802.3933401755</v>
      </c>
      <c r="BH826" s="24">
        <f t="shared" ca="1" si="667"/>
        <v>262.26779478213695</v>
      </c>
      <c r="BI826">
        <f t="shared" ca="1" si="668"/>
        <v>0</v>
      </c>
      <c r="BJ826" s="24">
        <f t="shared" ca="1" si="669"/>
        <v>1835.8745634749584</v>
      </c>
      <c r="BK826">
        <f t="shared" ca="1" si="670"/>
        <v>1</v>
      </c>
      <c r="BL826" s="25">
        <f t="shared" ca="1" si="671"/>
        <v>152.98954695624653</v>
      </c>
      <c r="BM826" s="32">
        <f t="shared" ca="1" si="650"/>
        <v>10173.372611860705</v>
      </c>
      <c r="BN826" s="23">
        <f t="shared" ca="1" si="672"/>
        <v>0</v>
      </c>
      <c r="BO826" s="24">
        <f t="shared" ca="1" si="673"/>
        <v>0</v>
      </c>
      <c r="BP826" s="25">
        <f t="shared" ca="1" si="674"/>
        <v>0</v>
      </c>
      <c r="BQ826" s="34">
        <f t="shared" ca="1" si="675"/>
        <v>70553</v>
      </c>
      <c r="BR826" s="23">
        <f t="shared" ca="1" si="676"/>
        <v>10173.372611860705</v>
      </c>
      <c r="BS826" s="24">
        <f t="shared" ca="1" si="677"/>
        <v>0</v>
      </c>
      <c r="BT826" s="24">
        <f t="shared" ca="1" si="682"/>
        <v>0</v>
      </c>
      <c r="BU826" s="24">
        <f t="shared" ca="1" si="678"/>
        <v>0</v>
      </c>
      <c r="BV826" s="24">
        <f t="shared" ca="1" si="683"/>
        <v>0</v>
      </c>
      <c r="BW826" s="24">
        <f t="shared" ca="1" si="679"/>
        <v>-152.98954695624653</v>
      </c>
      <c r="BX826" s="25">
        <f t="shared" ca="1" si="684"/>
        <v>-1961.9934260750117</v>
      </c>
      <c r="BY826" s="23">
        <f t="shared" ca="1" si="651"/>
        <v>699.74458153888008</v>
      </c>
      <c r="BZ826" s="24">
        <f t="shared" ca="1" si="652"/>
        <v>0</v>
      </c>
      <c r="CA826" s="24">
        <f t="shared" ca="1" si="685"/>
        <v>0</v>
      </c>
      <c r="CB826" s="24">
        <f t="shared" ca="1" si="653"/>
        <v>0</v>
      </c>
      <c r="CC826" s="24">
        <f t="shared" ca="1" si="686"/>
        <v>0</v>
      </c>
      <c r="CD826" s="24">
        <f t="shared" ca="1" si="654"/>
        <v>-10.557371312634196</v>
      </c>
      <c r="CE826" s="25">
        <f t="shared" ca="1" si="687"/>
        <v>-137.91395742657048</v>
      </c>
      <c r="CF826" s="23">
        <f t="shared" ca="1" si="688"/>
        <v>3827089.5114596575</v>
      </c>
      <c r="CG826" s="25">
        <f t="array" aca="1" ref="CG826" ca="1">SUM(BF815:BF826/(1+inflation/100)^(AP815:AP826/12))</f>
        <v>267980.53702225391</v>
      </c>
      <c r="CH826" s="32">
        <f ca="1">IFERROR(IF(MOD(AP826-ap_months_since_start,12)=0,ap_drawdown/100*(AQ826+AV826+BA826-BC826),CH825),0)</f>
        <v>1612.3607349166462</v>
      </c>
    </row>
    <row r="827" spans="40:86" x14ac:dyDescent="0.25">
      <c r="AN827" s="32">
        <f t="shared" ca="1" si="649"/>
        <v>123.16666666666667</v>
      </c>
      <c r="AO827" s="53">
        <f t="shared" ca="1" si="680"/>
        <v>70554</v>
      </c>
      <c r="AP827" s="22">
        <v>820</v>
      </c>
      <c r="AQ827" s="32">
        <f t="shared" ca="1" si="681"/>
        <v>10173.372611860705</v>
      </c>
      <c r="AR827" s="23">
        <f t="array" aca="1" ref="AR827" ca="1">SUM(IF(lsc_start_date=AO827,lsc_amount,0))</f>
        <v>0</v>
      </c>
      <c r="AS827" s="24">
        <f t="shared" ca="1" si="655"/>
        <v>0</v>
      </c>
      <c r="AT827" s="24">
        <f t="shared" ca="1" si="656"/>
        <v>0</v>
      </c>
      <c r="AU827" s="24">
        <f t="shared" ca="1" si="657"/>
        <v>0</v>
      </c>
      <c r="AV827" s="25">
        <f t="shared" ca="1" si="658"/>
        <v>0</v>
      </c>
      <c r="AW827" s="23">
        <f t="array" aca="1" ref="AW827" ca="1">SUM(IF(rcs_start_date&lt;=AO827,1,0)*IF(rcs_end_date&gt;=AO827,1,0)*rcs_amount*(1+rcs_escalation/100)^(INT((AP827-rcs_months_since_start)/12))*IF(MOD((AP827-rcs_months_since_start),rcs_frequency)=0,1,0)*IF(rcs_frequency=13,0,1))+SUM(IF(rcs_start_date=AO827,rcs_amount,0)*IF(rcs_frequency=13,1,0))</f>
        <v>0</v>
      </c>
      <c r="AX827" s="24">
        <f t="shared" ca="1" si="659"/>
        <v>0</v>
      </c>
      <c r="AY827" s="24">
        <f t="shared" ca="1" si="660"/>
        <v>0</v>
      </c>
      <c r="AZ827" s="24">
        <f t="shared" ca="1" si="661"/>
        <v>0</v>
      </c>
      <c r="BA827" s="25">
        <f t="shared" ca="1" si="662"/>
        <v>0</v>
      </c>
      <c r="BB827" s="23">
        <f t="array" aca="1" ref="BB827" ca="1">SUM(IF(w_start_date&lt;=AO827,1,0)*IF(w_end_date&gt;=AO827,1,0)*w_amount*(1+w_escalation/100)^(INT((AP827-w_months_since_start)/12))*IF(MOD(AP827-w_months_since_start,w_frequency)=0,1,0)*IF(w_frequency=13,0,1))+SUM(IF(w_start_date=AO827,w_amount,0)*IF(w_frequency=13,1,0))</f>
        <v>0</v>
      </c>
      <c r="BC827" s="25">
        <f t="shared" ca="1" si="663"/>
        <v>0</v>
      </c>
      <c r="BD827" s="24" t="b">
        <f t="shared" ca="1" si="664"/>
        <v>1</v>
      </c>
      <c r="BE827" s="24" t="b">
        <f t="shared" ca="1" si="665"/>
        <v>1</v>
      </c>
      <c r="BF827" s="23">
        <f t="array" aca="1" ref="BF827" ca="1">SUM(IF(BD827,1,0)*IF(ap_start_date&lt;=AO827,1,0)*IF(ap_end_date&gt;=AO827,1,0)*ap_amount*(1+ap_escalation/100)^(INT((AP827-ap_months_since_start)/12))*IF(MOD(AP827-ap_months_since_start,ap_frequency)=0,1,0))</f>
        <v>327316.86611168127</v>
      </c>
      <c r="BG827" s="24">
        <f t="shared" ca="1" si="666"/>
        <v>3927802.3933401755</v>
      </c>
      <c r="BH827" s="24">
        <f t="shared" ca="1" si="667"/>
        <v>262.26779478213695</v>
      </c>
      <c r="BI827">
        <f t="shared" ca="1" si="668"/>
        <v>0</v>
      </c>
      <c r="BJ827" s="24">
        <f t="shared" ca="1" si="669"/>
        <v>1835.8745634749584</v>
      </c>
      <c r="BK827">
        <f t="shared" ca="1" si="670"/>
        <v>1</v>
      </c>
      <c r="BL827" s="25">
        <f t="shared" ca="1" si="671"/>
        <v>152.98954695624653</v>
      </c>
      <c r="BM827" s="32">
        <f t="shared" ca="1" si="650"/>
        <v>10092.603205404765</v>
      </c>
      <c r="BN827" s="23">
        <f t="shared" ca="1" si="672"/>
        <v>0</v>
      </c>
      <c r="BO827" s="24">
        <f t="shared" ca="1" si="673"/>
        <v>0</v>
      </c>
      <c r="BP827" s="25">
        <f t="shared" ca="1" si="674"/>
        <v>0</v>
      </c>
      <c r="BQ827" s="34">
        <f t="shared" ca="1" si="675"/>
        <v>70584</v>
      </c>
      <c r="BR827" s="23">
        <f t="shared" ca="1" si="676"/>
        <v>10092.603205404765</v>
      </c>
      <c r="BS827" s="24">
        <f t="shared" ca="1" si="677"/>
        <v>0</v>
      </c>
      <c r="BT827" s="24">
        <f t="shared" ca="1" si="682"/>
        <v>0</v>
      </c>
      <c r="BU827" s="24">
        <f t="shared" ca="1" si="678"/>
        <v>0</v>
      </c>
      <c r="BV827" s="24">
        <f t="shared" ca="1" si="683"/>
        <v>0</v>
      </c>
      <c r="BW827" s="24">
        <f t="shared" ca="1" si="679"/>
        <v>-152.98954695624653</v>
      </c>
      <c r="BX827" s="25">
        <f t="shared" ca="1" si="684"/>
        <v>-1946.2285682500051</v>
      </c>
      <c r="BY827" s="23">
        <f t="shared" ca="1" si="651"/>
        <v>691.92392399514847</v>
      </c>
      <c r="BZ827" s="24">
        <f t="shared" ca="1" si="652"/>
        <v>0</v>
      </c>
      <c r="CA827" s="24">
        <f t="shared" ca="1" si="685"/>
        <v>0</v>
      </c>
      <c r="CB827" s="24">
        <f t="shared" ca="1" si="653"/>
        <v>0</v>
      </c>
      <c r="CC827" s="24">
        <f t="shared" ca="1" si="686"/>
        <v>0</v>
      </c>
      <c r="CD827" s="24">
        <f t="shared" ca="1" si="654"/>
        <v>-10.522922004243931</v>
      </c>
      <c r="CE827" s="25">
        <f t="shared" ca="1" si="687"/>
        <v>-136.36532909483401</v>
      </c>
      <c r="CF827" s="23">
        <f t="shared" ca="1" si="688"/>
        <v>3839678.6216947222</v>
      </c>
      <c r="CG827" s="25">
        <f t="array" aca="1" ref="CG827" ca="1">SUM(BF816:BF827/(1+inflation/100)^(AP816:AP827/12))</f>
        <v>267980.53702225385</v>
      </c>
      <c r="CH827" s="32">
        <f ca="1">IFERROR(IF(MOD(AP827-ap_months_since_start,12)=0,ap_drawdown/100*(AQ827+AV827+BA827-BC827),CH826),0)</f>
        <v>1612.3607349166462</v>
      </c>
    </row>
    <row r="828" spans="40:86" x14ac:dyDescent="0.25">
      <c r="AN828" s="32">
        <f t="shared" ca="1" si="649"/>
        <v>123.25</v>
      </c>
      <c r="AO828" s="53">
        <f t="shared" ca="1" si="680"/>
        <v>70585</v>
      </c>
      <c r="AP828" s="22">
        <v>821</v>
      </c>
      <c r="AQ828" s="32">
        <f t="shared" ca="1" si="681"/>
        <v>10092.603205404765</v>
      </c>
      <c r="AR828" s="23">
        <f t="array" aca="1" ref="AR828" ca="1">SUM(IF(lsc_start_date=AO828,lsc_amount,0))</f>
        <v>0</v>
      </c>
      <c r="AS828" s="24">
        <f t="shared" ca="1" si="655"/>
        <v>0</v>
      </c>
      <c r="AT828" s="24">
        <f t="shared" ca="1" si="656"/>
        <v>0</v>
      </c>
      <c r="AU828" s="24">
        <f t="shared" ca="1" si="657"/>
        <v>0</v>
      </c>
      <c r="AV828" s="25">
        <f t="shared" ca="1" si="658"/>
        <v>0</v>
      </c>
      <c r="AW828" s="23">
        <f t="array" aca="1" ref="AW828" ca="1">SUM(IF(rcs_start_date&lt;=AO828,1,0)*IF(rcs_end_date&gt;=AO828,1,0)*rcs_amount*(1+rcs_escalation/100)^(INT((AP828-rcs_months_since_start)/12))*IF(MOD((AP828-rcs_months_since_start),rcs_frequency)=0,1,0)*IF(rcs_frequency=13,0,1))+SUM(IF(rcs_start_date=AO828,rcs_amount,0)*IF(rcs_frequency=13,1,0))</f>
        <v>0</v>
      </c>
      <c r="AX828" s="24">
        <f t="shared" ca="1" si="659"/>
        <v>0</v>
      </c>
      <c r="AY828" s="24">
        <f t="shared" ca="1" si="660"/>
        <v>0</v>
      </c>
      <c r="AZ828" s="24">
        <f t="shared" ca="1" si="661"/>
        <v>0</v>
      </c>
      <c r="BA828" s="25">
        <f t="shared" ca="1" si="662"/>
        <v>0</v>
      </c>
      <c r="BB828" s="23">
        <f t="array" aca="1" ref="BB828" ca="1">SUM(IF(w_start_date&lt;=AO828,1,0)*IF(w_end_date&gt;=AO828,1,0)*w_amount*(1+w_escalation/100)^(INT((AP828-w_months_since_start)/12))*IF(MOD(AP828-w_months_since_start,w_frequency)=0,1,0)*IF(w_frequency=13,0,1))+SUM(IF(w_start_date=AO828,w_amount,0)*IF(w_frequency=13,1,0))</f>
        <v>0</v>
      </c>
      <c r="BC828" s="25">
        <f t="shared" ca="1" si="663"/>
        <v>0</v>
      </c>
      <c r="BD828" s="24" t="b">
        <f t="shared" ca="1" si="664"/>
        <v>1</v>
      </c>
      <c r="BE828" s="24" t="b">
        <f t="shared" ca="1" si="665"/>
        <v>1</v>
      </c>
      <c r="BF828" s="23">
        <f t="array" aca="1" ref="BF828" ca="1">SUM(IF(BD828,1,0)*IF(ap_start_date&lt;=AO828,1,0)*IF(ap_end_date&gt;=AO828,1,0)*ap_amount*(1+ap_escalation/100)^(INT((AP828-ap_months_since_start)/12))*IF(MOD(AP828-ap_months_since_start,ap_frequency)=0,1,0))</f>
        <v>327316.86611168127</v>
      </c>
      <c r="BG828" s="24">
        <f t="shared" ca="1" si="666"/>
        <v>3927802.3933401755</v>
      </c>
      <c r="BH828" s="24">
        <f t="shared" ca="1" si="667"/>
        <v>262.26779478213695</v>
      </c>
      <c r="BI828">
        <f t="shared" ca="1" si="668"/>
        <v>0</v>
      </c>
      <c r="BJ828" s="24">
        <f t="shared" ca="1" si="669"/>
        <v>1835.8745634749584</v>
      </c>
      <c r="BK828">
        <f t="shared" ca="1" si="670"/>
        <v>1</v>
      </c>
      <c r="BL828" s="25">
        <f t="shared" ca="1" si="671"/>
        <v>152.98954695624653</v>
      </c>
      <c r="BM828" s="32">
        <f t="shared" ca="1" si="650"/>
        <v>10011.251667722445</v>
      </c>
      <c r="BN828" s="23">
        <f t="shared" ca="1" si="672"/>
        <v>0</v>
      </c>
      <c r="BO828" s="24">
        <f t="shared" ca="1" si="673"/>
        <v>0</v>
      </c>
      <c r="BP828" s="25">
        <f t="shared" ca="1" si="674"/>
        <v>0</v>
      </c>
      <c r="BQ828" s="34">
        <f t="shared" ca="1" si="675"/>
        <v>70614</v>
      </c>
      <c r="BR828" s="23">
        <f t="shared" ca="1" si="676"/>
        <v>10011.251667722445</v>
      </c>
      <c r="BS828" s="24">
        <f t="shared" ca="1" si="677"/>
        <v>0</v>
      </c>
      <c r="BT828" s="24">
        <f t="shared" ca="1" si="682"/>
        <v>0</v>
      </c>
      <c r="BU828" s="24">
        <f t="shared" ca="1" si="678"/>
        <v>0</v>
      </c>
      <c r="BV828" s="24">
        <f t="shared" ca="1" si="683"/>
        <v>0</v>
      </c>
      <c r="BW828" s="24">
        <f t="shared" ca="1" si="679"/>
        <v>-152.98954695624653</v>
      </c>
      <c r="BX828" s="25">
        <f t="shared" ca="1" si="684"/>
        <v>-1930.4637104249985</v>
      </c>
      <c r="BY828" s="23">
        <f t="shared" ca="1" si="651"/>
        <v>684.10707514844296</v>
      </c>
      <c r="BZ828" s="24">
        <f t="shared" ca="1" si="652"/>
        <v>0</v>
      </c>
      <c r="CA828" s="24">
        <f t="shared" ca="1" si="685"/>
        <v>0</v>
      </c>
      <c r="CB828" s="24">
        <f t="shared" ca="1" si="653"/>
        <v>0</v>
      </c>
      <c r="CC828" s="24">
        <f t="shared" ca="1" si="686"/>
        <v>0</v>
      </c>
      <c r="CD828" s="24">
        <f t="shared" ca="1" si="654"/>
        <v>-10.488585105923692</v>
      </c>
      <c r="CE828" s="25">
        <f t="shared" ca="1" si="687"/>
        <v>-134.82175402620655</v>
      </c>
      <c r="CF828" s="23">
        <f t="shared" ca="1" si="688"/>
        <v>3852267.731929787</v>
      </c>
      <c r="CG828" s="25">
        <f t="array" aca="1" ref="CG828" ca="1">SUM(BF817:BF828/(1+inflation/100)^(AP817:AP828/12))</f>
        <v>267980.53702225391</v>
      </c>
      <c r="CH828" s="32">
        <f ca="1">IFERROR(IF(MOD(AP828-ap_months_since_start,12)=0,ap_drawdown/100*(AQ828+AV828+BA828-BC828),CH827),0)</f>
        <v>1612.3607349166462</v>
      </c>
    </row>
    <row r="829" spans="40:86" x14ac:dyDescent="0.25">
      <c r="AN829" s="32">
        <f t="shared" ca="1" si="649"/>
        <v>123.33333333333333</v>
      </c>
      <c r="AO829" s="53">
        <f t="shared" ca="1" si="680"/>
        <v>70615</v>
      </c>
      <c r="AP829" s="22">
        <v>822</v>
      </c>
      <c r="AQ829" s="32">
        <f t="shared" ca="1" si="681"/>
        <v>10011.251667722445</v>
      </c>
      <c r="AR829" s="23">
        <f t="array" aca="1" ref="AR829" ca="1">SUM(IF(lsc_start_date=AO829,lsc_amount,0))</f>
        <v>0</v>
      </c>
      <c r="AS829" s="24">
        <f t="shared" ca="1" si="655"/>
        <v>0</v>
      </c>
      <c r="AT829" s="24">
        <f t="shared" ca="1" si="656"/>
        <v>0</v>
      </c>
      <c r="AU829" s="24">
        <f t="shared" ca="1" si="657"/>
        <v>0</v>
      </c>
      <c r="AV829" s="25">
        <f t="shared" ca="1" si="658"/>
        <v>0</v>
      </c>
      <c r="AW829" s="23">
        <f t="array" aca="1" ref="AW829" ca="1">SUM(IF(rcs_start_date&lt;=AO829,1,0)*IF(rcs_end_date&gt;=AO829,1,0)*rcs_amount*(1+rcs_escalation/100)^(INT((AP829-rcs_months_since_start)/12))*IF(MOD((AP829-rcs_months_since_start),rcs_frequency)=0,1,0)*IF(rcs_frequency=13,0,1))+SUM(IF(rcs_start_date=AO829,rcs_amount,0)*IF(rcs_frequency=13,1,0))</f>
        <v>0</v>
      </c>
      <c r="AX829" s="24">
        <f t="shared" ca="1" si="659"/>
        <v>0</v>
      </c>
      <c r="AY829" s="24">
        <f t="shared" ca="1" si="660"/>
        <v>0</v>
      </c>
      <c r="AZ829" s="24">
        <f t="shared" ca="1" si="661"/>
        <v>0</v>
      </c>
      <c r="BA829" s="25">
        <f t="shared" ca="1" si="662"/>
        <v>0</v>
      </c>
      <c r="BB829" s="23">
        <f t="array" aca="1" ref="BB829" ca="1">SUM(IF(w_start_date&lt;=AO829,1,0)*IF(w_end_date&gt;=AO829,1,0)*w_amount*(1+w_escalation/100)^(INT((AP829-w_months_since_start)/12))*IF(MOD(AP829-w_months_since_start,w_frequency)=0,1,0)*IF(w_frequency=13,0,1))+SUM(IF(w_start_date=AO829,w_amount,0)*IF(w_frequency=13,1,0))</f>
        <v>0</v>
      </c>
      <c r="BC829" s="25">
        <f t="shared" ca="1" si="663"/>
        <v>0</v>
      </c>
      <c r="BD829" s="24" t="b">
        <f t="shared" ca="1" si="664"/>
        <v>1</v>
      </c>
      <c r="BE829" s="24" t="b">
        <f t="shared" ca="1" si="665"/>
        <v>1</v>
      </c>
      <c r="BF829" s="23">
        <f t="array" aca="1" ref="BF829" ca="1">SUM(IF(BD829,1,0)*IF(ap_start_date&lt;=AO829,1,0)*IF(ap_end_date&gt;=AO829,1,0)*ap_amount*(1+ap_escalation/100)^(INT((AP829-ap_months_since_start)/12))*IF(MOD(AP829-ap_months_since_start,ap_frequency)=0,1,0))</f>
        <v>327316.86611168127</v>
      </c>
      <c r="BG829" s="24">
        <f t="shared" ca="1" si="666"/>
        <v>3927802.3933401755</v>
      </c>
      <c r="BH829" s="24">
        <f t="shared" ca="1" si="667"/>
        <v>262.26779478213695</v>
      </c>
      <c r="BI829">
        <f t="shared" ca="1" si="668"/>
        <v>0</v>
      </c>
      <c r="BJ829" s="24">
        <f t="shared" ca="1" si="669"/>
        <v>1835.8745634749584</v>
      </c>
      <c r="BK829">
        <f t="shared" ca="1" si="670"/>
        <v>1</v>
      </c>
      <c r="BL829" s="25">
        <f t="shared" ca="1" si="671"/>
        <v>152.98954695624653</v>
      </c>
      <c r="BM829" s="32">
        <f t="shared" ca="1" si="650"/>
        <v>9929.3138032057832</v>
      </c>
      <c r="BN829" s="23">
        <f t="shared" ca="1" si="672"/>
        <v>0</v>
      </c>
      <c r="BO829" s="24">
        <f t="shared" ca="1" si="673"/>
        <v>0</v>
      </c>
      <c r="BP829" s="25">
        <f t="shared" ca="1" si="674"/>
        <v>0</v>
      </c>
      <c r="BQ829" s="34">
        <f t="shared" ca="1" si="675"/>
        <v>70645</v>
      </c>
      <c r="BR829" s="23">
        <f t="shared" ca="1" si="676"/>
        <v>9929.3138032057832</v>
      </c>
      <c r="BS829" s="24">
        <f t="shared" ca="1" si="677"/>
        <v>0</v>
      </c>
      <c r="BT829" s="24">
        <f t="shared" ca="1" si="682"/>
        <v>0</v>
      </c>
      <c r="BU829" s="24">
        <f t="shared" ca="1" si="678"/>
        <v>0</v>
      </c>
      <c r="BV829" s="24">
        <f t="shared" ca="1" si="683"/>
        <v>0</v>
      </c>
      <c r="BW829" s="24">
        <f t="shared" ca="1" si="679"/>
        <v>-152.98954695624653</v>
      </c>
      <c r="BX829" s="25">
        <f t="shared" ca="1" si="684"/>
        <v>-1914.6988525999918</v>
      </c>
      <c r="BY829" s="23">
        <f t="shared" ca="1" si="651"/>
        <v>676.29393744914296</v>
      </c>
      <c r="BZ829" s="24">
        <f t="shared" ca="1" si="652"/>
        <v>0</v>
      </c>
      <c r="CA829" s="24">
        <f t="shared" ca="1" si="685"/>
        <v>0</v>
      </c>
      <c r="CB829" s="24">
        <f t="shared" ca="1" si="653"/>
        <v>0</v>
      </c>
      <c r="CC829" s="24">
        <f t="shared" ca="1" si="686"/>
        <v>0</v>
      </c>
      <c r="CD829" s="24">
        <f t="shared" ca="1" si="654"/>
        <v>-10.454360250872963</v>
      </c>
      <c r="CE829" s="25">
        <f t="shared" ca="1" si="687"/>
        <v>-133.28321573160054</v>
      </c>
      <c r="CF829" s="23">
        <f t="shared" ca="1" si="688"/>
        <v>3864856.8421648517</v>
      </c>
      <c r="CG829" s="25">
        <f t="array" aca="1" ref="CG829" ca="1">SUM(BF818:BF829/(1+inflation/100)^(AP818:AP829/12))</f>
        <v>267980.53702225391</v>
      </c>
      <c r="CH829" s="32">
        <f ca="1">IFERROR(IF(MOD(AP829-ap_months_since_start,12)=0,ap_drawdown/100*(AQ829+AV829+BA829-BC829),CH828),0)</f>
        <v>1612.3607349166462</v>
      </c>
    </row>
    <row r="830" spans="40:86" x14ac:dyDescent="0.25">
      <c r="AN830" s="32">
        <f t="shared" ca="1" si="649"/>
        <v>123.41666666666667</v>
      </c>
      <c r="AO830" s="53">
        <f t="shared" ca="1" si="680"/>
        <v>70646</v>
      </c>
      <c r="AP830" s="22">
        <v>823</v>
      </c>
      <c r="AQ830" s="32">
        <f t="shared" ca="1" si="681"/>
        <v>9929.3138032057832</v>
      </c>
      <c r="AR830" s="23">
        <f t="array" aca="1" ref="AR830" ca="1">SUM(IF(lsc_start_date=AO830,lsc_amount,0))</f>
        <v>0</v>
      </c>
      <c r="AS830" s="24">
        <f t="shared" ca="1" si="655"/>
        <v>0</v>
      </c>
      <c r="AT830" s="24">
        <f t="shared" ca="1" si="656"/>
        <v>0</v>
      </c>
      <c r="AU830" s="24">
        <f t="shared" ca="1" si="657"/>
        <v>0</v>
      </c>
      <c r="AV830" s="25">
        <f t="shared" ca="1" si="658"/>
        <v>0</v>
      </c>
      <c r="AW830" s="23">
        <f t="array" aca="1" ref="AW830" ca="1">SUM(IF(rcs_start_date&lt;=AO830,1,0)*IF(rcs_end_date&gt;=AO830,1,0)*rcs_amount*(1+rcs_escalation/100)^(INT((AP830-rcs_months_since_start)/12))*IF(MOD((AP830-rcs_months_since_start),rcs_frequency)=0,1,0)*IF(rcs_frequency=13,0,1))+SUM(IF(rcs_start_date=AO830,rcs_amount,0)*IF(rcs_frequency=13,1,0))</f>
        <v>0</v>
      </c>
      <c r="AX830" s="24">
        <f t="shared" ca="1" si="659"/>
        <v>0</v>
      </c>
      <c r="AY830" s="24">
        <f t="shared" ca="1" si="660"/>
        <v>0</v>
      </c>
      <c r="AZ830" s="24">
        <f t="shared" ca="1" si="661"/>
        <v>0</v>
      </c>
      <c r="BA830" s="25">
        <f t="shared" ca="1" si="662"/>
        <v>0</v>
      </c>
      <c r="BB830" s="23">
        <f t="array" aca="1" ref="BB830" ca="1">SUM(IF(w_start_date&lt;=AO830,1,0)*IF(w_end_date&gt;=AO830,1,0)*w_amount*(1+w_escalation/100)^(INT((AP830-w_months_since_start)/12))*IF(MOD(AP830-w_months_since_start,w_frequency)=0,1,0)*IF(w_frequency=13,0,1))+SUM(IF(w_start_date=AO830,w_amount,0)*IF(w_frequency=13,1,0))</f>
        <v>0</v>
      </c>
      <c r="BC830" s="25">
        <f t="shared" ca="1" si="663"/>
        <v>0</v>
      </c>
      <c r="BD830" s="24" t="b">
        <f t="shared" ca="1" si="664"/>
        <v>1</v>
      </c>
      <c r="BE830" s="24" t="b">
        <f t="shared" ca="1" si="665"/>
        <v>1</v>
      </c>
      <c r="BF830" s="23">
        <f t="array" aca="1" ref="BF830" ca="1">SUM(IF(BD830,1,0)*IF(ap_start_date&lt;=AO830,1,0)*IF(ap_end_date&gt;=AO830,1,0)*ap_amount*(1+ap_escalation/100)^(INT((AP830-ap_months_since_start)/12))*IF(MOD(AP830-ap_months_since_start,ap_frequency)=0,1,0))</f>
        <v>327316.86611168127</v>
      </c>
      <c r="BG830" s="24">
        <f t="shared" ca="1" si="666"/>
        <v>3927802.3933401755</v>
      </c>
      <c r="BH830" s="24">
        <f t="shared" ca="1" si="667"/>
        <v>262.26779478213695</v>
      </c>
      <c r="BI830">
        <f t="shared" ca="1" si="668"/>
        <v>0</v>
      </c>
      <c r="BJ830" s="24">
        <f t="shared" ca="1" si="669"/>
        <v>1835.8745634749584</v>
      </c>
      <c r="BK830">
        <f t="shared" ca="1" si="670"/>
        <v>1</v>
      </c>
      <c r="BL830" s="25">
        <f t="shared" ca="1" si="671"/>
        <v>152.98954695624653</v>
      </c>
      <c r="BM830" s="32">
        <f t="shared" ca="1" si="650"/>
        <v>9846.7853860077157</v>
      </c>
      <c r="BN830" s="23">
        <f t="shared" ca="1" si="672"/>
        <v>0</v>
      </c>
      <c r="BO830" s="24">
        <f t="shared" ca="1" si="673"/>
        <v>0</v>
      </c>
      <c r="BP830" s="25">
        <f t="shared" ca="1" si="674"/>
        <v>0</v>
      </c>
      <c r="BQ830" s="34">
        <f t="shared" ca="1" si="675"/>
        <v>70675</v>
      </c>
      <c r="BR830" s="23">
        <f t="shared" ca="1" si="676"/>
        <v>9846.7853860077157</v>
      </c>
      <c r="BS830" s="24">
        <f t="shared" ca="1" si="677"/>
        <v>0</v>
      </c>
      <c r="BT830" s="24">
        <f t="shared" ca="1" si="682"/>
        <v>0</v>
      </c>
      <c r="BU830" s="24">
        <f t="shared" ca="1" si="678"/>
        <v>0</v>
      </c>
      <c r="BV830" s="24">
        <f t="shared" ca="1" si="683"/>
        <v>0</v>
      </c>
      <c r="BW830" s="24">
        <f t="shared" ca="1" si="679"/>
        <v>-152.98954695624653</v>
      </c>
      <c r="BX830" s="25">
        <f t="shared" ca="1" si="684"/>
        <v>-1898.9339947749852</v>
      </c>
      <c r="BY830" s="23">
        <f t="shared" ca="1" si="651"/>
        <v>668.4844133321958</v>
      </c>
      <c r="BZ830" s="24">
        <f t="shared" ca="1" si="652"/>
        <v>0</v>
      </c>
      <c r="CA830" s="24">
        <f t="shared" ca="1" si="685"/>
        <v>0</v>
      </c>
      <c r="CB830" s="24">
        <f t="shared" ca="1" si="653"/>
        <v>0</v>
      </c>
      <c r="CC830" s="24">
        <f t="shared" ca="1" si="686"/>
        <v>0</v>
      </c>
      <c r="CD830" s="24">
        <f t="shared" ca="1" si="654"/>
        <v>-10.420247073488145</v>
      </c>
      <c r="CE830" s="25">
        <f t="shared" ca="1" si="687"/>
        <v>-131.74969777573338</v>
      </c>
      <c r="CF830" s="23">
        <f t="shared" ca="1" si="688"/>
        <v>3877445.9523999165</v>
      </c>
      <c r="CG830" s="25">
        <f t="array" aca="1" ref="CG830" ca="1">SUM(BF819:BF830/(1+inflation/100)^(AP819:AP830/12))</f>
        <v>267980.53702225391</v>
      </c>
      <c r="CH830" s="32">
        <f ca="1">IFERROR(IF(MOD(AP830-ap_months_since_start,12)=0,ap_drawdown/100*(AQ830+AV830+BA830-BC830),CH829),0)</f>
        <v>1612.3607349166462</v>
      </c>
    </row>
    <row r="831" spans="40:86" x14ac:dyDescent="0.25">
      <c r="AN831" s="32">
        <f t="shared" ca="1" si="649"/>
        <v>123.5</v>
      </c>
      <c r="AO831" s="53">
        <f t="shared" ca="1" si="680"/>
        <v>70676</v>
      </c>
      <c r="AP831" s="22">
        <v>824</v>
      </c>
      <c r="AQ831" s="32">
        <f t="shared" ca="1" si="681"/>
        <v>9846.7853860077157</v>
      </c>
      <c r="AR831" s="23">
        <f t="array" aca="1" ref="AR831" ca="1">SUM(IF(lsc_start_date=AO831,lsc_amount,0))</f>
        <v>0</v>
      </c>
      <c r="AS831" s="24">
        <f t="shared" ca="1" si="655"/>
        <v>0</v>
      </c>
      <c r="AT831" s="24">
        <f t="shared" ca="1" si="656"/>
        <v>0</v>
      </c>
      <c r="AU831" s="24">
        <f t="shared" ca="1" si="657"/>
        <v>0</v>
      </c>
      <c r="AV831" s="25">
        <f t="shared" ca="1" si="658"/>
        <v>0</v>
      </c>
      <c r="AW831" s="23">
        <f t="array" aca="1" ref="AW831" ca="1">SUM(IF(rcs_start_date&lt;=AO831,1,0)*IF(rcs_end_date&gt;=AO831,1,0)*rcs_amount*(1+rcs_escalation/100)^(INT((AP831-rcs_months_since_start)/12))*IF(MOD((AP831-rcs_months_since_start),rcs_frequency)=0,1,0)*IF(rcs_frequency=13,0,1))+SUM(IF(rcs_start_date=AO831,rcs_amount,0)*IF(rcs_frequency=13,1,0))</f>
        <v>0</v>
      </c>
      <c r="AX831" s="24">
        <f t="shared" ca="1" si="659"/>
        <v>0</v>
      </c>
      <c r="AY831" s="24">
        <f t="shared" ca="1" si="660"/>
        <v>0</v>
      </c>
      <c r="AZ831" s="24">
        <f t="shared" ca="1" si="661"/>
        <v>0</v>
      </c>
      <c r="BA831" s="25">
        <f t="shared" ca="1" si="662"/>
        <v>0</v>
      </c>
      <c r="BB831" s="23">
        <f t="array" aca="1" ref="BB831" ca="1">SUM(IF(w_start_date&lt;=AO831,1,0)*IF(w_end_date&gt;=AO831,1,0)*w_amount*(1+w_escalation/100)^(INT((AP831-w_months_since_start)/12))*IF(MOD(AP831-w_months_since_start,w_frequency)=0,1,0)*IF(w_frequency=13,0,1))+SUM(IF(w_start_date=AO831,w_amount,0)*IF(w_frequency=13,1,0))</f>
        <v>0</v>
      </c>
      <c r="BC831" s="25">
        <f t="shared" ca="1" si="663"/>
        <v>0</v>
      </c>
      <c r="BD831" s="24" t="b">
        <f t="shared" ca="1" si="664"/>
        <v>1</v>
      </c>
      <c r="BE831" s="24" t="b">
        <f t="shared" ca="1" si="665"/>
        <v>1</v>
      </c>
      <c r="BF831" s="23">
        <f t="array" aca="1" ref="BF831" ca="1">SUM(IF(BD831,1,0)*IF(ap_start_date&lt;=AO831,1,0)*IF(ap_end_date&gt;=AO831,1,0)*ap_amount*(1+ap_escalation/100)^(INT((AP831-ap_months_since_start)/12))*IF(MOD(AP831-ap_months_since_start,ap_frequency)=0,1,0))</f>
        <v>327316.86611168127</v>
      </c>
      <c r="BG831" s="24">
        <f t="shared" ca="1" si="666"/>
        <v>3927802.3933401755</v>
      </c>
      <c r="BH831" s="24">
        <f t="shared" ca="1" si="667"/>
        <v>262.26779478213695</v>
      </c>
      <c r="BI831">
        <f t="shared" ca="1" si="668"/>
        <v>0</v>
      </c>
      <c r="BJ831" s="24">
        <f t="shared" ca="1" si="669"/>
        <v>1835.8745634749584</v>
      </c>
      <c r="BK831">
        <f t="shared" ca="1" si="670"/>
        <v>1</v>
      </c>
      <c r="BL831" s="25">
        <f t="shared" ca="1" si="671"/>
        <v>152.98954695624653</v>
      </c>
      <c r="BM831" s="32">
        <f t="shared" ca="1" si="650"/>
        <v>9763.6621598241327</v>
      </c>
      <c r="BN831" s="23">
        <f t="shared" ca="1" si="672"/>
        <v>0</v>
      </c>
      <c r="BO831" s="24">
        <f t="shared" ca="1" si="673"/>
        <v>0</v>
      </c>
      <c r="BP831" s="25">
        <f t="shared" ca="1" si="674"/>
        <v>0</v>
      </c>
      <c r="BQ831" s="34">
        <f t="shared" ca="1" si="675"/>
        <v>70706</v>
      </c>
      <c r="BR831" s="23">
        <f t="shared" ca="1" si="676"/>
        <v>9763.6621598241327</v>
      </c>
      <c r="BS831" s="24">
        <f t="shared" ca="1" si="677"/>
        <v>0</v>
      </c>
      <c r="BT831" s="24">
        <f t="shared" ca="1" si="682"/>
        <v>0</v>
      </c>
      <c r="BU831" s="24">
        <f t="shared" ca="1" si="678"/>
        <v>0</v>
      </c>
      <c r="BV831" s="24">
        <f t="shared" ca="1" si="683"/>
        <v>0</v>
      </c>
      <c r="BW831" s="24">
        <f t="shared" ca="1" si="679"/>
        <v>-152.98954695624653</v>
      </c>
      <c r="BX831" s="25">
        <f t="shared" ca="1" si="684"/>
        <v>-1883.1691369499786</v>
      </c>
      <c r="BY831" s="23">
        <f t="shared" ca="1" si="651"/>
        <v>660.67840521586072</v>
      </c>
      <c r="BZ831" s="24">
        <f t="shared" ca="1" si="652"/>
        <v>0</v>
      </c>
      <c r="CA831" s="24">
        <f t="shared" ca="1" si="685"/>
        <v>0</v>
      </c>
      <c r="CB831" s="24">
        <f t="shared" ca="1" si="653"/>
        <v>0</v>
      </c>
      <c r="CC831" s="24">
        <f t="shared" ca="1" si="686"/>
        <v>0</v>
      </c>
      <c r="CD831" s="24">
        <f t="shared" ca="1" si="654"/>
        <v>-10.386245209358597</v>
      </c>
      <c r="CE831" s="25">
        <f t="shared" ca="1" si="687"/>
        <v>-130.22118377695165</v>
      </c>
      <c r="CF831" s="23">
        <f t="shared" ca="1" si="688"/>
        <v>3890035.0626349812</v>
      </c>
      <c r="CG831" s="25">
        <f t="array" aca="1" ref="CG831" ca="1">SUM(BF820:BF831/(1+inflation/100)^(AP820:AP831/12))</f>
        <v>267980.53702225391</v>
      </c>
      <c r="CH831" s="32">
        <f ca="1">IFERROR(IF(MOD(AP831-ap_months_since_start,12)=0,ap_drawdown/100*(AQ831+AV831+BA831-BC831),CH830),0)</f>
        <v>1612.3607349166462</v>
      </c>
    </row>
    <row r="832" spans="40:86" x14ac:dyDescent="0.25">
      <c r="AN832" s="32">
        <f t="shared" ca="1" si="649"/>
        <v>123.58333333333333</v>
      </c>
      <c r="AO832" s="53">
        <f t="shared" ca="1" si="680"/>
        <v>70707</v>
      </c>
      <c r="AP832" s="22">
        <v>825</v>
      </c>
      <c r="AQ832" s="32">
        <f t="shared" ca="1" si="681"/>
        <v>9763.6621598241327</v>
      </c>
      <c r="AR832" s="23">
        <f t="array" aca="1" ref="AR832" ca="1">SUM(IF(lsc_start_date=AO832,lsc_amount,0))</f>
        <v>0</v>
      </c>
      <c r="AS832" s="24">
        <f t="shared" ca="1" si="655"/>
        <v>0</v>
      </c>
      <c r="AT832" s="24">
        <f t="shared" ca="1" si="656"/>
        <v>0</v>
      </c>
      <c r="AU832" s="24">
        <f t="shared" ca="1" si="657"/>
        <v>0</v>
      </c>
      <c r="AV832" s="25">
        <f t="shared" ca="1" si="658"/>
        <v>0</v>
      </c>
      <c r="AW832" s="23">
        <f t="array" aca="1" ref="AW832" ca="1">SUM(IF(rcs_start_date&lt;=AO832,1,0)*IF(rcs_end_date&gt;=AO832,1,0)*rcs_amount*(1+rcs_escalation/100)^(INT((AP832-rcs_months_since_start)/12))*IF(MOD((AP832-rcs_months_since_start),rcs_frequency)=0,1,0)*IF(rcs_frequency=13,0,1))+SUM(IF(rcs_start_date=AO832,rcs_amount,0)*IF(rcs_frequency=13,1,0))</f>
        <v>0</v>
      </c>
      <c r="AX832" s="24">
        <f t="shared" ca="1" si="659"/>
        <v>0</v>
      </c>
      <c r="AY832" s="24">
        <f t="shared" ca="1" si="660"/>
        <v>0</v>
      </c>
      <c r="AZ832" s="24">
        <f t="shared" ca="1" si="661"/>
        <v>0</v>
      </c>
      <c r="BA832" s="25">
        <f t="shared" ca="1" si="662"/>
        <v>0</v>
      </c>
      <c r="BB832" s="23">
        <f t="array" aca="1" ref="BB832" ca="1">SUM(IF(w_start_date&lt;=AO832,1,0)*IF(w_end_date&gt;=AO832,1,0)*w_amount*(1+w_escalation/100)^(INT((AP832-w_months_since_start)/12))*IF(MOD(AP832-w_months_since_start,w_frequency)=0,1,0)*IF(w_frequency=13,0,1))+SUM(IF(w_start_date=AO832,w_amount,0)*IF(w_frequency=13,1,0))</f>
        <v>0</v>
      </c>
      <c r="BC832" s="25">
        <f t="shared" ca="1" si="663"/>
        <v>0</v>
      </c>
      <c r="BD832" s="24" t="b">
        <f t="shared" ca="1" si="664"/>
        <v>1</v>
      </c>
      <c r="BE832" s="24" t="b">
        <f t="shared" ca="1" si="665"/>
        <v>1</v>
      </c>
      <c r="BF832" s="23">
        <f t="array" aca="1" ref="BF832" ca="1">SUM(IF(BD832,1,0)*IF(ap_start_date&lt;=AO832,1,0)*IF(ap_end_date&gt;=AO832,1,0)*ap_amount*(1+ap_escalation/100)^(INT((AP832-ap_months_since_start)/12))*IF(MOD(AP832-ap_months_since_start,ap_frequency)=0,1,0))</f>
        <v>327316.86611168127</v>
      </c>
      <c r="BG832" s="24">
        <f t="shared" ca="1" si="666"/>
        <v>3927802.3933401755</v>
      </c>
      <c r="BH832" s="24">
        <f t="shared" ca="1" si="667"/>
        <v>262.26779478213695</v>
      </c>
      <c r="BI832">
        <f t="shared" ca="1" si="668"/>
        <v>0</v>
      </c>
      <c r="BJ832" s="24">
        <f t="shared" ca="1" si="669"/>
        <v>1835.8745634749584</v>
      </c>
      <c r="BK832">
        <f t="shared" ca="1" si="670"/>
        <v>1</v>
      </c>
      <c r="BL832" s="25">
        <f t="shared" ca="1" si="671"/>
        <v>152.98954695624653</v>
      </c>
      <c r="BM832" s="32">
        <f t="shared" ca="1" si="650"/>
        <v>9679.9398376743648</v>
      </c>
      <c r="BN832" s="23">
        <f t="shared" ca="1" si="672"/>
        <v>0</v>
      </c>
      <c r="BO832" s="24">
        <f t="shared" ca="1" si="673"/>
        <v>0</v>
      </c>
      <c r="BP832" s="25">
        <f t="shared" ca="1" si="674"/>
        <v>0</v>
      </c>
      <c r="BQ832" s="34">
        <f t="shared" ca="1" si="675"/>
        <v>70737</v>
      </c>
      <c r="BR832" s="23">
        <f t="shared" ca="1" si="676"/>
        <v>9679.9398376743648</v>
      </c>
      <c r="BS832" s="24">
        <f t="shared" ca="1" si="677"/>
        <v>0</v>
      </c>
      <c r="BT832" s="24">
        <f t="shared" ca="1" si="682"/>
        <v>0</v>
      </c>
      <c r="BU832" s="24">
        <f t="shared" ca="1" si="678"/>
        <v>0</v>
      </c>
      <c r="BV832" s="24">
        <f t="shared" ca="1" si="683"/>
        <v>0</v>
      </c>
      <c r="BW832" s="24">
        <f t="shared" ca="1" si="679"/>
        <v>-152.98954695624653</v>
      </c>
      <c r="BX832" s="25">
        <f t="shared" ca="1" si="684"/>
        <v>-1867.4042791249719</v>
      </c>
      <c r="BY832" s="23">
        <f t="shared" ca="1" si="651"/>
        <v>652.8758155004499</v>
      </c>
      <c r="BZ832" s="24">
        <f t="shared" ca="1" si="652"/>
        <v>0</v>
      </c>
      <c r="CA832" s="24">
        <f t="shared" ca="1" si="685"/>
        <v>0</v>
      </c>
      <c r="CB832" s="24">
        <f t="shared" ca="1" si="653"/>
        <v>0</v>
      </c>
      <c r="CC832" s="24">
        <f t="shared" ca="1" si="686"/>
        <v>0</v>
      </c>
      <c r="CD832" s="24">
        <f t="shared" ca="1" si="654"/>
        <v>-10.352354295262776</v>
      </c>
      <c r="CE832" s="25">
        <f t="shared" ca="1" si="687"/>
        <v>-128.69765740705631</v>
      </c>
      <c r="CF832" s="23">
        <f t="shared" ca="1" si="688"/>
        <v>3902624.172870046</v>
      </c>
      <c r="CG832" s="25">
        <f t="array" aca="1" ref="CG832" ca="1">SUM(BF821:BF832/(1+inflation/100)^(AP821:AP832/12))</f>
        <v>267980.53702225391</v>
      </c>
      <c r="CH832" s="32">
        <f ca="1">IFERROR(IF(MOD(AP832-ap_months_since_start,12)=0,ap_drawdown/100*(AQ832+AV832+BA832-BC832),CH831),0)</f>
        <v>1612.3607349166462</v>
      </c>
    </row>
    <row r="833" spans="40:86" x14ac:dyDescent="0.25">
      <c r="AN833" s="32">
        <f t="shared" ca="1" si="649"/>
        <v>123.66666666666667</v>
      </c>
      <c r="AO833" s="53">
        <f t="shared" ca="1" si="680"/>
        <v>70738</v>
      </c>
      <c r="AP833" s="22">
        <v>826</v>
      </c>
      <c r="AQ833" s="32">
        <f t="shared" ca="1" si="681"/>
        <v>9679.9398376743648</v>
      </c>
      <c r="AR833" s="23">
        <f t="array" aca="1" ref="AR833" ca="1">SUM(IF(lsc_start_date=AO833,lsc_amount,0))</f>
        <v>0</v>
      </c>
      <c r="AS833" s="24">
        <f t="shared" ca="1" si="655"/>
        <v>0</v>
      </c>
      <c r="AT833" s="24">
        <f t="shared" ca="1" si="656"/>
        <v>0</v>
      </c>
      <c r="AU833" s="24">
        <f t="shared" ca="1" si="657"/>
        <v>0</v>
      </c>
      <c r="AV833" s="25">
        <f t="shared" ca="1" si="658"/>
        <v>0</v>
      </c>
      <c r="AW833" s="23">
        <f t="array" aca="1" ref="AW833" ca="1">SUM(IF(rcs_start_date&lt;=AO833,1,0)*IF(rcs_end_date&gt;=AO833,1,0)*rcs_amount*(1+rcs_escalation/100)^(INT((AP833-rcs_months_since_start)/12))*IF(MOD((AP833-rcs_months_since_start),rcs_frequency)=0,1,0)*IF(rcs_frequency=13,0,1))+SUM(IF(rcs_start_date=AO833,rcs_amount,0)*IF(rcs_frequency=13,1,0))</f>
        <v>0</v>
      </c>
      <c r="AX833" s="24">
        <f t="shared" ca="1" si="659"/>
        <v>0</v>
      </c>
      <c r="AY833" s="24">
        <f t="shared" ca="1" si="660"/>
        <v>0</v>
      </c>
      <c r="AZ833" s="24">
        <f t="shared" ca="1" si="661"/>
        <v>0</v>
      </c>
      <c r="BA833" s="25">
        <f t="shared" ca="1" si="662"/>
        <v>0</v>
      </c>
      <c r="BB833" s="23">
        <f t="array" aca="1" ref="BB833" ca="1">SUM(IF(w_start_date&lt;=AO833,1,0)*IF(w_end_date&gt;=AO833,1,0)*w_amount*(1+w_escalation/100)^(INT((AP833-w_months_since_start)/12))*IF(MOD(AP833-w_months_since_start,w_frequency)=0,1,0)*IF(w_frequency=13,0,1))+SUM(IF(w_start_date=AO833,w_amount,0)*IF(w_frequency=13,1,0))</f>
        <v>0</v>
      </c>
      <c r="BC833" s="25">
        <f t="shared" ca="1" si="663"/>
        <v>0</v>
      </c>
      <c r="BD833" s="24" t="b">
        <f t="shared" ca="1" si="664"/>
        <v>1</v>
      </c>
      <c r="BE833" s="24" t="b">
        <f t="shared" ca="1" si="665"/>
        <v>1</v>
      </c>
      <c r="BF833" s="23">
        <f t="array" aca="1" ref="BF833" ca="1">SUM(IF(BD833,1,0)*IF(ap_start_date&lt;=AO833,1,0)*IF(ap_end_date&gt;=AO833,1,0)*ap_amount*(1+ap_escalation/100)^(INT((AP833-ap_months_since_start)/12))*IF(MOD(AP833-ap_months_since_start,ap_frequency)=0,1,0))</f>
        <v>327316.86611168127</v>
      </c>
      <c r="BG833" s="24">
        <f t="shared" ca="1" si="666"/>
        <v>3927802.3933401755</v>
      </c>
      <c r="BH833" s="24">
        <f t="shared" ca="1" si="667"/>
        <v>262.26779478213695</v>
      </c>
      <c r="BI833">
        <f t="shared" ca="1" si="668"/>
        <v>0</v>
      </c>
      <c r="BJ833" s="24">
        <f t="shared" ca="1" si="669"/>
        <v>1835.8745634749584</v>
      </c>
      <c r="BK833">
        <f t="shared" ca="1" si="670"/>
        <v>1</v>
      </c>
      <c r="BL833" s="25">
        <f t="shared" ca="1" si="671"/>
        <v>152.98954695624653</v>
      </c>
      <c r="BM833" s="32">
        <f t="shared" ca="1" si="650"/>
        <v>9595.6141016800866</v>
      </c>
      <c r="BN833" s="23">
        <f t="shared" ca="1" si="672"/>
        <v>0</v>
      </c>
      <c r="BO833" s="24">
        <f t="shared" ca="1" si="673"/>
        <v>0</v>
      </c>
      <c r="BP833" s="25">
        <f t="shared" ca="1" si="674"/>
        <v>0</v>
      </c>
      <c r="BQ833" s="34">
        <f t="shared" ca="1" si="675"/>
        <v>70767</v>
      </c>
      <c r="BR833" s="23">
        <f t="shared" ca="1" si="676"/>
        <v>9595.6141016800866</v>
      </c>
      <c r="BS833" s="24">
        <f t="shared" ca="1" si="677"/>
        <v>0</v>
      </c>
      <c r="BT833" s="24">
        <f t="shared" ca="1" si="682"/>
        <v>0</v>
      </c>
      <c r="BU833" s="24">
        <f t="shared" ca="1" si="678"/>
        <v>0</v>
      </c>
      <c r="BV833" s="24">
        <f t="shared" ca="1" si="683"/>
        <v>0</v>
      </c>
      <c r="BW833" s="24">
        <f t="shared" ca="1" si="679"/>
        <v>-152.98954695624653</v>
      </c>
      <c r="BX833" s="25">
        <f t="shared" ca="1" si="684"/>
        <v>-1851.6394212999653</v>
      </c>
      <c r="BY833" s="23">
        <f t="shared" ca="1" si="651"/>
        <v>645.07654656706654</v>
      </c>
      <c r="BZ833" s="24">
        <f t="shared" ca="1" si="652"/>
        <v>0</v>
      </c>
      <c r="CA833" s="24">
        <f t="shared" ca="1" si="685"/>
        <v>0</v>
      </c>
      <c r="CB833" s="24">
        <f t="shared" ca="1" si="653"/>
        <v>0</v>
      </c>
      <c r="CC833" s="24">
        <f t="shared" ca="1" si="686"/>
        <v>0</v>
      </c>
      <c r="CD833" s="24">
        <f t="shared" ca="1" si="654"/>
        <v>-10.318573969164364</v>
      </c>
      <c r="CE833" s="25">
        <f t="shared" ca="1" si="687"/>
        <v>-127.17910239112807</v>
      </c>
      <c r="CF833" s="23">
        <f t="shared" ca="1" si="688"/>
        <v>3915213.2831051107</v>
      </c>
      <c r="CG833" s="25">
        <f t="array" aca="1" ref="CG833" ca="1">SUM(BF822:BF833/(1+inflation/100)^(AP822:AP833/12))</f>
        <v>267980.53702225391</v>
      </c>
      <c r="CH833" s="32">
        <f ca="1">IFERROR(IF(MOD(AP833-ap_months_since_start,12)=0,ap_drawdown/100*(AQ833+AV833+BA833-BC833),CH832),0)</f>
        <v>1612.3607349166462</v>
      </c>
    </row>
    <row r="834" spans="40:86" x14ac:dyDescent="0.25">
      <c r="AN834" s="32">
        <f t="shared" ca="1" si="649"/>
        <v>123.75</v>
      </c>
      <c r="AO834" s="53">
        <f t="shared" ca="1" si="680"/>
        <v>70768</v>
      </c>
      <c r="AP834" s="22">
        <v>827</v>
      </c>
      <c r="AQ834" s="32">
        <f t="shared" ca="1" si="681"/>
        <v>9595.6141016800866</v>
      </c>
      <c r="AR834" s="23">
        <f t="array" aca="1" ref="AR834" ca="1">SUM(IF(lsc_start_date=AO834,lsc_amount,0))</f>
        <v>0</v>
      </c>
      <c r="AS834" s="24">
        <f t="shared" ca="1" si="655"/>
        <v>0</v>
      </c>
      <c r="AT834" s="24">
        <f t="shared" ca="1" si="656"/>
        <v>0</v>
      </c>
      <c r="AU834" s="24">
        <f t="shared" ca="1" si="657"/>
        <v>0</v>
      </c>
      <c r="AV834" s="25">
        <f t="shared" ca="1" si="658"/>
        <v>0</v>
      </c>
      <c r="AW834" s="23">
        <f t="array" aca="1" ref="AW834" ca="1">SUM(IF(rcs_start_date&lt;=AO834,1,0)*IF(rcs_end_date&gt;=AO834,1,0)*rcs_amount*(1+rcs_escalation/100)^(INT((AP834-rcs_months_since_start)/12))*IF(MOD((AP834-rcs_months_since_start),rcs_frequency)=0,1,0)*IF(rcs_frequency=13,0,1))+SUM(IF(rcs_start_date=AO834,rcs_amount,0)*IF(rcs_frequency=13,1,0))</f>
        <v>0</v>
      </c>
      <c r="AX834" s="24">
        <f t="shared" ca="1" si="659"/>
        <v>0</v>
      </c>
      <c r="AY834" s="24">
        <f t="shared" ca="1" si="660"/>
        <v>0</v>
      </c>
      <c r="AZ834" s="24">
        <f t="shared" ca="1" si="661"/>
        <v>0</v>
      </c>
      <c r="BA834" s="25">
        <f t="shared" ca="1" si="662"/>
        <v>0</v>
      </c>
      <c r="BB834" s="23">
        <f t="array" aca="1" ref="BB834" ca="1">SUM(IF(w_start_date&lt;=AO834,1,0)*IF(w_end_date&gt;=AO834,1,0)*w_amount*(1+w_escalation/100)^(INT((AP834-w_months_since_start)/12))*IF(MOD(AP834-w_months_since_start,w_frequency)=0,1,0)*IF(w_frequency=13,0,1))+SUM(IF(w_start_date=AO834,w_amount,0)*IF(w_frequency=13,1,0))</f>
        <v>0</v>
      </c>
      <c r="BC834" s="25">
        <f t="shared" ca="1" si="663"/>
        <v>0</v>
      </c>
      <c r="BD834" s="24" t="b">
        <f t="shared" ca="1" si="664"/>
        <v>1</v>
      </c>
      <c r="BE834" s="24" t="b">
        <f t="shared" ca="1" si="665"/>
        <v>1</v>
      </c>
      <c r="BF834" s="23">
        <f t="array" aca="1" ref="BF834" ca="1">SUM(IF(BD834,1,0)*IF(ap_start_date&lt;=AO834,1,0)*IF(ap_end_date&gt;=AO834,1,0)*ap_amount*(1+ap_escalation/100)^(INT((AP834-ap_months_since_start)/12))*IF(MOD(AP834-ap_months_since_start,ap_frequency)=0,1,0))</f>
        <v>327316.86611168127</v>
      </c>
      <c r="BG834" s="24">
        <f t="shared" ca="1" si="666"/>
        <v>3927802.3933401755</v>
      </c>
      <c r="BH834" s="24">
        <f t="shared" ca="1" si="667"/>
        <v>262.26779478213695</v>
      </c>
      <c r="BI834">
        <f t="shared" ca="1" si="668"/>
        <v>0</v>
      </c>
      <c r="BJ834" s="24">
        <f t="shared" ca="1" si="669"/>
        <v>1835.8745634749584</v>
      </c>
      <c r="BK834">
        <f t="shared" ca="1" si="670"/>
        <v>1</v>
      </c>
      <c r="BL834" s="25">
        <f t="shared" ca="1" si="671"/>
        <v>152.98954695624653</v>
      </c>
      <c r="BM834" s="32">
        <f t="shared" ca="1" si="650"/>
        <v>9510.6806028426254</v>
      </c>
      <c r="BN834" s="23">
        <f t="shared" ca="1" si="672"/>
        <v>0</v>
      </c>
      <c r="BO834" s="24">
        <f t="shared" ca="1" si="673"/>
        <v>0</v>
      </c>
      <c r="BP834" s="25">
        <f t="shared" ca="1" si="674"/>
        <v>0</v>
      </c>
      <c r="BQ834" s="34">
        <f t="shared" ca="1" si="675"/>
        <v>70798</v>
      </c>
      <c r="BR834" s="23">
        <f t="shared" ca="1" si="676"/>
        <v>9510.6806028426254</v>
      </c>
      <c r="BS834" s="24">
        <f t="shared" ca="1" si="677"/>
        <v>0</v>
      </c>
      <c r="BT834" s="24">
        <f t="shared" ca="1" si="682"/>
        <v>0</v>
      </c>
      <c r="BU834" s="24">
        <f t="shared" ca="1" si="678"/>
        <v>0</v>
      </c>
      <c r="BV834" s="24">
        <f t="shared" ca="1" si="683"/>
        <v>0</v>
      </c>
      <c r="BW834" s="24">
        <f t="shared" ca="1" si="679"/>
        <v>-152.98954695624653</v>
      </c>
      <c r="BX834" s="25">
        <f t="shared" ca="1" si="684"/>
        <v>-1835.8745634749587</v>
      </c>
      <c r="BY834" s="23">
        <f t="shared" ca="1" si="651"/>
        <v>637.28050077634464</v>
      </c>
      <c r="BZ834" s="24">
        <f t="shared" ca="1" si="652"/>
        <v>0</v>
      </c>
      <c r="CA834" s="24">
        <f t="shared" ca="1" si="685"/>
        <v>0</v>
      </c>
      <c r="CB834" s="24">
        <f t="shared" ca="1" si="653"/>
        <v>0</v>
      </c>
      <c r="CC834" s="24">
        <f t="shared" ca="1" si="686"/>
        <v>0</v>
      </c>
      <c r="CD834" s="24">
        <f t="shared" ca="1" si="654"/>
        <v>-10.284903870208375</v>
      </c>
      <c r="CE834" s="25">
        <f t="shared" ca="1" si="687"/>
        <v>-125.66550250735366</v>
      </c>
      <c r="CF834" s="23">
        <f t="shared" ca="1" si="688"/>
        <v>3927802.3933401755</v>
      </c>
      <c r="CG834" s="25">
        <f t="array" aca="1" ref="CG834" ca="1">SUM(BF823:BF834/(1+inflation/100)^(AP823:AP834/12))</f>
        <v>267980.53702225391</v>
      </c>
      <c r="CH834" s="32">
        <f ca="1">IFERROR(IF(MOD(AP834-ap_months_since_start,12)=0,ap_drawdown/100*(AQ834+AV834+BA834-BC834),CH833),0)</f>
        <v>1612.3607349166462</v>
      </c>
    </row>
    <row r="835" spans="40:86" x14ac:dyDescent="0.25">
      <c r="AN835" s="32">
        <f t="shared" ca="1" si="649"/>
        <v>123.83333333333333</v>
      </c>
      <c r="AO835" s="53">
        <f t="shared" ca="1" si="680"/>
        <v>70799</v>
      </c>
      <c r="AP835" s="22">
        <v>828</v>
      </c>
      <c r="AQ835" s="32">
        <f t="shared" ca="1" si="681"/>
        <v>9510.6806028426254</v>
      </c>
      <c r="AR835" s="23">
        <f t="array" aca="1" ref="AR835" ca="1">SUM(IF(lsc_start_date=AO835,lsc_amount,0))</f>
        <v>0</v>
      </c>
      <c r="AS835" s="24">
        <f t="shared" ca="1" si="655"/>
        <v>0</v>
      </c>
      <c r="AT835" s="24">
        <f t="shared" ca="1" si="656"/>
        <v>0</v>
      </c>
      <c r="AU835" s="24">
        <f t="shared" ca="1" si="657"/>
        <v>0</v>
      </c>
      <c r="AV835" s="25">
        <f t="shared" ca="1" si="658"/>
        <v>0</v>
      </c>
      <c r="AW835" s="23">
        <f t="array" aca="1" ref="AW835" ca="1">SUM(IF(rcs_start_date&lt;=AO835,1,0)*IF(rcs_end_date&gt;=AO835,1,0)*rcs_amount*(1+rcs_escalation/100)^(INT((AP835-rcs_months_since_start)/12))*IF(MOD((AP835-rcs_months_since_start),rcs_frequency)=0,1,0)*IF(rcs_frequency=13,0,1))+SUM(IF(rcs_start_date=AO835,rcs_amount,0)*IF(rcs_frequency=13,1,0))</f>
        <v>0</v>
      </c>
      <c r="AX835" s="24">
        <f t="shared" ca="1" si="659"/>
        <v>0</v>
      </c>
      <c r="AY835" s="24">
        <f t="shared" ca="1" si="660"/>
        <v>0</v>
      </c>
      <c r="AZ835" s="24">
        <f t="shared" ca="1" si="661"/>
        <v>0</v>
      </c>
      <c r="BA835" s="25">
        <f t="shared" ca="1" si="662"/>
        <v>0</v>
      </c>
      <c r="BB835" s="23">
        <f t="array" aca="1" ref="BB835" ca="1">SUM(IF(w_start_date&lt;=AO835,1,0)*IF(w_end_date&gt;=AO835,1,0)*w_amount*(1+w_escalation/100)^(INT((AP835-w_months_since_start)/12))*IF(MOD(AP835-w_months_since_start,w_frequency)=0,1,0)*IF(w_frequency=13,0,1))+SUM(IF(w_start_date=AO835,w_amount,0)*IF(w_frequency=13,1,0))</f>
        <v>0</v>
      </c>
      <c r="BC835" s="25">
        <f t="shared" ca="1" si="663"/>
        <v>0</v>
      </c>
      <c r="BD835" s="24" t="b">
        <f t="shared" ca="1" si="664"/>
        <v>1</v>
      </c>
      <c r="BE835" s="24" t="b">
        <f t="shared" ca="1" si="665"/>
        <v>1</v>
      </c>
      <c r="BF835" s="23">
        <f t="array" aca="1" ref="BF835" ca="1">SUM(IF(BD835,1,0)*IF(ap_start_date&lt;=AO835,1,0)*IF(ap_end_date&gt;=AO835,1,0)*ap_amount*(1+ap_escalation/100)^(INT((AP835-ap_months_since_start)/12))*IF(MOD(AP835-ap_months_since_start,ap_frequency)=0,1,0))</f>
        <v>340409.5407561484</v>
      </c>
      <c r="BG835" s="24">
        <f t="shared" ca="1" si="666"/>
        <v>4084914.4890737799</v>
      </c>
      <c r="BH835" s="24">
        <f t="shared" ca="1" si="667"/>
        <v>237.76701507106566</v>
      </c>
      <c r="BI835">
        <f t="shared" ca="1" si="668"/>
        <v>0</v>
      </c>
      <c r="BJ835" s="24">
        <f t="shared" ca="1" si="669"/>
        <v>1664.3691054974593</v>
      </c>
      <c r="BK835">
        <f t="shared" ca="1" si="670"/>
        <v>1</v>
      </c>
      <c r="BL835" s="25">
        <f t="shared" ca="1" si="671"/>
        <v>138.69742545812164</v>
      </c>
      <c r="BM835" s="32">
        <f t="shared" ca="1" si="650"/>
        <v>9439.5300902573072</v>
      </c>
      <c r="BN835" s="23">
        <f t="shared" ca="1" si="672"/>
        <v>0</v>
      </c>
      <c r="BO835" s="24">
        <f t="shared" ca="1" si="673"/>
        <v>0</v>
      </c>
      <c r="BP835" s="25">
        <f t="shared" ca="1" si="674"/>
        <v>0</v>
      </c>
      <c r="BQ835" s="34">
        <f t="shared" ca="1" si="675"/>
        <v>70828</v>
      </c>
      <c r="BR835" s="23">
        <f t="shared" ca="1" si="676"/>
        <v>9439.5300902573072</v>
      </c>
      <c r="BS835" s="24">
        <f t="shared" ca="1" si="677"/>
        <v>0</v>
      </c>
      <c r="BT835" s="24">
        <f t="shared" ca="1" si="682"/>
        <v>0</v>
      </c>
      <c r="BU835" s="24">
        <f t="shared" ca="1" si="678"/>
        <v>0</v>
      </c>
      <c r="BV835" s="24">
        <f t="shared" ca="1" si="683"/>
        <v>0</v>
      </c>
      <c r="BW835" s="24">
        <f t="shared" ca="1" si="679"/>
        <v>-138.69742545812164</v>
      </c>
      <c r="BX835" s="25">
        <f t="shared" ca="1" si="684"/>
        <v>-1821.5824419768337</v>
      </c>
      <c r="BY835" s="23">
        <f t="shared" ca="1" si="651"/>
        <v>630.44900491771273</v>
      </c>
      <c r="BZ835" s="24">
        <f t="shared" ca="1" si="652"/>
        <v>0</v>
      </c>
      <c r="CA835" s="24">
        <f t="shared" ca="1" si="685"/>
        <v>0</v>
      </c>
      <c r="CB835" s="24">
        <f t="shared" ca="1" si="653"/>
        <v>0</v>
      </c>
      <c r="CC835" s="24">
        <f t="shared" ca="1" si="686"/>
        <v>0</v>
      </c>
      <c r="CD835" s="24">
        <f t="shared" ca="1" si="654"/>
        <v>-9.2936739696550283</v>
      </c>
      <c r="CE835" s="25">
        <f t="shared" ca="1" si="687"/>
        <v>-124.2977790927427</v>
      </c>
      <c r="CF835" s="23">
        <f t="shared" ca="1" si="688"/>
        <v>3940895.0679846425</v>
      </c>
      <c r="CG835" s="25">
        <f t="array" aca="1" ref="CG835" ca="1">SUM(BF824:BF835/(1+inflation/100)^(AP824:AP835/12))</f>
        <v>267980.53702225391</v>
      </c>
      <c r="CH835" s="32">
        <f ca="1">IFERROR(IF(MOD(AP835-ap_months_since_start,12)=0,ap_drawdown/100*(AQ835+AV835+BA835-BC835),CH834),0)</f>
        <v>1461.7357021565645</v>
      </c>
    </row>
    <row r="836" spans="40:86" x14ac:dyDescent="0.25">
      <c r="AN836" s="32">
        <f t="shared" ca="1" si="649"/>
        <v>123.91666666666667</v>
      </c>
      <c r="AO836" s="53">
        <f t="shared" ca="1" si="680"/>
        <v>70829</v>
      </c>
      <c r="AP836" s="22">
        <v>829</v>
      </c>
      <c r="AQ836" s="32">
        <f t="shared" ca="1" si="681"/>
        <v>9439.5300902573072</v>
      </c>
      <c r="AR836" s="23">
        <f t="array" aca="1" ref="AR836" ca="1">SUM(IF(lsc_start_date=AO836,lsc_amount,0))</f>
        <v>0</v>
      </c>
      <c r="AS836" s="24">
        <f t="shared" ca="1" si="655"/>
        <v>0</v>
      </c>
      <c r="AT836" s="24">
        <f t="shared" ca="1" si="656"/>
        <v>0</v>
      </c>
      <c r="AU836" s="24">
        <f t="shared" ca="1" si="657"/>
        <v>0</v>
      </c>
      <c r="AV836" s="25">
        <f t="shared" ca="1" si="658"/>
        <v>0</v>
      </c>
      <c r="AW836" s="23">
        <f t="array" aca="1" ref="AW836" ca="1">SUM(IF(rcs_start_date&lt;=AO836,1,0)*IF(rcs_end_date&gt;=AO836,1,0)*rcs_amount*(1+rcs_escalation/100)^(INT((AP836-rcs_months_since_start)/12))*IF(MOD((AP836-rcs_months_since_start),rcs_frequency)=0,1,0)*IF(rcs_frequency=13,0,1))+SUM(IF(rcs_start_date=AO836,rcs_amount,0)*IF(rcs_frequency=13,1,0))</f>
        <v>0</v>
      </c>
      <c r="AX836" s="24">
        <f t="shared" ca="1" si="659"/>
        <v>0</v>
      </c>
      <c r="AY836" s="24">
        <f t="shared" ca="1" si="660"/>
        <v>0</v>
      </c>
      <c r="AZ836" s="24">
        <f t="shared" ca="1" si="661"/>
        <v>0</v>
      </c>
      <c r="BA836" s="25">
        <f t="shared" ca="1" si="662"/>
        <v>0</v>
      </c>
      <c r="BB836" s="23">
        <f t="array" aca="1" ref="BB836" ca="1">SUM(IF(w_start_date&lt;=AO836,1,0)*IF(w_end_date&gt;=AO836,1,0)*w_amount*(1+w_escalation/100)^(INT((AP836-w_months_since_start)/12))*IF(MOD(AP836-w_months_since_start,w_frequency)=0,1,0)*IF(w_frequency=13,0,1))+SUM(IF(w_start_date=AO836,w_amount,0)*IF(w_frequency=13,1,0))</f>
        <v>0</v>
      </c>
      <c r="BC836" s="25">
        <f t="shared" ca="1" si="663"/>
        <v>0</v>
      </c>
      <c r="BD836" s="24" t="b">
        <f t="shared" ca="1" si="664"/>
        <v>1</v>
      </c>
      <c r="BE836" s="24" t="b">
        <f t="shared" ca="1" si="665"/>
        <v>1</v>
      </c>
      <c r="BF836" s="23">
        <f t="array" aca="1" ref="BF836" ca="1">SUM(IF(BD836,1,0)*IF(ap_start_date&lt;=AO836,1,0)*IF(ap_end_date&gt;=AO836,1,0)*ap_amount*(1+ap_escalation/100)^(INT((AP836-ap_months_since_start)/12))*IF(MOD(AP836-ap_months_since_start,ap_frequency)=0,1,0))</f>
        <v>340409.5407561484</v>
      </c>
      <c r="BG836" s="24">
        <f t="shared" ca="1" si="666"/>
        <v>4084914.4890737799</v>
      </c>
      <c r="BH836" s="24">
        <f t="shared" ca="1" si="667"/>
        <v>237.76701507106566</v>
      </c>
      <c r="BI836">
        <f t="shared" ca="1" si="668"/>
        <v>0</v>
      </c>
      <c r="BJ836" s="24">
        <f t="shared" ca="1" si="669"/>
        <v>1664.3691054974593</v>
      </c>
      <c r="BK836">
        <f t="shared" ca="1" si="670"/>
        <v>1</v>
      </c>
      <c r="BL836" s="25">
        <f t="shared" ca="1" si="671"/>
        <v>138.69742545812164</v>
      </c>
      <c r="BM836" s="32">
        <f t="shared" ca="1" si="650"/>
        <v>9367.8667729236786</v>
      </c>
      <c r="BN836" s="23">
        <f t="shared" ca="1" si="672"/>
        <v>0</v>
      </c>
      <c r="BO836" s="24">
        <f t="shared" ca="1" si="673"/>
        <v>0</v>
      </c>
      <c r="BP836" s="25">
        <f t="shared" ca="1" si="674"/>
        <v>0</v>
      </c>
      <c r="BQ836" s="34">
        <f t="shared" ca="1" si="675"/>
        <v>70859</v>
      </c>
      <c r="BR836" s="23">
        <f t="shared" ca="1" si="676"/>
        <v>9367.8667729236786</v>
      </c>
      <c r="BS836" s="24">
        <f t="shared" ca="1" si="677"/>
        <v>0</v>
      </c>
      <c r="BT836" s="24">
        <f t="shared" ca="1" si="682"/>
        <v>0</v>
      </c>
      <c r="BU836" s="24">
        <f t="shared" ca="1" si="678"/>
        <v>0</v>
      </c>
      <c r="BV836" s="24">
        <f t="shared" ca="1" si="683"/>
        <v>0</v>
      </c>
      <c r="BW836" s="24">
        <f t="shared" ca="1" si="679"/>
        <v>-138.69742545812164</v>
      </c>
      <c r="BX836" s="25">
        <f t="shared" ca="1" si="684"/>
        <v>-1807.2903204787087</v>
      </c>
      <c r="BY836" s="23">
        <f t="shared" ca="1" si="651"/>
        <v>623.62116917641993</v>
      </c>
      <c r="BZ836" s="24">
        <f t="shared" ca="1" si="652"/>
        <v>0</v>
      </c>
      <c r="CA836" s="24">
        <f t="shared" ca="1" si="685"/>
        <v>0</v>
      </c>
      <c r="CB836" s="24">
        <f t="shared" ca="1" si="653"/>
        <v>0</v>
      </c>
      <c r="CC836" s="24">
        <f t="shared" ca="1" si="686"/>
        <v>0</v>
      </c>
      <c r="CD836" s="24">
        <f t="shared" ca="1" si="654"/>
        <v>-9.2633481782076625</v>
      </c>
      <c r="CE836" s="25">
        <f t="shared" ca="1" si="687"/>
        <v>-122.93451863811553</v>
      </c>
      <c r="CF836" s="23">
        <f t="shared" ca="1" si="688"/>
        <v>3953987.7426291094</v>
      </c>
      <c r="CG836" s="25">
        <f t="array" aca="1" ref="CG836" ca="1">SUM(BF825:BF836/(1+inflation/100)^(AP825:AP836/12))</f>
        <v>267980.53702225391</v>
      </c>
      <c r="CH836" s="32">
        <f ca="1">IFERROR(IF(MOD(AP836-ap_months_since_start,12)=0,ap_drawdown/100*(AQ836+AV836+BA836-BC836),CH835),0)</f>
        <v>1461.7357021565645</v>
      </c>
    </row>
    <row r="837" spans="40:86" x14ac:dyDescent="0.25">
      <c r="AN837" s="32">
        <f t="shared" ca="1" si="649"/>
        <v>124</v>
      </c>
      <c r="AO837" s="53">
        <f t="shared" ca="1" si="680"/>
        <v>70860</v>
      </c>
      <c r="AP837" s="22">
        <v>830</v>
      </c>
      <c r="AQ837" s="32">
        <f t="shared" ca="1" si="681"/>
        <v>9367.8667729236786</v>
      </c>
      <c r="AR837" s="23">
        <f t="array" aca="1" ref="AR837" ca="1">SUM(IF(lsc_start_date=AO837,lsc_amount,0))</f>
        <v>0</v>
      </c>
      <c r="AS837" s="24">
        <f t="shared" ca="1" si="655"/>
        <v>0</v>
      </c>
      <c r="AT837" s="24">
        <f t="shared" ca="1" si="656"/>
        <v>0</v>
      </c>
      <c r="AU837" s="24">
        <f t="shared" ca="1" si="657"/>
        <v>0</v>
      </c>
      <c r="AV837" s="25">
        <f t="shared" ca="1" si="658"/>
        <v>0</v>
      </c>
      <c r="AW837" s="23">
        <f t="array" aca="1" ref="AW837" ca="1">SUM(IF(rcs_start_date&lt;=AO837,1,0)*IF(rcs_end_date&gt;=AO837,1,0)*rcs_amount*(1+rcs_escalation/100)^(INT((AP837-rcs_months_since_start)/12))*IF(MOD((AP837-rcs_months_since_start),rcs_frequency)=0,1,0)*IF(rcs_frequency=13,0,1))+SUM(IF(rcs_start_date=AO837,rcs_amount,0)*IF(rcs_frequency=13,1,0))</f>
        <v>0</v>
      </c>
      <c r="AX837" s="24">
        <f t="shared" ca="1" si="659"/>
        <v>0</v>
      </c>
      <c r="AY837" s="24">
        <f t="shared" ca="1" si="660"/>
        <v>0</v>
      </c>
      <c r="AZ837" s="24">
        <f t="shared" ca="1" si="661"/>
        <v>0</v>
      </c>
      <c r="BA837" s="25">
        <f t="shared" ca="1" si="662"/>
        <v>0</v>
      </c>
      <c r="BB837" s="23">
        <f t="array" aca="1" ref="BB837" ca="1">SUM(IF(w_start_date&lt;=AO837,1,0)*IF(w_end_date&gt;=AO837,1,0)*w_amount*(1+w_escalation/100)^(INT((AP837-w_months_since_start)/12))*IF(MOD(AP837-w_months_since_start,w_frequency)=0,1,0)*IF(w_frequency=13,0,1))+SUM(IF(w_start_date=AO837,w_amount,0)*IF(w_frequency=13,1,0))</f>
        <v>0</v>
      </c>
      <c r="BC837" s="25">
        <f t="shared" ca="1" si="663"/>
        <v>0</v>
      </c>
      <c r="BD837" s="24" t="b">
        <f t="shared" ca="1" si="664"/>
        <v>1</v>
      </c>
      <c r="BE837" s="24" t="b">
        <f t="shared" ca="1" si="665"/>
        <v>1</v>
      </c>
      <c r="BF837" s="23">
        <f t="array" aca="1" ref="BF837" ca="1">SUM(IF(BD837,1,0)*IF(ap_start_date&lt;=AO837,1,0)*IF(ap_end_date&gt;=AO837,1,0)*ap_amount*(1+ap_escalation/100)^(INT((AP837-ap_months_since_start)/12))*IF(MOD(AP837-ap_months_since_start,ap_frequency)=0,1,0))</f>
        <v>340409.5407561484</v>
      </c>
      <c r="BG837" s="24">
        <f t="shared" ca="1" si="666"/>
        <v>4084914.4890737799</v>
      </c>
      <c r="BH837" s="24">
        <f t="shared" ca="1" si="667"/>
        <v>237.76701507106566</v>
      </c>
      <c r="BI837">
        <f t="shared" ca="1" si="668"/>
        <v>0</v>
      </c>
      <c r="BJ837" s="24">
        <f t="shared" ca="1" si="669"/>
        <v>1664.3691054974593</v>
      </c>
      <c r="BK837">
        <f t="shared" ca="1" si="670"/>
        <v>1</v>
      </c>
      <c r="BL837" s="25">
        <f t="shared" ca="1" si="671"/>
        <v>138.69742545812164</v>
      </c>
      <c r="BM837" s="32">
        <f t="shared" ca="1" si="650"/>
        <v>9295.6869548921186</v>
      </c>
      <c r="BN837" s="23">
        <f t="shared" ca="1" si="672"/>
        <v>0</v>
      </c>
      <c r="BO837" s="24">
        <f t="shared" ca="1" si="673"/>
        <v>0</v>
      </c>
      <c r="BP837" s="25">
        <f t="shared" ca="1" si="674"/>
        <v>0</v>
      </c>
      <c r="BQ837" s="34">
        <f t="shared" ca="1" si="675"/>
        <v>70890</v>
      </c>
      <c r="BR837" s="23">
        <f t="shared" ca="1" si="676"/>
        <v>9295.6869548921186</v>
      </c>
      <c r="BS837" s="24">
        <f t="shared" ca="1" si="677"/>
        <v>0</v>
      </c>
      <c r="BT837" s="24">
        <f t="shared" ca="1" si="682"/>
        <v>0</v>
      </c>
      <c r="BU837" s="24">
        <f t="shared" ca="1" si="678"/>
        <v>0</v>
      </c>
      <c r="BV837" s="24">
        <f t="shared" ca="1" si="683"/>
        <v>0</v>
      </c>
      <c r="BW837" s="24">
        <f t="shared" ca="1" si="679"/>
        <v>-138.69742545812164</v>
      </c>
      <c r="BX837" s="25">
        <f t="shared" ca="1" si="684"/>
        <v>-1792.9981989805838</v>
      </c>
      <c r="BY837" s="23">
        <f t="shared" ca="1" si="651"/>
        <v>616.79690856008699</v>
      </c>
      <c r="BZ837" s="24">
        <f t="shared" ca="1" si="652"/>
        <v>0</v>
      </c>
      <c r="CA837" s="24">
        <f t="shared" ca="1" si="685"/>
        <v>0</v>
      </c>
      <c r="CB837" s="24">
        <f t="shared" ca="1" si="653"/>
        <v>0</v>
      </c>
      <c r="CC837" s="24">
        <f t="shared" ca="1" si="686"/>
        <v>0</v>
      </c>
      <c r="CD837" s="24">
        <f t="shared" ca="1" si="654"/>
        <v>-9.2331213415579452</v>
      </c>
      <c r="CE837" s="25">
        <f t="shared" ca="1" si="687"/>
        <v>-121.57570658057767</v>
      </c>
      <c r="CF837" s="23">
        <f t="shared" ca="1" si="688"/>
        <v>3967080.4172735764</v>
      </c>
      <c r="CG837" s="25">
        <f t="array" aca="1" ref="CG837" ca="1">SUM(BF826:BF837/(1+inflation/100)^(AP826:AP837/12))</f>
        <v>267980.53702225385</v>
      </c>
      <c r="CH837" s="32">
        <f ca="1">IFERROR(IF(MOD(AP837-ap_months_since_start,12)=0,ap_drawdown/100*(AQ837+AV837+BA837-BC837),CH836),0)</f>
        <v>1461.7357021565645</v>
      </c>
    </row>
    <row r="838" spans="40:86" x14ac:dyDescent="0.25">
      <c r="AN838" s="32">
        <f t="shared" ca="1" si="649"/>
        <v>124.08333333333333</v>
      </c>
      <c r="AO838" s="53">
        <f t="shared" ca="1" si="680"/>
        <v>70891</v>
      </c>
      <c r="AP838" s="22">
        <v>831</v>
      </c>
      <c r="AQ838" s="32">
        <f t="shared" ca="1" si="681"/>
        <v>9295.6869548921186</v>
      </c>
      <c r="AR838" s="23">
        <f t="array" aca="1" ref="AR838" ca="1">SUM(IF(lsc_start_date=AO838,lsc_amount,0))</f>
        <v>0</v>
      </c>
      <c r="AS838" s="24">
        <f t="shared" ca="1" si="655"/>
        <v>0</v>
      </c>
      <c r="AT838" s="24">
        <f t="shared" ca="1" si="656"/>
        <v>0</v>
      </c>
      <c r="AU838" s="24">
        <f t="shared" ca="1" si="657"/>
        <v>0</v>
      </c>
      <c r="AV838" s="25">
        <f t="shared" ca="1" si="658"/>
        <v>0</v>
      </c>
      <c r="AW838" s="23">
        <f t="array" aca="1" ref="AW838" ca="1">SUM(IF(rcs_start_date&lt;=AO838,1,0)*IF(rcs_end_date&gt;=AO838,1,0)*rcs_amount*(1+rcs_escalation/100)^(INT((AP838-rcs_months_since_start)/12))*IF(MOD((AP838-rcs_months_since_start),rcs_frequency)=0,1,0)*IF(rcs_frequency=13,0,1))+SUM(IF(rcs_start_date=AO838,rcs_amount,0)*IF(rcs_frequency=13,1,0))</f>
        <v>0</v>
      </c>
      <c r="AX838" s="24">
        <f t="shared" ca="1" si="659"/>
        <v>0</v>
      </c>
      <c r="AY838" s="24">
        <f t="shared" ca="1" si="660"/>
        <v>0</v>
      </c>
      <c r="AZ838" s="24">
        <f t="shared" ca="1" si="661"/>
        <v>0</v>
      </c>
      <c r="BA838" s="25">
        <f t="shared" ca="1" si="662"/>
        <v>0</v>
      </c>
      <c r="BB838" s="23">
        <f t="array" aca="1" ref="BB838" ca="1">SUM(IF(w_start_date&lt;=AO838,1,0)*IF(w_end_date&gt;=AO838,1,0)*w_amount*(1+w_escalation/100)^(INT((AP838-w_months_since_start)/12))*IF(MOD(AP838-w_months_since_start,w_frequency)=0,1,0)*IF(w_frequency=13,0,1))+SUM(IF(w_start_date=AO838,w_amount,0)*IF(w_frequency=13,1,0))</f>
        <v>0</v>
      </c>
      <c r="BC838" s="25">
        <f t="shared" ca="1" si="663"/>
        <v>0</v>
      </c>
      <c r="BD838" s="24" t="b">
        <f t="shared" ca="1" si="664"/>
        <v>1</v>
      </c>
      <c r="BE838" s="24" t="b">
        <f t="shared" ca="1" si="665"/>
        <v>1</v>
      </c>
      <c r="BF838" s="23">
        <f t="array" aca="1" ref="BF838" ca="1">SUM(IF(BD838,1,0)*IF(ap_start_date&lt;=AO838,1,0)*IF(ap_end_date&gt;=AO838,1,0)*ap_amount*(1+ap_escalation/100)^(INT((AP838-ap_months_since_start)/12))*IF(MOD(AP838-ap_months_since_start,ap_frequency)=0,1,0))</f>
        <v>340409.5407561484</v>
      </c>
      <c r="BG838" s="24">
        <f t="shared" ca="1" si="666"/>
        <v>4084914.4890737799</v>
      </c>
      <c r="BH838" s="24">
        <f t="shared" ca="1" si="667"/>
        <v>237.76701507106566</v>
      </c>
      <c r="BI838">
        <f t="shared" ca="1" si="668"/>
        <v>0</v>
      </c>
      <c r="BJ838" s="24">
        <f t="shared" ca="1" si="669"/>
        <v>1664.3691054974593</v>
      </c>
      <c r="BK838">
        <f t="shared" ca="1" si="670"/>
        <v>1</v>
      </c>
      <c r="BL838" s="25">
        <f t="shared" ca="1" si="671"/>
        <v>138.69742545812164</v>
      </c>
      <c r="BM838" s="32">
        <f t="shared" ca="1" si="650"/>
        <v>9222.9869135751069</v>
      </c>
      <c r="BN838" s="23">
        <f t="shared" ca="1" si="672"/>
        <v>0</v>
      </c>
      <c r="BO838" s="24">
        <f t="shared" ca="1" si="673"/>
        <v>0</v>
      </c>
      <c r="BP838" s="25">
        <f t="shared" ca="1" si="674"/>
        <v>0</v>
      </c>
      <c r="BQ838" s="34">
        <f t="shared" ca="1" si="675"/>
        <v>70918</v>
      </c>
      <c r="BR838" s="23">
        <f t="shared" ca="1" si="676"/>
        <v>9222.9869135751069</v>
      </c>
      <c r="BS838" s="24">
        <f t="shared" ca="1" si="677"/>
        <v>0</v>
      </c>
      <c r="BT838" s="24">
        <f t="shared" ca="1" si="682"/>
        <v>0</v>
      </c>
      <c r="BU838" s="24">
        <f t="shared" ca="1" si="678"/>
        <v>0</v>
      </c>
      <c r="BV838" s="24">
        <f t="shared" ca="1" si="683"/>
        <v>0</v>
      </c>
      <c r="BW838" s="24">
        <f t="shared" ca="1" si="679"/>
        <v>-138.69742545812164</v>
      </c>
      <c r="BX838" s="25">
        <f t="shared" ca="1" si="684"/>
        <v>-1778.7060774824588</v>
      </c>
      <c r="BY838" s="23">
        <f t="shared" ca="1" si="651"/>
        <v>609.97613806726667</v>
      </c>
      <c r="BZ838" s="24">
        <f t="shared" ca="1" si="652"/>
        <v>0</v>
      </c>
      <c r="CA838" s="24">
        <f t="shared" ca="1" si="685"/>
        <v>0</v>
      </c>
      <c r="CB838" s="24">
        <f t="shared" ca="1" si="653"/>
        <v>0</v>
      </c>
      <c r="CC838" s="24">
        <f t="shared" ca="1" si="686"/>
        <v>0</v>
      </c>
      <c r="CD838" s="24">
        <f t="shared" ca="1" si="654"/>
        <v>-9.2029931368106581</v>
      </c>
      <c r="CE838" s="25">
        <f t="shared" ca="1" si="687"/>
        <v>-120.22132840475415</v>
      </c>
      <c r="CF838" s="23">
        <f t="shared" ca="1" si="688"/>
        <v>3980173.0919180433</v>
      </c>
      <c r="CG838" s="25">
        <f t="array" aca="1" ref="CG838" ca="1">SUM(BF827:BF838/(1+inflation/100)^(AP827:AP838/12))</f>
        <v>267980.53702225385</v>
      </c>
      <c r="CH838" s="32">
        <f ca="1">IFERROR(IF(MOD(AP838-ap_months_since_start,12)=0,ap_drawdown/100*(AQ838+AV838+BA838-BC838),CH837),0)</f>
        <v>1461.7357021565645</v>
      </c>
    </row>
    <row r="839" spans="40:86" x14ac:dyDescent="0.25">
      <c r="AN839" s="32">
        <f t="shared" ca="1" si="649"/>
        <v>124.16666666666667</v>
      </c>
      <c r="AO839" s="53">
        <f t="shared" ca="1" si="680"/>
        <v>70919</v>
      </c>
      <c r="AP839" s="22">
        <v>832</v>
      </c>
      <c r="AQ839" s="32">
        <f t="shared" ca="1" si="681"/>
        <v>9222.9869135751069</v>
      </c>
      <c r="AR839" s="23">
        <f t="array" aca="1" ref="AR839" ca="1">SUM(IF(lsc_start_date=AO839,lsc_amount,0))</f>
        <v>0</v>
      </c>
      <c r="AS839" s="24">
        <f t="shared" ca="1" si="655"/>
        <v>0</v>
      </c>
      <c r="AT839" s="24">
        <f t="shared" ca="1" si="656"/>
        <v>0</v>
      </c>
      <c r="AU839" s="24">
        <f t="shared" ca="1" si="657"/>
        <v>0</v>
      </c>
      <c r="AV839" s="25">
        <f t="shared" ca="1" si="658"/>
        <v>0</v>
      </c>
      <c r="AW839" s="23">
        <f t="array" aca="1" ref="AW839" ca="1">SUM(IF(rcs_start_date&lt;=AO839,1,0)*IF(rcs_end_date&gt;=AO839,1,0)*rcs_amount*(1+rcs_escalation/100)^(INT((AP839-rcs_months_since_start)/12))*IF(MOD((AP839-rcs_months_since_start),rcs_frequency)=0,1,0)*IF(rcs_frequency=13,0,1))+SUM(IF(rcs_start_date=AO839,rcs_amount,0)*IF(rcs_frequency=13,1,0))</f>
        <v>0</v>
      </c>
      <c r="AX839" s="24">
        <f t="shared" ca="1" si="659"/>
        <v>0</v>
      </c>
      <c r="AY839" s="24">
        <f t="shared" ca="1" si="660"/>
        <v>0</v>
      </c>
      <c r="AZ839" s="24">
        <f t="shared" ca="1" si="661"/>
        <v>0</v>
      </c>
      <c r="BA839" s="25">
        <f t="shared" ca="1" si="662"/>
        <v>0</v>
      </c>
      <c r="BB839" s="23">
        <f t="array" aca="1" ref="BB839" ca="1">SUM(IF(w_start_date&lt;=AO839,1,0)*IF(w_end_date&gt;=AO839,1,0)*w_amount*(1+w_escalation/100)^(INT((AP839-w_months_since_start)/12))*IF(MOD(AP839-w_months_since_start,w_frequency)=0,1,0)*IF(w_frequency=13,0,1))+SUM(IF(w_start_date=AO839,w_amount,0)*IF(w_frequency=13,1,0))</f>
        <v>0</v>
      </c>
      <c r="BC839" s="25">
        <f t="shared" ca="1" si="663"/>
        <v>0</v>
      </c>
      <c r="BD839" s="24" t="b">
        <f t="shared" ca="1" si="664"/>
        <v>1</v>
      </c>
      <c r="BE839" s="24" t="b">
        <f t="shared" ca="1" si="665"/>
        <v>1</v>
      </c>
      <c r="BF839" s="23">
        <f t="array" aca="1" ref="BF839" ca="1">SUM(IF(BD839,1,0)*IF(ap_start_date&lt;=AO839,1,0)*IF(ap_end_date&gt;=AO839,1,0)*ap_amount*(1+ap_escalation/100)^(INT((AP839-ap_months_since_start)/12))*IF(MOD(AP839-ap_months_since_start,ap_frequency)=0,1,0))</f>
        <v>340409.5407561484</v>
      </c>
      <c r="BG839" s="24">
        <f t="shared" ca="1" si="666"/>
        <v>4084914.4890737799</v>
      </c>
      <c r="BH839" s="24">
        <f t="shared" ca="1" si="667"/>
        <v>237.76701507106566</v>
      </c>
      <c r="BI839">
        <f t="shared" ca="1" si="668"/>
        <v>0</v>
      </c>
      <c r="BJ839" s="24">
        <f t="shared" ca="1" si="669"/>
        <v>1664.3691054974593</v>
      </c>
      <c r="BK839">
        <f t="shared" ca="1" si="670"/>
        <v>1</v>
      </c>
      <c r="BL839" s="25">
        <f t="shared" ca="1" si="671"/>
        <v>138.69742545812164</v>
      </c>
      <c r="BM839" s="32">
        <f t="shared" ca="1" si="650"/>
        <v>9149.7628995552259</v>
      </c>
      <c r="BN839" s="23">
        <f t="shared" ca="1" si="672"/>
        <v>0</v>
      </c>
      <c r="BO839" s="24">
        <f t="shared" ca="1" si="673"/>
        <v>0</v>
      </c>
      <c r="BP839" s="25">
        <f t="shared" ca="1" si="674"/>
        <v>0</v>
      </c>
      <c r="BQ839" s="34">
        <f t="shared" ca="1" si="675"/>
        <v>70949</v>
      </c>
      <c r="BR839" s="23">
        <f t="shared" ca="1" si="676"/>
        <v>9149.7628995552259</v>
      </c>
      <c r="BS839" s="24">
        <f t="shared" ca="1" si="677"/>
        <v>0</v>
      </c>
      <c r="BT839" s="24">
        <f t="shared" ca="1" si="682"/>
        <v>0</v>
      </c>
      <c r="BU839" s="24">
        <f t="shared" ca="1" si="678"/>
        <v>0</v>
      </c>
      <c r="BV839" s="24">
        <f t="shared" ca="1" si="683"/>
        <v>0</v>
      </c>
      <c r="BW839" s="24">
        <f t="shared" ca="1" si="679"/>
        <v>-138.69742545812164</v>
      </c>
      <c r="BX839" s="25">
        <f t="shared" ca="1" si="684"/>
        <v>-1764.4139559843338</v>
      </c>
      <c r="BY839" s="23">
        <f t="shared" ca="1" si="651"/>
        <v>603.15877268634313</v>
      </c>
      <c r="BZ839" s="24">
        <f t="shared" ca="1" si="652"/>
        <v>0</v>
      </c>
      <c r="CA839" s="24">
        <f t="shared" ca="1" si="685"/>
        <v>0</v>
      </c>
      <c r="CB839" s="24">
        <f t="shared" ca="1" si="653"/>
        <v>0</v>
      </c>
      <c r="CC839" s="24">
        <f t="shared" ca="1" si="686"/>
        <v>0</v>
      </c>
      <c r="CD839" s="24">
        <f t="shared" ca="1" si="654"/>
        <v>-9.1729632421242719</v>
      </c>
      <c r="CE839" s="25">
        <f t="shared" ca="1" si="687"/>
        <v>-118.87136964263449</v>
      </c>
      <c r="CF839" s="23">
        <f t="shared" ca="1" si="688"/>
        <v>3993265.7665625103</v>
      </c>
      <c r="CG839" s="25">
        <f t="array" aca="1" ref="CG839" ca="1">SUM(BF828:BF839/(1+inflation/100)^(AP828:AP839/12))</f>
        <v>267980.53702225391</v>
      </c>
      <c r="CH839" s="32">
        <f ca="1">IFERROR(IF(MOD(AP839-ap_months_since_start,12)=0,ap_drawdown/100*(AQ839+AV839+BA839-BC839),CH838),0)</f>
        <v>1461.7357021565645</v>
      </c>
    </row>
    <row r="840" spans="40:86" x14ac:dyDescent="0.25">
      <c r="AN840" s="32">
        <f t="shared" ref="AN840:AN903" ca="1" si="689">IF(AND(Date_of_birth&lt;&gt;"",Date_of_birth&lt;&gt;"Please enter date of birth"),YEARFRAC(Date_of_birth,AO840),AP840/12)</f>
        <v>124.25</v>
      </c>
      <c r="AO840" s="53">
        <f t="shared" ca="1" si="680"/>
        <v>70950</v>
      </c>
      <c r="AP840" s="22">
        <v>833</v>
      </c>
      <c r="AQ840" s="32">
        <f t="shared" ca="1" si="681"/>
        <v>9149.7628995552259</v>
      </c>
      <c r="AR840" s="23">
        <f t="array" aca="1" ref="AR840" ca="1">SUM(IF(lsc_start_date=AO840,lsc_amount,0))</f>
        <v>0</v>
      </c>
      <c r="AS840" s="24">
        <f t="shared" ca="1" si="655"/>
        <v>0</v>
      </c>
      <c r="AT840" s="24">
        <f t="shared" ca="1" si="656"/>
        <v>0</v>
      </c>
      <c r="AU840" s="24">
        <f t="shared" ca="1" si="657"/>
        <v>0</v>
      </c>
      <c r="AV840" s="25">
        <f t="shared" ca="1" si="658"/>
        <v>0</v>
      </c>
      <c r="AW840" s="23">
        <f t="array" aca="1" ref="AW840" ca="1">SUM(IF(rcs_start_date&lt;=AO840,1,0)*IF(rcs_end_date&gt;=AO840,1,0)*rcs_amount*(1+rcs_escalation/100)^(INT((AP840-rcs_months_since_start)/12))*IF(MOD((AP840-rcs_months_since_start),rcs_frequency)=0,1,0)*IF(rcs_frequency=13,0,1))+SUM(IF(rcs_start_date=AO840,rcs_amount,0)*IF(rcs_frequency=13,1,0))</f>
        <v>0</v>
      </c>
      <c r="AX840" s="24">
        <f t="shared" ca="1" si="659"/>
        <v>0</v>
      </c>
      <c r="AY840" s="24">
        <f t="shared" ca="1" si="660"/>
        <v>0</v>
      </c>
      <c r="AZ840" s="24">
        <f t="shared" ca="1" si="661"/>
        <v>0</v>
      </c>
      <c r="BA840" s="25">
        <f t="shared" ca="1" si="662"/>
        <v>0</v>
      </c>
      <c r="BB840" s="23">
        <f t="array" aca="1" ref="BB840" ca="1">SUM(IF(w_start_date&lt;=AO840,1,0)*IF(w_end_date&gt;=AO840,1,0)*w_amount*(1+w_escalation/100)^(INT((AP840-w_months_since_start)/12))*IF(MOD(AP840-w_months_since_start,w_frequency)=0,1,0)*IF(w_frequency=13,0,1))+SUM(IF(w_start_date=AO840,w_amount,0)*IF(w_frequency=13,1,0))</f>
        <v>0</v>
      </c>
      <c r="BC840" s="25">
        <f t="shared" ca="1" si="663"/>
        <v>0</v>
      </c>
      <c r="BD840" s="24" t="b">
        <f t="shared" ca="1" si="664"/>
        <v>1</v>
      </c>
      <c r="BE840" s="24" t="b">
        <f t="shared" ca="1" si="665"/>
        <v>1</v>
      </c>
      <c r="BF840" s="23">
        <f t="array" aca="1" ref="BF840" ca="1">SUM(IF(BD840,1,0)*IF(ap_start_date&lt;=AO840,1,0)*IF(ap_end_date&gt;=AO840,1,0)*ap_amount*(1+ap_escalation/100)^(INT((AP840-ap_months_since_start)/12))*IF(MOD(AP840-ap_months_since_start,ap_frequency)=0,1,0))</f>
        <v>340409.5407561484</v>
      </c>
      <c r="BG840" s="24">
        <f t="shared" ca="1" si="666"/>
        <v>4084914.4890737799</v>
      </c>
      <c r="BH840" s="24">
        <f t="shared" ca="1" si="667"/>
        <v>237.76701507106566</v>
      </c>
      <c r="BI840">
        <f t="shared" ca="1" si="668"/>
        <v>0</v>
      </c>
      <c r="BJ840" s="24">
        <f t="shared" ca="1" si="669"/>
        <v>1664.3691054974593</v>
      </c>
      <c r="BK840">
        <f t="shared" ca="1" si="670"/>
        <v>1</v>
      </c>
      <c r="BL840" s="25">
        <f t="shared" ca="1" si="671"/>
        <v>138.69742545812164</v>
      </c>
      <c r="BM840" s="32">
        <f t="shared" ref="BM840:BM903" ca="1" si="690">(AQ840+AV840+BA840-BC840-BL840)*(1+NomRetn/100)^(1/12)</f>
        <v>9076.0111363917986</v>
      </c>
      <c r="BN840" s="23">
        <f t="shared" ca="1" si="672"/>
        <v>0</v>
      </c>
      <c r="BO840" s="24">
        <f t="shared" ca="1" si="673"/>
        <v>0</v>
      </c>
      <c r="BP840" s="25">
        <f t="shared" ca="1" si="674"/>
        <v>0</v>
      </c>
      <c r="BQ840" s="34">
        <f t="shared" ca="1" si="675"/>
        <v>70979</v>
      </c>
      <c r="BR840" s="23">
        <f t="shared" ca="1" si="676"/>
        <v>9076.0111363917986</v>
      </c>
      <c r="BS840" s="24">
        <f t="shared" ca="1" si="677"/>
        <v>0</v>
      </c>
      <c r="BT840" s="24">
        <f t="shared" ca="1" si="682"/>
        <v>0</v>
      </c>
      <c r="BU840" s="24">
        <f t="shared" ca="1" si="678"/>
        <v>0</v>
      </c>
      <c r="BV840" s="24">
        <f t="shared" ca="1" si="683"/>
        <v>0</v>
      </c>
      <c r="BW840" s="24">
        <f t="shared" ca="1" si="679"/>
        <v>-138.69742545812164</v>
      </c>
      <c r="BX840" s="25">
        <f t="shared" ca="1" si="684"/>
        <v>-1750.1218344862089</v>
      </c>
      <c r="BY840" s="23">
        <f t="shared" ref="BY840:BY903" ca="1" si="691">BR840*(1+inflation/100)^(-$AP840/12)</f>
        <v>596.34472739444129</v>
      </c>
      <c r="BZ840" s="24">
        <f t="shared" ref="BZ840:BZ903" ca="1" si="692">BS840*(1+inflation/100)^(-(AP840-1)/12)</f>
        <v>0</v>
      </c>
      <c r="CA840" s="24">
        <f t="shared" ca="1" si="685"/>
        <v>0</v>
      </c>
      <c r="CB840" s="24">
        <f t="shared" ref="CB840:CB903" ca="1" si="693">BU840*(1+inflation/100)^(-($AP840-1)/12)</f>
        <v>0</v>
      </c>
      <c r="CC840" s="24">
        <f t="shared" ca="1" si="686"/>
        <v>0</v>
      </c>
      <c r="CD840" s="24">
        <f t="shared" ref="CD840:CD903" ca="1" si="694">BW840*(1+inflation/100)^(-($AP840-1)/12)</f>
        <v>-9.1430313367074021</v>
      </c>
      <c r="CE840" s="25">
        <f t="shared" ca="1" si="687"/>
        <v>-117.5258158734182</v>
      </c>
      <c r="CF840" s="23">
        <f t="shared" ca="1" si="688"/>
        <v>4006358.4412069777</v>
      </c>
      <c r="CG840" s="25">
        <f t="array" aca="1" ref="CG840" ca="1">SUM(BF829:BF840/(1+inflation/100)^(AP829:AP840/12))</f>
        <v>267980.53702225391</v>
      </c>
      <c r="CH840" s="32">
        <f ca="1">IFERROR(IF(MOD(AP840-ap_months_since_start,12)=0,ap_drawdown/100*(AQ840+AV840+BA840-BC840),CH839),0)</f>
        <v>1461.7357021565645</v>
      </c>
    </row>
    <row r="841" spans="40:86" x14ac:dyDescent="0.25">
      <c r="AN841" s="32">
        <f t="shared" ca="1" si="689"/>
        <v>124.33333333333333</v>
      </c>
      <c r="AO841" s="53">
        <f t="shared" ca="1" si="680"/>
        <v>70980</v>
      </c>
      <c r="AP841" s="22">
        <v>834</v>
      </c>
      <c r="AQ841" s="32">
        <f t="shared" ca="1" si="681"/>
        <v>9076.0111363917986</v>
      </c>
      <c r="AR841" s="23">
        <f t="array" aca="1" ref="AR841" ca="1">SUM(IF(lsc_start_date=AO841,lsc_amount,0))</f>
        <v>0</v>
      </c>
      <c r="AS841" s="24">
        <f t="shared" ref="AS841:AS904" ca="1" si="695">AR841*$D$34/100</f>
        <v>0</v>
      </c>
      <c r="AT841" s="24">
        <f t="shared" ref="AT841:AT904" ca="1" si="696">AR841*$D$33/100</f>
        <v>0</v>
      </c>
      <c r="AU841" s="24">
        <f t="shared" ref="AU841:AU904" ca="1" si="697">AR841*$D$35/100</f>
        <v>0</v>
      </c>
      <c r="AV841" s="25">
        <f t="shared" ref="AV841:AV904" ca="1" si="698">AR841-AS841-AT841-AU841</f>
        <v>0</v>
      </c>
      <c r="AW841" s="23">
        <f t="array" aca="1" ref="AW841" ca="1">SUM(IF(rcs_start_date&lt;=AO841,1,0)*IF(rcs_end_date&gt;=AO841,1,0)*rcs_amount*(1+rcs_escalation/100)^(INT((AP841-rcs_months_since_start)/12))*IF(MOD((AP841-rcs_months_since_start),rcs_frequency)=0,1,0)*IF(rcs_frequency=13,0,1))+SUM(IF(rcs_start_date=AO841,rcs_amount,0)*IF(rcs_frequency=13,1,0))</f>
        <v>0</v>
      </c>
      <c r="AX841" s="24">
        <f t="shared" ref="AX841:AX904" ca="1" si="699">AW841*$D$34/100</f>
        <v>0</v>
      </c>
      <c r="AY841" s="24">
        <f t="shared" ref="AY841:AY904" ca="1" si="700">AW841*$D$33/100</f>
        <v>0</v>
      </c>
      <c r="AZ841" s="24">
        <f t="shared" ref="AZ841:AZ904" ca="1" si="701">AW841*$D$35/100</f>
        <v>0</v>
      </c>
      <c r="BA841" s="25">
        <f t="shared" ref="BA841:BA904" ca="1" si="702">AW841-AX841-AY841-AZ841</f>
        <v>0</v>
      </c>
      <c r="BB841" s="23">
        <f t="array" aca="1" ref="BB841" ca="1">SUM(IF(w_start_date&lt;=AO841,1,0)*IF(w_end_date&gt;=AO841,1,0)*w_amount*(1+w_escalation/100)^(INT((AP841-w_months_since_start)/12))*IF(MOD(AP841-w_months_since_start,w_frequency)=0,1,0)*IF(w_frequency=13,0,1))+SUM(IF(w_start_date=AO841,w_amount,0)*IF(w_frequency=13,1,0))</f>
        <v>0</v>
      </c>
      <c r="BC841" s="25">
        <f t="shared" ref="BC841:BC904" ca="1" si="703">IF(BB841&gt;AQ841+AV841+BA841,AQ841+AV841+BA841,BB841)</f>
        <v>0</v>
      </c>
      <c r="BD841" s="24" t="b">
        <f t="shared" ref="BD841:BD904" ca="1" si="704">AND($DV$11&lt;=AO841,$DV$11&lt;&gt;0)</f>
        <v>1</v>
      </c>
      <c r="BE841" s="24" t="b">
        <f t="shared" ref="BE841:BE904" ca="1" si="705">$DW$11&lt;&gt;""</f>
        <v>1</v>
      </c>
      <c r="BF841" s="23">
        <f t="array" aca="1" ref="BF841" ca="1">SUM(IF(BD841,1,0)*IF(ap_start_date&lt;=AO841,1,0)*IF(ap_end_date&gt;=AO841,1,0)*ap_amount*(1+ap_escalation/100)^(INT((AP841-ap_months_since_start)/12))*IF(MOD(AP841-ap_months_since_start,ap_frequency)=0,1,0))</f>
        <v>340409.5407561484</v>
      </c>
      <c r="BG841" s="24">
        <f t="shared" ref="BG841:BG904" ca="1" si="706">IF(MOD(YEAR(AO841)*12+MONTH(AO841)-YEAR(Earliest_annuity_payment)*12-MONTH(Earliest_annuity_payment),12)=0,SUM(BF841:BF852),BG840)</f>
        <v>4084914.4890737799</v>
      </c>
      <c r="BH841" s="24">
        <f t="shared" ref="BH841:BH904" ca="1" si="707">IF(AO841&gt;=Earliest_annuity_payment,IF(MOD(YEAR(AO841)*12+MONTH(AO841)-YEAR(Earliest_annuity_payment)*12-MONTH(Earliest_annuity_payment),12)=0,(AQ841+AV841+BA841-BC841)*Annuity_min,BH840),0)</f>
        <v>237.76701507106566</v>
      </c>
      <c r="BI841">
        <f t="shared" ref="BI841:BI904" ca="1" si="708">IF(AND(BH841&gt;BG841,BD841),1,0)</f>
        <v>0</v>
      </c>
      <c r="BJ841" s="24">
        <f t="shared" ref="BJ841:BJ904" ca="1" si="709">IF(AO841&gt;=Earliest_annuity_payment,IF(MOD(YEAR(AO841)*12+MONTH(AO841)-YEAR(Earliest_annuity_payment)*12-MONTH(Earliest_annuity_payment),12)=0,(AQ841+AV841+BA841-BC841)*Annuity_cap,BJ840),0)</f>
        <v>1664.3691054974593</v>
      </c>
      <c r="BK841">
        <f t="shared" ref="BK841:BK904" ca="1" si="710">IF(BJ841&lt;BG841,1,0)</f>
        <v>1</v>
      </c>
      <c r="BL841" s="25">
        <f t="shared" ref="BL841:BL904" ca="1" si="711">IF(BJ841&lt;BG841,BF841/BG841*BJ841,IF(AND(BH841&gt;BG841,BG841&lt;&gt;0),BF841/BG841*BH841,BF841))</f>
        <v>138.69742545812164</v>
      </c>
      <c r="BM841" s="32">
        <f t="shared" ca="1" si="690"/>
        <v>9001.7278204261165</v>
      </c>
      <c r="BN841" s="23">
        <f t="shared" ref="BN841:BN904" ca="1" si="712">BM841*$E$34/1200</f>
        <v>0</v>
      </c>
      <c r="BO841" s="24">
        <f t="shared" ref="BO841:BO904" ca="1" si="713">BM841*$E$33/1200</f>
        <v>0</v>
      </c>
      <c r="BP841" s="25">
        <f t="shared" ref="BP841:BP904" ca="1" si="714">BM841*$E$35/1200</f>
        <v>0</v>
      </c>
      <c r="BQ841" s="34">
        <f t="shared" ref="BQ841:BQ904" ca="1" si="715">EOMONTH(AO841,0)</f>
        <v>71010</v>
      </c>
      <c r="BR841" s="23">
        <f t="shared" ref="BR841:BR904" ca="1" si="716">BM841-BN841-BO841-BP841</f>
        <v>9001.7278204261165</v>
      </c>
      <c r="BS841" s="24">
        <f t="shared" ref="BS841:BS904" ca="1" si="717">AV841+BA841</f>
        <v>0</v>
      </c>
      <c r="BT841" s="24">
        <f t="shared" ca="1" si="682"/>
        <v>0</v>
      </c>
      <c r="BU841" s="24">
        <f t="shared" ref="BU841:BU904" ca="1" si="718">-BC841</f>
        <v>0</v>
      </c>
      <c r="BV841" s="24">
        <f t="shared" ca="1" si="683"/>
        <v>0</v>
      </c>
      <c r="BW841" s="24">
        <f t="shared" ref="BW841:BW904" ca="1" si="719">-BL841</f>
        <v>-138.69742545812164</v>
      </c>
      <c r="BX841" s="25">
        <f t="shared" ca="1" si="684"/>
        <v>-1735.8297129880841</v>
      </c>
      <c r="BY841" s="23">
        <f t="shared" ca="1" si="691"/>
        <v>589.53391715633154</v>
      </c>
      <c r="BZ841" s="24">
        <f t="shared" ca="1" si="692"/>
        <v>0</v>
      </c>
      <c r="CA841" s="24">
        <f t="shared" ca="1" si="685"/>
        <v>0</v>
      </c>
      <c r="CB841" s="24">
        <f t="shared" ca="1" si="693"/>
        <v>0</v>
      </c>
      <c r="CC841" s="24">
        <f t="shared" ca="1" si="686"/>
        <v>0</v>
      </c>
      <c r="CD841" s="24">
        <f t="shared" ca="1" si="694"/>
        <v>-9.1131971008154409</v>
      </c>
      <c r="CE841" s="25">
        <f t="shared" ca="1" si="687"/>
        <v>-116.18465272336066</v>
      </c>
      <c r="CF841" s="23">
        <f t="shared" ca="1" si="688"/>
        <v>4019451.1158514447</v>
      </c>
      <c r="CG841" s="25">
        <f t="array" aca="1" ref="CG841" ca="1">SUM(BF830:BF841/(1+inflation/100)^(AP830:AP841/12))</f>
        <v>267980.53702225385</v>
      </c>
      <c r="CH841" s="32">
        <f ca="1">IFERROR(IF(MOD(AP841-ap_months_since_start,12)=0,ap_drawdown/100*(AQ841+AV841+BA841-BC841),CH840),0)</f>
        <v>1461.7357021565645</v>
      </c>
    </row>
    <row r="842" spans="40:86" x14ac:dyDescent="0.25">
      <c r="AN842" s="32">
        <f t="shared" ca="1" si="689"/>
        <v>124.41666666666667</v>
      </c>
      <c r="AO842" s="53">
        <f t="shared" ref="AO842:AO905" ca="1" si="720">DATE(YEAR(AO841),MONTH(AO841)+1,1)</f>
        <v>71011</v>
      </c>
      <c r="AP842" s="22">
        <v>835</v>
      </c>
      <c r="AQ842" s="32">
        <f t="shared" ref="AQ842:AQ905" ca="1" si="721">IF(BR841&lt;0,0,BR841)</f>
        <v>9001.7278204261165</v>
      </c>
      <c r="AR842" s="23">
        <f t="array" aca="1" ref="AR842" ca="1">SUM(IF(lsc_start_date=AO842,lsc_amount,0))</f>
        <v>0</v>
      </c>
      <c r="AS842" s="24">
        <f t="shared" ca="1" si="695"/>
        <v>0</v>
      </c>
      <c r="AT842" s="24">
        <f t="shared" ca="1" si="696"/>
        <v>0</v>
      </c>
      <c r="AU842" s="24">
        <f t="shared" ca="1" si="697"/>
        <v>0</v>
      </c>
      <c r="AV842" s="25">
        <f t="shared" ca="1" si="698"/>
        <v>0</v>
      </c>
      <c r="AW842" s="23">
        <f t="array" aca="1" ref="AW842" ca="1">SUM(IF(rcs_start_date&lt;=AO842,1,0)*IF(rcs_end_date&gt;=AO842,1,0)*rcs_amount*(1+rcs_escalation/100)^(INT((AP842-rcs_months_since_start)/12))*IF(MOD((AP842-rcs_months_since_start),rcs_frequency)=0,1,0)*IF(rcs_frequency=13,0,1))+SUM(IF(rcs_start_date=AO842,rcs_amount,0)*IF(rcs_frequency=13,1,0))</f>
        <v>0</v>
      </c>
      <c r="AX842" s="24">
        <f t="shared" ca="1" si="699"/>
        <v>0</v>
      </c>
      <c r="AY842" s="24">
        <f t="shared" ca="1" si="700"/>
        <v>0</v>
      </c>
      <c r="AZ842" s="24">
        <f t="shared" ca="1" si="701"/>
        <v>0</v>
      </c>
      <c r="BA842" s="25">
        <f t="shared" ca="1" si="702"/>
        <v>0</v>
      </c>
      <c r="BB842" s="23">
        <f t="array" aca="1" ref="BB842" ca="1">SUM(IF(w_start_date&lt;=AO842,1,0)*IF(w_end_date&gt;=AO842,1,0)*w_amount*(1+w_escalation/100)^(INT((AP842-w_months_since_start)/12))*IF(MOD(AP842-w_months_since_start,w_frequency)=0,1,0)*IF(w_frequency=13,0,1))+SUM(IF(w_start_date=AO842,w_amount,0)*IF(w_frequency=13,1,0))</f>
        <v>0</v>
      </c>
      <c r="BC842" s="25">
        <f t="shared" ca="1" si="703"/>
        <v>0</v>
      </c>
      <c r="BD842" s="24" t="b">
        <f t="shared" ca="1" si="704"/>
        <v>1</v>
      </c>
      <c r="BE842" s="24" t="b">
        <f t="shared" ca="1" si="705"/>
        <v>1</v>
      </c>
      <c r="BF842" s="23">
        <f t="array" aca="1" ref="BF842" ca="1">SUM(IF(BD842,1,0)*IF(ap_start_date&lt;=AO842,1,0)*IF(ap_end_date&gt;=AO842,1,0)*ap_amount*(1+ap_escalation/100)^(INT((AP842-ap_months_since_start)/12))*IF(MOD(AP842-ap_months_since_start,ap_frequency)=0,1,0))</f>
        <v>340409.5407561484</v>
      </c>
      <c r="BG842" s="24">
        <f t="shared" ca="1" si="706"/>
        <v>4084914.4890737799</v>
      </c>
      <c r="BH842" s="24">
        <f t="shared" ca="1" si="707"/>
        <v>237.76701507106566</v>
      </c>
      <c r="BI842">
        <f t="shared" ca="1" si="708"/>
        <v>0</v>
      </c>
      <c r="BJ842" s="24">
        <f t="shared" ca="1" si="709"/>
        <v>1664.3691054974593</v>
      </c>
      <c r="BK842">
        <f t="shared" ca="1" si="710"/>
        <v>1</v>
      </c>
      <c r="BL842" s="25">
        <f t="shared" ca="1" si="711"/>
        <v>138.69742545812164</v>
      </c>
      <c r="BM842" s="32">
        <f t="shared" ca="1" si="690"/>
        <v>8926.9091205852765</v>
      </c>
      <c r="BN842" s="23">
        <f t="shared" ca="1" si="712"/>
        <v>0</v>
      </c>
      <c r="BO842" s="24">
        <f t="shared" ca="1" si="713"/>
        <v>0</v>
      </c>
      <c r="BP842" s="25">
        <f t="shared" ca="1" si="714"/>
        <v>0</v>
      </c>
      <c r="BQ842" s="34">
        <f t="shared" ca="1" si="715"/>
        <v>71040</v>
      </c>
      <c r="BR842" s="23">
        <f t="shared" ca="1" si="716"/>
        <v>8926.9091205852765</v>
      </c>
      <c r="BS842" s="24">
        <f t="shared" ca="1" si="717"/>
        <v>0</v>
      </c>
      <c r="BT842" s="24">
        <f t="shared" ca="1" si="682"/>
        <v>0</v>
      </c>
      <c r="BU842" s="24">
        <f t="shared" ca="1" si="718"/>
        <v>0</v>
      </c>
      <c r="BV842" s="24">
        <f t="shared" ca="1" si="683"/>
        <v>0</v>
      </c>
      <c r="BW842" s="24">
        <f t="shared" ca="1" si="719"/>
        <v>-138.69742545812164</v>
      </c>
      <c r="BX842" s="25">
        <f t="shared" ca="1" si="684"/>
        <v>-1721.5375914899594</v>
      </c>
      <c r="BY842" s="23">
        <f t="shared" ca="1" si="691"/>
        <v>582.72625692333293</v>
      </c>
      <c r="BZ842" s="24">
        <f t="shared" ca="1" si="692"/>
        <v>0</v>
      </c>
      <c r="CA842" s="24">
        <f t="shared" ca="1" si="685"/>
        <v>0</v>
      </c>
      <c r="CB842" s="24">
        <f t="shared" ca="1" si="693"/>
        <v>0</v>
      </c>
      <c r="CC842" s="24">
        <f t="shared" ca="1" si="686"/>
        <v>0</v>
      </c>
      <c r="CD842" s="24">
        <f t="shared" ca="1" si="694"/>
        <v>-9.0834602157471291</v>
      </c>
      <c r="CE842" s="25">
        <f t="shared" ca="1" si="687"/>
        <v>-114.84786586561965</v>
      </c>
      <c r="CF842" s="23">
        <f t="shared" ca="1" si="688"/>
        <v>4032543.7904959116</v>
      </c>
      <c r="CG842" s="25">
        <f t="array" aca="1" ref="CG842" ca="1">SUM(BF831:BF842/(1+inflation/100)^(AP831:AP842/12))</f>
        <v>267980.53702225385</v>
      </c>
      <c r="CH842" s="32">
        <f ca="1">IFERROR(IF(MOD(AP842-ap_months_since_start,12)=0,ap_drawdown/100*(AQ842+AV842+BA842-BC842),CH841),0)</f>
        <v>1461.7357021565645</v>
      </c>
    </row>
    <row r="843" spans="40:86" x14ac:dyDescent="0.25">
      <c r="AN843" s="32">
        <f t="shared" ca="1" si="689"/>
        <v>124.5</v>
      </c>
      <c r="AO843" s="53">
        <f t="shared" ca="1" si="720"/>
        <v>71041</v>
      </c>
      <c r="AP843" s="22">
        <v>836</v>
      </c>
      <c r="AQ843" s="32">
        <f t="shared" ca="1" si="721"/>
        <v>8926.9091205852765</v>
      </c>
      <c r="AR843" s="23">
        <f t="array" aca="1" ref="AR843" ca="1">SUM(IF(lsc_start_date=AO843,lsc_amount,0))</f>
        <v>0</v>
      </c>
      <c r="AS843" s="24">
        <f t="shared" ca="1" si="695"/>
        <v>0</v>
      </c>
      <c r="AT843" s="24">
        <f t="shared" ca="1" si="696"/>
        <v>0</v>
      </c>
      <c r="AU843" s="24">
        <f t="shared" ca="1" si="697"/>
        <v>0</v>
      </c>
      <c r="AV843" s="25">
        <f t="shared" ca="1" si="698"/>
        <v>0</v>
      </c>
      <c r="AW843" s="23">
        <f t="array" aca="1" ref="AW843" ca="1">SUM(IF(rcs_start_date&lt;=AO843,1,0)*IF(rcs_end_date&gt;=AO843,1,0)*rcs_amount*(1+rcs_escalation/100)^(INT((AP843-rcs_months_since_start)/12))*IF(MOD((AP843-rcs_months_since_start),rcs_frequency)=0,1,0)*IF(rcs_frequency=13,0,1))+SUM(IF(rcs_start_date=AO843,rcs_amount,0)*IF(rcs_frequency=13,1,0))</f>
        <v>0</v>
      </c>
      <c r="AX843" s="24">
        <f t="shared" ca="1" si="699"/>
        <v>0</v>
      </c>
      <c r="AY843" s="24">
        <f t="shared" ca="1" si="700"/>
        <v>0</v>
      </c>
      <c r="AZ843" s="24">
        <f t="shared" ca="1" si="701"/>
        <v>0</v>
      </c>
      <c r="BA843" s="25">
        <f t="shared" ca="1" si="702"/>
        <v>0</v>
      </c>
      <c r="BB843" s="23">
        <f t="array" aca="1" ref="BB843" ca="1">SUM(IF(w_start_date&lt;=AO843,1,0)*IF(w_end_date&gt;=AO843,1,0)*w_amount*(1+w_escalation/100)^(INT((AP843-w_months_since_start)/12))*IF(MOD(AP843-w_months_since_start,w_frequency)=0,1,0)*IF(w_frequency=13,0,1))+SUM(IF(w_start_date=AO843,w_amount,0)*IF(w_frequency=13,1,0))</f>
        <v>0</v>
      </c>
      <c r="BC843" s="25">
        <f t="shared" ca="1" si="703"/>
        <v>0</v>
      </c>
      <c r="BD843" s="24" t="b">
        <f t="shared" ca="1" si="704"/>
        <v>1</v>
      </c>
      <c r="BE843" s="24" t="b">
        <f t="shared" ca="1" si="705"/>
        <v>1</v>
      </c>
      <c r="BF843" s="23">
        <f t="array" aca="1" ref="BF843" ca="1">SUM(IF(BD843,1,0)*IF(ap_start_date&lt;=AO843,1,0)*IF(ap_end_date&gt;=AO843,1,0)*ap_amount*(1+ap_escalation/100)^(INT((AP843-ap_months_since_start)/12))*IF(MOD(AP843-ap_months_since_start,ap_frequency)=0,1,0))</f>
        <v>340409.5407561484</v>
      </c>
      <c r="BG843" s="24">
        <f t="shared" ca="1" si="706"/>
        <v>4084914.4890737799</v>
      </c>
      <c r="BH843" s="24">
        <f t="shared" ca="1" si="707"/>
        <v>237.76701507106566</v>
      </c>
      <c r="BI843">
        <f t="shared" ca="1" si="708"/>
        <v>0</v>
      </c>
      <c r="BJ843" s="24">
        <f t="shared" ca="1" si="709"/>
        <v>1664.3691054974593</v>
      </c>
      <c r="BK843">
        <f t="shared" ca="1" si="710"/>
        <v>1</v>
      </c>
      <c r="BL843" s="25">
        <f t="shared" ca="1" si="711"/>
        <v>138.69742545812164</v>
      </c>
      <c r="BM843" s="32">
        <f t="shared" ca="1" si="690"/>
        <v>8851.5511781845908</v>
      </c>
      <c r="BN843" s="23">
        <f t="shared" ca="1" si="712"/>
        <v>0</v>
      </c>
      <c r="BO843" s="24">
        <f t="shared" ca="1" si="713"/>
        <v>0</v>
      </c>
      <c r="BP843" s="25">
        <f t="shared" ca="1" si="714"/>
        <v>0</v>
      </c>
      <c r="BQ843" s="34">
        <f t="shared" ca="1" si="715"/>
        <v>71071</v>
      </c>
      <c r="BR843" s="23">
        <f t="shared" ca="1" si="716"/>
        <v>8851.5511781845908</v>
      </c>
      <c r="BS843" s="24">
        <f t="shared" ca="1" si="717"/>
        <v>0</v>
      </c>
      <c r="BT843" s="24">
        <f t="shared" ca="1" si="682"/>
        <v>0</v>
      </c>
      <c r="BU843" s="24">
        <f t="shared" ca="1" si="718"/>
        <v>0</v>
      </c>
      <c r="BV843" s="24">
        <f t="shared" ca="1" si="683"/>
        <v>0</v>
      </c>
      <c r="BW843" s="24">
        <f t="shared" ca="1" si="719"/>
        <v>-138.69742545812164</v>
      </c>
      <c r="BX843" s="25">
        <f t="shared" ca="1" si="684"/>
        <v>-1707.2454699918344</v>
      </c>
      <c r="BY843" s="23">
        <f t="shared" ca="1" si="691"/>
        <v>575.92166163221646</v>
      </c>
      <c r="BZ843" s="24">
        <f t="shared" ca="1" si="692"/>
        <v>0</v>
      </c>
      <c r="CA843" s="24">
        <f t="shared" ca="1" si="685"/>
        <v>0</v>
      </c>
      <c r="CB843" s="24">
        <f t="shared" ca="1" si="693"/>
        <v>0</v>
      </c>
      <c r="CC843" s="24">
        <f t="shared" ca="1" si="686"/>
        <v>0</v>
      </c>
      <c r="CD843" s="24">
        <f t="shared" ca="1" si="694"/>
        <v>-9.0538203638411439</v>
      </c>
      <c r="CE843" s="25">
        <f t="shared" ca="1" si="687"/>
        <v>-113.51544102010219</v>
      </c>
      <c r="CF843" s="23">
        <f t="shared" ca="1" si="688"/>
        <v>4045636.4651403786</v>
      </c>
      <c r="CG843" s="25">
        <f t="array" aca="1" ref="CG843" ca="1">SUM(BF832:BF843/(1+inflation/100)^(AP832:AP843/12))</f>
        <v>267980.53702225385</v>
      </c>
      <c r="CH843" s="32">
        <f ca="1">IFERROR(IF(MOD(AP843-ap_months_since_start,12)=0,ap_drawdown/100*(AQ843+AV843+BA843-BC843),CH842),0)</f>
        <v>1461.7357021565645</v>
      </c>
    </row>
    <row r="844" spans="40:86" x14ac:dyDescent="0.25">
      <c r="AN844" s="32">
        <f t="shared" ca="1" si="689"/>
        <v>124.58333333333333</v>
      </c>
      <c r="AO844" s="53">
        <f t="shared" ca="1" si="720"/>
        <v>71072</v>
      </c>
      <c r="AP844" s="22">
        <v>837</v>
      </c>
      <c r="AQ844" s="32">
        <f t="shared" ca="1" si="721"/>
        <v>8851.5511781845908</v>
      </c>
      <c r="AR844" s="23">
        <f t="array" aca="1" ref="AR844" ca="1">SUM(IF(lsc_start_date=AO844,lsc_amount,0))</f>
        <v>0</v>
      </c>
      <c r="AS844" s="24">
        <f t="shared" ca="1" si="695"/>
        <v>0</v>
      </c>
      <c r="AT844" s="24">
        <f t="shared" ca="1" si="696"/>
        <v>0</v>
      </c>
      <c r="AU844" s="24">
        <f t="shared" ca="1" si="697"/>
        <v>0</v>
      </c>
      <c r="AV844" s="25">
        <f t="shared" ca="1" si="698"/>
        <v>0</v>
      </c>
      <c r="AW844" s="23">
        <f t="array" aca="1" ref="AW844" ca="1">SUM(IF(rcs_start_date&lt;=AO844,1,0)*IF(rcs_end_date&gt;=AO844,1,0)*rcs_amount*(1+rcs_escalation/100)^(INT((AP844-rcs_months_since_start)/12))*IF(MOD((AP844-rcs_months_since_start),rcs_frequency)=0,1,0)*IF(rcs_frequency=13,0,1))+SUM(IF(rcs_start_date=AO844,rcs_amount,0)*IF(rcs_frequency=13,1,0))</f>
        <v>0</v>
      </c>
      <c r="AX844" s="24">
        <f t="shared" ca="1" si="699"/>
        <v>0</v>
      </c>
      <c r="AY844" s="24">
        <f t="shared" ca="1" si="700"/>
        <v>0</v>
      </c>
      <c r="AZ844" s="24">
        <f t="shared" ca="1" si="701"/>
        <v>0</v>
      </c>
      <c r="BA844" s="25">
        <f t="shared" ca="1" si="702"/>
        <v>0</v>
      </c>
      <c r="BB844" s="23">
        <f t="array" aca="1" ref="BB844" ca="1">SUM(IF(w_start_date&lt;=AO844,1,0)*IF(w_end_date&gt;=AO844,1,0)*w_amount*(1+w_escalation/100)^(INT((AP844-w_months_since_start)/12))*IF(MOD(AP844-w_months_since_start,w_frequency)=0,1,0)*IF(w_frequency=13,0,1))+SUM(IF(w_start_date=AO844,w_amount,0)*IF(w_frequency=13,1,0))</f>
        <v>0</v>
      </c>
      <c r="BC844" s="25">
        <f t="shared" ca="1" si="703"/>
        <v>0</v>
      </c>
      <c r="BD844" s="24" t="b">
        <f t="shared" ca="1" si="704"/>
        <v>1</v>
      </c>
      <c r="BE844" s="24" t="b">
        <f t="shared" ca="1" si="705"/>
        <v>1</v>
      </c>
      <c r="BF844" s="23">
        <f t="array" aca="1" ref="BF844" ca="1">SUM(IF(BD844,1,0)*IF(ap_start_date&lt;=AO844,1,0)*IF(ap_end_date&gt;=AO844,1,0)*ap_amount*(1+ap_escalation/100)^(INT((AP844-ap_months_since_start)/12))*IF(MOD(AP844-ap_months_since_start,ap_frequency)=0,1,0))</f>
        <v>340409.5407561484</v>
      </c>
      <c r="BG844" s="24">
        <f t="shared" ca="1" si="706"/>
        <v>4084914.4890737799</v>
      </c>
      <c r="BH844" s="24">
        <f t="shared" ca="1" si="707"/>
        <v>237.76701507106566</v>
      </c>
      <c r="BI844">
        <f t="shared" ca="1" si="708"/>
        <v>0</v>
      </c>
      <c r="BJ844" s="24">
        <f t="shared" ca="1" si="709"/>
        <v>1664.3691054974593</v>
      </c>
      <c r="BK844">
        <f t="shared" ca="1" si="710"/>
        <v>1</v>
      </c>
      <c r="BL844" s="25">
        <f t="shared" ca="1" si="711"/>
        <v>138.69742545812164</v>
      </c>
      <c r="BM844" s="32">
        <f t="shared" ca="1" si="690"/>
        <v>8775.6501067285844</v>
      </c>
      <c r="BN844" s="23">
        <f t="shared" ca="1" si="712"/>
        <v>0</v>
      </c>
      <c r="BO844" s="24">
        <f t="shared" ca="1" si="713"/>
        <v>0</v>
      </c>
      <c r="BP844" s="25">
        <f t="shared" ca="1" si="714"/>
        <v>0</v>
      </c>
      <c r="BQ844" s="34">
        <f t="shared" ca="1" si="715"/>
        <v>71102</v>
      </c>
      <c r="BR844" s="23">
        <f t="shared" ca="1" si="716"/>
        <v>8775.6501067285844</v>
      </c>
      <c r="BS844" s="24">
        <f t="shared" ca="1" si="717"/>
        <v>0</v>
      </c>
      <c r="BT844" s="24">
        <f t="shared" ca="1" si="682"/>
        <v>0</v>
      </c>
      <c r="BU844" s="24">
        <f t="shared" ca="1" si="718"/>
        <v>0</v>
      </c>
      <c r="BV844" s="24">
        <f t="shared" ca="1" si="683"/>
        <v>0</v>
      </c>
      <c r="BW844" s="24">
        <f t="shared" ca="1" si="719"/>
        <v>-138.69742545812164</v>
      </c>
      <c r="BX844" s="25">
        <f t="shared" ca="1" si="684"/>
        <v>-1692.9533484937094</v>
      </c>
      <c r="BY844" s="23">
        <f t="shared" ca="1" si="691"/>
        <v>569.12004620410858</v>
      </c>
      <c r="BZ844" s="24">
        <f t="shared" ca="1" si="692"/>
        <v>0</v>
      </c>
      <c r="CA844" s="24">
        <f t="shared" ca="1" si="685"/>
        <v>0</v>
      </c>
      <c r="CB844" s="24">
        <f t="shared" ca="1" si="693"/>
        <v>0</v>
      </c>
      <c r="CC844" s="24">
        <f t="shared" ca="1" si="686"/>
        <v>0</v>
      </c>
      <c r="CD844" s="24">
        <f t="shared" ca="1" si="694"/>
        <v>-9.0242772284727</v>
      </c>
      <c r="CE844" s="25">
        <f t="shared" ca="1" si="687"/>
        <v>-112.1873639533121</v>
      </c>
      <c r="CF844" s="23">
        <f t="shared" ca="1" si="688"/>
        <v>4058729.1397848455</v>
      </c>
      <c r="CG844" s="25">
        <f t="array" aca="1" ref="CG844" ca="1">SUM(BF833:BF844/(1+inflation/100)^(AP833:AP844/12))</f>
        <v>267980.53702225391</v>
      </c>
      <c r="CH844" s="32">
        <f ca="1">IFERROR(IF(MOD(AP844-ap_months_since_start,12)=0,ap_drawdown/100*(AQ844+AV844+BA844-BC844),CH843),0)</f>
        <v>1461.7357021565645</v>
      </c>
    </row>
    <row r="845" spans="40:86" x14ac:dyDescent="0.25">
      <c r="AN845" s="32">
        <f t="shared" ca="1" si="689"/>
        <v>124.66666666666667</v>
      </c>
      <c r="AO845" s="53">
        <f t="shared" ca="1" si="720"/>
        <v>71103</v>
      </c>
      <c r="AP845" s="22">
        <v>838</v>
      </c>
      <c r="AQ845" s="32">
        <f t="shared" ca="1" si="721"/>
        <v>8775.6501067285844</v>
      </c>
      <c r="AR845" s="23">
        <f t="array" aca="1" ref="AR845" ca="1">SUM(IF(lsc_start_date=AO845,lsc_amount,0))</f>
        <v>0</v>
      </c>
      <c r="AS845" s="24">
        <f t="shared" ca="1" si="695"/>
        <v>0</v>
      </c>
      <c r="AT845" s="24">
        <f t="shared" ca="1" si="696"/>
        <v>0</v>
      </c>
      <c r="AU845" s="24">
        <f t="shared" ca="1" si="697"/>
        <v>0</v>
      </c>
      <c r="AV845" s="25">
        <f t="shared" ca="1" si="698"/>
        <v>0</v>
      </c>
      <c r="AW845" s="23">
        <f t="array" aca="1" ref="AW845" ca="1">SUM(IF(rcs_start_date&lt;=AO845,1,0)*IF(rcs_end_date&gt;=AO845,1,0)*rcs_amount*(1+rcs_escalation/100)^(INT((AP845-rcs_months_since_start)/12))*IF(MOD((AP845-rcs_months_since_start),rcs_frequency)=0,1,0)*IF(rcs_frequency=13,0,1))+SUM(IF(rcs_start_date=AO845,rcs_amount,0)*IF(rcs_frequency=13,1,0))</f>
        <v>0</v>
      </c>
      <c r="AX845" s="24">
        <f t="shared" ca="1" si="699"/>
        <v>0</v>
      </c>
      <c r="AY845" s="24">
        <f t="shared" ca="1" si="700"/>
        <v>0</v>
      </c>
      <c r="AZ845" s="24">
        <f t="shared" ca="1" si="701"/>
        <v>0</v>
      </c>
      <c r="BA845" s="25">
        <f t="shared" ca="1" si="702"/>
        <v>0</v>
      </c>
      <c r="BB845" s="23">
        <f t="array" aca="1" ref="BB845" ca="1">SUM(IF(w_start_date&lt;=AO845,1,0)*IF(w_end_date&gt;=AO845,1,0)*w_amount*(1+w_escalation/100)^(INT((AP845-w_months_since_start)/12))*IF(MOD(AP845-w_months_since_start,w_frequency)=0,1,0)*IF(w_frequency=13,0,1))+SUM(IF(w_start_date=AO845,w_amount,0)*IF(w_frequency=13,1,0))</f>
        <v>0</v>
      </c>
      <c r="BC845" s="25">
        <f t="shared" ca="1" si="703"/>
        <v>0</v>
      </c>
      <c r="BD845" s="24" t="b">
        <f t="shared" ca="1" si="704"/>
        <v>1</v>
      </c>
      <c r="BE845" s="24" t="b">
        <f t="shared" ca="1" si="705"/>
        <v>1</v>
      </c>
      <c r="BF845" s="23">
        <f t="array" aca="1" ref="BF845" ca="1">SUM(IF(BD845,1,0)*IF(ap_start_date&lt;=AO845,1,0)*IF(ap_end_date&gt;=AO845,1,0)*ap_amount*(1+ap_escalation/100)^(INT((AP845-ap_months_since_start)/12))*IF(MOD(AP845-ap_months_since_start,ap_frequency)=0,1,0))</f>
        <v>340409.5407561484</v>
      </c>
      <c r="BG845" s="24">
        <f t="shared" ca="1" si="706"/>
        <v>4084914.4890737799</v>
      </c>
      <c r="BH845" s="24">
        <f t="shared" ca="1" si="707"/>
        <v>237.76701507106566</v>
      </c>
      <c r="BI845">
        <f t="shared" ca="1" si="708"/>
        <v>0</v>
      </c>
      <c r="BJ845" s="24">
        <f t="shared" ca="1" si="709"/>
        <v>1664.3691054974593</v>
      </c>
      <c r="BK845">
        <f t="shared" ca="1" si="710"/>
        <v>1</v>
      </c>
      <c r="BL845" s="25">
        <f t="shared" ca="1" si="711"/>
        <v>138.69742545812164</v>
      </c>
      <c r="BM845" s="32">
        <f t="shared" ca="1" si="690"/>
        <v>8699.2019917105536</v>
      </c>
      <c r="BN845" s="23">
        <f t="shared" ca="1" si="712"/>
        <v>0</v>
      </c>
      <c r="BO845" s="24">
        <f t="shared" ca="1" si="713"/>
        <v>0</v>
      </c>
      <c r="BP845" s="25">
        <f t="shared" ca="1" si="714"/>
        <v>0</v>
      </c>
      <c r="BQ845" s="34">
        <f t="shared" ca="1" si="715"/>
        <v>71132</v>
      </c>
      <c r="BR845" s="23">
        <f t="shared" ca="1" si="716"/>
        <v>8699.2019917105536</v>
      </c>
      <c r="BS845" s="24">
        <f t="shared" ca="1" si="717"/>
        <v>0</v>
      </c>
      <c r="BT845" s="24">
        <f t="shared" ca="1" si="682"/>
        <v>0</v>
      </c>
      <c r="BU845" s="24">
        <f t="shared" ca="1" si="718"/>
        <v>0</v>
      </c>
      <c r="BV845" s="24">
        <f t="shared" ca="1" si="683"/>
        <v>0</v>
      </c>
      <c r="BW845" s="24">
        <f t="shared" ca="1" si="719"/>
        <v>-138.69742545812164</v>
      </c>
      <c r="BX845" s="25">
        <f t="shared" ca="1" si="684"/>
        <v>-1678.6612269955845</v>
      </c>
      <c r="BY845" s="23">
        <f t="shared" ca="1" si="691"/>
        <v>562.32132554339159</v>
      </c>
      <c r="BZ845" s="24">
        <f t="shared" ca="1" si="692"/>
        <v>0</v>
      </c>
      <c r="CA845" s="24">
        <f t="shared" ca="1" si="685"/>
        <v>0</v>
      </c>
      <c r="CB845" s="24">
        <f t="shared" ca="1" si="693"/>
        <v>0</v>
      </c>
      <c r="CC845" s="24">
        <f t="shared" ca="1" si="686"/>
        <v>0</v>
      </c>
      <c r="CD845" s="24">
        <f t="shared" ca="1" si="694"/>
        <v>-8.9948304940501931</v>
      </c>
      <c r="CE845" s="25">
        <f t="shared" ca="1" si="687"/>
        <v>-110.86362047819793</v>
      </c>
      <c r="CF845" s="23">
        <f t="shared" ca="1" si="688"/>
        <v>4071821.8144293129</v>
      </c>
      <c r="CG845" s="25">
        <f t="array" aca="1" ref="CG845" ca="1">SUM(BF834:BF845/(1+inflation/100)^(AP834:AP845/12))</f>
        <v>267980.53702225385</v>
      </c>
      <c r="CH845" s="32">
        <f ca="1">IFERROR(IF(MOD(AP845-ap_months_since_start,12)=0,ap_drawdown/100*(AQ845+AV845+BA845-BC845),CH844),0)</f>
        <v>1461.7357021565645</v>
      </c>
    </row>
    <row r="846" spans="40:86" x14ac:dyDescent="0.25">
      <c r="AN846" s="32">
        <f t="shared" ca="1" si="689"/>
        <v>124.75</v>
      </c>
      <c r="AO846" s="53">
        <f t="shared" ca="1" si="720"/>
        <v>71133</v>
      </c>
      <c r="AP846" s="22">
        <v>839</v>
      </c>
      <c r="AQ846" s="32">
        <f t="shared" ca="1" si="721"/>
        <v>8699.2019917105536</v>
      </c>
      <c r="AR846" s="23">
        <f t="array" aca="1" ref="AR846" ca="1">SUM(IF(lsc_start_date=AO846,lsc_amount,0))</f>
        <v>0</v>
      </c>
      <c r="AS846" s="24">
        <f t="shared" ca="1" si="695"/>
        <v>0</v>
      </c>
      <c r="AT846" s="24">
        <f t="shared" ca="1" si="696"/>
        <v>0</v>
      </c>
      <c r="AU846" s="24">
        <f t="shared" ca="1" si="697"/>
        <v>0</v>
      </c>
      <c r="AV846" s="25">
        <f t="shared" ca="1" si="698"/>
        <v>0</v>
      </c>
      <c r="AW846" s="23">
        <f t="array" aca="1" ref="AW846" ca="1">SUM(IF(rcs_start_date&lt;=AO846,1,0)*IF(rcs_end_date&gt;=AO846,1,0)*rcs_amount*(1+rcs_escalation/100)^(INT((AP846-rcs_months_since_start)/12))*IF(MOD((AP846-rcs_months_since_start),rcs_frequency)=0,1,0)*IF(rcs_frequency=13,0,1))+SUM(IF(rcs_start_date=AO846,rcs_amount,0)*IF(rcs_frequency=13,1,0))</f>
        <v>0</v>
      </c>
      <c r="AX846" s="24">
        <f t="shared" ca="1" si="699"/>
        <v>0</v>
      </c>
      <c r="AY846" s="24">
        <f t="shared" ca="1" si="700"/>
        <v>0</v>
      </c>
      <c r="AZ846" s="24">
        <f t="shared" ca="1" si="701"/>
        <v>0</v>
      </c>
      <c r="BA846" s="25">
        <f t="shared" ca="1" si="702"/>
        <v>0</v>
      </c>
      <c r="BB846" s="23">
        <f t="array" aca="1" ref="BB846" ca="1">SUM(IF(w_start_date&lt;=AO846,1,0)*IF(w_end_date&gt;=AO846,1,0)*w_amount*(1+w_escalation/100)^(INT((AP846-w_months_since_start)/12))*IF(MOD(AP846-w_months_since_start,w_frequency)=0,1,0)*IF(w_frequency=13,0,1))+SUM(IF(w_start_date=AO846,w_amount,0)*IF(w_frequency=13,1,0))</f>
        <v>0</v>
      </c>
      <c r="BC846" s="25">
        <f t="shared" ca="1" si="703"/>
        <v>0</v>
      </c>
      <c r="BD846" s="24" t="b">
        <f t="shared" ca="1" si="704"/>
        <v>1</v>
      </c>
      <c r="BE846" s="24" t="b">
        <f t="shared" ca="1" si="705"/>
        <v>1</v>
      </c>
      <c r="BF846" s="23">
        <f t="array" aca="1" ref="BF846" ca="1">SUM(IF(BD846,1,0)*IF(ap_start_date&lt;=AO846,1,0)*IF(ap_end_date&gt;=AO846,1,0)*ap_amount*(1+ap_escalation/100)^(INT((AP846-ap_months_since_start)/12))*IF(MOD(AP846-ap_months_since_start,ap_frequency)=0,1,0))</f>
        <v>340409.5407561484</v>
      </c>
      <c r="BG846" s="24">
        <f t="shared" ca="1" si="706"/>
        <v>4084914.4890737799</v>
      </c>
      <c r="BH846" s="24">
        <f t="shared" ca="1" si="707"/>
        <v>237.76701507106566</v>
      </c>
      <c r="BI846">
        <f t="shared" ca="1" si="708"/>
        <v>0</v>
      </c>
      <c r="BJ846" s="24">
        <f t="shared" ca="1" si="709"/>
        <v>1664.3691054974593</v>
      </c>
      <c r="BK846">
        <f t="shared" ca="1" si="710"/>
        <v>1</v>
      </c>
      <c r="BL846" s="25">
        <f t="shared" ca="1" si="711"/>
        <v>138.69742545812164</v>
      </c>
      <c r="BM846" s="32">
        <f t="shared" ca="1" si="690"/>
        <v>8622.2028904106774</v>
      </c>
      <c r="BN846" s="23">
        <f t="shared" ca="1" si="712"/>
        <v>0</v>
      </c>
      <c r="BO846" s="24">
        <f t="shared" ca="1" si="713"/>
        <v>0</v>
      </c>
      <c r="BP846" s="25">
        <f t="shared" ca="1" si="714"/>
        <v>0</v>
      </c>
      <c r="BQ846" s="34">
        <f t="shared" ca="1" si="715"/>
        <v>71163</v>
      </c>
      <c r="BR846" s="23">
        <f t="shared" ca="1" si="716"/>
        <v>8622.2028904106774</v>
      </c>
      <c r="BS846" s="24">
        <f t="shared" ca="1" si="717"/>
        <v>0</v>
      </c>
      <c r="BT846" s="24">
        <f t="shared" ca="1" si="682"/>
        <v>0</v>
      </c>
      <c r="BU846" s="24">
        <f t="shared" ca="1" si="718"/>
        <v>0</v>
      </c>
      <c r="BV846" s="24">
        <f t="shared" ca="1" si="683"/>
        <v>0</v>
      </c>
      <c r="BW846" s="24">
        <f t="shared" ca="1" si="719"/>
        <v>-138.69742545812164</v>
      </c>
      <c r="BX846" s="25">
        <f t="shared" ca="1" si="684"/>
        <v>-1664.3691054974597</v>
      </c>
      <c r="BY846" s="23">
        <f t="shared" ca="1" si="691"/>
        <v>555.52541453660365</v>
      </c>
      <c r="BZ846" s="24">
        <f t="shared" ca="1" si="692"/>
        <v>0</v>
      </c>
      <c r="CA846" s="24">
        <f t="shared" ca="1" si="685"/>
        <v>0</v>
      </c>
      <c r="CB846" s="24">
        <f t="shared" ca="1" si="693"/>
        <v>0</v>
      </c>
      <c r="CC846" s="24">
        <f t="shared" ca="1" si="686"/>
        <v>0</v>
      </c>
      <c r="CD846" s="24">
        <f t="shared" ca="1" si="694"/>
        <v>-8.9654798460118048</v>
      </c>
      <c r="CE846" s="25">
        <f t="shared" ca="1" si="687"/>
        <v>-109.54419645400137</v>
      </c>
      <c r="CF846" s="23">
        <f t="shared" ca="1" si="688"/>
        <v>4084914.4890737799</v>
      </c>
      <c r="CG846" s="25">
        <f t="array" aca="1" ref="CG846" ca="1">SUM(BF835:BF846/(1+inflation/100)^(AP835:AP846/12))</f>
        <v>267980.53702225385</v>
      </c>
      <c r="CH846" s="32">
        <f ca="1">IFERROR(IF(MOD(AP846-ap_months_since_start,12)=0,ap_drawdown/100*(AQ846+AV846+BA846-BC846),CH845),0)</f>
        <v>1461.7357021565645</v>
      </c>
    </row>
    <row r="847" spans="40:86" x14ac:dyDescent="0.25">
      <c r="AN847" s="32">
        <f t="shared" ca="1" si="689"/>
        <v>124.83333333333333</v>
      </c>
      <c r="AO847" s="53">
        <f t="shared" ca="1" si="720"/>
        <v>71164</v>
      </c>
      <c r="AP847" s="22">
        <v>840</v>
      </c>
      <c r="AQ847" s="32">
        <f t="shared" ca="1" si="721"/>
        <v>8622.2028904106774</v>
      </c>
      <c r="AR847" s="23">
        <f t="array" aca="1" ref="AR847" ca="1">SUM(IF(lsc_start_date=AO847,lsc_amount,0))</f>
        <v>0</v>
      </c>
      <c r="AS847" s="24">
        <f t="shared" ca="1" si="695"/>
        <v>0</v>
      </c>
      <c r="AT847" s="24">
        <f t="shared" ca="1" si="696"/>
        <v>0</v>
      </c>
      <c r="AU847" s="24">
        <f t="shared" ca="1" si="697"/>
        <v>0</v>
      </c>
      <c r="AV847" s="25">
        <f t="shared" ca="1" si="698"/>
        <v>0</v>
      </c>
      <c r="AW847" s="23">
        <f t="array" aca="1" ref="AW847" ca="1">SUM(IF(rcs_start_date&lt;=AO847,1,0)*IF(rcs_end_date&gt;=AO847,1,0)*rcs_amount*(1+rcs_escalation/100)^(INT((AP847-rcs_months_since_start)/12))*IF(MOD((AP847-rcs_months_since_start),rcs_frequency)=0,1,0)*IF(rcs_frequency=13,0,1))+SUM(IF(rcs_start_date=AO847,rcs_amount,0)*IF(rcs_frequency=13,1,0))</f>
        <v>0</v>
      </c>
      <c r="AX847" s="24">
        <f t="shared" ca="1" si="699"/>
        <v>0</v>
      </c>
      <c r="AY847" s="24">
        <f t="shared" ca="1" si="700"/>
        <v>0</v>
      </c>
      <c r="AZ847" s="24">
        <f t="shared" ca="1" si="701"/>
        <v>0</v>
      </c>
      <c r="BA847" s="25">
        <f t="shared" ca="1" si="702"/>
        <v>0</v>
      </c>
      <c r="BB847" s="23">
        <f t="array" aca="1" ref="BB847" ca="1">SUM(IF(w_start_date&lt;=AO847,1,0)*IF(w_end_date&gt;=AO847,1,0)*w_amount*(1+w_escalation/100)^(INT((AP847-w_months_since_start)/12))*IF(MOD(AP847-w_months_since_start,w_frequency)=0,1,0)*IF(w_frequency=13,0,1))+SUM(IF(w_start_date=AO847,w_amount,0)*IF(w_frequency=13,1,0))</f>
        <v>0</v>
      </c>
      <c r="BC847" s="25">
        <f t="shared" ca="1" si="703"/>
        <v>0</v>
      </c>
      <c r="BD847" s="24" t="b">
        <f t="shared" ca="1" si="704"/>
        <v>1</v>
      </c>
      <c r="BE847" s="24" t="b">
        <f t="shared" ca="1" si="705"/>
        <v>1</v>
      </c>
      <c r="BF847" s="23">
        <f t="array" aca="1" ref="BF847" ca="1">SUM(IF(BD847,1,0)*IF(ap_start_date&lt;=AO847,1,0)*IF(ap_end_date&gt;=AO847,1,0)*ap_amount*(1+ap_escalation/100)^(INT((AP847-ap_months_since_start)/12))*IF(MOD(AP847-ap_months_since_start,ap_frequency)=0,1,0))</f>
        <v>354025.92238639435</v>
      </c>
      <c r="BG847" s="24">
        <f t="shared" ca="1" si="706"/>
        <v>4248311.0686367322</v>
      </c>
      <c r="BH847" s="24">
        <f t="shared" ca="1" si="707"/>
        <v>215.55507226026694</v>
      </c>
      <c r="BI847">
        <f t="shared" ca="1" si="708"/>
        <v>0</v>
      </c>
      <c r="BJ847" s="24">
        <f t="shared" ca="1" si="709"/>
        <v>1508.8855058218685</v>
      </c>
      <c r="BK847">
        <f t="shared" ca="1" si="710"/>
        <v>1</v>
      </c>
      <c r="BL847" s="25">
        <f t="shared" ca="1" si="711"/>
        <v>125.74045881848903</v>
      </c>
      <c r="BM847" s="32">
        <f t="shared" ca="1" si="690"/>
        <v>8557.6991833800821</v>
      </c>
      <c r="BN847" s="23">
        <f t="shared" ca="1" si="712"/>
        <v>0</v>
      </c>
      <c r="BO847" s="24">
        <f t="shared" ca="1" si="713"/>
        <v>0</v>
      </c>
      <c r="BP847" s="25">
        <f t="shared" ca="1" si="714"/>
        <v>0</v>
      </c>
      <c r="BQ847" s="34">
        <f t="shared" ca="1" si="715"/>
        <v>71193</v>
      </c>
      <c r="BR847" s="23">
        <f t="shared" ca="1" si="716"/>
        <v>8557.6991833800821</v>
      </c>
      <c r="BS847" s="24">
        <f t="shared" ca="1" si="717"/>
        <v>0</v>
      </c>
      <c r="BT847" s="24">
        <f t="shared" ca="1" si="682"/>
        <v>0</v>
      </c>
      <c r="BU847" s="24">
        <f t="shared" ca="1" si="718"/>
        <v>0</v>
      </c>
      <c r="BV847" s="24">
        <f t="shared" ca="1" si="683"/>
        <v>0</v>
      </c>
      <c r="BW847" s="24">
        <f t="shared" ca="1" si="719"/>
        <v>-125.74045881848903</v>
      </c>
      <c r="BX847" s="25">
        <f t="shared" ca="1" si="684"/>
        <v>-1651.4121388578271</v>
      </c>
      <c r="BY847" s="23">
        <f t="shared" ca="1" si="691"/>
        <v>549.57031381698619</v>
      </c>
      <c r="BZ847" s="24">
        <f t="shared" ca="1" si="692"/>
        <v>0</v>
      </c>
      <c r="CA847" s="24">
        <f t="shared" ca="1" si="685"/>
        <v>0</v>
      </c>
      <c r="CB847" s="24">
        <f t="shared" ca="1" si="693"/>
        <v>0</v>
      </c>
      <c r="CC847" s="24">
        <f t="shared" ca="1" si="686"/>
        <v>0</v>
      </c>
      <c r="CD847" s="24">
        <f t="shared" ca="1" si="694"/>
        <v>-8.1014122953254706</v>
      </c>
      <c r="CE847" s="25">
        <f t="shared" ca="1" si="687"/>
        <v>-108.35193477967182</v>
      </c>
      <c r="CF847" s="23">
        <f t="shared" ca="1" si="688"/>
        <v>4098530.870704026</v>
      </c>
      <c r="CG847" s="25">
        <f t="array" aca="1" ref="CG847" ca="1">SUM(BF836:BF847/(1+inflation/100)^(AP836:AP847/12))</f>
        <v>267980.53702225385</v>
      </c>
      <c r="CH847" s="32">
        <f ca="1">IFERROR(IF(MOD(AP847-ap_months_since_start,12)=0,ap_drawdown/100*(AQ847+AV847+BA847-BC847),CH846),0)</f>
        <v>1325.1819004818451</v>
      </c>
    </row>
    <row r="848" spans="40:86" x14ac:dyDescent="0.25">
      <c r="AN848" s="32">
        <f t="shared" ca="1" si="689"/>
        <v>124.91666666666667</v>
      </c>
      <c r="AO848" s="53">
        <f t="shared" ca="1" si="720"/>
        <v>71194</v>
      </c>
      <c r="AP848" s="22">
        <v>841</v>
      </c>
      <c r="AQ848" s="32">
        <f t="shared" ca="1" si="721"/>
        <v>8557.6991833800821</v>
      </c>
      <c r="AR848" s="23">
        <f t="array" aca="1" ref="AR848" ca="1">SUM(IF(lsc_start_date=AO848,lsc_amount,0))</f>
        <v>0</v>
      </c>
      <c r="AS848" s="24">
        <f t="shared" ca="1" si="695"/>
        <v>0</v>
      </c>
      <c r="AT848" s="24">
        <f t="shared" ca="1" si="696"/>
        <v>0</v>
      </c>
      <c r="AU848" s="24">
        <f t="shared" ca="1" si="697"/>
        <v>0</v>
      </c>
      <c r="AV848" s="25">
        <f t="shared" ca="1" si="698"/>
        <v>0</v>
      </c>
      <c r="AW848" s="23">
        <f t="array" aca="1" ref="AW848" ca="1">SUM(IF(rcs_start_date&lt;=AO848,1,0)*IF(rcs_end_date&gt;=AO848,1,0)*rcs_amount*(1+rcs_escalation/100)^(INT((AP848-rcs_months_since_start)/12))*IF(MOD((AP848-rcs_months_since_start),rcs_frequency)=0,1,0)*IF(rcs_frequency=13,0,1))+SUM(IF(rcs_start_date=AO848,rcs_amount,0)*IF(rcs_frequency=13,1,0))</f>
        <v>0</v>
      </c>
      <c r="AX848" s="24">
        <f t="shared" ca="1" si="699"/>
        <v>0</v>
      </c>
      <c r="AY848" s="24">
        <f t="shared" ca="1" si="700"/>
        <v>0</v>
      </c>
      <c r="AZ848" s="24">
        <f t="shared" ca="1" si="701"/>
        <v>0</v>
      </c>
      <c r="BA848" s="25">
        <f t="shared" ca="1" si="702"/>
        <v>0</v>
      </c>
      <c r="BB848" s="23">
        <f t="array" aca="1" ref="BB848" ca="1">SUM(IF(w_start_date&lt;=AO848,1,0)*IF(w_end_date&gt;=AO848,1,0)*w_amount*(1+w_escalation/100)^(INT((AP848-w_months_since_start)/12))*IF(MOD(AP848-w_months_since_start,w_frequency)=0,1,0)*IF(w_frequency=13,0,1))+SUM(IF(w_start_date=AO848,w_amount,0)*IF(w_frequency=13,1,0))</f>
        <v>0</v>
      </c>
      <c r="BC848" s="25">
        <f t="shared" ca="1" si="703"/>
        <v>0</v>
      </c>
      <c r="BD848" s="24" t="b">
        <f t="shared" ca="1" si="704"/>
        <v>1</v>
      </c>
      <c r="BE848" s="24" t="b">
        <f t="shared" ca="1" si="705"/>
        <v>1</v>
      </c>
      <c r="BF848" s="23">
        <f t="array" aca="1" ref="BF848" ca="1">SUM(IF(BD848,1,0)*IF(ap_start_date&lt;=AO848,1,0)*IF(ap_end_date&gt;=AO848,1,0)*ap_amount*(1+ap_escalation/100)^(INT((AP848-ap_months_since_start)/12))*IF(MOD(AP848-ap_months_since_start,ap_frequency)=0,1,0))</f>
        <v>354025.92238639435</v>
      </c>
      <c r="BG848" s="24">
        <f t="shared" ca="1" si="706"/>
        <v>4248311.0686367322</v>
      </c>
      <c r="BH848" s="24">
        <f t="shared" ca="1" si="707"/>
        <v>215.55507226026694</v>
      </c>
      <c r="BI848">
        <f t="shared" ca="1" si="708"/>
        <v>0</v>
      </c>
      <c r="BJ848" s="24">
        <f t="shared" ca="1" si="709"/>
        <v>1508.8855058218685</v>
      </c>
      <c r="BK848">
        <f t="shared" ca="1" si="710"/>
        <v>1</v>
      </c>
      <c r="BL848" s="25">
        <f t="shared" ca="1" si="711"/>
        <v>125.74045881848903</v>
      </c>
      <c r="BM848" s="32">
        <f t="shared" ca="1" si="690"/>
        <v>8492.7305772778291</v>
      </c>
      <c r="BN848" s="23">
        <f t="shared" ca="1" si="712"/>
        <v>0</v>
      </c>
      <c r="BO848" s="24">
        <f t="shared" ca="1" si="713"/>
        <v>0</v>
      </c>
      <c r="BP848" s="25">
        <f t="shared" ca="1" si="714"/>
        <v>0</v>
      </c>
      <c r="BQ848" s="34">
        <f t="shared" ca="1" si="715"/>
        <v>71224</v>
      </c>
      <c r="BR848" s="23">
        <f t="shared" ca="1" si="716"/>
        <v>8492.7305772778291</v>
      </c>
      <c r="BS848" s="24">
        <f t="shared" ca="1" si="717"/>
        <v>0</v>
      </c>
      <c r="BT848" s="24">
        <f t="shared" ca="1" si="682"/>
        <v>0</v>
      </c>
      <c r="BU848" s="24">
        <f t="shared" ca="1" si="718"/>
        <v>0</v>
      </c>
      <c r="BV848" s="24">
        <f t="shared" ca="1" si="683"/>
        <v>0</v>
      </c>
      <c r="BW848" s="24">
        <f t="shared" ca="1" si="719"/>
        <v>-125.74045881848903</v>
      </c>
      <c r="BX848" s="25">
        <f t="shared" ca="1" si="684"/>
        <v>-1638.4551722181945</v>
      </c>
      <c r="BY848" s="23">
        <f t="shared" ca="1" si="691"/>
        <v>543.61840366761112</v>
      </c>
      <c r="BZ848" s="24">
        <f t="shared" ca="1" si="692"/>
        <v>0</v>
      </c>
      <c r="CA848" s="24">
        <f t="shared" ca="1" si="685"/>
        <v>0</v>
      </c>
      <c r="CB848" s="24">
        <f t="shared" ca="1" si="693"/>
        <v>0</v>
      </c>
      <c r="CC848" s="24">
        <f t="shared" ca="1" si="686"/>
        <v>0</v>
      </c>
      <c r="CD848" s="24">
        <f t="shared" ca="1" si="694"/>
        <v>-8.074976922135134</v>
      </c>
      <c r="CE848" s="25">
        <f t="shared" ca="1" si="687"/>
        <v>-107.16356352359929</v>
      </c>
      <c r="CF848" s="23">
        <f t="shared" ca="1" si="688"/>
        <v>4112147.252334272</v>
      </c>
      <c r="CG848" s="25">
        <f t="array" aca="1" ref="CG848" ca="1">SUM(BF837:BF848/(1+inflation/100)^(AP837:AP848/12))</f>
        <v>267980.53702225385</v>
      </c>
      <c r="CH848" s="32">
        <f ca="1">IFERROR(IF(MOD(AP848-ap_months_since_start,12)=0,ap_drawdown/100*(AQ848+AV848+BA848-BC848),CH847),0)</f>
        <v>1325.1819004818451</v>
      </c>
    </row>
    <row r="849" spans="40:86" x14ac:dyDescent="0.25">
      <c r="AN849" s="32">
        <f t="shared" ca="1" si="689"/>
        <v>125</v>
      </c>
      <c r="AO849" s="53">
        <f t="shared" ca="1" si="720"/>
        <v>71225</v>
      </c>
      <c r="AP849" s="22">
        <v>842</v>
      </c>
      <c r="AQ849" s="32">
        <f t="shared" ca="1" si="721"/>
        <v>8492.7305772778291</v>
      </c>
      <c r="AR849" s="23">
        <f t="array" aca="1" ref="AR849" ca="1">SUM(IF(lsc_start_date=AO849,lsc_amount,0))</f>
        <v>0</v>
      </c>
      <c r="AS849" s="24">
        <f t="shared" ca="1" si="695"/>
        <v>0</v>
      </c>
      <c r="AT849" s="24">
        <f t="shared" ca="1" si="696"/>
        <v>0</v>
      </c>
      <c r="AU849" s="24">
        <f t="shared" ca="1" si="697"/>
        <v>0</v>
      </c>
      <c r="AV849" s="25">
        <f t="shared" ca="1" si="698"/>
        <v>0</v>
      </c>
      <c r="AW849" s="23">
        <f t="array" aca="1" ref="AW849" ca="1">SUM(IF(rcs_start_date&lt;=AO849,1,0)*IF(rcs_end_date&gt;=AO849,1,0)*rcs_amount*(1+rcs_escalation/100)^(INT((AP849-rcs_months_since_start)/12))*IF(MOD((AP849-rcs_months_since_start),rcs_frequency)=0,1,0)*IF(rcs_frequency=13,0,1))+SUM(IF(rcs_start_date=AO849,rcs_amount,0)*IF(rcs_frequency=13,1,0))</f>
        <v>0</v>
      </c>
      <c r="AX849" s="24">
        <f t="shared" ca="1" si="699"/>
        <v>0</v>
      </c>
      <c r="AY849" s="24">
        <f t="shared" ca="1" si="700"/>
        <v>0</v>
      </c>
      <c r="AZ849" s="24">
        <f t="shared" ca="1" si="701"/>
        <v>0</v>
      </c>
      <c r="BA849" s="25">
        <f t="shared" ca="1" si="702"/>
        <v>0</v>
      </c>
      <c r="BB849" s="23">
        <f t="array" aca="1" ref="BB849" ca="1">SUM(IF(w_start_date&lt;=AO849,1,0)*IF(w_end_date&gt;=AO849,1,0)*w_amount*(1+w_escalation/100)^(INT((AP849-w_months_since_start)/12))*IF(MOD(AP849-w_months_since_start,w_frequency)=0,1,0)*IF(w_frequency=13,0,1))+SUM(IF(w_start_date=AO849,w_amount,0)*IF(w_frequency=13,1,0))</f>
        <v>0</v>
      </c>
      <c r="BC849" s="25">
        <f t="shared" ca="1" si="703"/>
        <v>0</v>
      </c>
      <c r="BD849" s="24" t="b">
        <f t="shared" ca="1" si="704"/>
        <v>1</v>
      </c>
      <c r="BE849" s="24" t="b">
        <f t="shared" ca="1" si="705"/>
        <v>1</v>
      </c>
      <c r="BF849" s="23">
        <f t="array" aca="1" ref="BF849" ca="1">SUM(IF(BD849,1,0)*IF(ap_start_date&lt;=AO849,1,0)*IF(ap_end_date&gt;=AO849,1,0)*ap_amount*(1+ap_escalation/100)^(INT((AP849-ap_months_since_start)/12))*IF(MOD(AP849-ap_months_since_start,ap_frequency)=0,1,0))</f>
        <v>354025.92238639435</v>
      </c>
      <c r="BG849" s="24">
        <f t="shared" ca="1" si="706"/>
        <v>4248311.0686367322</v>
      </c>
      <c r="BH849" s="24">
        <f t="shared" ca="1" si="707"/>
        <v>215.55507226026694</v>
      </c>
      <c r="BI849">
        <f t="shared" ca="1" si="708"/>
        <v>0</v>
      </c>
      <c r="BJ849" s="24">
        <f t="shared" ca="1" si="709"/>
        <v>1508.8855058218685</v>
      </c>
      <c r="BK849">
        <f t="shared" ca="1" si="710"/>
        <v>1</v>
      </c>
      <c r="BL849" s="25">
        <f t="shared" ca="1" si="711"/>
        <v>125.74045881848903</v>
      </c>
      <c r="BM849" s="32">
        <f t="shared" ca="1" si="690"/>
        <v>8427.2937214259982</v>
      </c>
      <c r="BN849" s="23">
        <f t="shared" ca="1" si="712"/>
        <v>0</v>
      </c>
      <c r="BO849" s="24">
        <f t="shared" ca="1" si="713"/>
        <v>0</v>
      </c>
      <c r="BP849" s="25">
        <f t="shared" ca="1" si="714"/>
        <v>0</v>
      </c>
      <c r="BQ849" s="34">
        <f t="shared" ca="1" si="715"/>
        <v>71255</v>
      </c>
      <c r="BR849" s="23">
        <f t="shared" ca="1" si="716"/>
        <v>8427.2937214259982</v>
      </c>
      <c r="BS849" s="24">
        <f t="shared" ca="1" si="717"/>
        <v>0</v>
      </c>
      <c r="BT849" s="24">
        <f t="shared" ca="1" si="682"/>
        <v>0</v>
      </c>
      <c r="BU849" s="24">
        <f t="shared" ca="1" si="718"/>
        <v>0</v>
      </c>
      <c r="BV849" s="24">
        <f t="shared" ca="1" si="683"/>
        <v>0</v>
      </c>
      <c r="BW849" s="24">
        <f t="shared" ca="1" si="719"/>
        <v>-125.74045881848903</v>
      </c>
      <c r="BX849" s="25">
        <f t="shared" ca="1" si="684"/>
        <v>-1625.498205578562</v>
      </c>
      <c r="BY849" s="23">
        <f t="shared" ca="1" si="691"/>
        <v>537.66960999955484</v>
      </c>
      <c r="BZ849" s="24">
        <f t="shared" ca="1" si="692"/>
        <v>0</v>
      </c>
      <c r="CA849" s="24">
        <f t="shared" ca="1" si="685"/>
        <v>0</v>
      </c>
      <c r="CB849" s="24">
        <f t="shared" ca="1" si="693"/>
        <v>0</v>
      </c>
      <c r="CC849" s="24">
        <f t="shared" ca="1" si="686"/>
        <v>0</v>
      </c>
      <c r="CD849" s="24">
        <f t="shared" ca="1" si="694"/>
        <v>-8.0486278090844294</v>
      </c>
      <c r="CE849" s="25">
        <f t="shared" ca="1" si="687"/>
        <v>-105.97906999112578</v>
      </c>
      <c r="CF849" s="23">
        <f t="shared" ca="1" si="688"/>
        <v>4125763.6339645181</v>
      </c>
      <c r="CG849" s="25">
        <f t="array" aca="1" ref="CG849" ca="1">SUM(BF838:BF849/(1+inflation/100)^(AP838:AP849/12))</f>
        <v>267980.53702225385</v>
      </c>
      <c r="CH849" s="32">
        <f ca="1">IFERROR(IF(MOD(AP849-ap_months_since_start,12)=0,ap_drawdown/100*(AQ849+AV849+BA849-BC849),CH848),0)</f>
        <v>1325.1819004818451</v>
      </c>
    </row>
    <row r="850" spans="40:86" x14ac:dyDescent="0.25">
      <c r="AN850" s="32">
        <f t="shared" ca="1" si="689"/>
        <v>125.08333333333333</v>
      </c>
      <c r="AO850" s="53">
        <f t="shared" ca="1" si="720"/>
        <v>71256</v>
      </c>
      <c r="AP850" s="22">
        <v>843</v>
      </c>
      <c r="AQ850" s="32">
        <f t="shared" ca="1" si="721"/>
        <v>8427.2937214259982</v>
      </c>
      <c r="AR850" s="23">
        <f t="array" aca="1" ref="AR850" ca="1">SUM(IF(lsc_start_date=AO850,lsc_amount,0))</f>
        <v>0</v>
      </c>
      <c r="AS850" s="24">
        <f t="shared" ca="1" si="695"/>
        <v>0</v>
      </c>
      <c r="AT850" s="24">
        <f t="shared" ca="1" si="696"/>
        <v>0</v>
      </c>
      <c r="AU850" s="24">
        <f t="shared" ca="1" si="697"/>
        <v>0</v>
      </c>
      <c r="AV850" s="25">
        <f t="shared" ca="1" si="698"/>
        <v>0</v>
      </c>
      <c r="AW850" s="23">
        <f t="array" aca="1" ref="AW850" ca="1">SUM(IF(rcs_start_date&lt;=AO850,1,0)*IF(rcs_end_date&gt;=AO850,1,0)*rcs_amount*(1+rcs_escalation/100)^(INT((AP850-rcs_months_since_start)/12))*IF(MOD((AP850-rcs_months_since_start),rcs_frequency)=0,1,0)*IF(rcs_frequency=13,0,1))+SUM(IF(rcs_start_date=AO850,rcs_amount,0)*IF(rcs_frequency=13,1,0))</f>
        <v>0</v>
      </c>
      <c r="AX850" s="24">
        <f t="shared" ca="1" si="699"/>
        <v>0</v>
      </c>
      <c r="AY850" s="24">
        <f t="shared" ca="1" si="700"/>
        <v>0</v>
      </c>
      <c r="AZ850" s="24">
        <f t="shared" ca="1" si="701"/>
        <v>0</v>
      </c>
      <c r="BA850" s="25">
        <f t="shared" ca="1" si="702"/>
        <v>0</v>
      </c>
      <c r="BB850" s="23">
        <f t="array" aca="1" ref="BB850" ca="1">SUM(IF(w_start_date&lt;=AO850,1,0)*IF(w_end_date&gt;=AO850,1,0)*w_amount*(1+w_escalation/100)^(INT((AP850-w_months_since_start)/12))*IF(MOD(AP850-w_months_since_start,w_frequency)=0,1,0)*IF(w_frequency=13,0,1))+SUM(IF(w_start_date=AO850,w_amount,0)*IF(w_frequency=13,1,0))</f>
        <v>0</v>
      </c>
      <c r="BC850" s="25">
        <f t="shared" ca="1" si="703"/>
        <v>0</v>
      </c>
      <c r="BD850" s="24" t="b">
        <f t="shared" ca="1" si="704"/>
        <v>1</v>
      </c>
      <c r="BE850" s="24" t="b">
        <f t="shared" ca="1" si="705"/>
        <v>1</v>
      </c>
      <c r="BF850" s="23">
        <f t="array" aca="1" ref="BF850" ca="1">SUM(IF(BD850,1,0)*IF(ap_start_date&lt;=AO850,1,0)*IF(ap_end_date&gt;=AO850,1,0)*ap_amount*(1+ap_escalation/100)^(INT((AP850-ap_months_since_start)/12))*IF(MOD(AP850-ap_months_since_start,ap_frequency)=0,1,0))</f>
        <v>354025.92238639435</v>
      </c>
      <c r="BG850" s="24">
        <f t="shared" ca="1" si="706"/>
        <v>4248311.0686367322</v>
      </c>
      <c r="BH850" s="24">
        <f t="shared" ca="1" si="707"/>
        <v>215.55507226026694</v>
      </c>
      <c r="BI850">
        <f t="shared" ca="1" si="708"/>
        <v>0</v>
      </c>
      <c r="BJ850" s="24">
        <f t="shared" ca="1" si="709"/>
        <v>1508.8855058218685</v>
      </c>
      <c r="BK850">
        <f t="shared" ca="1" si="710"/>
        <v>1</v>
      </c>
      <c r="BL850" s="25">
        <f t="shared" ca="1" si="711"/>
        <v>125.74045881848903</v>
      </c>
      <c r="BM850" s="32">
        <f t="shared" ca="1" si="690"/>
        <v>8361.3852409972515</v>
      </c>
      <c r="BN850" s="23">
        <f t="shared" ca="1" si="712"/>
        <v>0</v>
      </c>
      <c r="BO850" s="24">
        <f t="shared" ca="1" si="713"/>
        <v>0</v>
      </c>
      <c r="BP850" s="25">
        <f t="shared" ca="1" si="714"/>
        <v>0</v>
      </c>
      <c r="BQ850" s="34">
        <f t="shared" ca="1" si="715"/>
        <v>71283</v>
      </c>
      <c r="BR850" s="23">
        <f t="shared" ca="1" si="716"/>
        <v>8361.3852409972515</v>
      </c>
      <c r="BS850" s="24">
        <f t="shared" ca="1" si="717"/>
        <v>0</v>
      </c>
      <c r="BT850" s="24">
        <f t="shared" ca="1" si="682"/>
        <v>0</v>
      </c>
      <c r="BU850" s="24">
        <f t="shared" ca="1" si="718"/>
        <v>0</v>
      </c>
      <c r="BV850" s="24">
        <f t="shared" ca="1" si="683"/>
        <v>0</v>
      </c>
      <c r="BW850" s="24">
        <f t="shared" ca="1" si="719"/>
        <v>-125.74045881848903</v>
      </c>
      <c r="BX850" s="25">
        <f t="shared" ca="1" si="684"/>
        <v>-1612.5412389389294</v>
      </c>
      <c r="BY850" s="23">
        <f t="shared" ca="1" si="691"/>
        <v>531.72385871598806</v>
      </c>
      <c r="BZ850" s="24">
        <f t="shared" ca="1" si="692"/>
        <v>0</v>
      </c>
      <c r="CA850" s="24">
        <f t="shared" ca="1" si="685"/>
        <v>0</v>
      </c>
      <c r="CB850" s="24">
        <f t="shared" ca="1" si="693"/>
        <v>0</v>
      </c>
      <c r="CC850" s="24">
        <f t="shared" ca="1" si="686"/>
        <v>0</v>
      </c>
      <c r="CD850" s="24">
        <f t="shared" ca="1" si="694"/>
        <v>-8.0223646747015493</v>
      </c>
      <c r="CE850" s="25">
        <f t="shared" ca="1" si="687"/>
        <v>-104.79844152901666</v>
      </c>
      <c r="CF850" s="23">
        <f t="shared" ca="1" si="688"/>
        <v>4139380.0155947641</v>
      </c>
      <c r="CG850" s="25">
        <f t="array" aca="1" ref="CG850" ca="1">SUM(BF839:BF850/(1+inflation/100)^(AP839:AP850/12))</f>
        <v>267980.53702225385</v>
      </c>
      <c r="CH850" s="32">
        <f ca="1">IFERROR(IF(MOD(AP850-ap_months_since_start,12)=0,ap_drawdown/100*(AQ850+AV850+BA850-BC850),CH849),0)</f>
        <v>1325.1819004818451</v>
      </c>
    </row>
    <row r="851" spans="40:86" x14ac:dyDescent="0.25">
      <c r="AN851" s="32">
        <f t="shared" ca="1" si="689"/>
        <v>125.16666666666667</v>
      </c>
      <c r="AO851" s="53">
        <f t="shared" ca="1" si="720"/>
        <v>71284</v>
      </c>
      <c r="AP851" s="22">
        <v>844</v>
      </c>
      <c r="AQ851" s="32">
        <f t="shared" ca="1" si="721"/>
        <v>8361.3852409972515</v>
      </c>
      <c r="AR851" s="23">
        <f t="array" aca="1" ref="AR851" ca="1">SUM(IF(lsc_start_date=AO851,lsc_amount,0))</f>
        <v>0</v>
      </c>
      <c r="AS851" s="24">
        <f t="shared" ca="1" si="695"/>
        <v>0</v>
      </c>
      <c r="AT851" s="24">
        <f t="shared" ca="1" si="696"/>
        <v>0</v>
      </c>
      <c r="AU851" s="24">
        <f t="shared" ca="1" si="697"/>
        <v>0</v>
      </c>
      <c r="AV851" s="25">
        <f t="shared" ca="1" si="698"/>
        <v>0</v>
      </c>
      <c r="AW851" s="23">
        <f t="array" aca="1" ref="AW851" ca="1">SUM(IF(rcs_start_date&lt;=AO851,1,0)*IF(rcs_end_date&gt;=AO851,1,0)*rcs_amount*(1+rcs_escalation/100)^(INT((AP851-rcs_months_since_start)/12))*IF(MOD((AP851-rcs_months_since_start),rcs_frequency)=0,1,0)*IF(rcs_frequency=13,0,1))+SUM(IF(rcs_start_date=AO851,rcs_amount,0)*IF(rcs_frequency=13,1,0))</f>
        <v>0</v>
      </c>
      <c r="AX851" s="24">
        <f t="shared" ca="1" si="699"/>
        <v>0</v>
      </c>
      <c r="AY851" s="24">
        <f t="shared" ca="1" si="700"/>
        <v>0</v>
      </c>
      <c r="AZ851" s="24">
        <f t="shared" ca="1" si="701"/>
        <v>0</v>
      </c>
      <c r="BA851" s="25">
        <f t="shared" ca="1" si="702"/>
        <v>0</v>
      </c>
      <c r="BB851" s="23">
        <f t="array" aca="1" ref="BB851" ca="1">SUM(IF(w_start_date&lt;=AO851,1,0)*IF(w_end_date&gt;=AO851,1,0)*w_amount*(1+w_escalation/100)^(INT((AP851-w_months_since_start)/12))*IF(MOD(AP851-w_months_since_start,w_frequency)=0,1,0)*IF(w_frequency=13,0,1))+SUM(IF(w_start_date=AO851,w_amount,0)*IF(w_frequency=13,1,0))</f>
        <v>0</v>
      </c>
      <c r="BC851" s="25">
        <f t="shared" ca="1" si="703"/>
        <v>0</v>
      </c>
      <c r="BD851" s="24" t="b">
        <f t="shared" ca="1" si="704"/>
        <v>1</v>
      </c>
      <c r="BE851" s="24" t="b">
        <f t="shared" ca="1" si="705"/>
        <v>1</v>
      </c>
      <c r="BF851" s="23">
        <f t="array" aca="1" ref="BF851" ca="1">SUM(IF(BD851,1,0)*IF(ap_start_date&lt;=AO851,1,0)*IF(ap_end_date&gt;=AO851,1,0)*ap_amount*(1+ap_escalation/100)^(INT((AP851-ap_months_since_start)/12))*IF(MOD(AP851-ap_months_since_start,ap_frequency)=0,1,0))</f>
        <v>354025.92238639435</v>
      </c>
      <c r="BG851" s="24">
        <f t="shared" ca="1" si="706"/>
        <v>4248311.0686367322</v>
      </c>
      <c r="BH851" s="24">
        <f t="shared" ca="1" si="707"/>
        <v>215.55507226026694</v>
      </c>
      <c r="BI851">
        <f t="shared" ca="1" si="708"/>
        <v>0</v>
      </c>
      <c r="BJ851" s="24">
        <f t="shared" ca="1" si="709"/>
        <v>1508.8855058218685</v>
      </c>
      <c r="BK851">
        <f t="shared" ca="1" si="710"/>
        <v>1</v>
      </c>
      <c r="BL851" s="25">
        <f t="shared" ca="1" si="711"/>
        <v>125.74045881848903</v>
      </c>
      <c r="BM851" s="32">
        <f t="shared" ca="1" si="690"/>
        <v>8295.0017368407789</v>
      </c>
      <c r="BN851" s="23">
        <f t="shared" ca="1" si="712"/>
        <v>0</v>
      </c>
      <c r="BO851" s="24">
        <f t="shared" ca="1" si="713"/>
        <v>0</v>
      </c>
      <c r="BP851" s="25">
        <f t="shared" ca="1" si="714"/>
        <v>0</v>
      </c>
      <c r="BQ851" s="34">
        <f t="shared" ca="1" si="715"/>
        <v>71314</v>
      </c>
      <c r="BR851" s="23">
        <f t="shared" ca="1" si="716"/>
        <v>8295.0017368407789</v>
      </c>
      <c r="BS851" s="24">
        <f t="shared" ca="1" si="717"/>
        <v>0</v>
      </c>
      <c r="BT851" s="24">
        <f t="shared" ca="1" si="682"/>
        <v>0</v>
      </c>
      <c r="BU851" s="24">
        <f t="shared" ca="1" si="718"/>
        <v>0</v>
      </c>
      <c r="BV851" s="24">
        <f t="shared" ca="1" si="683"/>
        <v>0</v>
      </c>
      <c r="BW851" s="24">
        <f t="shared" ca="1" si="719"/>
        <v>-125.74045881848903</v>
      </c>
      <c r="BX851" s="25">
        <f t="shared" ca="1" si="684"/>
        <v>-1599.5842722992968</v>
      </c>
      <c r="BY851" s="23">
        <f t="shared" ca="1" si="691"/>
        <v>525.78107571121802</v>
      </c>
      <c r="BZ851" s="24">
        <f t="shared" ca="1" si="692"/>
        <v>0</v>
      </c>
      <c r="CA851" s="24">
        <f t="shared" ca="1" si="685"/>
        <v>0</v>
      </c>
      <c r="CB851" s="24">
        <f t="shared" ca="1" si="693"/>
        <v>0</v>
      </c>
      <c r="CC851" s="24">
        <f t="shared" ca="1" si="686"/>
        <v>0</v>
      </c>
      <c r="CD851" s="24">
        <f t="shared" ca="1" si="694"/>
        <v>-7.9961872384331825</v>
      </c>
      <c r="CE851" s="25">
        <f t="shared" ca="1" si="687"/>
        <v>-103.62166552532557</v>
      </c>
      <c r="CF851" s="23">
        <f t="shared" ca="1" si="688"/>
        <v>4152996.3972250102</v>
      </c>
      <c r="CG851" s="25">
        <f t="array" aca="1" ref="CG851" ca="1">SUM(BF840:BF851/(1+inflation/100)^(AP840:AP851/12))</f>
        <v>267980.53702225385</v>
      </c>
      <c r="CH851" s="32">
        <f ca="1">IFERROR(IF(MOD(AP851-ap_months_since_start,12)=0,ap_drawdown/100*(AQ851+AV851+BA851-BC851),CH850),0)</f>
        <v>1325.1819004818451</v>
      </c>
    </row>
    <row r="852" spans="40:86" x14ac:dyDescent="0.25">
      <c r="AN852" s="32">
        <f t="shared" ca="1" si="689"/>
        <v>125.25</v>
      </c>
      <c r="AO852" s="53">
        <f t="shared" ca="1" si="720"/>
        <v>71315</v>
      </c>
      <c r="AP852" s="22">
        <v>845</v>
      </c>
      <c r="AQ852" s="32">
        <f t="shared" ca="1" si="721"/>
        <v>8295.0017368407789</v>
      </c>
      <c r="AR852" s="23">
        <f t="array" aca="1" ref="AR852" ca="1">SUM(IF(lsc_start_date=AO852,lsc_amount,0))</f>
        <v>0</v>
      </c>
      <c r="AS852" s="24">
        <f t="shared" ca="1" si="695"/>
        <v>0</v>
      </c>
      <c r="AT852" s="24">
        <f t="shared" ca="1" si="696"/>
        <v>0</v>
      </c>
      <c r="AU852" s="24">
        <f t="shared" ca="1" si="697"/>
        <v>0</v>
      </c>
      <c r="AV852" s="25">
        <f t="shared" ca="1" si="698"/>
        <v>0</v>
      </c>
      <c r="AW852" s="23">
        <f t="array" aca="1" ref="AW852" ca="1">SUM(IF(rcs_start_date&lt;=AO852,1,0)*IF(rcs_end_date&gt;=AO852,1,0)*rcs_amount*(1+rcs_escalation/100)^(INT((AP852-rcs_months_since_start)/12))*IF(MOD((AP852-rcs_months_since_start),rcs_frequency)=0,1,0)*IF(rcs_frequency=13,0,1))+SUM(IF(rcs_start_date=AO852,rcs_amount,0)*IF(rcs_frequency=13,1,0))</f>
        <v>0</v>
      </c>
      <c r="AX852" s="24">
        <f t="shared" ca="1" si="699"/>
        <v>0</v>
      </c>
      <c r="AY852" s="24">
        <f t="shared" ca="1" si="700"/>
        <v>0</v>
      </c>
      <c r="AZ852" s="24">
        <f t="shared" ca="1" si="701"/>
        <v>0</v>
      </c>
      <c r="BA852" s="25">
        <f t="shared" ca="1" si="702"/>
        <v>0</v>
      </c>
      <c r="BB852" s="23">
        <f t="array" aca="1" ref="BB852" ca="1">SUM(IF(w_start_date&lt;=AO852,1,0)*IF(w_end_date&gt;=AO852,1,0)*w_amount*(1+w_escalation/100)^(INT((AP852-w_months_since_start)/12))*IF(MOD(AP852-w_months_since_start,w_frequency)=0,1,0)*IF(w_frequency=13,0,1))+SUM(IF(w_start_date=AO852,w_amount,0)*IF(w_frequency=13,1,0))</f>
        <v>0</v>
      </c>
      <c r="BC852" s="25">
        <f t="shared" ca="1" si="703"/>
        <v>0</v>
      </c>
      <c r="BD852" s="24" t="b">
        <f t="shared" ca="1" si="704"/>
        <v>1</v>
      </c>
      <c r="BE852" s="24" t="b">
        <f t="shared" ca="1" si="705"/>
        <v>1</v>
      </c>
      <c r="BF852" s="23">
        <f t="array" aca="1" ref="BF852" ca="1">SUM(IF(BD852,1,0)*IF(ap_start_date&lt;=AO852,1,0)*IF(ap_end_date&gt;=AO852,1,0)*ap_amount*(1+ap_escalation/100)^(INT((AP852-ap_months_since_start)/12))*IF(MOD(AP852-ap_months_since_start,ap_frequency)=0,1,0))</f>
        <v>354025.92238639435</v>
      </c>
      <c r="BG852" s="24">
        <f t="shared" ca="1" si="706"/>
        <v>4248311.0686367322</v>
      </c>
      <c r="BH852" s="24">
        <f t="shared" ca="1" si="707"/>
        <v>215.55507226026694</v>
      </c>
      <c r="BI852">
        <f t="shared" ca="1" si="708"/>
        <v>0</v>
      </c>
      <c r="BJ852" s="24">
        <f t="shared" ca="1" si="709"/>
        <v>1508.8855058218685</v>
      </c>
      <c r="BK852">
        <f t="shared" ca="1" si="710"/>
        <v>1</v>
      </c>
      <c r="BL852" s="25">
        <f t="shared" ca="1" si="711"/>
        <v>125.74045881848903</v>
      </c>
      <c r="BM852" s="32">
        <f t="shared" ca="1" si="690"/>
        <v>8228.1397853069921</v>
      </c>
      <c r="BN852" s="23">
        <f t="shared" ca="1" si="712"/>
        <v>0</v>
      </c>
      <c r="BO852" s="24">
        <f t="shared" ca="1" si="713"/>
        <v>0</v>
      </c>
      <c r="BP852" s="25">
        <f t="shared" ca="1" si="714"/>
        <v>0</v>
      </c>
      <c r="BQ852" s="34">
        <f t="shared" ca="1" si="715"/>
        <v>71344</v>
      </c>
      <c r="BR852" s="23">
        <f t="shared" ca="1" si="716"/>
        <v>8228.1397853069921</v>
      </c>
      <c r="BS852" s="24">
        <f t="shared" ca="1" si="717"/>
        <v>0</v>
      </c>
      <c r="BT852" s="24">
        <f t="shared" ref="BT852:BT915" ca="1" si="722">SUM(BS841:BS852)</f>
        <v>0</v>
      </c>
      <c r="BU852" s="24">
        <f t="shared" ca="1" si="718"/>
        <v>0</v>
      </c>
      <c r="BV852" s="24">
        <f t="shared" ref="BV852:BV915" ca="1" si="723">SUM(BU841:BU852)</f>
        <v>0</v>
      </c>
      <c r="BW852" s="24">
        <f t="shared" ca="1" si="719"/>
        <v>-125.74045881848903</v>
      </c>
      <c r="BX852" s="25">
        <f t="shared" ref="BX852:BX915" ca="1" si="724">SUM(BW841:BW852)</f>
        <v>-1586.6273056596642</v>
      </c>
      <c r="BY852" s="23">
        <f t="shared" ca="1" si="691"/>
        <v>519.84118686973682</v>
      </c>
      <c r="BZ852" s="24">
        <f t="shared" ca="1" si="692"/>
        <v>0</v>
      </c>
      <c r="CA852" s="24">
        <f t="shared" ref="CA852:CA915" ca="1" si="725">SUM(BZ841:BZ852)</f>
        <v>0</v>
      </c>
      <c r="CB852" s="24">
        <f t="shared" ca="1" si="693"/>
        <v>0</v>
      </c>
      <c r="CC852" s="24">
        <f t="shared" ref="CC852:CC915" ca="1" si="726">SUM(CB841:CB852)</f>
        <v>0</v>
      </c>
      <c r="CD852" s="24">
        <f t="shared" ca="1" si="694"/>
        <v>-7.9700952206414568</v>
      </c>
      <c r="CE852" s="25">
        <f t="shared" ref="CE852:CE915" ca="1" si="727">SUM(CD841:CD852)</f>
        <v>-102.44872940925963</v>
      </c>
      <c r="CF852" s="23">
        <f t="shared" ref="CF852:CF915" ca="1" si="728">SUM(BF841:BF852)</f>
        <v>4166612.7788552563</v>
      </c>
      <c r="CG852" s="25">
        <f t="array" aca="1" ref="CG852" ca="1">SUM(BF841:BF852/(1+inflation/100)^(AP841:AP852/12))</f>
        <v>267980.53702225385</v>
      </c>
      <c r="CH852" s="32">
        <f ca="1">IFERROR(IF(MOD(AP852-ap_months_since_start,12)=0,ap_drawdown/100*(AQ852+AV852+BA852-BC852),CH851),0)</f>
        <v>1325.1819004818451</v>
      </c>
    </row>
    <row r="853" spans="40:86" x14ac:dyDescent="0.25">
      <c r="AN853" s="32">
        <f t="shared" ca="1" si="689"/>
        <v>125.33333333333333</v>
      </c>
      <c r="AO853" s="53">
        <f t="shared" ca="1" si="720"/>
        <v>71345</v>
      </c>
      <c r="AP853" s="22">
        <v>846</v>
      </c>
      <c r="AQ853" s="32">
        <f t="shared" ca="1" si="721"/>
        <v>8228.1397853069921</v>
      </c>
      <c r="AR853" s="23">
        <f t="array" aca="1" ref="AR853" ca="1">SUM(IF(lsc_start_date=AO853,lsc_amount,0))</f>
        <v>0</v>
      </c>
      <c r="AS853" s="24">
        <f t="shared" ca="1" si="695"/>
        <v>0</v>
      </c>
      <c r="AT853" s="24">
        <f t="shared" ca="1" si="696"/>
        <v>0</v>
      </c>
      <c r="AU853" s="24">
        <f t="shared" ca="1" si="697"/>
        <v>0</v>
      </c>
      <c r="AV853" s="25">
        <f t="shared" ca="1" si="698"/>
        <v>0</v>
      </c>
      <c r="AW853" s="23">
        <f t="array" aca="1" ref="AW853" ca="1">SUM(IF(rcs_start_date&lt;=AO853,1,0)*IF(rcs_end_date&gt;=AO853,1,0)*rcs_amount*(1+rcs_escalation/100)^(INT((AP853-rcs_months_since_start)/12))*IF(MOD((AP853-rcs_months_since_start),rcs_frequency)=0,1,0)*IF(rcs_frequency=13,0,1))+SUM(IF(rcs_start_date=AO853,rcs_amount,0)*IF(rcs_frequency=13,1,0))</f>
        <v>0</v>
      </c>
      <c r="AX853" s="24">
        <f t="shared" ca="1" si="699"/>
        <v>0</v>
      </c>
      <c r="AY853" s="24">
        <f t="shared" ca="1" si="700"/>
        <v>0</v>
      </c>
      <c r="AZ853" s="24">
        <f t="shared" ca="1" si="701"/>
        <v>0</v>
      </c>
      <c r="BA853" s="25">
        <f t="shared" ca="1" si="702"/>
        <v>0</v>
      </c>
      <c r="BB853" s="23">
        <f t="array" aca="1" ref="BB853" ca="1">SUM(IF(w_start_date&lt;=AO853,1,0)*IF(w_end_date&gt;=AO853,1,0)*w_amount*(1+w_escalation/100)^(INT((AP853-w_months_since_start)/12))*IF(MOD(AP853-w_months_since_start,w_frequency)=0,1,0)*IF(w_frequency=13,0,1))+SUM(IF(w_start_date=AO853,w_amount,0)*IF(w_frequency=13,1,0))</f>
        <v>0</v>
      </c>
      <c r="BC853" s="25">
        <f t="shared" ca="1" si="703"/>
        <v>0</v>
      </c>
      <c r="BD853" s="24" t="b">
        <f t="shared" ca="1" si="704"/>
        <v>1</v>
      </c>
      <c r="BE853" s="24" t="b">
        <f t="shared" ca="1" si="705"/>
        <v>1</v>
      </c>
      <c r="BF853" s="23">
        <f t="array" aca="1" ref="BF853" ca="1">SUM(IF(BD853,1,0)*IF(ap_start_date&lt;=AO853,1,0)*IF(ap_end_date&gt;=AO853,1,0)*ap_amount*(1+ap_escalation/100)^(INT((AP853-ap_months_since_start)/12))*IF(MOD(AP853-ap_months_since_start,ap_frequency)=0,1,0))</f>
        <v>354025.92238639435</v>
      </c>
      <c r="BG853" s="24">
        <f t="shared" ca="1" si="706"/>
        <v>4248311.0686367322</v>
      </c>
      <c r="BH853" s="24">
        <f t="shared" ca="1" si="707"/>
        <v>215.55507226026694</v>
      </c>
      <c r="BI853">
        <f t="shared" ca="1" si="708"/>
        <v>0</v>
      </c>
      <c r="BJ853" s="24">
        <f t="shared" ca="1" si="709"/>
        <v>1508.8855058218685</v>
      </c>
      <c r="BK853">
        <f t="shared" ca="1" si="710"/>
        <v>1</v>
      </c>
      <c r="BL853" s="25">
        <f t="shared" ca="1" si="711"/>
        <v>125.74045881848903</v>
      </c>
      <c r="BM853" s="32">
        <f t="shared" ca="1" si="690"/>
        <v>8160.7959380709544</v>
      </c>
      <c r="BN853" s="23">
        <f t="shared" ca="1" si="712"/>
        <v>0</v>
      </c>
      <c r="BO853" s="24">
        <f t="shared" ca="1" si="713"/>
        <v>0</v>
      </c>
      <c r="BP853" s="25">
        <f t="shared" ca="1" si="714"/>
        <v>0</v>
      </c>
      <c r="BQ853" s="34">
        <f t="shared" ca="1" si="715"/>
        <v>71375</v>
      </c>
      <c r="BR853" s="23">
        <f t="shared" ca="1" si="716"/>
        <v>8160.7959380709544</v>
      </c>
      <c r="BS853" s="24">
        <f t="shared" ca="1" si="717"/>
        <v>0</v>
      </c>
      <c r="BT853" s="24">
        <f t="shared" ca="1" si="722"/>
        <v>0</v>
      </c>
      <c r="BU853" s="24">
        <f t="shared" ca="1" si="718"/>
        <v>0</v>
      </c>
      <c r="BV853" s="24">
        <f t="shared" ca="1" si="723"/>
        <v>0</v>
      </c>
      <c r="BW853" s="24">
        <f t="shared" ca="1" si="719"/>
        <v>-125.74045881848903</v>
      </c>
      <c r="BX853" s="25">
        <f t="shared" ca="1" si="724"/>
        <v>-1573.6703390200316</v>
      </c>
      <c r="BY853" s="23">
        <f t="shared" ca="1" si="691"/>
        <v>513.9041180652672</v>
      </c>
      <c r="BZ853" s="24">
        <f t="shared" ca="1" si="692"/>
        <v>0</v>
      </c>
      <c r="CA853" s="24">
        <f t="shared" ca="1" si="725"/>
        <v>0</v>
      </c>
      <c r="CB853" s="24">
        <f t="shared" ca="1" si="693"/>
        <v>0</v>
      </c>
      <c r="CC853" s="24">
        <f t="shared" ca="1" si="726"/>
        <v>0</v>
      </c>
      <c r="CD853" s="24">
        <f t="shared" ca="1" si="694"/>
        <v>-7.9440883426009803</v>
      </c>
      <c r="CE853" s="25">
        <f t="shared" ca="1" si="727"/>
        <v>-101.27962065104515</v>
      </c>
      <c r="CF853" s="23">
        <f t="shared" ca="1" si="728"/>
        <v>4180229.1604855023</v>
      </c>
      <c r="CG853" s="25">
        <f t="array" aca="1" ref="CG853" ca="1">SUM(BF842:BF853/(1+inflation/100)^(AP842:AP853/12))</f>
        <v>267980.53702225385</v>
      </c>
      <c r="CH853" s="32">
        <f ca="1">IFERROR(IF(MOD(AP853-ap_months_since_start,12)=0,ap_drawdown/100*(AQ853+AV853+BA853-BC853),CH852),0)</f>
        <v>1325.1819004818451</v>
      </c>
    </row>
    <row r="854" spans="40:86" x14ac:dyDescent="0.25">
      <c r="AN854" s="32">
        <f t="shared" ca="1" si="689"/>
        <v>125.41666666666667</v>
      </c>
      <c r="AO854" s="53">
        <f t="shared" ca="1" si="720"/>
        <v>71376</v>
      </c>
      <c r="AP854" s="22">
        <v>847</v>
      </c>
      <c r="AQ854" s="32">
        <f t="shared" ca="1" si="721"/>
        <v>8160.7959380709544</v>
      </c>
      <c r="AR854" s="23">
        <f t="array" aca="1" ref="AR854" ca="1">SUM(IF(lsc_start_date=AO854,lsc_amount,0))</f>
        <v>0</v>
      </c>
      <c r="AS854" s="24">
        <f t="shared" ca="1" si="695"/>
        <v>0</v>
      </c>
      <c r="AT854" s="24">
        <f t="shared" ca="1" si="696"/>
        <v>0</v>
      </c>
      <c r="AU854" s="24">
        <f t="shared" ca="1" si="697"/>
        <v>0</v>
      </c>
      <c r="AV854" s="25">
        <f t="shared" ca="1" si="698"/>
        <v>0</v>
      </c>
      <c r="AW854" s="23">
        <f t="array" aca="1" ref="AW854" ca="1">SUM(IF(rcs_start_date&lt;=AO854,1,0)*IF(rcs_end_date&gt;=AO854,1,0)*rcs_amount*(1+rcs_escalation/100)^(INT((AP854-rcs_months_since_start)/12))*IF(MOD((AP854-rcs_months_since_start),rcs_frequency)=0,1,0)*IF(rcs_frequency=13,0,1))+SUM(IF(rcs_start_date=AO854,rcs_amount,0)*IF(rcs_frequency=13,1,0))</f>
        <v>0</v>
      </c>
      <c r="AX854" s="24">
        <f t="shared" ca="1" si="699"/>
        <v>0</v>
      </c>
      <c r="AY854" s="24">
        <f t="shared" ca="1" si="700"/>
        <v>0</v>
      </c>
      <c r="AZ854" s="24">
        <f t="shared" ca="1" si="701"/>
        <v>0</v>
      </c>
      <c r="BA854" s="25">
        <f t="shared" ca="1" si="702"/>
        <v>0</v>
      </c>
      <c r="BB854" s="23">
        <f t="array" aca="1" ref="BB854" ca="1">SUM(IF(w_start_date&lt;=AO854,1,0)*IF(w_end_date&gt;=AO854,1,0)*w_amount*(1+w_escalation/100)^(INT((AP854-w_months_since_start)/12))*IF(MOD(AP854-w_months_since_start,w_frequency)=0,1,0)*IF(w_frequency=13,0,1))+SUM(IF(w_start_date=AO854,w_amount,0)*IF(w_frequency=13,1,0))</f>
        <v>0</v>
      </c>
      <c r="BC854" s="25">
        <f t="shared" ca="1" si="703"/>
        <v>0</v>
      </c>
      <c r="BD854" s="24" t="b">
        <f t="shared" ca="1" si="704"/>
        <v>1</v>
      </c>
      <c r="BE854" s="24" t="b">
        <f t="shared" ca="1" si="705"/>
        <v>1</v>
      </c>
      <c r="BF854" s="23">
        <f t="array" aca="1" ref="BF854" ca="1">SUM(IF(BD854,1,0)*IF(ap_start_date&lt;=AO854,1,0)*IF(ap_end_date&gt;=AO854,1,0)*ap_amount*(1+ap_escalation/100)^(INT((AP854-ap_months_since_start)/12))*IF(MOD(AP854-ap_months_since_start,ap_frequency)=0,1,0))</f>
        <v>354025.92238639435</v>
      </c>
      <c r="BG854" s="24">
        <f t="shared" ca="1" si="706"/>
        <v>4248311.0686367322</v>
      </c>
      <c r="BH854" s="24">
        <f t="shared" ca="1" si="707"/>
        <v>215.55507226026694</v>
      </c>
      <c r="BI854">
        <f t="shared" ca="1" si="708"/>
        <v>0</v>
      </c>
      <c r="BJ854" s="24">
        <f t="shared" ca="1" si="709"/>
        <v>1508.8855058218685</v>
      </c>
      <c r="BK854">
        <f t="shared" ca="1" si="710"/>
        <v>1</v>
      </c>
      <c r="BL854" s="25">
        <f t="shared" ca="1" si="711"/>
        <v>125.74045881848903</v>
      </c>
      <c r="BM854" s="32">
        <f t="shared" ca="1" si="690"/>
        <v>8092.9667219545336</v>
      </c>
      <c r="BN854" s="23">
        <f t="shared" ca="1" si="712"/>
        <v>0</v>
      </c>
      <c r="BO854" s="24">
        <f t="shared" ca="1" si="713"/>
        <v>0</v>
      </c>
      <c r="BP854" s="25">
        <f t="shared" ca="1" si="714"/>
        <v>0</v>
      </c>
      <c r="BQ854" s="34">
        <f t="shared" ca="1" si="715"/>
        <v>71405</v>
      </c>
      <c r="BR854" s="23">
        <f t="shared" ca="1" si="716"/>
        <v>8092.9667219545336</v>
      </c>
      <c r="BS854" s="24">
        <f t="shared" ca="1" si="717"/>
        <v>0</v>
      </c>
      <c r="BT854" s="24">
        <f t="shared" ca="1" si="722"/>
        <v>0</v>
      </c>
      <c r="BU854" s="24">
        <f t="shared" ca="1" si="718"/>
        <v>0</v>
      </c>
      <c r="BV854" s="24">
        <f t="shared" ca="1" si="723"/>
        <v>0</v>
      </c>
      <c r="BW854" s="24">
        <f t="shared" ca="1" si="719"/>
        <v>-125.74045881848903</v>
      </c>
      <c r="BX854" s="25">
        <f t="shared" ca="1" si="724"/>
        <v>-1560.7133723803991</v>
      </c>
      <c r="BY854" s="23">
        <f t="shared" ca="1" si="691"/>
        <v>507.96979515980587</v>
      </c>
      <c r="BZ854" s="24">
        <f t="shared" ca="1" si="692"/>
        <v>0</v>
      </c>
      <c r="CA854" s="24">
        <f t="shared" ca="1" si="725"/>
        <v>0</v>
      </c>
      <c r="CB854" s="24">
        <f t="shared" ca="1" si="693"/>
        <v>0</v>
      </c>
      <c r="CC854" s="24">
        <f t="shared" ca="1" si="726"/>
        <v>0</v>
      </c>
      <c r="CD854" s="24">
        <f t="shared" ca="1" si="694"/>
        <v>-7.9181663264958635</v>
      </c>
      <c r="CE854" s="25">
        <f t="shared" ca="1" si="727"/>
        <v>-100.11432676179389</v>
      </c>
      <c r="CF854" s="23">
        <f t="shared" ca="1" si="728"/>
        <v>4193845.5421157484</v>
      </c>
      <c r="CG854" s="25">
        <f t="array" aca="1" ref="CG854" ca="1">SUM(BF843:BF854/(1+inflation/100)^(AP843:AP854/12))</f>
        <v>267980.53702225385</v>
      </c>
      <c r="CH854" s="32">
        <f ca="1">IFERROR(IF(MOD(AP854-ap_months_since_start,12)=0,ap_drawdown/100*(AQ854+AV854+BA854-BC854),CH853),0)</f>
        <v>1325.1819004818451</v>
      </c>
    </row>
    <row r="855" spans="40:86" x14ac:dyDescent="0.25">
      <c r="AN855" s="32">
        <f t="shared" ca="1" si="689"/>
        <v>125.5</v>
      </c>
      <c r="AO855" s="53">
        <f t="shared" ca="1" si="720"/>
        <v>71406</v>
      </c>
      <c r="AP855" s="22">
        <v>848</v>
      </c>
      <c r="AQ855" s="32">
        <f t="shared" ca="1" si="721"/>
        <v>8092.9667219545336</v>
      </c>
      <c r="AR855" s="23">
        <f t="array" aca="1" ref="AR855" ca="1">SUM(IF(lsc_start_date=AO855,lsc_amount,0))</f>
        <v>0</v>
      </c>
      <c r="AS855" s="24">
        <f t="shared" ca="1" si="695"/>
        <v>0</v>
      </c>
      <c r="AT855" s="24">
        <f t="shared" ca="1" si="696"/>
        <v>0</v>
      </c>
      <c r="AU855" s="24">
        <f t="shared" ca="1" si="697"/>
        <v>0</v>
      </c>
      <c r="AV855" s="25">
        <f t="shared" ca="1" si="698"/>
        <v>0</v>
      </c>
      <c r="AW855" s="23">
        <f t="array" aca="1" ref="AW855" ca="1">SUM(IF(rcs_start_date&lt;=AO855,1,0)*IF(rcs_end_date&gt;=AO855,1,0)*rcs_amount*(1+rcs_escalation/100)^(INT((AP855-rcs_months_since_start)/12))*IF(MOD((AP855-rcs_months_since_start),rcs_frequency)=0,1,0)*IF(rcs_frequency=13,0,1))+SUM(IF(rcs_start_date=AO855,rcs_amount,0)*IF(rcs_frequency=13,1,0))</f>
        <v>0</v>
      </c>
      <c r="AX855" s="24">
        <f t="shared" ca="1" si="699"/>
        <v>0</v>
      </c>
      <c r="AY855" s="24">
        <f t="shared" ca="1" si="700"/>
        <v>0</v>
      </c>
      <c r="AZ855" s="24">
        <f t="shared" ca="1" si="701"/>
        <v>0</v>
      </c>
      <c r="BA855" s="25">
        <f t="shared" ca="1" si="702"/>
        <v>0</v>
      </c>
      <c r="BB855" s="23">
        <f t="array" aca="1" ref="BB855" ca="1">SUM(IF(w_start_date&lt;=AO855,1,0)*IF(w_end_date&gt;=AO855,1,0)*w_amount*(1+w_escalation/100)^(INT((AP855-w_months_since_start)/12))*IF(MOD(AP855-w_months_since_start,w_frequency)=0,1,0)*IF(w_frequency=13,0,1))+SUM(IF(w_start_date=AO855,w_amount,0)*IF(w_frequency=13,1,0))</f>
        <v>0</v>
      </c>
      <c r="BC855" s="25">
        <f t="shared" ca="1" si="703"/>
        <v>0</v>
      </c>
      <c r="BD855" s="24" t="b">
        <f t="shared" ca="1" si="704"/>
        <v>1</v>
      </c>
      <c r="BE855" s="24" t="b">
        <f t="shared" ca="1" si="705"/>
        <v>1</v>
      </c>
      <c r="BF855" s="23">
        <f t="array" aca="1" ref="BF855" ca="1">SUM(IF(BD855,1,0)*IF(ap_start_date&lt;=AO855,1,0)*IF(ap_end_date&gt;=AO855,1,0)*ap_amount*(1+ap_escalation/100)^(INT((AP855-ap_months_since_start)/12))*IF(MOD(AP855-ap_months_since_start,ap_frequency)=0,1,0))</f>
        <v>354025.92238639435</v>
      </c>
      <c r="BG855" s="24">
        <f t="shared" ca="1" si="706"/>
        <v>4248311.0686367322</v>
      </c>
      <c r="BH855" s="24">
        <f t="shared" ca="1" si="707"/>
        <v>215.55507226026694</v>
      </c>
      <c r="BI855">
        <f t="shared" ca="1" si="708"/>
        <v>0</v>
      </c>
      <c r="BJ855" s="24">
        <f t="shared" ca="1" si="709"/>
        <v>1508.8855058218685</v>
      </c>
      <c r="BK855">
        <f t="shared" ca="1" si="710"/>
        <v>1</v>
      </c>
      <c r="BL855" s="25">
        <f t="shared" ca="1" si="711"/>
        <v>125.74045881848903</v>
      </c>
      <c r="BM855" s="32">
        <f t="shared" ca="1" si="690"/>
        <v>8024.6486387472814</v>
      </c>
      <c r="BN855" s="23">
        <f t="shared" ca="1" si="712"/>
        <v>0</v>
      </c>
      <c r="BO855" s="24">
        <f t="shared" ca="1" si="713"/>
        <v>0</v>
      </c>
      <c r="BP855" s="25">
        <f t="shared" ca="1" si="714"/>
        <v>0</v>
      </c>
      <c r="BQ855" s="34">
        <f t="shared" ca="1" si="715"/>
        <v>71436</v>
      </c>
      <c r="BR855" s="23">
        <f t="shared" ca="1" si="716"/>
        <v>8024.6486387472814</v>
      </c>
      <c r="BS855" s="24">
        <f t="shared" ca="1" si="717"/>
        <v>0</v>
      </c>
      <c r="BT855" s="24">
        <f t="shared" ca="1" si="722"/>
        <v>0</v>
      </c>
      <c r="BU855" s="24">
        <f t="shared" ca="1" si="718"/>
        <v>0</v>
      </c>
      <c r="BV855" s="24">
        <f t="shared" ca="1" si="723"/>
        <v>0</v>
      </c>
      <c r="BW855" s="24">
        <f t="shared" ca="1" si="719"/>
        <v>-125.74045881848903</v>
      </c>
      <c r="BX855" s="25">
        <f t="shared" ca="1" si="724"/>
        <v>-1547.7564057407665</v>
      </c>
      <c r="BY855" s="23">
        <f t="shared" ca="1" si="691"/>
        <v>502.03814400266776</v>
      </c>
      <c r="BZ855" s="24">
        <f t="shared" ca="1" si="692"/>
        <v>0</v>
      </c>
      <c r="CA855" s="24">
        <f t="shared" ca="1" si="725"/>
        <v>0</v>
      </c>
      <c r="CB855" s="24">
        <f t="shared" ca="1" si="693"/>
        <v>0</v>
      </c>
      <c r="CC855" s="24">
        <f t="shared" ca="1" si="726"/>
        <v>0</v>
      </c>
      <c r="CD855" s="24">
        <f t="shared" ca="1" si="694"/>
        <v>-7.8923288954167417</v>
      </c>
      <c r="CE855" s="25">
        <f t="shared" ca="1" si="727"/>
        <v>-98.952835293369503</v>
      </c>
      <c r="CF855" s="23">
        <f t="shared" ca="1" si="728"/>
        <v>4207461.9237459945</v>
      </c>
      <c r="CG855" s="25">
        <f t="array" aca="1" ref="CG855" ca="1">SUM(BF844:BF855/(1+inflation/100)^(AP844:AP855/12))</f>
        <v>267980.53702225385</v>
      </c>
      <c r="CH855" s="32">
        <f ca="1">IFERROR(IF(MOD(AP855-ap_months_since_start,12)=0,ap_drawdown/100*(AQ855+AV855+BA855-BC855),CH854),0)</f>
        <v>1325.1819004818451</v>
      </c>
    </row>
    <row r="856" spans="40:86" x14ac:dyDescent="0.25">
      <c r="AN856" s="32">
        <f t="shared" ca="1" si="689"/>
        <v>125.58333333333333</v>
      </c>
      <c r="AO856" s="53">
        <f t="shared" ca="1" si="720"/>
        <v>71437</v>
      </c>
      <c r="AP856" s="22">
        <v>849</v>
      </c>
      <c r="AQ856" s="32">
        <f t="shared" ca="1" si="721"/>
        <v>8024.6486387472814</v>
      </c>
      <c r="AR856" s="23">
        <f t="array" aca="1" ref="AR856" ca="1">SUM(IF(lsc_start_date=AO856,lsc_amount,0))</f>
        <v>0</v>
      </c>
      <c r="AS856" s="24">
        <f t="shared" ca="1" si="695"/>
        <v>0</v>
      </c>
      <c r="AT856" s="24">
        <f t="shared" ca="1" si="696"/>
        <v>0</v>
      </c>
      <c r="AU856" s="24">
        <f t="shared" ca="1" si="697"/>
        <v>0</v>
      </c>
      <c r="AV856" s="25">
        <f t="shared" ca="1" si="698"/>
        <v>0</v>
      </c>
      <c r="AW856" s="23">
        <f t="array" aca="1" ref="AW856" ca="1">SUM(IF(rcs_start_date&lt;=AO856,1,0)*IF(rcs_end_date&gt;=AO856,1,0)*rcs_amount*(1+rcs_escalation/100)^(INT((AP856-rcs_months_since_start)/12))*IF(MOD((AP856-rcs_months_since_start),rcs_frequency)=0,1,0)*IF(rcs_frequency=13,0,1))+SUM(IF(rcs_start_date=AO856,rcs_amount,0)*IF(rcs_frequency=13,1,0))</f>
        <v>0</v>
      </c>
      <c r="AX856" s="24">
        <f t="shared" ca="1" si="699"/>
        <v>0</v>
      </c>
      <c r="AY856" s="24">
        <f t="shared" ca="1" si="700"/>
        <v>0</v>
      </c>
      <c r="AZ856" s="24">
        <f t="shared" ca="1" si="701"/>
        <v>0</v>
      </c>
      <c r="BA856" s="25">
        <f t="shared" ca="1" si="702"/>
        <v>0</v>
      </c>
      <c r="BB856" s="23">
        <f t="array" aca="1" ref="BB856" ca="1">SUM(IF(w_start_date&lt;=AO856,1,0)*IF(w_end_date&gt;=AO856,1,0)*w_amount*(1+w_escalation/100)^(INT((AP856-w_months_since_start)/12))*IF(MOD(AP856-w_months_since_start,w_frequency)=0,1,0)*IF(w_frequency=13,0,1))+SUM(IF(w_start_date=AO856,w_amount,0)*IF(w_frequency=13,1,0))</f>
        <v>0</v>
      </c>
      <c r="BC856" s="25">
        <f t="shared" ca="1" si="703"/>
        <v>0</v>
      </c>
      <c r="BD856" s="24" t="b">
        <f t="shared" ca="1" si="704"/>
        <v>1</v>
      </c>
      <c r="BE856" s="24" t="b">
        <f t="shared" ca="1" si="705"/>
        <v>1</v>
      </c>
      <c r="BF856" s="23">
        <f t="array" aca="1" ref="BF856" ca="1">SUM(IF(BD856,1,0)*IF(ap_start_date&lt;=AO856,1,0)*IF(ap_end_date&gt;=AO856,1,0)*ap_amount*(1+ap_escalation/100)^(INT((AP856-ap_months_since_start)/12))*IF(MOD(AP856-ap_months_since_start,ap_frequency)=0,1,0))</f>
        <v>354025.92238639435</v>
      </c>
      <c r="BG856" s="24">
        <f t="shared" ca="1" si="706"/>
        <v>4248311.0686367322</v>
      </c>
      <c r="BH856" s="24">
        <f t="shared" ca="1" si="707"/>
        <v>215.55507226026694</v>
      </c>
      <c r="BI856">
        <f t="shared" ca="1" si="708"/>
        <v>0</v>
      </c>
      <c r="BJ856" s="24">
        <f t="shared" ca="1" si="709"/>
        <v>1508.8855058218685</v>
      </c>
      <c r="BK856">
        <f t="shared" ca="1" si="710"/>
        <v>1</v>
      </c>
      <c r="BL856" s="25">
        <f t="shared" ca="1" si="711"/>
        <v>125.74045881848903</v>
      </c>
      <c r="BM856" s="32">
        <f t="shared" ca="1" si="690"/>
        <v>7955.8381650260162</v>
      </c>
      <c r="BN856" s="23">
        <f t="shared" ca="1" si="712"/>
        <v>0</v>
      </c>
      <c r="BO856" s="24">
        <f t="shared" ca="1" si="713"/>
        <v>0</v>
      </c>
      <c r="BP856" s="25">
        <f t="shared" ca="1" si="714"/>
        <v>0</v>
      </c>
      <c r="BQ856" s="34">
        <f t="shared" ca="1" si="715"/>
        <v>71467</v>
      </c>
      <c r="BR856" s="23">
        <f t="shared" ca="1" si="716"/>
        <v>7955.8381650260162</v>
      </c>
      <c r="BS856" s="24">
        <f t="shared" ca="1" si="717"/>
        <v>0</v>
      </c>
      <c r="BT856" s="24">
        <f t="shared" ca="1" si="722"/>
        <v>0</v>
      </c>
      <c r="BU856" s="24">
        <f t="shared" ca="1" si="718"/>
        <v>0</v>
      </c>
      <c r="BV856" s="24">
        <f t="shared" ca="1" si="723"/>
        <v>0</v>
      </c>
      <c r="BW856" s="24">
        <f t="shared" ca="1" si="719"/>
        <v>-125.74045881848903</v>
      </c>
      <c r="BX856" s="25">
        <f t="shared" ca="1" si="724"/>
        <v>-1534.7994391011339</v>
      </c>
      <c r="BY856" s="23">
        <f t="shared" ca="1" si="691"/>
        <v>496.10909042953148</v>
      </c>
      <c r="BZ856" s="24">
        <f t="shared" ca="1" si="692"/>
        <v>0</v>
      </c>
      <c r="CA856" s="24">
        <f t="shared" ca="1" si="725"/>
        <v>0</v>
      </c>
      <c r="CB856" s="24">
        <f t="shared" ca="1" si="693"/>
        <v>0</v>
      </c>
      <c r="CC856" s="24">
        <f t="shared" ca="1" si="726"/>
        <v>0</v>
      </c>
      <c r="CD856" s="24">
        <f t="shared" ca="1" si="694"/>
        <v>-7.8665757733578126</v>
      </c>
      <c r="CE856" s="25">
        <f t="shared" ca="1" si="727"/>
        <v>-97.795133838254614</v>
      </c>
      <c r="CF856" s="23">
        <f t="shared" ca="1" si="728"/>
        <v>4221078.305376241</v>
      </c>
      <c r="CG856" s="25">
        <f t="array" aca="1" ref="CG856" ca="1">SUM(BF845:BF856/(1+inflation/100)^(AP845:AP856/12))</f>
        <v>267980.53702225391</v>
      </c>
      <c r="CH856" s="32">
        <f ca="1">IFERROR(IF(MOD(AP856-ap_months_since_start,12)=0,ap_drawdown/100*(AQ856+AV856+BA856-BC856),CH855),0)</f>
        <v>1325.1819004818451</v>
      </c>
    </row>
    <row r="857" spans="40:86" x14ac:dyDescent="0.25">
      <c r="AN857" s="32">
        <f t="shared" ca="1" si="689"/>
        <v>125.66666666666667</v>
      </c>
      <c r="AO857" s="53">
        <f t="shared" ca="1" si="720"/>
        <v>71468</v>
      </c>
      <c r="AP857" s="22">
        <v>850</v>
      </c>
      <c r="AQ857" s="32">
        <f t="shared" ca="1" si="721"/>
        <v>7955.8381650260162</v>
      </c>
      <c r="AR857" s="23">
        <f t="array" aca="1" ref="AR857" ca="1">SUM(IF(lsc_start_date=AO857,lsc_amount,0))</f>
        <v>0</v>
      </c>
      <c r="AS857" s="24">
        <f t="shared" ca="1" si="695"/>
        <v>0</v>
      </c>
      <c r="AT857" s="24">
        <f t="shared" ca="1" si="696"/>
        <v>0</v>
      </c>
      <c r="AU857" s="24">
        <f t="shared" ca="1" si="697"/>
        <v>0</v>
      </c>
      <c r="AV857" s="25">
        <f t="shared" ca="1" si="698"/>
        <v>0</v>
      </c>
      <c r="AW857" s="23">
        <f t="array" aca="1" ref="AW857" ca="1">SUM(IF(rcs_start_date&lt;=AO857,1,0)*IF(rcs_end_date&gt;=AO857,1,0)*rcs_amount*(1+rcs_escalation/100)^(INT((AP857-rcs_months_since_start)/12))*IF(MOD((AP857-rcs_months_since_start),rcs_frequency)=0,1,0)*IF(rcs_frequency=13,0,1))+SUM(IF(rcs_start_date=AO857,rcs_amount,0)*IF(rcs_frequency=13,1,0))</f>
        <v>0</v>
      </c>
      <c r="AX857" s="24">
        <f t="shared" ca="1" si="699"/>
        <v>0</v>
      </c>
      <c r="AY857" s="24">
        <f t="shared" ca="1" si="700"/>
        <v>0</v>
      </c>
      <c r="AZ857" s="24">
        <f t="shared" ca="1" si="701"/>
        <v>0</v>
      </c>
      <c r="BA857" s="25">
        <f t="shared" ca="1" si="702"/>
        <v>0</v>
      </c>
      <c r="BB857" s="23">
        <f t="array" aca="1" ref="BB857" ca="1">SUM(IF(w_start_date&lt;=AO857,1,0)*IF(w_end_date&gt;=AO857,1,0)*w_amount*(1+w_escalation/100)^(INT((AP857-w_months_since_start)/12))*IF(MOD(AP857-w_months_since_start,w_frequency)=0,1,0)*IF(w_frequency=13,0,1))+SUM(IF(w_start_date=AO857,w_amount,0)*IF(w_frequency=13,1,0))</f>
        <v>0</v>
      </c>
      <c r="BC857" s="25">
        <f t="shared" ca="1" si="703"/>
        <v>0</v>
      </c>
      <c r="BD857" s="24" t="b">
        <f t="shared" ca="1" si="704"/>
        <v>1</v>
      </c>
      <c r="BE857" s="24" t="b">
        <f t="shared" ca="1" si="705"/>
        <v>1</v>
      </c>
      <c r="BF857" s="23">
        <f t="array" aca="1" ref="BF857" ca="1">SUM(IF(BD857,1,0)*IF(ap_start_date&lt;=AO857,1,0)*IF(ap_end_date&gt;=AO857,1,0)*ap_amount*(1+ap_escalation/100)^(INT((AP857-ap_months_since_start)/12))*IF(MOD(AP857-ap_months_since_start,ap_frequency)=0,1,0))</f>
        <v>354025.92238639435</v>
      </c>
      <c r="BG857" s="24">
        <f t="shared" ca="1" si="706"/>
        <v>4248311.0686367322</v>
      </c>
      <c r="BH857" s="24">
        <f t="shared" ca="1" si="707"/>
        <v>215.55507226026694</v>
      </c>
      <c r="BI857">
        <f t="shared" ca="1" si="708"/>
        <v>0</v>
      </c>
      <c r="BJ857" s="24">
        <f t="shared" ca="1" si="709"/>
        <v>1508.8855058218685</v>
      </c>
      <c r="BK857">
        <f t="shared" ca="1" si="710"/>
        <v>1</v>
      </c>
      <c r="BL857" s="25">
        <f t="shared" ca="1" si="711"/>
        <v>125.74045881848903</v>
      </c>
      <c r="BM857" s="32">
        <f t="shared" ca="1" si="690"/>
        <v>7886.5317519731052</v>
      </c>
      <c r="BN857" s="23">
        <f t="shared" ca="1" si="712"/>
        <v>0</v>
      </c>
      <c r="BO857" s="24">
        <f t="shared" ca="1" si="713"/>
        <v>0</v>
      </c>
      <c r="BP857" s="25">
        <f t="shared" ca="1" si="714"/>
        <v>0</v>
      </c>
      <c r="BQ857" s="34">
        <f t="shared" ca="1" si="715"/>
        <v>71497</v>
      </c>
      <c r="BR857" s="23">
        <f t="shared" ca="1" si="716"/>
        <v>7886.5317519731052</v>
      </c>
      <c r="BS857" s="24">
        <f t="shared" ca="1" si="717"/>
        <v>0</v>
      </c>
      <c r="BT857" s="24">
        <f t="shared" ca="1" si="722"/>
        <v>0</v>
      </c>
      <c r="BU857" s="24">
        <f t="shared" ca="1" si="718"/>
        <v>0</v>
      </c>
      <c r="BV857" s="24">
        <f t="shared" ca="1" si="723"/>
        <v>0</v>
      </c>
      <c r="BW857" s="24">
        <f t="shared" ca="1" si="719"/>
        <v>-125.74045881848903</v>
      </c>
      <c r="BX857" s="25">
        <f t="shared" ca="1" si="724"/>
        <v>-1521.8424724615013</v>
      </c>
      <c r="BY857" s="23">
        <f t="shared" ca="1" si="691"/>
        <v>490.18256026147765</v>
      </c>
      <c r="BZ857" s="24">
        <f t="shared" ca="1" si="692"/>
        <v>0</v>
      </c>
      <c r="CA857" s="24">
        <f t="shared" ca="1" si="725"/>
        <v>0</v>
      </c>
      <c r="CB857" s="24">
        <f t="shared" ca="1" si="693"/>
        <v>0</v>
      </c>
      <c r="CC857" s="24">
        <f t="shared" ca="1" si="726"/>
        <v>0</v>
      </c>
      <c r="CD857" s="24">
        <f t="shared" ca="1" si="694"/>
        <v>-7.8409066852139215</v>
      </c>
      <c r="CE857" s="25">
        <f t="shared" ca="1" si="727"/>
        <v>-96.641210029418346</v>
      </c>
      <c r="CF857" s="23">
        <f t="shared" ca="1" si="728"/>
        <v>4234694.6870064866</v>
      </c>
      <c r="CG857" s="25">
        <f t="array" aca="1" ref="CG857" ca="1">SUM(BF846:BF857/(1+inflation/100)^(AP846:AP857/12))</f>
        <v>267980.53702225385</v>
      </c>
      <c r="CH857" s="32">
        <f ca="1">IFERROR(IF(MOD(AP857-ap_months_since_start,12)=0,ap_drawdown/100*(AQ857+AV857+BA857-BC857),CH856),0)</f>
        <v>1325.1819004818451</v>
      </c>
    </row>
    <row r="858" spans="40:86" x14ac:dyDescent="0.25">
      <c r="AN858" s="32">
        <f t="shared" ca="1" si="689"/>
        <v>125.75</v>
      </c>
      <c r="AO858" s="53">
        <f t="shared" ca="1" si="720"/>
        <v>71498</v>
      </c>
      <c r="AP858" s="22">
        <v>851</v>
      </c>
      <c r="AQ858" s="32">
        <f t="shared" ca="1" si="721"/>
        <v>7886.5317519731052</v>
      </c>
      <c r="AR858" s="23">
        <f t="array" aca="1" ref="AR858" ca="1">SUM(IF(lsc_start_date=AO858,lsc_amount,0))</f>
        <v>0</v>
      </c>
      <c r="AS858" s="24">
        <f t="shared" ca="1" si="695"/>
        <v>0</v>
      </c>
      <c r="AT858" s="24">
        <f t="shared" ca="1" si="696"/>
        <v>0</v>
      </c>
      <c r="AU858" s="24">
        <f t="shared" ca="1" si="697"/>
        <v>0</v>
      </c>
      <c r="AV858" s="25">
        <f t="shared" ca="1" si="698"/>
        <v>0</v>
      </c>
      <c r="AW858" s="23">
        <f t="array" aca="1" ref="AW858" ca="1">SUM(IF(rcs_start_date&lt;=AO858,1,0)*IF(rcs_end_date&gt;=AO858,1,0)*rcs_amount*(1+rcs_escalation/100)^(INT((AP858-rcs_months_since_start)/12))*IF(MOD((AP858-rcs_months_since_start),rcs_frequency)=0,1,0)*IF(rcs_frequency=13,0,1))+SUM(IF(rcs_start_date=AO858,rcs_amount,0)*IF(rcs_frequency=13,1,0))</f>
        <v>0</v>
      </c>
      <c r="AX858" s="24">
        <f t="shared" ca="1" si="699"/>
        <v>0</v>
      </c>
      <c r="AY858" s="24">
        <f t="shared" ca="1" si="700"/>
        <v>0</v>
      </c>
      <c r="AZ858" s="24">
        <f t="shared" ca="1" si="701"/>
        <v>0</v>
      </c>
      <c r="BA858" s="25">
        <f t="shared" ca="1" si="702"/>
        <v>0</v>
      </c>
      <c r="BB858" s="23">
        <f t="array" aca="1" ref="BB858" ca="1">SUM(IF(w_start_date&lt;=AO858,1,0)*IF(w_end_date&gt;=AO858,1,0)*w_amount*(1+w_escalation/100)^(INT((AP858-w_months_since_start)/12))*IF(MOD(AP858-w_months_since_start,w_frequency)=0,1,0)*IF(w_frequency=13,0,1))+SUM(IF(w_start_date=AO858,w_amount,0)*IF(w_frequency=13,1,0))</f>
        <v>0</v>
      </c>
      <c r="BC858" s="25">
        <f t="shared" ca="1" si="703"/>
        <v>0</v>
      </c>
      <c r="BD858" s="24" t="b">
        <f t="shared" ca="1" si="704"/>
        <v>1</v>
      </c>
      <c r="BE858" s="24" t="b">
        <f t="shared" ca="1" si="705"/>
        <v>1</v>
      </c>
      <c r="BF858" s="23">
        <f t="array" aca="1" ref="BF858" ca="1">SUM(IF(BD858,1,0)*IF(ap_start_date&lt;=AO858,1,0)*IF(ap_end_date&gt;=AO858,1,0)*ap_amount*(1+ap_escalation/100)^(INT((AP858-ap_months_since_start)/12))*IF(MOD(AP858-ap_months_since_start,ap_frequency)=0,1,0))</f>
        <v>354025.92238639435</v>
      </c>
      <c r="BG858" s="24">
        <f t="shared" ca="1" si="706"/>
        <v>4248311.0686367322</v>
      </c>
      <c r="BH858" s="24">
        <f t="shared" ca="1" si="707"/>
        <v>215.55507226026694</v>
      </c>
      <c r="BI858">
        <f t="shared" ca="1" si="708"/>
        <v>0</v>
      </c>
      <c r="BJ858" s="24">
        <f t="shared" ca="1" si="709"/>
        <v>1508.8855058218685</v>
      </c>
      <c r="BK858">
        <f t="shared" ca="1" si="710"/>
        <v>1</v>
      </c>
      <c r="BL858" s="25">
        <f t="shared" ca="1" si="711"/>
        <v>125.74045881848903</v>
      </c>
      <c r="BM858" s="32">
        <f t="shared" ca="1" si="690"/>
        <v>7816.72582519344</v>
      </c>
      <c r="BN858" s="23">
        <f t="shared" ca="1" si="712"/>
        <v>0</v>
      </c>
      <c r="BO858" s="24">
        <f t="shared" ca="1" si="713"/>
        <v>0</v>
      </c>
      <c r="BP858" s="25">
        <f t="shared" ca="1" si="714"/>
        <v>0</v>
      </c>
      <c r="BQ858" s="34">
        <f t="shared" ca="1" si="715"/>
        <v>71528</v>
      </c>
      <c r="BR858" s="23">
        <f t="shared" ca="1" si="716"/>
        <v>7816.72582519344</v>
      </c>
      <c r="BS858" s="24">
        <f t="shared" ca="1" si="717"/>
        <v>0</v>
      </c>
      <c r="BT858" s="24">
        <f t="shared" ca="1" si="722"/>
        <v>0</v>
      </c>
      <c r="BU858" s="24">
        <f t="shared" ca="1" si="718"/>
        <v>0</v>
      </c>
      <c r="BV858" s="24">
        <f t="shared" ca="1" si="723"/>
        <v>0</v>
      </c>
      <c r="BW858" s="24">
        <f t="shared" ca="1" si="719"/>
        <v>-125.74045881848903</v>
      </c>
      <c r="BX858" s="25">
        <f t="shared" ca="1" si="724"/>
        <v>-1508.8855058218685</v>
      </c>
      <c r="BY858" s="23">
        <f t="shared" ca="1" si="691"/>
        <v>484.25847930403359</v>
      </c>
      <c r="BZ858" s="24">
        <f t="shared" ca="1" si="692"/>
        <v>0</v>
      </c>
      <c r="CA858" s="24">
        <f t="shared" ca="1" si="725"/>
        <v>0</v>
      </c>
      <c r="CB858" s="24">
        <f t="shared" ca="1" si="693"/>
        <v>0</v>
      </c>
      <c r="CC858" s="24">
        <f t="shared" ca="1" si="726"/>
        <v>0</v>
      </c>
      <c r="CD858" s="24">
        <f t="shared" ca="1" si="694"/>
        <v>-7.8153213567775719</v>
      </c>
      <c r="CE858" s="25">
        <f t="shared" ca="1" si="727"/>
        <v>-95.491051540184102</v>
      </c>
      <c r="CF858" s="23">
        <f t="shared" ca="1" si="728"/>
        <v>4248311.0686367322</v>
      </c>
      <c r="CG858" s="25">
        <f t="array" aca="1" ref="CG858" ca="1">SUM(BF847:BF858/(1+inflation/100)^(AP847:AP858/12))</f>
        <v>267980.53702225391</v>
      </c>
      <c r="CH858" s="32">
        <f ca="1">IFERROR(IF(MOD(AP858-ap_months_since_start,12)=0,ap_drawdown/100*(AQ858+AV858+BA858-BC858),CH857),0)</f>
        <v>1325.1819004818451</v>
      </c>
    </row>
    <row r="859" spans="40:86" x14ac:dyDescent="0.25">
      <c r="AN859" s="32">
        <f t="shared" ca="1" si="689"/>
        <v>125.83333333333333</v>
      </c>
      <c r="AO859" s="53">
        <f t="shared" ca="1" si="720"/>
        <v>71529</v>
      </c>
      <c r="AP859" s="22">
        <v>852</v>
      </c>
      <c r="AQ859" s="32">
        <f t="shared" ca="1" si="721"/>
        <v>7816.72582519344</v>
      </c>
      <c r="AR859" s="23">
        <f t="array" aca="1" ref="AR859" ca="1">SUM(IF(lsc_start_date=AO859,lsc_amount,0))</f>
        <v>0</v>
      </c>
      <c r="AS859" s="24">
        <f t="shared" ca="1" si="695"/>
        <v>0</v>
      </c>
      <c r="AT859" s="24">
        <f t="shared" ca="1" si="696"/>
        <v>0</v>
      </c>
      <c r="AU859" s="24">
        <f t="shared" ca="1" si="697"/>
        <v>0</v>
      </c>
      <c r="AV859" s="25">
        <f t="shared" ca="1" si="698"/>
        <v>0</v>
      </c>
      <c r="AW859" s="23">
        <f t="array" aca="1" ref="AW859" ca="1">SUM(IF(rcs_start_date&lt;=AO859,1,0)*IF(rcs_end_date&gt;=AO859,1,0)*rcs_amount*(1+rcs_escalation/100)^(INT((AP859-rcs_months_since_start)/12))*IF(MOD((AP859-rcs_months_since_start),rcs_frequency)=0,1,0)*IF(rcs_frequency=13,0,1))+SUM(IF(rcs_start_date=AO859,rcs_amount,0)*IF(rcs_frequency=13,1,0))</f>
        <v>0</v>
      </c>
      <c r="AX859" s="24">
        <f t="shared" ca="1" si="699"/>
        <v>0</v>
      </c>
      <c r="AY859" s="24">
        <f t="shared" ca="1" si="700"/>
        <v>0</v>
      </c>
      <c r="AZ859" s="24">
        <f t="shared" ca="1" si="701"/>
        <v>0</v>
      </c>
      <c r="BA859" s="25">
        <f t="shared" ca="1" si="702"/>
        <v>0</v>
      </c>
      <c r="BB859" s="23">
        <f t="array" aca="1" ref="BB859" ca="1">SUM(IF(w_start_date&lt;=AO859,1,0)*IF(w_end_date&gt;=AO859,1,0)*w_amount*(1+w_escalation/100)^(INT((AP859-w_months_since_start)/12))*IF(MOD(AP859-w_months_since_start,w_frequency)=0,1,0)*IF(w_frequency=13,0,1))+SUM(IF(w_start_date=AO859,w_amount,0)*IF(w_frequency=13,1,0))</f>
        <v>0</v>
      </c>
      <c r="BC859" s="25">
        <f t="shared" ca="1" si="703"/>
        <v>0</v>
      </c>
      <c r="BD859" s="24" t="b">
        <f t="shared" ca="1" si="704"/>
        <v>1</v>
      </c>
      <c r="BE859" s="24" t="b">
        <f t="shared" ca="1" si="705"/>
        <v>1</v>
      </c>
      <c r="BF859" s="23">
        <f t="array" aca="1" ref="BF859" ca="1">SUM(IF(BD859,1,0)*IF(ap_start_date&lt;=AO859,1,0)*IF(ap_end_date&gt;=AO859,1,0)*ap_amount*(1+ap_escalation/100)^(INT((AP859-ap_months_since_start)/12))*IF(MOD(AP859-ap_months_since_start,ap_frequency)=0,1,0))</f>
        <v>368186.95928185026</v>
      </c>
      <c r="BG859" s="24">
        <f t="shared" ca="1" si="706"/>
        <v>4418243.5113822026</v>
      </c>
      <c r="BH859" s="24">
        <f t="shared" ca="1" si="707"/>
        <v>195.418145629836</v>
      </c>
      <c r="BI859">
        <f t="shared" ca="1" si="708"/>
        <v>0</v>
      </c>
      <c r="BJ859" s="24">
        <f t="shared" ca="1" si="709"/>
        <v>1367.9270194088519</v>
      </c>
      <c r="BK859">
        <f t="shared" ca="1" si="710"/>
        <v>1</v>
      </c>
      <c r="BL859" s="25">
        <f t="shared" ca="1" si="711"/>
        <v>113.99391828407101</v>
      </c>
      <c r="BM859" s="32">
        <f t="shared" ca="1" si="690"/>
        <v>7758.2479861799875</v>
      </c>
      <c r="BN859" s="23">
        <f t="shared" ca="1" si="712"/>
        <v>0</v>
      </c>
      <c r="BO859" s="24">
        <f t="shared" ca="1" si="713"/>
        <v>0</v>
      </c>
      <c r="BP859" s="25">
        <f t="shared" ca="1" si="714"/>
        <v>0</v>
      </c>
      <c r="BQ859" s="34">
        <f t="shared" ca="1" si="715"/>
        <v>71558</v>
      </c>
      <c r="BR859" s="23">
        <f t="shared" ca="1" si="716"/>
        <v>7758.2479861799875</v>
      </c>
      <c r="BS859" s="24">
        <f t="shared" ca="1" si="717"/>
        <v>0</v>
      </c>
      <c r="BT859" s="24">
        <f t="shared" ca="1" si="722"/>
        <v>0</v>
      </c>
      <c r="BU859" s="24">
        <f t="shared" ca="1" si="718"/>
        <v>0</v>
      </c>
      <c r="BV859" s="24">
        <f t="shared" ca="1" si="723"/>
        <v>0</v>
      </c>
      <c r="BW859" s="24">
        <f t="shared" ca="1" si="719"/>
        <v>-113.99391828407101</v>
      </c>
      <c r="BX859" s="25">
        <f t="shared" ca="1" si="724"/>
        <v>-1497.1389652874504</v>
      </c>
      <c r="BY859" s="23">
        <f t="shared" ca="1" si="691"/>
        <v>479.06734323154637</v>
      </c>
      <c r="BZ859" s="24">
        <f t="shared" ca="1" si="692"/>
        <v>0</v>
      </c>
      <c r="CA859" s="24">
        <f t="shared" ca="1" si="725"/>
        <v>0</v>
      </c>
      <c r="CB859" s="24">
        <f t="shared" ca="1" si="693"/>
        <v>0</v>
      </c>
      <c r="CC859" s="24">
        <f t="shared" ca="1" si="726"/>
        <v>0</v>
      </c>
      <c r="CD859" s="24">
        <f t="shared" ca="1" si="694"/>
        <v>-7.0621028231838245</v>
      </c>
      <c r="CE859" s="25">
        <f t="shared" ca="1" si="727"/>
        <v>-94.451742068042464</v>
      </c>
      <c r="CF859" s="23">
        <f t="shared" ca="1" si="728"/>
        <v>4262472.105532188</v>
      </c>
      <c r="CG859" s="25">
        <f t="array" aca="1" ref="CG859" ca="1">SUM(BF848:BF859/(1+inflation/100)^(AP848:AP859/12))</f>
        <v>267980.53702225391</v>
      </c>
      <c r="CH859" s="32">
        <f ca="1">IFERROR(IF(MOD(AP859-ap_months_since_start,12)=0,ap_drawdown/100*(AQ859+AV859+BA859-BC859),CH858),0)</f>
        <v>1201.3848103824869</v>
      </c>
    </row>
    <row r="860" spans="40:86" x14ac:dyDescent="0.25">
      <c r="AN860" s="32">
        <f t="shared" ca="1" si="689"/>
        <v>125.91666666666667</v>
      </c>
      <c r="AO860" s="53">
        <f t="shared" ca="1" si="720"/>
        <v>71559</v>
      </c>
      <c r="AP860" s="22">
        <v>853</v>
      </c>
      <c r="AQ860" s="32">
        <f t="shared" ca="1" si="721"/>
        <v>7758.2479861799875</v>
      </c>
      <c r="AR860" s="23">
        <f t="array" aca="1" ref="AR860" ca="1">SUM(IF(lsc_start_date=AO860,lsc_amount,0))</f>
        <v>0</v>
      </c>
      <c r="AS860" s="24">
        <f t="shared" ca="1" si="695"/>
        <v>0</v>
      </c>
      <c r="AT860" s="24">
        <f t="shared" ca="1" si="696"/>
        <v>0</v>
      </c>
      <c r="AU860" s="24">
        <f t="shared" ca="1" si="697"/>
        <v>0</v>
      </c>
      <c r="AV860" s="25">
        <f t="shared" ca="1" si="698"/>
        <v>0</v>
      </c>
      <c r="AW860" s="23">
        <f t="array" aca="1" ref="AW860" ca="1">SUM(IF(rcs_start_date&lt;=AO860,1,0)*IF(rcs_end_date&gt;=AO860,1,0)*rcs_amount*(1+rcs_escalation/100)^(INT((AP860-rcs_months_since_start)/12))*IF(MOD((AP860-rcs_months_since_start),rcs_frequency)=0,1,0)*IF(rcs_frequency=13,0,1))+SUM(IF(rcs_start_date=AO860,rcs_amount,0)*IF(rcs_frequency=13,1,0))</f>
        <v>0</v>
      </c>
      <c r="AX860" s="24">
        <f t="shared" ca="1" si="699"/>
        <v>0</v>
      </c>
      <c r="AY860" s="24">
        <f t="shared" ca="1" si="700"/>
        <v>0</v>
      </c>
      <c r="AZ860" s="24">
        <f t="shared" ca="1" si="701"/>
        <v>0</v>
      </c>
      <c r="BA860" s="25">
        <f t="shared" ca="1" si="702"/>
        <v>0</v>
      </c>
      <c r="BB860" s="23">
        <f t="array" aca="1" ref="BB860" ca="1">SUM(IF(w_start_date&lt;=AO860,1,0)*IF(w_end_date&gt;=AO860,1,0)*w_amount*(1+w_escalation/100)^(INT((AP860-w_months_since_start)/12))*IF(MOD(AP860-w_months_since_start,w_frequency)=0,1,0)*IF(w_frequency=13,0,1))+SUM(IF(w_start_date=AO860,w_amount,0)*IF(w_frequency=13,1,0))</f>
        <v>0</v>
      </c>
      <c r="BC860" s="25">
        <f t="shared" ca="1" si="703"/>
        <v>0</v>
      </c>
      <c r="BD860" s="24" t="b">
        <f t="shared" ca="1" si="704"/>
        <v>1</v>
      </c>
      <c r="BE860" s="24" t="b">
        <f t="shared" ca="1" si="705"/>
        <v>1</v>
      </c>
      <c r="BF860" s="23">
        <f t="array" aca="1" ref="BF860" ca="1">SUM(IF(BD860,1,0)*IF(ap_start_date&lt;=AO860,1,0)*IF(ap_end_date&gt;=AO860,1,0)*ap_amount*(1+ap_escalation/100)^(INT((AP860-ap_months_since_start)/12))*IF(MOD(AP860-ap_months_since_start,ap_frequency)=0,1,0))</f>
        <v>368186.95928185026</v>
      </c>
      <c r="BG860" s="24">
        <f t="shared" ca="1" si="706"/>
        <v>4418243.5113822026</v>
      </c>
      <c r="BH860" s="24">
        <f t="shared" ca="1" si="707"/>
        <v>195.418145629836</v>
      </c>
      <c r="BI860">
        <f t="shared" ca="1" si="708"/>
        <v>0</v>
      </c>
      <c r="BJ860" s="24">
        <f t="shared" ca="1" si="709"/>
        <v>1367.9270194088519</v>
      </c>
      <c r="BK860">
        <f t="shared" ca="1" si="710"/>
        <v>1</v>
      </c>
      <c r="BL860" s="25">
        <f t="shared" ca="1" si="711"/>
        <v>113.99391828407101</v>
      </c>
      <c r="BM860" s="32">
        <f t="shared" ca="1" si="690"/>
        <v>7699.3486784739362</v>
      </c>
      <c r="BN860" s="23">
        <f t="shared" ca="1" si="712"/>
        <v>0</v>
      </c>
      <c r="BO860" s="24">
        <f t="shared" ca="1" si="713"/>
        <v>0</v>
      </c>
      <c r="BP860" s="25">
        <f t="shared" ca="1" si="714"/>
        <v>0</v>
      </c>
      <c r="BQ860" s="34">
        <f t="shared" ca="1" si="715"/>
        <v>71589</v>
      </c>
      <c r="BR860" s="23">
        <f t="shared" ca="1" si="716"/>
        <v>7699.3486784739362</v>
      </c>
      <c r="BS860" s="24">
        <f t="shared" ca="1" si="717"/>
        <v>0</v>
      </c>
      <c r="BT860" s="24">
        <f t="shared" ca="1" si="722"/>
        <v>0</v>
      </c>
      <c r="BU860" s="24">
        <f t="shared" ca="1" si="718"/>
        <v>0</v>
      </c>
      <c r="BV860" s="24">
        <f t="shared" ca="1" si="723"/>
        <v>0</v>
      </c>
      <c r="BW860" s="24">
        <f t="shared" ca="1" si="719"/>
        <v>-113.99391828407101</v>
      </c>
      <c r="BX860" s="25">
        <f t="shared" ca="1" si="724"/>
        <v>-1485.3924247530324</v>
      </c>
      <c r="BY860" s="23">
        <f t="shared" ca="1" si="691"/>
        <v>473.8789884192019</v>
      </c>
      <c r="BZ860" s="24">
        <f t="shared" ca="1" si="692"/>
        <v>0</v>
      </c>
      <c r="CA860" s="24">
        <f t="shared" ca="1" si="725"/>
        <v>0</v>
      </c>
      <c r="CB860" s="24">
        <f t="shared" ca="1" si="693"/>
        <v>0</v>
      </c>
      <c r="CC860" s="24">
        <f t="shared" ca="1" si="726"/>
        <v>0</v>
      </c>
      <c r="CD860" s="24">
        <f t="shared" ca="1" si="694"/>
        <v>-7.0390587764381571</v>
      </c>
      <c r="CE860" s="25">
        <f t="shared" ca="1" si="727"/>
        <v>-93.415823922345481</v>
      </c>
      <c r="CF860" s="23">
        <f t="shared" ca="1" si="728"/>
        <v>4276633.1424276438</v>
      </c>
      <c r="CG860" s="25">
        <f t="array" aca="1" ref="CG860" ca="1">SUM(BF849:BF860/(1+inflation/100)^(AP849:AP860/12))</f>
        <v>267980.53702225391</v>
      </c>
      <c r="CH860" s="32">
        <f ca="1">IFERROR(IF(MOD(AP860-ap_months_since_start,12)=0,ap_drawdown/100*(AQ860+AV860+BA860-BC860),CH859),0)</f>
        <v>1201.3848103824869</v>
      </c>
    </row>
    <row r="861" spans="40:86" x14ac:dyDescent="0.25">
      <c r="AN861" s="32">
        <f t="shared" ca="1" si="689"/>
        <v>126</v>
      </c>
      <c r="AO861" s="53">
        <f t="shared" ca="1" si="720"/>
        <v>71590</v>
      </c>
      <c r="AP861" s="22">
        <v>854</v>
      </c>
      <c r="AQ861" s="32">
        <f t="shared" ca="1" si="721"/>
        <v>7699.3486784739362</v>
      </c>
      <c r="AR861" s="23">
        <f t="array" aca="1" ref="AR861" ca="1">SUM(IF(lsc_start_date=AO861,lsc_amount,0))</f>
        <v>0</v>
      </c>
      <c r="AS861" s="24">
        <f t="shared" ca="1" si="695"/>
        <v>0</v>
      </c>
      <c r="AT861" s="24">
        <f t="shared" ca="1" si="696"/>
        <v>0</v>
      </c>
      <c r="AU861" s="24">
        <f t="shared" ca="1" si="697"/>
        <v>0</v>
      </c>
      <c r="AV861" s="25">
        <f t="shared" ca="1" si="698"/>
        <v>0</v>
      </c>
      <c r="AW861" s="23">
        <f t="array" aca="1" ref="AW861" ca="1">SUM(IF(rcs_start_date&lt;=AO861,1,0)*IF(rcs_end_date&gt;=AO861,1,0)*rcs_amount*(1+rcs_escalation/100)^(INT((AP861-rcs_months_since_start)/12))*IF(MOD((AP861-rcs_months_since_start),rcs_frequency)=0,1,0)*IF(rcs_frequency=13,0,1))+SUM(IF(rcs_start_date=AO861,rcs_amount,0)*IF(rcs_frequency=13,1,0))</f>
        <v>0</v>
      </c>
      <c r="AX861" s="24">
        <f t="shared" ca="1" si="699"/>
        <v>0</v>
      </c>
      <c r="AY861" s="24">
        <f t="shared" ca="1" si="700"/>
        <v>0</v>
      </c>
      <c r="AZ861" s="24">
        <f t="shared" ca="1" si="701"/>
        <v>0</v>
      </c>
      <c r="BA861" s="25">
        <f t="shared" ca="1" si="702"/>
        <v>0</v>
      </c>
      <c r="BB861" s="23">
        <f t="array" aca="1" ref="BB861" ca="1">SUM(IF(w_start_date&lt;=AO861,1,0)*IF(w_end_date&gt;=AO861,1,0)*w_amount*(1+w_escalation/100)^(INT((AP861-w_months_since_start)/12))*IF(MOD(AP861-w_months_since_start,w_frequency)=0,1,0)*IF(w_frequency=13,0,1))+SUM(IF(w_start_date=AO861,w_amount,0)*IF(w_frequency=13,1,0))</f>
        <v>0</v>
      </c>
      <c r="BC861" s="25">
        <f t="shared" ca="1" si="703"/>
        <v>0</v>
      </c>
      <c r="BD861" s="24" t="b">
        <f t="shared" ca="1" si="704"/>
        <v>1</v>
      </c>
      <c r="BE861" s="24" t="b">
        <f t="shared" ca="1" si="705"/>
        <v>1</v>
      </c>
      <c r="BF861" s="23">
        <f t="array" aca="1" ref="BF861" ca="1">SUM(IF(BD861,1,0)*IF(ap_start_date&lt;=AO861,1,0)*IF(ap_end_date&gt;=AO861,1,0)*ap_amount*(1+ap_escalation/100)^(INT((AP861-ap_months_since_start)/12))*IF(MOD(AP861-ap_months_since_start,ap_frequency)=0,1,0))</f>
        <v>368186.95928185026</v>
      </c>
      <c r="BG861" s="24">
        <f t="shared" ca="1" si="706"/>
        <v>4418243.5113822026</v>
      </c>
      <c r="BH861" s="24">
        <f t="shared" ca="1" si="707"/>
        <v>195.418145629836</v>
      </c>
      <c r="BI861">
        <f t="shared" ca="1" si="708"/>
        <v>0</v>
      </c>
      <c r="BJ861" s="24">
        <f t="shared" ca="1" si="709"/>
        <v>1367.9270194088519</v>
      </c>
      <c r="BK861">
        <f t="shared" ca="1" si="710"/>
        <v>1</v>
      </c>
      <c r="BL861" s="25">
        <f t="shared" ca="1" si="711"/>
        <v>113.99391828407101</v>
      </c>
      <c r="BM861" s="32">
        <f t="shared" ca="1" si="690"/>
        <v>7640.0248644141502</v>
      </c>
      <c r="BN861" s="23">
        <f t="shared" ca="1" si="712"/>
        <v>0</v>
      </c>
      <c r="BO861" s="24">
        <f t="shared" ca="1" si="713"/>
        <v>0</v>
      </c>
      <c r="BP861" s="25">
        <f t="shared" ca="1" si="714"/>
        <v>0</v>
      </c>
      <c r="BQ861" s="34">
        <f t="shared" ca="1" si="715"/>
        <v>71620</v>
      </c>
      <c r="BR861" s="23">
        <f t="shared" ca="1" si="716"/>
        <v>7640.0248644141502</v>
      </c>
      <c r="BS861" s="24">
        <f t="shared" ca="1" si="717"/>
        <v>0</v>
      </c>
      <c r="BT861" s="24">
        <f t="shared" ca="1" si="722"/>
        <v>0</v>
      </c>
      <c r="BU861" s="24">
        <f t="shared" ca="1" si="718"/>
        <v>0</v>
      </c>
      <c r="BV861" s="24">
        <f t="shared" ca="1" si="723"/>
        <v>0</v>
      </c>
      <c r="BW861" s="24">
        <f t="shared" ca="1" si="719"/>
        <v>-113.99391828407101</v>
      </c>
      <c r="BX861" s="25">
        <f t="shared" ca="1" si="724"/>
        <v>-1473.6458842186144</v>
      </c>
      <c r="BY861" s="23">
        <f t="shared" ca="1" si="691"/>
        <v>468.69335028275526</v>
      </c>
      <c r="BZ861" s="24">
        <f t="shared" ca="1" si="692"/>
        <v>0</v>
      </c>
      <c r="CA861" s="24">
        <f t="shared" ca="1" si="725"/>
        <v>0</v>
      </c>
      <c r="CB861" s="24">
        <f t="shared" ca="1" si="693"/>
        <v>0</v>
      </c>
      <c r="CC861" s="24">
        <f t="shared" ca="1" si="726"/>
        <v>0</v>
      </c>
      <c r="CD861" s="24">
        <f t="shared" ca="1" si="694"/>
        <v>-7.0160899237393339</v>
      </c>
      <c r="CE861" s="25">
        <f t="shared" ca="1" si="727"/>
        <v>-92.383286037000389</v>
      </c>
      <c r="CF861" s="23">
        <f t="shared" ca="1" si="728"/>
        <v>4290794.1793230996</v>
      </c>
      <c r="CG861" s="25">
        <f t="array" aca="1" ref="CG861" ca="1">SUM(BF850:BF861/(1+inflation/100)^(AP850:AP861/12))</f>
        <v>267980.53702225391</v>
      </c>
      <c r="CH861" s="32">
        <f ca="1">IFERROR(IF(MOD(AP861-ap_months_since_start,12)=0,ap_drawdown/100*(AQ861+AV861+BA861-BC861),CH860),0)</f>
        <v>1201.3848103824869</v>
      </c>
    </row>
    <row r="862" spans="40:86" x14ac:dyDescent="0.25">
      <c r="AN862" s="32">
        <f t="shared" ca="1" si="689"/>
        <v>126.08333333333333</v>
      </c>
      <c r="AO862" s="53">
        <f t="shared" ca="1" si="720"/>
        <v>71621</v>
      </c>
      <c r="AP862" s="22">
        <v>855</v>
      </c>
      <c r="AQ862" s="32">
        <f t="shared" ca="1" si="721"/>
        <v>7640.0248644141502</v>
      </c>
      <c r="AR862" s="23">
        <f t="array" aca="1" ref="AR862" ca="1">SUM(IF(lsc_start_date=AO862,lsc_amount,0))</f>
        <v>0</v>
      </c>
      <c r="AS862" s="24">
        <f t="shared" ca="1" si="695"/>
        <v>0</v>
      </c>
      <c r="AT862" s="24">
        <f t="shared" ca="1" si="696"/>
        <v>0</v>
      </c>
      <c r="AU862" s="24">
        <f t="shared" ca="1" si="697"/>
        <v>0</v>
      </c>
      <c r="AV862" s="25">
        <f t="shared" ca="1" si="698"/>
        <v>0</v>
      </c>
      <c r="AW862" s="23">
        <f t="array" aca="1" ref="AW862" ca="1">SUM(IF(rcs_start_date&lt;=AO862,1,0)*IF(rcs_end_date&gt;=AO862,1,0)*rcs_amount*(1+rcs_escalation/100)^(INT((AP862-rcs_months_since_start)/12))*IF(MOD((AP862-rcs_months_since_start),rcs_frequency)=0,1,0)*IF(rcs_frequency=13,0,1))+SUM(IF(rcs_start_date=AO862,rcs_amount,0)*IF(rcs_frequency=13,1,0))</f>
        <v>0</v>
      </c>
      <c r="AX862" s="24">
        <f t="shared" ca="1" si="699"/>
        <v>0</v>
      </c>
      <c r="AY862" s="24">
        <f t="shared" ca="1" si="700"/>
        <v>0</v>
      </c>
      <c r="AZ862" s="24">
        <f t="shared" ca="1" si="701"/>
        <v>0</v>
      </c>
      <c r="BA862" s="25">
        <f t="shared" ca="1" si="702"/>
        <v>0</v>
      </c>
      <c r="BB862" s="23">
        <f t="array" aca="1" ref="BB862" ca="1">SUM(IF(w_start_date&lt;=AO862,1,0)*IF(w_end_date&gt;=AO862,1,0)*w_amount*(1+w_escalation/100)^(INT((AP862-w_months_since_start)/12))*IF(MOD(AP862-w_months_since_start,w_frequency)=0,1,0)*IF(w_frequency=13,0,1))+SUM(IF(w_start_date=AO862,w_amount,0)*IF(w_frequency=13,1,0))</f>
        <v>0</v>
      </c>
      <c r="BC862" s="25">
        <f t="shared" ca="1" si="703"/>
        <v>0</v>
      </c>
      <c r="BD862" s="24" t="b">
        <f t="shared" ca="1" si="704"/>
        <v>1</v>
      </c>
      <c r="BE862" s="24" t="b">
        <f t="shared" ca="1" si="705"/>
        <v>1</v>
      </c>
      <c r="BF862" s="23">
        <f t="array" aca="1" ref="BF862" ca="1">SUM(IF(BD862,1,0)*IF(ap_start_date&lt;=AO862,1,0)*IF(ap_end_date&gt;=AO862,1,0)*ap_amount*(1+ap_escalation/100)^(INT((AP862-ap_months_since_start)/12))*IF(MOD(AP862-ap_months_since_start,ap_frequency)=0,1,0))</f>
        <v>368186.95928185026</v>
      </c>
      <c r="BG862" s="24">
        <f t="shared" ca="1" si="706"/>
        <v>4418243.5113822026</v>
      </c>
      <c r="BH862" s="24">
        <f t="shared" ca="1" si="707"/>
        <v>195.418145629836</v>
      </c>
      <c r="BI862">
        <f t="shared" ca="1" si="708"/>
        <v>0</v>
      </c>
      <c r="BJ862" s="24">
        <f t="shared" ca="1" si="709"/>
        <v>1367.9270194088519</v>
      </c>
      <c r="BK862">
        <f t="shared" ca="1" si="710"/>
        <v>1</v>
      </c>
      <c r="BL862" s="25">
        <f t="shared" ca="1" si="711"/>
        <v>113.99391828407101</v>
      </c>
      <c r="BM862" s="32">
        <f t="shared" ca="1" si="690"/>
        <v>7580.2734844460892</v>
      </c>
      <c r="BN862" s="23">
        <f t="shared" ca="1" si="712"/>
        <v>0</v>
      </c>
      <c r="BO862" s="24">
        <f t="shared" ca="1" si="713"/>
        <v>0</v>
      </c>
      <c r="BP862" s="25">
        <f t="shared" ca="1" si="714"/>
        <v>0</v>
      </c>
      <c r="BQ862" s="34">
        <f t="shared" ca="1" si="715"/>
        <v>71649</v>
      </c>
      <c r="BR862" s="23">
        <f t="shared" ca="1" si="716"/>
        <v>7580.2734844460892</v>
      </c>
      <c r="BS862" s="24">
        <f t="shared" ca="1" si="717"/>
        <v>0</v>
      </c>
      <c r="BT862" s="24">
        <f t="shared" ca="1" si="722"/>
        <v>0</v>
      </c>
      <c r="BU862" s="24">
        <f t="shared" ca="1" si="718"/>
        <v>0</v>
      </c>
      <c r="BV862" s="24">
        <f t="shared" ca="1" si="723"/>
        <v>0</v>
      </c>
      <c r="BW862" s="24">
        <f t="shared" ca="1" si="719"/>
        <v>-113.99391828407101</v>
      </c>
      <c r="BX862" s="25">
        <f t="shared" ca="1" si="724"/>
        <v>-1461.8993436841963</v>
      </c>
      <c r="BY862" s="23">
        <f t="shared" ca="1" si="691"/>
        <v>463.5103642310695</v>
      </c>
      <c r="BZ862" s="24">
        <f t="shared" ca="1" si="692"/>
        <v>0</v>
      </c>
      <c r="CA862" s="24">
        <f t="shared" ca="1" si="725"/>
        <v>0</v>
      </c>
      <c r="CB862" s="24">
        <f t="shared" ca="1" si="693"/>
        <v>0</v>
      </c>
      <c r="CC862" s="24">
        <f t="shared" ca="1" si="726"/>
        <v>0</v>
      </c>
      <c r="CD862" s="24">
        <f t="shared" ca="1" si="694"/>
        <v>-6.9931960197248442</v>
      </c>
      <c r="CE862" s="25">
        <f t="shared" ca="1" si="727"/>
        <v>-91.354117382023688</v>
      </c>
      <c r="CF862" s="23">
        <f t="shared" ca="1" si="728"/>
        <v>4304955.2162185553</v>
      </c>
      <c r="CG862" s="25">
        <f t="array" aca="1" ref="CG862" ca="1">SUM(BF851:BF862/(1+inflation/100)^(AP851:AP862/12))</f>
        <v>267980.53702225385</v>
      </c>
      <c r="CH862" s="32">
        <f ca="1">IFERROR(IF(MOD(AP862-ap_months_since_start,12)=0,ap_drawdown/100*(AQ862+AV862+BA862-BC862),CH861),0)</f>
        <v>1201.3848103824869</v>
      </c>
    </row>
    <row r="863" spans="40:86" x14ac:dyDescent="0.25">
      <c r="AN863" s="32">
        <f t="shared" ca="1" si="689"/>
        <v>126.16666666666667</v>
      </c>
      <c r="AO863" s="53">
        <f t="shared" ca="1" si="720"/>
        <v>71650</v>
      </c>
      <c r="AP863" s="22">
        <v>856</v>
      </c>
      <c r="AQ863" s="32">
        <f t="shared" ca="1" si="721"/>
        <v>7580.2734844460892</v>
      </c>
      <c r="AR863" s="23">
        <f t="array" aca="1" ref="AR863" ca="1">SUM(IF(lsc_start_date=AO863,lsc_amount,0))</f>
        <v>0</v>
      </c>
      <c r="AS863" s="24">
        <f t="shared" ca="1" si="695"/>
        <v>0</v>
      </c>
      <c r="AT863" s="24">
        <f t="shared" ca="1" si="696"/>
        <v>0</v>
      </c>
      <c r="AU863" s="24">
        <f t="shared" ca="1" si="697"/>
        <v>0</v>
      </c>
      <c r="AV863" s="25">
        <f t="shared" ca="1" si="698"/>
        <v>0</v>
      </c>
      <c r="AW863" s="23">
        <f t="array" aca="1" ref="AW863" ca="1">SUM(IF(rcs_start_date&lt;=AO863,1,0)*IF(rcs_end_date&gt;=AO863,1,0)*rcs_amount*(1+rcs_escalation/100)^(INT((AP863-rcs_months_since_start)/12))*IF(MOD((AP863-rcs_months_since_start),rcs_frequency)=0,1,0)*IF(rcs_frequency=13,0,1))+SUM(IF(rcs_start_date=AO863,rcs_amount,0)*IF(rcs_frequency=13,1,0))</f>
        <v>0</v>
      </c>
      <c r="AX863" s="24">
        <f t="shared" ca="1" si="699"/>
        <v>0</v>
      </c>
      <c r="AY863" s="24">
        <f t="shared" ca="1" si="700"/>
        <v>0</v>
      </c>
      <c r="AZ863" s="24">
        <f t="shared" ca="1" si="701"/>
        <v>0</v>
      </c>
      <c r="BA863" s="25">
        <f t="shared" ca="1" si="702"/>
        <v>0</v>
      </c>
      <c r="BB863" s="23">
        <f t="array" aca="1" ref="BB863" ca="1">SUM(IF(w_start_date&lt;=AO863,1,0)*IF(w_end_date&gt;=AO863,1,0)*w_amount*(1+w_escalation/100)^(INT((AP863-w_months_since_start)/12))*IF(MOD(AP863-w_months_since_start,w_frequency)=0,1,0)*IF(w_frequency=13,0,1))+SUM(IF(w_start_date=AO863,w_amount,0)*IF(w_frequency=13,1,0))</f>
        <v>0</v>
      </c>
      <c r="BC863" s="25">
        <f t="shared" ca="1" si="703"/>
        <v>0</v>
      </c>
      <c r="BD863" s="24" t="b">
        <f t="shared" ca="1" si="704"/>
        <v>1</v>
      </c>
      <c r="BE863" s="24" t="b">
        <f t="shared" ca="1" si="705"/>
        <v>1</v>
      </c>
      <c r="BF863" s="23">
        <f t="array" aca="1" ref="BF863" ca="1">SUM(IF(BD863,1,0)*IF(ap_start_date&lt;=AO863,1,0)*IF(ap_end_date&gt;=AO863,1,0)*ap_amount*(1+ap_escalation/100)^(INT((AP863-ap_months_since_start)/12))*IF(MOD(AP863-ap_months_since_start,ap_frequency)=0,1,0))</f>
        <v>368186.95928185026</v>
      </c>
      <c r="BG863" s="24">
        <f t="shared" ca="1" si="706"/>
        <v>4418243.5113822026</v>
      </c>
      <c r="BH863" s="24">
        <f t="shared" ca="1" si="707"/>
        <v>195.418145629836</v>
      </c>
      <c r="BI863">
        <f t="shared" ca="1" si="708"/>
        <v>0</v>
      </c>
      <c r="BJ863" s="24">
        <f t="shared" ca="1" si="709"/>
        <v>1367.9270194088519</v>
      </c>
      <c r="BK863">
        <f t="shared" ca="1" si="710"/>
        <v>1</v>
      </c>
      <c r="BL863" s="25">
        <f t="shared" ca="1" si="711"/>
        <v>113.99391828407101</v>
      </c>
      <c r="BM863" s="32">
        <f t="shared" ca="1" si="690"/>
        <v>7520.0914569640127</v>
      </c>
      <c r="BN863" s="23">
        <f t="shared" ca="1" si="712"/>
        <v>0</v>
      </c>
      <c r="BO863" s="24">
        <f t="shared" ca="1" si="713"/>
        <v>0</v>
      </c>
      <c r="BP863" s="25">
        <f t="shared" ca="1" si="714"/>
        <v>0</v>
      </c>
      <c r="BQ863" s="34">
        <f t="shared" ca="1" si="715"/>
        <v>71680</v>
      </c>
      <c r="BR863" s="23">
        <f t="shared" ca="1" si="716"/>
        <v>7520.0914569640127</v>
      </c>
      <c r="BS863" s="24">
        <f t="shared" ca="1" si="717"/>
        <v>0</v>
      </c>
      <c r="BT863" s="24">
        <f t="shared" ca="1" si="722"/>
        <v>0</v>
      </c>
      <c r="BU863" s="24">
        <f t="shared" ca="1" si="718"/>
        <v>0</v>
      </c>
      <c r="BV863" s="24">
        <f t="shared" ca="1" si="723"/>
        <v>0</v>
      </c>
      <c r="BW863" s="24">
        <f t="shared" ca="1" si="719"/>
        <v>-113.99391828407101</v>
      </c>
      <c r="BX863" s="25">
        <f t="shared" ca="1" si="724"/>
        <v>-1450.1528031497785</v>
      </c>
      <c r="BY863" s="23">
        <f t="shared" ca="1" si="691"/>
        <v>458.3299656652822</v>
      </c>
      <c r="BZ863" s="24">
        <f t="shared" ca="1" si="692"/>
        <v>0</v>
      </c>
      <c r="CA863" s="24">
        <f t="shared" ca="1" si="725"/>
        <v>0</v>
      </c>
      <c r="CB863" s="24">
        <f t="shared" ca="1" si="693"/>
        <v>0</v>
      </c>
      <c r="CC863" s="24">
        <f t="shared" ca="1" si="726"/>
        <v>0</v>
      </c>
      <c r="CD863" s="24">
        <f t="shared" ca="1" si="694"/>
        <v>-6.9703768198328389</v>
      </c>
      <c r="CE863" s="25">
        <f t="shared" ca="1" si="727"/>
        <v>-90.328306963423344</v>
      </c>
      <c r="CF863" s="23">
        <f t="shared" ca="1" si="728"/>
        <v>4319116.2531140111</v>
      </c>
      <c r="CG863" s="25">
        <f t="array" aca="1" ref="CG863" ca="1">SUM(BF852:BF863/(1+inflation/100)^(AP852:AP863/12))</f>
        <v>267980.53702225385</v>
      </c>
      <c r="CH863" s="32">
        <f ca="1">IFERROR(IF(MOD(AP863-ap_months_since_start,12)=0,ap_drawdown/100*(AQ863+AV863+BA863-BC863),CH862),0)</f>
        <v>1201.3848103824869</v>
      </c>
    </row>
    <row r="864" spans="40:86" x14ac:dyDescent="0.25">
      <c r="AN864" s="32">
        <f t="shared" ca="1" si="689"/>
        <v>126.25</v>
      </c>
      <c r="AO864" s="53">
        <f t="shared" ca="1" si="720"/>
        <v>71681</v>
      </c>
      <c r="AP864" s="22">
        <v>857</v>
      </c>
      <c r="AQ864" s="32">
        <f t="shared" ca="1" si="721"/>
        <v>7520.0914569640127</v>
      </c>
      <c r="AR864" s="23">
        <f t="array" aca="1" ref="AR864" ca="1">SUM(IF(lsc_start_date=AO864,lsc_amount,0))</f>
        <v>0</v>
      </c>
      <c r="AS864" s="24">
        <f t="shared" ca="1" si="695"/>
        <v>0</v>
      </c>
      <c r="AT864" s="24">
        <f t="shared" ca="1" si="696"/>
        <v>0</v>
      </c>
      <c r="AU864" s="24">
        <f t="shared" ca="1" si="697"/>
        <v>0</v>
      </c>
      <c r="AV864" s="25">
        <f t="shared" ca="1" si="698"/>
        <v>0</v>
      </c>
      <c r="AW864" s="23">
        <f t="array" aca="1" ref="AW864" ca="1">SUM(IF(rcs_start_date&lt;=AO864,1,0)*IF(rcs_end_date&gt;=AO864,1,0)*rcs_amount*(1+rcs_escalation/100)^(INT((AP864-rcs_months_since_start)/12))*IF(MOD((AP864-rcs_months_since_start),rcs_frequency)=0,1,0)*IF(rcs_frequency=13,0,1))+SUM(IF(rcs_start_date=AO864,rcs_amount,0)*IF(rcs_frequency=13,1,0))</f>
        <v>0</v>
      </c>
      <c r="AX864" s="24">
        <f t="shared" ca="1" si="699"/>
        <v>0</v>
      </c>
      <c r="AY864" s="24">
        <f t="shared" ca="1" si="700"/>
        <v>0</v>
      </c>
      <c r="AZ864" s="24">
        <f t="shared" ca="1" si="701"/>
        <v>0</v>
      </c>
      <c r="BA864" s="25">
        <f t="shared" ca="1" si="702"/>
        <v>0</v>
      </c>
      <c r="BB864" s="23">
        <f t="array" aca="1" ref="BB864" ca="1">SUM(IF(w_start_date&lt;=AO864,1,0)*IF(w_end_date&gt;=AO864,1,0)*w_amount*(1+w_escalation/100)^(INT((AP864-w_months_since_start)/12))*IF(MOD(AP864-w_months_since_start,w_frequency)=0,1,0)*IF(w_frequency=13,0,1))+SUM(IF(w_start_date=AO864,w_amount,0)*IF(w_frequency=13,1,0))</f>
        <v>0</v>
      </c>
      <c r="BC864" s="25">
        <f t="shared" ca="1" si="703"/>
        <v>0</v>
      </c>
      <c r="BD864" s="24" t="b">
        <f t="shared" ca="1" si="704"/>
        <v>1</v>
      </c>
      <c r="BE864" s="24" t="b">
        <f t="shared" ca="1" si="705"/>
        <v>1</v>
      </c>
      <c r="BF864" s="23">
        <f t="array" aca="1" ref="BF864" ca="1">SUM(IF(BD864,1,0)*IF(ap_start_date&lt;=AO864,1,0)*IF(ap_end_date&gt;=AO864,1,0)*ap_amount*(1+ap_escalation/100)^(INT((AP864-ap_months_since_start)/12))*IF(MOD(AP864-ap_months_since_start,ap_frequency)=0,1,0))</f>
        <v>368186.95928185026</v>
      </c>
      <c r="BG864" s="24">
        <f t="shared" ca="1" si="706"/>
        <v>4418243.5113822026</v>
      </c>
      <c r="BH864" s="24">
        <f t="shared" ca="1" si="707"/>
        <v>195.418145629836</v>
      </c>
      <c r="BI864">
        <f t="shared" ca="1" si="708"/>
        <v>0</v>
      </c>
      <c r="BJ864" s="24">
        <f t="shared" ca="1" si="709"/>
        <v>1367.9270194088519</v>
      </c>
      <c r="BK864">
        <f t="shared" ca="1" si="710"/>
        <v>1</v>
      </c>
      <c r="BL864" s="25">
        <f t="shared" ca="1" si="711"/>
        <v>113.99391828407101</v>
      </c>
      <c r="BM864" s="32">
        <f t="shared" ca="1" si="690"/>
        <v>7459.4756781520528</v>
      </c>
      <c r="BN864" s="23">
        <f t="shared" ca="1" si="712"/>
        <v>0</v>
      </c>
      <c r="BO864" s="24">
        <f t="shared" ca="1" si="713"/>
        <v>0</v>
      </c>
      <c r="BP864" s="25">
        <f t="shared" ca="1" si="714"/>
        <v>0</v>
      </c>
      <c r="BQ864" s="34">
        <f t="shared" ca="1" si="715"/>
        <v>71710</v>
      </c>
      <c r="BR864" s="23">
        <f t="shared" ca="1" si="716"/>
        <v>7459.4756781520528</v>
      </c>
      <c r="BS864" s="24">
        <f t="shared" ca="1" si="717"/>
        <v>0</v>
      </c>
      <c r="BT864" s="24">
        <f t="shared" ca="1" si="722"/>
        <v>0</v>
      </c>
      <c r="BU864" s="24">
        <f t="shared" ca="1" si="718"/>
        <v>0</v>
      </c>
      <c r="BV864" s="24">
        <f t="shared" ca="1" si="723"/>
        <v>0</v>
      </c>
      <c r="BW864" s="24">
        <f t="shared" ca="1" si="719"/>
        <v>-113.99391828407101</v>
      </c>
      <c r="BX864" s="25">
        <f t="shared" ca="1" si="724"/>
        <v>-1438.4062626153602</v>
      </c>
      <c r="BY864" s="23">
        <f t="shared" ca="1" si="691"/>
        <v>453.15208997797453</v>
      </c>
      <c r="BZ864" s="24">
        <f t="shared" ca="1" si="692"/>
        <v>0</v>
      </c>
      <c r="CA864" s="24">
        <f t="shared" ca="1" si="725"/>
        <v>0</v>
      </c>
      <c r="CB864" s="24">
        <f t="shared" ca="1" si="693"/>
        <v>0</v>
      </c>
      <c r="CC864" s="24">
        <f t="shared" ca="1" si="726"/>
        <v>0</v>
      </c>
      <c r="CD864" s="24">
        <f t="shared" ca="1" si="694"/>
        <v>-6.9476320802994831</v>
      </c>
      <c r="CE864" s="25">
        <f t="shared" ca="1" si="727"/>
        <v>-89.305843823081375</v>
      </c>
      <c r="CF864" s="23">
        <f t="shared" ca="1" si="728"/>
        <v>4333277.2900094669</v>
      </c>
      <c r="CG864" s="25">
        <f t="array" aca="1" ref="CG864" ca="1">SUM(BF853:BF864/(1+inflation/100)^(AP853:AP864/12))</f>
        <v>267980.53702225391</v>
      </c>
      <c r="CH864" s="32">
        <f ca="1">IFERROR(IF(MOD(AP864-ap_months_since_start,12)=0,ap_drawdown/100*(AQ864+AV864+BA864-BC864),CH863),0)</f>
        <v>1201.3848103824869</v>
      </c>
    </row>
    <row r="865" spans="40:86" x14ac:dyDescent="0.25">
      <c r="AN865" s="32">
        <f t="shared" ca="1" si="689"/>
        <v>126.33333333333333</v>
      </c>
      <c r="AO865" s="53">
        <f t="shared" ca="1" si="720"/>
        <v>71711</v>
      </c>
      <c r="AP865" s="22">
        <v>858</v>
      </c>
      <c r="AQ865" s="32">
        <f t="shared" ca="1" si="721"/>
        <v>7459.4756781520528</v>
      </c>
      <c r="AR865" s="23">
        <f t="array" aca="1" ref="AR865" ca="1">SUM(IF(lsc_start_date=AO865,lsc_amount,0))</f>
        <v>0</v>
      </c>
      <c r="AS865" s="24">
        <f t="shared" ca="1" si="695"/>
        <v>0</v>
      </c>
      <c r="AT865" s="24">
        <f t="shared" ca="1" si="696"/>
        <v>0</v>
      </c>
      <c r="AU865" s="24">
        <f t="shared" ca="1" si="697"/>
        <v>0</v>
      </c>
      <c r="AV865" s="25">
        <f t="shared" ca="1" si="698"/>
        <v>0</v>
      </c>
      <c r="AW865" s="23">
        <f t="array" aca="1" ref="AW865" ca="1">SUM(IF(rcs_start_date&lt;=AO865,1,0)*IF(rcs_end_date&gt;=AO865,1,0)*rcs_amount*(1+rcs_escalation/100)^(INT((AP865-rcs_months_since_start)/12))*IF(MOD((AP865-rcs_months_since_start),rcs_frequency)=0,1,0)*IF(rcs_frequency=13,0,1))+SUM(IF(rcs_start_date=AO865,rcs_amount,0)*IF(rcs_frequency=13,1,0))</f>
        <v>0</v>
      </c>
      <c r="AX865" s="24">
        <f t="shared" ca="1" si="699"/>
        <v>0</v>
      </c>
      <c r="AY865" s="24">
        <f t="shared" ca="1" si="700"/>
        <v>0</v>
      </c>
      <c r="AZ865" s="24">
        <f t="shared" ca="1" si="701"/>
        <v>0</v>
      </c>
      <c r="BA865" s="25">
        <f t="shared" ca="1" si="702"/>
        <v>0</v>
      </c>
      <c r="BB865" s="23">
        <f t="array" aca="1" ref="BB865" ca="1">SUM(IF(w_start_date&lt;=AO865,1,0)*IF(w_end_date&gt;=AO865,1,0)*w_amount*(1+w_escalation/100)^(INT((AP865-w_months_since_start)/12))*IF(MOD(AP865-w_months_since_start,w_frequency)=0,1,0)*IF(w_frequency=13,0,1))+SUM(IF(w_start_date=AO865,w_amount,0)*IF(w_frequency=13,1,0))</f>
        <v>0</v>
      </c>
      <c r="BC865" s="25">
        <f t="shared" ca="1" si="703"/>
        <v>0</v>
      </c>
      <c r="BD865" s="24" t="b">
        <f t="shared" ca="1" si="704"/>
        <v>1</v>
      </c>
      <c r="BE865" s="24" t="b">
        <f t="shared" ca="1" si="705"/>
        <v>1</v>
      </c>
      <c r="BF865" s="23">
        <f t="array" aca="1" ref="BF865" ca="1">SUM(IF(BD865,1,0)*IF(ap_start_date&lt;=AO865,1,0)*IF(ap_end_date&gt;=AO865,1,0)*ap_amount*(1+ap_escalation/100)^(INT((AP865-ap_months_since_start)/12))*IF(MOD(AP865-ap_months_since_start,ap_frequency)=0,1,0))</f>
        <v>368186.95928185026</v>
      </c>
      <c r="BG865" s="24">
        <f t="shared" ca="1" si="706"/>
        <v>4418243.5113822026</v>
      </c>
      <c r="BH865" s="24">
        <f t="shared" ca="1" si="707"/>
        <v>195.418145629836</v>
      </c>
      <c r="BI865">
        <f t="shared" ca="1" si="708"/>
        <v>0</v>
      </c>
      <c r="BJ865" s="24">
        <f t="shared" ca="1" si="709"/>
        <v>1367.9270194088519</v>
      </c>
      <c r="BK865">
        <f t="shared" ca="1" si="710"/>
        <v>1</v>
      </c>
      <c r="BL865" s="25">
        <f t="shared" ca="1" si="711"/>
        <v>113.99391828407101</v>
      </c>
      <c r="BM865" s="32">
        <f t="shared" ca="1" si="690"/>
        <v>7398.4230218241355</v>
      </c>
      <c r="BN865" s="23">
        <f t="shared" ca="1" si="712"/>
        <v>0</v>
      </c>
      <c r="BO865" s="24">
        <f t="shared" ca="1" si="713"/>
        <v>0</v>
      </c>
      <c r="BP865" s="25">
        <f t="shared" ca="1" si="714"/>
        <v>0</v>
      </c>
      <c r="BQ865" s="34">
        <f t="shared" ca="1" si="715"/>
        <v>71741</v>
      </c>
      <c r="BR865" s="23">
        <f t="shared" ca="1" si="716"/>
        <v>7398.4230218241355</v>
      </c>
      <c r="BS865" s="24">
        <f t="shared" ca="1" si="717"/>
        <v>0</v>
      </c>
      <c r="BT865" s="24">
        <f t="shared" ca="1" si="722"/>
        <v>0</v>
      </c>
      <c r="BU865" s="24">
        <f t="shared" ca="1" si="718"/>
        <v>0</v>
      </c>
      <c r="BV865" s="24">
        <f t="shared" ca="1" si="723"/>
        <v>0</v>
      </c>
      <c r="BW865" s="24">
        <f t="shared" ca="1" si="719"/>
        <v>-113.99391828407101</v>
      </c>
      <c r="BX865" s="25">
        <f t="shared" ca="1" si="724"/>
        <v>-1426.6597220809424</v>
      </c>
      <c r="BY865" s="23">
        <f t="shared" ca="1" si="691"/>
        <v>447.97667255233944</v>
      </c>
      <c r="BZ865" s="24">
        <f t="shared" ca="1" si="692"/>
        <v>0</v>
      </c>
      <c r="CA865" s="24">
        <f t="shared" ca="1" si="725"/>
        <v>0</v>
      </c>
      <c r="CB865" s="24">
        <f t="shared" ca="1" si="693"/>
        <v>0</v>
      </c>
      <c r="CC865" s="24">
        <f t="shared" ca="1" si="726"/>
        <v>0</v>
      </c>
      <c r="CD865" s="24">
        <f t="shared" ca="1" si="694"/>
        <v>-6.9249615581563484</v>
      </c>
      <c r="CE865" s="25">
        <f t="shared" ca="1" si="727"/>
        <v>-88.286717038636752</v>
      </c>
      <c r="CF865" s="23">
        <f t="shared" ca="1" si="728"/>
        <v>4347438.3269049227</v>
      </c>
      <c r="CG865" s="25">
        <f t="array" aca="1" ref="CG865" ca="1">SUM(BF854:BF865/(1+inflation/100)^(AP854:AP865/12))</f>
        <v>267980.53702225396</v>
      </c>
      <c r="CH865" s="32">
        <f ca="1">IFERROR(IF(MOD(AP865-ap_months_since_start,12)=0,ap_drawdown/100*(AQ865+AV865+BA865-BC865),CH864),0)</f>
        <v>1201.3848103824869</v>
      </c>
    </row>
    <row r="866" spans="40:86" x14ac:dyDescent="0.25">
      <c r="AN866" s="32">
        <f t="shared" ca="1" si="689"/>
        <v>126.41666666666667</v>
      </c>
      <c r="AO866" s="53">
        <f t="shared" ca="1" si="720"/>
        <v>71742</v>
      </c>
      <c r="AP866" s="22">
        <v>859</v>
      </c>
      <c r="AQ866" s="32">
        <f t="shared" ca="1" si="721"/>
        <v>7398.4230218241355</v>
      </c>
      <c r="AR866" s="23">
        <f t="array" aca="1" ref="AR866" ca="1">SUM(IF(lsc_start_date=AO866,lsc_amount,0))</f>
        <v>0</v>
      </c>
      <c r="AS866" s="24">
        <f t="shared" ca="1" si="695"/>
        <v>0</v>
      </c>
      <c r="AT866" s="24">
        <f t="shared" ca="1" si="696"/>
        <v>0</v>
      </c>
      <c r="AU866" s="24">
        <f t="shared" ca="1" si="697"/>
        <v>0</v>
      </c>
      <c r="AV866" s="25">
        <f t="shared" ca="1" si="698"/>
        <v>0</v>
      </c>
      <c r="AW866" s="23">
        <f t="array" aca="1" ref="AW866" ca="1">SUM(IF(rcs_start_date&lt;=AO866,1,0)*IF(rcs_end_date&gt;=AO866,1,0)*rcs_amount*(1+rcs_escalation/100)^(INT((AP866-rcs_months_since_start)/12))*IF(MOD((AP866-rcs_months_since_start),rcs_frequency)=0,1,0)*IF(rcs_frequency=13,0,1))+SUM(IF(rcs_start_date=AO866,rcs_amount,0)*IF(rcs_frequency=13,1,0))</f>
        <v>0</v>
      </c>
      <c r="AX866" s="24">
        <f t="shared" ca="1" si="699"/>
        <v>0</v>
      </c>
      <c r="AY866" s="24">
        <f t="shared" ca="1" si="700"/>
        <v>0</v>
      </c>
      <c r="AZ866" s="24">
        <f t="shared" ca="1" si="701"/>
        <v>0</v>
      </c>
      <c r="BA866" s="25">
        <f t="shared" ca="1" si="702"/>
        <v>0</v>
      </c>
      <c r="BB866" s="23">
        <f t="array" aca="1" ref="BB866" ca="1">SUM(IF(w_start_date&lt;=AO866,1,0)*IF(w_end_date&gt;=AO866,1,0)*w_amount*(1+w_escalation/100)^(INT((AP866-w_months_since_start)/12))*IF(MOD(AP866-w_months_since_start,w_frequency)=0,1,0)*IF(w_frequency=13,0,1))+SUM(IF(w_start_date=AO866,w_amount,0)*IF(w_frequency=13,1,0))</f>
        <v>0</v>
      </c>
      <c r="BC866" s="25">
        <f t="shared" ca="1" si="703"/>
        <v>0</v>
      </c>
      <c r="BD866" s="24" t="b">
        <f t="shared" ca="1" si="704"/>
        <v>1</v>
      </c>
      <c r="BE866" s="24" t="b">
        <f t="shared" ca="1" si="705"/>
        <v>1</v>
      </c>
      <c r="BF866" s="23">
        <f t="array" aca="1" ref="BF866" ca="1">SUM(IF(BD866,1,0)*IF(ap_start_date&lt;=AO866,1,0)*IF(ap_end_date&gt;=AO866,1,0)*ap_amount*(1+ap_escalation/100)^(INT((AP866-ap_months_since_start)/12))*IF(MOD(AP866-ap_months_since_start,ap_frequency)=0,1,0))</f>
        <v>368186.95928185026</v>
      </c>
      <c r="BG866" s="24">
        <f t="shared" ca="1" si="706"/>
        <v>4418243.5113822026</v>
      </c>
      <c r="BH866" s="24">
        <f t="shared" ca="1" si="707"/>
        <v>195.418145629836</v>
      </c>
      <c r="BI866">
        <f t="shared" ca="1" si="708"/>
        <v>0</v>
      </c>
      <c r="BJ866" s="24">
        <f t="shared" ca="1" si="709"/>
        <v>1367.9270194088519</v>
      </c>
      <c r="BK866">
        <f t="shared" ca="1" si="710"/>
        <v>1</v>
      </c>
      <c r="BL866" s="25">
        <f t="shared" ca="1" si="711"/>
        <v>113.99391828407101</v>
      </c>
      <c r="BM866" s="32">
        <f t="shared" ca="1" si="690"/>
        <v>7336.9303392627535</v>
      </c>
      <c r="BN866" s="23">
        <f t="shared" ca="1" si="712"/>
        <v>0</v>
      </c>
      <c r="BO866" s="24">
        <f t="shared" ca="1" si="713"/>
        <v>0</v>
      </c>
      <c r="BP866" s="25">
        <f t="shared" ca="1" si="714"/>
        <v>0</v>
      </c>
      <c r="BQ866" s="34">
        <f t="shared" ca="1" si="715"/>
        <v>71771</v>
      </c>
      <c r="BR866" s="23">
        <f t="shared" ca="1" si="716"/>
        <v>7336.9303392627535</v>
      </c>
      <c r="BS866" s="24">
        <f t="shared" ca="1" si="717"/>
        <v>0</v>
      </c>
      <c r="BT866" s="24">
        <f t="shared" ca="1" si="722"/>
        <v>0</v>
      </c>
      <c r="BU866" s="24">
        <f t="shared" ca="1" si="718"/>
        <v>0</v>
      </c>
      <c r="BV866" s="24">
        <f t="shared" ca="1" si="723"/>
        <v>0</v>
      </c>
      <c r="BW866" s="24">
        <f t="shared" ca="1" si="719"/>
        <v>-113.99391828407101</v>
      </c>
      <c r="BX866" s="25">
        <f t="shared" ca="1" si="724"/>
        <v>-1414.9131815465241</v>
      </c>
      <c r="BY866" s="23">
        <f t="shared" ca="1" si="691"/>
        <v>442.80364876134877</v>
      </c>
      <c r="BZ866" s="24">
        <f t="shared" ca="1" si="692"/>
        <v>0</v>
      </c>
      <c r="CA866" s="24">
        <f t="shared" ca="1" si="725"/>
        <v>0</v>
      </c>
      <c r="CB866" s="24">
        <f t="shared" ca="1" si="693"/>
        <v>0</v>
      </c>
      <c r="CC866" s="24">
        <f t="shared" ca="1" si="726"/>
        <v>0</v>
      </c>
      <c r="CD866" s="24">
        <f t="shared" ca="1" si="694"/>
        <v>-6.9023650112278343</v>
      </c>
      <c r="CE866" s="25">
        <f t="shared" ca="1" si="727"/>
        <v>-87.270915723368716</v>
      </c>
      <c r="CF866" s="23">
        <f t="shared" ca="1" si="728"/>
        <v>4361599.3638003785</v>
      </c>
      <c r="CG866" s="25">
        <f t="array" aca="1" ref="CG866" ca="1">SUM(BF855:BF866/(1+inflation/100)^(AP855:AP866/12))</f>
        <v>267980.53702225391</v>
      </c>
      <c r="CH866" s="32">
        <f ca="1">IFERROR(IF(MOD(AP866-ap_months_since_start,12)=0,ap_drawdown/100*(AQ866+AV866+BA866-BC866),CH865),0)</f>
        <v>1201.3848103824869</v>
      </c>
    </row>
    <row r="867" spans="40:86" x14ac:dyDescent="0.25">
      <c r="AN867" s="32">
        <f t="shared" ca="1" si="689"/>
        <v>126.5</v>
      </c>
      <c r="AO867" s="53">
        <f t="shared" ca="1" si="720"/>
        <v>71772</v>
      </c>
      <c r="AP867" s="22">
        <v>860</v>
      </c>
      <c r="AQ867" s="32">
        <f t="shared" ca="1" si="721"/>
        <v>7336.9303392627535</v>
      </c>
      <c r="AR867" s="23">
        <f t="array" aca="1" ref="AR867" ca="1">SUM(IF(lsc_start_date=AO867,lsc_amount,0))</f>
        <v>0</v>
      </c>
      <c r="AS867" s="24">
        <f t="shared" ca="1" si="695"/>
        <v>0</v>
      </c>
      <c r="AT867" s="24">
        <f t="shared" ca="1" si="696"/>
        <v>0</v>
      </c>
      <c r="AU867" s="24">
        <f t="shared" ca="1" si="697"/>
        <v>0</v>
      </c>
      <c r="AV867" s="25">
        <f t="shared" ca="1" si="698"/>
        <v>0</v>
      </c>
      <c r="AW867" s="23">
        <f t="array" aca="1" ref="AW867" ca="1">SUM(IF(rcs_start_date&lt;=AO867,1,0)*IF(rcs_end_date&gt;=AO867,1,0)*rcs_amount*(1+rcs_escalation/100)^(INT((AP867-rcs_months_since_start)/12))*IF(MOD((AP867-rcs_months_since_start),rcs_frequency)=0,1,0)*IF(rcs_frequency=13,0,1))+SUM(IF(rcs_start_date=AO867,rcs_amount,0)*IF(rcs_frequency=13,1,0))</f>
        <v>0</v>
      </c>
      <c r="AX867" s="24">
        <f t="shared" ca="1" si="699"/>
        <v>0</v>
      </c>
      <c r="AY867" s="24">
        <f t="shared" ca="1" si="700"/>
        <v>0</v>
      </c>
      <c r="AZ867" s="24">
        <f t="shared" ca="1" si="701"/>
        <v>0</v>
      </c>
      <c r="BA867" s="25">
        <f t="shared" ca="1" si="702"/>
        <v>0</v>
      </c>
      <c r="BB867" s="23">
        <f t="array" aca="1" ref="BB867" ca="1">SUM(IF(w_start_date&lt;=AO867,1,0)*IF(w_end_date&gt;=AO867,1,0)*w_amount*(1+w_escalation/100)^(INT((AP867-w_months_since_start)/12))*IF(MOD(AP867-w_months_since_start,w_frequency)=0,1,0)*IF(w_frequency=13,0,1))+SUM(IF(w_start_date=AO867,w_amount,0)*IF(w_frequency=13,1,0))</f>
        <v>0</v>
      </c>
      <c r="BC867" s="25">
        <f t="shared" ca="1" si="703"/>
        <v>0</v>
      </c>
      <c r="BD867" s="24" t="b">
        <f t="shared" ca="1" si="704"/>
        <v>1</v>
      </c>
      <c r="BE867" s="24" t="b">
        <f t="shared" ca="1" si="705"/>
        <v>1</v>
      </c>
      <c r="BF867" s="23">
        <f t="array" aca="1" ref="BF867" ca="1">SUM(IF(BD867,1,0)*IF(ap_start_date&lt;=AO867,1,0)*IF(ap_end_date&gt;=AO867,1,0)*ap_amount*(1+ap_escalation/100)^(INT((AP867-ap_months_since_start)/12))*IF(MOD(AP867-ap_months_since_start,ap_frequency)=0,1,0))</f>
        <v>368186.95928185026</v>
      </c>
      <c r="BG867" s="24">
        <f t="shared" ca="1" si="706"/>
        <v>4418243.5113822026</v>
      </c>
      <c r="BH867" s="24">
        <f t="shared" ca="1" si="707"/>
        <v>195.418145629836</v>
      </c>
      <c r="BI867">
        <f t="shared" ca="1" si="708"/>
        <v>0</v>
      </c>
      <c r="BJ867" s="24">
        <f t="shared" ca="1" si="709"/>
        <v>1367.9270194088519</v>
      </c>
      <c r="BK867">
        <f t="shared" ca="1" si="710"/>
        <v>1</v>
      </c>
      <c r="BL867" s="25">
        <f t="shared" ca="1" si="711"/>
        <v>113.99391828407101</v>
      </c>
      <c r="BM867" s="32">
        <f t="shared" ca="1" si="690"/>
        <v>7274.9944590565756</v>
      </c>
      <c r="BN867" s="23">
        <f t="shared" ca="1" si="712"/>
        <v>0</v>
      </c>
      <c r="BO867" s="24">
        <f t="shared" ca="1" si="713"/>
        <v>0</v>
      </c>
      <c r="BP867" s="25">
        <f t="shared" ca="1" si="714"/>
        <v>0</v>
      </c>
      <c r="BQ867" s="34">
        <f t="shared" ca="1" si="715"/>
        <v>71802</v>
      </c>
      <c r="BR867" s="23">
        <f t="shared" ca="1" si="716"/>
        <v>7274.9944590565756</v>
      </c>
      <c r="BS867" s="24">
        <f t="shared" ca="1" si="717"/>
        <v>0</v>
      </c>
      <c r="BT867" s="24">
        <f t="shared" ca="1" si="722"/>
        <v>0</v>
      </c>
      <c r="BU867" s="24">
        <f t="shared" ca="1" si="718"/>
        <v>0</v>
      </c>
      <c r="BV867" s="24">
        <f t="shared" ca="1" si="723"/>
        <v>0</v>
      </c>
      <c r="BW867" s="24">
        <f t="shared" ca="1" si="719"/>
        <v>-113.99391828407101</v>
      </c>
      <c r="BX867" s="25">
        <f t="shared" ca="1" si="724"/>
        <v>-1403.1666410121063</v>
      </c>
      <c r="BY867" s="23">
        <f t="shared" ca="1" si="691"/>
        <v>437.63295396691956</v>
      </c>
      <c r="BZ867" s="24">
        <f t="shared" ca="1" si="692"/>
        <v>0</v>
      </c>
      <c r="CA867" s="24">
        <f t="shared" ca="1" si="725"/>
        <v>0</v>
      </c>
      <c r="CB867" s="24">
        <f t="shared" ca="1" si="693"/>
        <v>0</v>
      </c>
      <c r="CC867" s="24">
        <f t="shared" ca="1" si="726"/>
        <v>0</v>
      </c>
      <c r="CD867" s="24">
        <f t="shared" ca="1" si="694"/>
        <v>-6.8798421981285722</v>
      </c>
      <c r="CE867" s="25">
        <f t="shared" ca="1" si="727"/>
        <v>-86.258429026080535</v>
      </c>
      <c r="CF867" s="23">
        <f t="shared" ca="1" si="728"/>
        <v>4375760.4006958343</v>
      </c>
      <c r="CG867" s="25">
        <f t="array" aca="1" ref="CG867" ca="1">SUM(BF856:BF867/(1+inflation/100)^(AP856:AP867/12))</f>
        <v>267980.53702225391</v>
      </c>
      <c r="CH867" s="32">
        <f ca="1">IFERROR(IF(MOD(AP867-ap_months_since_start,12)=0,ap_drawdown/100*(AQ867+AV867+BA867-BC867),CH866),0)</f>
        <v>1201.3848103824869</v>
      </c>
    </row>
    <row r="868" spans="40:86" x14ac:dyDescent="0.25">
      <c r="AN868" s="32">
        <f t="shared" ca="1" si="689"/>
        <v>126.58333333333333</v>
      </c>
      <c r="AO868" s="53">
        <f t="shared" ca="1" si="720"/>
        <v>71803</v>
      </c>
      <c r="AP868" s="22">
        <v>861</v>
      </c>
      <c r="AQ868" s="32">
        <f t="shared" ca="1" si="721"/>
        <v>7274.9944590565756</v>
      </c>
      <c r="AR868" s="23">
        <f t="array" aca="1" ref="AR868" ca="1">SUM(IF(lsc_start_date=AO868,lsc_amount,0))</f>
        <v>0</v>
      </c>
      <c r="AS868" s="24">
        <f t="shared" ca="1" si="695"/>
        <v>0</v>
      </c>
      <c r="AT868" s="24">
        <f t="shared" ca="1" si="696"/>
        <v>0</v>
      </c>
      <c r="AU868" s="24">
        <f t="shared" ca="1" si="697"/>
        <v>0</v>
      </c>
      <c r="AV868" s="25">
        <f t="shared" ca="1" si="698"/>
        <v>0</v>
      </c>
      <c r="AW868" s="23">
        <f t="array" aca="1" ref="AW868" ca="1">SUM(IF(rcs_start_date&lt;=AO868,1,0)*IF(rcs_end_date&gt;=AO868,1,0)*rcs_amount*(1+rcs_escalation/100)^(INT((AP868-rcs_months_since_start)/12))*IF(MOD((AP868-rcs_months_since_start),rcs_frequency)=0,1,0)*IF(rcs_frequency=13,0,1))+SUM(IF(rcs_start_date=AO868,rcs_amount,0)*IF(rcs_frequency=13,1,0))</f>
        <v>0</v>
      </c>
      <c r="AX868" s="24">
        <f t="shared" ca="1" si="699"/>
        <v>0</v>
      </c>
      <c r="AY868" s="24">
        <f t="shared" ca="1" si="700"/>
        <v>0</v>
      </c>
      <c r="AZ868" s="24">
        <f t="shared" ca="1" si="701"/>
        <v>0</v>
      </c>
      <c r="BA868" s="25">
        <f t="shared" ca="1" si="702"/>
        <v>0</v>
      </c>
      <c r="BB868" s="23">
        <f t="array" aca="1" ref="BB868" ca="1">SUM(IF(w_start_date&lt;=AO868,1,0)*IF(w_end_date&gt;=AO868,1,0)*w_amount*(1+w_escalation/100)^(INT((AP868-w_months_since_start)/12))*IF(MOD(AP868-w_months_since_start,w_frequency)=0,1,0)*IF(w_frequency=13,0,1))+SUM(IF(w_start_date=AO868,w_amount,0)*IF(w_frequency=13,1,0))</f>
        <v>0</v>
      </c>
      <c r="BC868" s="25">
        <f t="shared" ca="1" si="703"/>
        <v>0</v>
      </c>
      <c r="BD868" s="24" t="b">
        <f t="shared" ca="1" si="704"/>
        <v>1</v>
      </c>
      <c r="BE868" s="24" t="b">
        <f t="shared" ca="1" si="705"/>
        <v>1</v>
      </c>
      <c r="BF868" s="23">
        <f t="array" aca="1" ref="BF868" ca="1">SUM(IF(BD868,1,0)*IF(ap_start_date&lt;=AO868,1,0)*IF(ap_end_date&gt;=AO868,1,0)*ap_amount*(1+ap_escalation/100)^(INT((AP868-ap_months_since_start)/12))*IF(MOD(AP868-ap_months_since_start,ap_frequency)=0,1,0))</f>
        <v>368186.95928185026</v>
      </c>
      <c r="BG868" s="24">
        <f t="shared" ca="1" si="706"/>
        <v>4418243.5113822026</v>
      </c>
      <c r="BH868" s="24">
        <f t="shared" ca="1" si="707"/>
        <v>195.418145629836</v>
      </c>
      <c r="BI868">
        <f t="shared" ca="1" si="708"/>
        <v>0</v>
      </c>
      <c r="BJ868" s="24">
        <f t="shared" ca="1" si="709"/>
        <v>1367.9270194088519</v>
      </c>
      <c r="BK868">
        <f t="shared" ca="1" si="710"/>
        <v>1</v>
      </c>
      <c r="BL868" s="25">
        <f t="shared" ca="1" si="711"/>
        <v>113.99391828407101</v>
      </c>
      <c r="BM868" s="32">
        <f t="shared" ca="1" si="690"/>
        <v>7212.6121869368817</v>
      </c>
      <c r="BN868" s="23">
        <f t="shared" ca="1" si="712"/>
        <v>0</v>
      </c>
      <c r="BO868" s="24">
        <f t="shared" ca="1" si="713"/>
        <v>0</v>
      </c>
      <c r="BP868" s="25">
        <f t="shared" ca="1" si="714"/>
        <v>0</v>
      </c>
      <c r="BQ868" s="34">
        <f t="shared" ca="1" si="715"/>
        <v>71833</v>
      </c>
      <c r="BR868" s="23">
        <f t="shared" ca="1" si="716"/>
        <v>7212.6121869368817</v>
      </c>
      <c r="BS868" s="24">
        <f t="shared" ca="1" si="717"/>
        <v>0</v>
      </c>
      <c r="BT868" s="24">
        <f t="shared" ca="1" si="722"/>
        <v>0</v>
      </c>
      <c r="BU868" s="24">
        <f t="shared" ca="1" si="718"/>
        <v>0</v>
      </c>
      <c r="BV868" s="24">
        <f t="shared" ca="1" si="723"/>
        <v>0</v>
      </c>
      <c r="BW868" s="24">
        <f t="shared" ca="1" si="719"/>
        <v>-113.99391828407101</v>
      </c>
      <c r="BX868" s="25">
        <f t="shared" ca="1" si="724"/>
        <v>-1391.4201004776883</v>
      </c>
      <c r="BY868" s="23">
        <f t="shared" ca="1" si="691"/>
        <v>432.4645235190809</v>
      </c>
      <c r="BZ868" s="24">
        <f t="shared" ca="1" si="692"/>
        <v>0</v>
      </c>
      <c r="CA868" s="24">
        <f t="shared" ca="1" si="725"/>
        <v>0</v>
      </c>
      <c r="CB868" s="24">
        <f t="shared" ca="1" si="693"/>
        <v>0</v>
      </c>
      <c r="CC868" s="24">
        <f t="shared" ca="1" si="726"/>
        <v>0</v>
      </c>
      <c r="CD868" s="24">
        <f t="shared" ca="1" si="694"/>
        <v>-6.8573928782608409</v>
      </c>
      <c r="CE868" s="25">
        <f t="shared" ca="1" si="727"/>
        <v>-85.249246130983565</v>
      </c>
      <c r="CF868" s="23">
        <f t="shared" ca="1" si="728"/>
        <v>4389921.4375912901</v>
      </c>
      <c r="CG868" s="25">
        <f t="array" aca="1" ref="CG868" ca="1">SUM(BF857:BF868/(1+inflation/100)^(AP857:AP868/12))</f>
        <v>267980.53702225396</v>
      </c>
      <c r="CH868" s="32">
        <f ca="1">IFERROR(IF(MOD(AP868-ap_months_since_start,12)=0,ap_drawdown/100*(AQ868+AV868+BA868-BC868),CH867),0)</f>
        <v>1201.3848103824869</v>
      </c>
    </row>
    <row r="869" spans="40:86" x14ac:dyDescent="0.25">
      <c r="AN869" s="32">
        <f t="shared" ca="1" si="689"/>
        <v>126.66666666666667</v>
      </c>
      <c r="AO869" s="53">
        <f t="shared" ca="1" si="720"/>
        <v>71834</v>
      </c>
      <c r="AP869" s="22">
        <v>862</v>
      </c>
      <c r="AQ869" s="32">
        <f t="shared" ca="1" si="721"/>
        <v>7212.6121869368817</v>
      </c>
      <c r="AR869" s="23">
        <f t="array" aca="1" ref="AR869" ca="1">SUM(IF(lsc_start_date=AO869,lsc_amount,0))</f>
        <v>0</v>
      </c>
      <c r="AS869" s="24">
        <f t="shared" ca="1" si="695"/>
        <v>0</v>
      </c>
      <c r="AT869" s="24">
        <f t="shared" ca="1" si="696"/>
        <v>0</v>
      </c>
      <c r="AU869" s="24">
        <f t="shared" ca="1" si="697"/>
        <v>0</v>
      </c>
      <c r="AV869" s="25">
        <f t="shared" ca="1" si="698"/>
        <v>0</v>
      </c>
      <c r="AW869" s="23">
        <f t="array" aca="1" ref="AW869" ca="1">SUM(IF(rcs_start_date&lt;=AO869,1,0)*IF(rcs_end_date&gt;=AO869,1,0)*rcs_amount*(1+rcs_escalation/100)^(INT((AP869-rcs_months_since_start)/12))*IF(MOD((AP869-rcs_months_since_start),rcs_frequency)=0,1,0)*IF(rcs_frequency=13,0,1))+SUM(IF(rcs_start_date=AO869,rcs_amount,0)*IF(rcs_frequency=13,1,0))</f>
        <v>0</v>
      </c>
      <c r="AX869" s="24">
        <f t="shared" ca="1" si="699"/>
        <v>0</v>
      </c>
      <c r="AY869" s="24">
        <f t="shared" ca="1" si="700"/>
        <v>0</v>
      </c>
      <c r="AZ869" s="24">
        <f t="shared" ca="1" si="701"/>
        <v>0</v>
      </c>
      <c r="BA869" s="25">
        <f t="shared" ca="1" si="702"/>
        <v>0</v>
      </c>
      <c r="BB869" s="23">
        <f t="array" aca="1" ref="BB869" ca="1">SUM(IF(w_start_date&lt;=AO869,1,0)*IF(w_end_date&gt;=AO869,1,0)*w_amount*(1+w_escalation/100)^(INT((AP869-w_months_since_start)/12))*IF(MOD(AP869-w_months_since_start,w_frequency)=0,1,0)*IF(w_frequency=13,0,1))+SUM(IF(w_start_date=AO869,w_amount,0)*IF(w_frequency=13,1,0))</f>
        <v>0</v>
      </c>
      <c r="BC869" s="25">
        <f t="shared" ca="1" si="703"/>
        <v>0</v>
      </c>
      <c r="BD869" s="24" t="b">
        <f t="shared" ca="1" si="704"/>
        <v>1</v>
      </c>
      <c r="BE869" s="24" t="b">
        <f t="shared" ca="1" si="705"/>
        <v>1</v>
      </c>
      <c r="BF869" s="23">
        <f t="array" aca="1" ref="BF869" ca="1">SUM(IF(BD869,1,0)*IF(ap_start_date&lt;=AO869,1,0)*IF(ap_end_date&gt;=AO869,1,0)*ap_amount*(1+ap_escalation/100)^(INT((AP869-ap_months_since_start)/12))*IF(MOD(AP869-ap_months_since_start,ap_frequency)=0,1,0))</f>
        <v>368186.95928185026</v>
      </c>
      <c r="BG869" s="24">
        <f t="shared" ca="1" si="706"/>
        <v>4418243.5113822026</v>
      </c>
      <c r="BH869" s="24">
        <f t="shared" ca="1" si="707"/>
        <v>195.418145629836</v>
      </c>
      <c r="BI869">
        <f t="shared" ca="1" si="708"/>
        <v>0</v>
      </c>
      <c r="BJ869" s="24">
        <f t="shared" ca="1" si="709"/>
        <v>1367.9270194088519</v>
      </c>
      <c r="BK869">
        <f t="shared" ca="1" si="710"/>
        <v>1</v>
      </c>
      <c r="BL869" s="25">
        <f t="shared" ca="1" si="711"/>
        <v>113.99391828407101</v>
      </c>
      <c r="BM869" s="32">
        <f t="shared" ca="1" si="690"/>
        <v>7149.7803056128259</v>
      </c>
      <c r="BN869" s="23">
        <f t="shared" ca="1" si="712"/>
        <v>0</v>
      </c>
      <c r="BO869" s="24">
        <f t="shared" ca="1" si="713"/>
        <v>0</v>
      </c>
      <c r="BP869" s="25">
        <f t="shared" ca="1" si="714"/>
        <v>0</v>
      </c>
      <c r="BQ869" s="34">
        <f t="shared" ca="1" si="715"/>
        <v>71863</v>
      </c>
      <c r="BR869" s="23">
        <f t="shared" ca="1" si="716"/>
        <v>7149.7803056128259</v>
      </c>
      <c r="BS869" s="24">
        <f t="shared" ca="1" si="717"/>
        <v>0</v>
      </c>
      <c r="BT869" s="24">
        <f t="shared" ca="1" si="722"/>
        <v>0</v>
      </c>
      <c r="BU869" s="24">
        <f t="shared" ca="1" si="718"/>
        <v>0</v>
      </c>
      <c r="BV869" s="24">
        <f t="shared" ca="1" si="723"/>
        <v>0</v>
      </c>
      <c r="BW869" s="24">
        <f t="shared" ca="1" si="719"/>
        <v>-113.99391828407101</v>
      </c>
      <c r="BX869" s="25">
        <f t="shared" ca="1" si="724"/>
        <v>-1379.6735599432702</v>
      </c>
      <c r="BY869" s="23">
        <f t="shared" ca="1" si="691"/>
        <v>427.29829275513788</v>
      </c>
      <c r="BZ869" s="24">
        <f t="shared" ca="1" si="692"/>
        <v>0</v>
      </c>
      <c r="CA869" s="24">
        <f t="shared" ca="1" si="725"/>
        <v>0</v>
      </c>
      <c r="CB869" s="24">
        <f t="shared" ca="1" si="693"/>
        <v>0</v>
      </c>
      <c r="CC869" s="24">
        <f t="shared" ca="1" si="726"/>
        <v>0</v>
      </c>
      <c r="CD869" s="24">
        <f t="shared" ca="1" si="694"/>
        <v>-6.8350168118120154</v>
      </c>
      <c r="CE869" s="25">
        <f t="shared" ca="1" si="727"/>
        <v>-84.243356257581667</v>
      </c>
      <c r="CF869" s="23">
        <f t="shared" ca="1" si="728"/>
        <v>4404082.4744867468</v>
      </c>
      <c r="CG869" s="25">
        <f t="array" aca="1" ref="CG869" ca="1">SUM(BF858:BF869/(1+inflation/100)^(AP858:AP869/12))</f>
        <v>267980.53702225396</v>
      </c>
      <c r="CH869" s="32">
        <f ca="1">IFERROR(IF(MOD(AP869-ap_months_since_start,12)=0,ap_drawdown/100*(AQ869+AV869+BA869-BC869),CH868),0)</f>
        <v>1201.3848103824869</v>
      </c>
    </row>
    <row r="870" spans="40:86" x14ac:dyDescent="0.25">
      <c r="AN870" s="32">
        <f t="shared" ca="1" si="689"/>
        <v>126.75</v>
      </c>
      <c r="AO870" s="53">
        <f t="shared" ca="1" si="720"/>
        <v>71864</v>
      </c>
      <c r="AP870" s="22">
        <v>863</v>
      </c>
      <c r="AQ870" s="32">
        <f t="shared" ca="1" si="721"/>
        <v>7149.7803056128259</v>
      </c>
      <c r="AR870" s="23">
        <f t="array" aca="1" ref="AR870" ca="1">SUM(IF(lsc_start_date=AO870,lsc_amount,0))</f>
        <v>0</v>
      </c>
      <c r="AS870" s="24">
        <f t="shared" ca="1" si="695"/>
        <v>0</v>
      </c>
      <c r="AT870" s="24">
        <f t="shared" ca="1" si="696"/>
        <v>0</v>
      </c>
      <c r="AU870" s="24">
        <f t="shared" ca="1" si="697"/>
        <v>0</v>
      </c>
      <c r="AV870" s="25">
        <f t="shared" ca="1" si="698"/>
        <v>0</v>
      </c>
      <c r="AW870" s="23">
        <f t="array" aca="1" ref="AW870" ca="1">SUM(IF(rcs_start_date&lt;=AO870,1,0)*IF(rcs_end_date&gt;=AO870,1,0)*rcs_amount*(1+rcs_escalation/100)^(INT((AP870-rcs_months_since_start)/12))*IF(MOD((AP870-rcs_months_since_start),rcs_frequency)=0,1,0)*IF(rcs_frequency=13,0,1))+SUM(IF(rcs_start_date=AO870,rcs_amount,0)*IF(rcs_frequency=13,1,0))</f>
        <v>0</v>
      </c>
      <c r="AX870" s="24">
        <f t="shared" ca="1" si="699"/>
        <v>0</v>
      </c>
      <c r="AY870" s="24">
        <f t="shared" ca="1" si="700"/>
        <v>0</v>
      </c>
      <c r="AZ870" s="24">
        <f t="shared" ca="1" si="701"/>
        <v>0</v>
      </c>
      <c r="BA870" s="25">
        <f t="shared" ca="1" si="702"/>
        <v>0</v>
      </c>
      <c r="BB870" s="23">
        <f t="array" aca="1" ref="BB870" ca="1">SUM(IF(w_start_date&lt;=AO870,1,0)*IF(w_end_date&gt;=AO870,1,0)*w_amount*(1+w_escalation/100)^(INT((AP870-w_months_since_start)/12))*IF(MOD(AP870-w_months_since_start,w_frequency)=0,1,0)*IF(w_frequency=13,0,1))+SUM(IF(w_start_date=AO870,w_amount,0)*IF(w_frequency=13,1,0))</f>
        <v>0</v>
      </c>
      <c r="BC870" s="25">
        <f t="shared" ca="1" si="703"/>
        <v>0</v>
      </c>
      <c r="BD870" s="24" t="b">
        <f t="shared" ca="1" si="704"/>
        <v>1</v>
      </c>
      <c r="BE870" s="24" t="b">
        <f t="shared" ca="1" si="705"/>
        <v>1</v>
      </c>
      <c r="BF870" s="23">
        <f t="array" aca="1" ref="BF870" ca="1">SUM(IF(BD870,1,0)*IF(ap_start_date&lt;=AO870,1,0)*IF(ap_end_date&gt;=AO870,1,0)*ap_amount*(1+ap_escalation/100)^(INT((AP870-ap_months_since_start)/12))*IF(MOD(AP870-ap_months_since_start,ap_frequency)=0,1,0))</f>
        <v>368186.95928185026</v>
      </c>
      <c r="BG870" s="24">
        <f t="shared" ca="1" si="706"/>
        <v>4418243.5113822026</v>
      </c>
      <c r="BH870" s="24">
        <f t="shared" ca="1" si="707"/>
        <v>195.418145629836</v>
      </c>
      <c r="BI870">
        <f t="shared" ca="1" si="708"/>
        <v>0</v>
      </c>
      <c r="BJ870" s="24">
        <f t="shared" ca="1" si="709"/>
        <v>1367.9270194088519</v>
      </c>
      <c r="BK870">
        <f t="shared" ca="1" si="710"/>
        <v>1</v>
      </c>
      <c r="BL870" s="25">
        <f t="shared" ca="1" si="711"/>
        <v>113.99391828407101</v>
      </c>
      <c r="BM870" s="32">
        <f t="shared" ca="1" si="690"/>
        <v>7086.4955746055066</v>
      </c>
      <c r="BN870" s="23">
        <f t="shared" ca="1" si="712"/>
        <v>0</v>
      </c>
      <c r="BO870" s="24">
        <f t="shared" ca="1" si="713"/>
        <v>0</v>
      </c>
      <c r="BP870" s="25">
        <f t="shared" ca="1" si="714"/>
        <v>0</v>
      </c>
      <c r="BQ870" s="34">
        <f t="shared" ca="1" si="715"/>
        <v>71894</v>
      </c>
      <c r="BR870" s="23">
        <f t="shared" ca="1" si="716"/>
        <v>7086.4955746055066</v>
      </c>
      <c r="BS870" s="24">
        <f t="shared" ca="1" si="717"/>
        <v>0</v>
      </c>
      <c r="BT870" s="24">
        <f t="shared" ca="1" si="722"/>
        <v>0</v>
      </c>
      <c r="BU870" s="24">
        <f t="shared" ca="1" si="718"/>
        <v>0</v>
      </c>
      <c r="BV870" s="24">
        <f t="shared" ca="1" si="723"/>
        <v>0</v>
      </c>
      <c r="BW870" s="24">
        <f t="shared" ca="1" si="719"/>
        <v>-113.99391828407101</v>
      </c>
      <c r="BX870" s="25">
        <f t="shared" ca="1" si="724"/>
        <v>-1367.9270194088522</v>
      </c>
      <c r="BY870" s="23">
        <f t="shared" ca="1" si="691"/>
        <v>422.1341969988365</v>
      </c>
      <c r="BZ870" s="24">
        <f t="shared" ca="1" si="692"/>
        <v>0</v>
      </c>
      <c r="CA870" s="24">
        <f t="shared" ca="1" si="725"/>
        <v>0</v>
      </c>
      <c r="CB870" s="24">
        <f t="shared" ca="1" si="693"/>
        <v>0</v>
      </c>
      <c r="CC870" s="24">
        <f t="shared" ca="1" si="726"/>
        <v>0</v>
      </c>
      <c r="CD870" s="24">
        <f t="shared" ca="1" si="694"/>
        <v>-6.8127137597519836</v>
      </c>
      <c r="CE870" s="25">
        <f t="shared" ca="1" si="727"/>
        <v>-83.240748660556079</v>
      </c>
      <c r="CF870" s="23">
        <f t="shared" ca="1" si="728"/>
        <v>4418243.5113822026</v>
      </c>
      <c r="CG870" s="25">
        <f t="array" aca="1" ref="CG870" ca="1">SUM(BF859:BF870/(1+inflation/100)^(AP859:AP870/12))</f>
        <v>267980.53702225396</v>
      </c>
      <c r="CH870" s="32">
        <f ca="1">IFERROR(IF(MOD(AP870-ap_months_since_start,12)=0,ap_drawdown/100*(AQ870+AV870+BA870-BC870),CH869),0)</f>
        <v>1201.3848103824869</v>
      </c>
    </row>
    <row r="871" spans="40:86" x14ac:dyDescent="0.25">
      <c r="AN871" s="32">
        <f t="shared" ca="1" si="689"/>
        <v>126.83333333333333</v>
      </c>
      <c r="AO871" s="53">
        <f t="shared" ca="1" si="720"/>
        <v>71895</v>
      </c>
      <c r="AP871" s="22">
        <v>864</v>
      </c>
      <c r="AQ871" s="32">
        <f t="shared" ca="1" si="721"/>
        <v>7086.4955746055066</v>
      </c>
      <c r="AR871" s="23">
        <f t="array" aca="1" ref="AR871" ca="1">SUM(IF(lsc_start_date=AO871,lsc_amount,0))</f>
        <v>0</v>
      </c>
      <c r="AS871" s="24">
        <f t="shared" ca="1" si="695"/>
        <v>0</v>
      </c>
      <c r="AT871" s="24">
        <f t="shared" ca="1" si="696"/>
        <v>0</v>
      </c>
      <c r="AU871" s="24">
        <f t="shared" ca="1" si="697"/>
        <v>0</v>
      </c>
      <c r="AV871" s="25">
        <f t="shared" ca="1" si="698"/>
        <v>0</v>
      </c>
      <c r="AW871" s="23">
        <f t="array" aca="1" ref="AW871" ca="1">SUM(IF(rcs_start_date&lt;=AO871,1,0)*IF(rcs_end_date&gt;=AO871,1,0)*rcs_amount*(1+rcs_escalation/100)^(INT((AP871-rcs_months_since_start)/12))*IF(MOD((AP871-rcs_months_since_start),rcs_frequency)=0,1,0)*IF(rcs_frequency=13,0,1))+SUM(IF(rcs_start_date=AO871,rcs_amount,0)*IF(rcs_frequency=13,1,0))</f>
        <v>0</v>
      </c>
      <c r="AX871" s="24">
        <f t="shared" ca="1" si="699"/>
        <v>0</v>
      </c>
      <c r="AY871" s="24">
        <f t="shared" ca="1" si="700"/>
        <v>0</v>
      </c>
      <c r="AZ871" s="24">
        <f t="shared" ca="1" si="701"/>
        <v>0</v>
      </c>
      <c r="BA871" s="25">
        <f t="shared" ca="1" si="702"/>
        <v>0</v>
      </c>
      <c r="BB871" s="23">
        <f t="array" aca="1" ref="BB871" ca="1">SUM(IF(w_start_date&lt;=AO871,1,0)*IF(w_end_date&gt;=AO871,1,0)*w_amount*(1+w_escalation/100)^(INT((AP871-w_months_since_start)/12))*IF(MOD(AP871-w_months_since_start,w_frequency)=0,1,0)*IF(w_frequency=13,0,1))+SUM(IF(w_start_date=AO871,w_amount,0)*IF(w_frequency=13,1,0))</f>
        <v>0</v>
      </c>
      <c r="BC871" s="25">
        <f t="shared" ca="1" si="703"/>
        <v>0</v>
      </c>
      <c r="BD871" s="24" t="b">
        <f t="shared" ca="1" si="704"/>
        <v>1</v>
      </c>
      <c r="BE871" s="24" t="b">
        <f t="shared" ca="1" si="705"/>
        <v>1</v>
      </c>
      <c r="BF871" s="23">
        <f t="array" aca="1" ref="BF871" ca="1">SUM(IF(BD871,1,0)*IF(ap_start_date&lt;=AO871,1,0)*IF(ap_end_date&gt;=AO871,1,0)*ap_amount*(1+ap_escalation/100)^(INT((AP871-ap_months_since_start)/12))*IF(MOD(AP871-ap_months_since_start,ap_frequency)=0,1,0))</f>
        <v>382914.43765312427</v>
      </c>
      <c r="BG871" s="24">
        <f t="shared" ca="1" si="706"/>
        <v>4594973.2518374911</v>
      </c>
      <c r="BH871" s="24">
        <f t="shared" ca="1" si="707"/>
        <v>177.16238936513767</v>
      </c>
      <c r="BI871">
        <f t="shared" ca="1" si="708"/>
        <v>0</v>
      </c>
      <c r="BJ871" s="24">
        <f t="shared" ca="1" si="709"/>
        <v>1240.1367255559635</v>
      </c>
      <c r="BK871">
        <f t="shared" ca="1" si="710"/>
        <v>1</v>
      </c>
      <c r="BL871" s="25">
        <f t="shared" ca="1" si="711"/>
        <v>103.34472712966364</v>
      </c>
      <c r="BM871" s="32">
        <f t="shared" ca="1" si="690"/>
        <v>7033.4806733989553</v>
      </c>
      <c r="BN871" s="23">
        <f t="shared" ca="1" si="712"/>
        <v>0</v>
      </c>
      <c r="BO871" s="24">
        <f t="shared" ca="1" si="713"/>
        <v>0</v>
      </c>
      <c r="BP871" s="25">
        <f t="shared" ca="1" si="714"/>
        <v>0</v>
      </c>
      <c r="BQ871" s="34">
        <f t="shared" ca="1" si="715"/>
        <v>71924</v>
      </c>
      <c r="BR871" s="23">
        <f t="shared" ca="1" si="716"/>
        <v>7033.4806733989553</v>
      </c>
      <c r="BS871" s="24">
        <f t="shared" ca="1" si="717"/>
        <v>0</v>
      </c>
      <c r="BT871" s="24">
        <f t="shared" ca="1" si="722"/>
        <v>0</v>
      </c>
      <c r="BU871" s="24">
        <f t="shared" ca="1" si="718"/>
        <v>0</v>
      </c>
      <c r="BV871" s="24">
        <f t="shared" ca="1" si="723"/>
        <v>0</v>
      </c>
      <c r="BW871" s="24">
        <f t="shared" ca="1" si="719"/>
        <v>-103.34472712966364</v>
      </c>
      <c r="BX871" s="25">
        <f t="shared" ca="1" si="724"/>
        <v>-1357.2778282544448</v>
      </c>
      <c r="BY871" s="23">
        <f t="shared" ca="1" si="691"/>
        <v>417.60901850197178</v>
      </c>
      <c r="BZ871" s="24">
        <f t="shared" ca="1" si="692"/>
        <v>0</v>
      </c>
      <c r="CA871" s="24">
        <f t="shared" ca="1" si="725"/>
        <v>0</v>
      </c>
      <c r="CB871" s="24">
        <f t="shared" ca="1" si="693"/>
        <v>0</v>
      </c>
      <c r="CC871" s="24">
        <f t="shared" ca="1" si="726"/>
        <v>0</v>
      </c>
      <c r="CD871" s="24">
        <f t="shared" ca="1" si="694"/>
        <v>-6.156123706233033</v>
      </c>
      <c r="CE871" s="25">
        <f t="shared" ca="1" si="727"/>
        <v>-82.33476954360529</v>
      </c>
      <c r="CF871" s="23">
        <f t="shared" ca="1" si="728"/>
        <v>4432970.9897534763</v>
      </c>
      <c r="CG871" s="25">
        <f t="array" aca="1" ref="CG871" ca="1">SUM(BF860:BF871/(1+inflation/100)^(AP860:AP871/12))</f>
        <v>267980.53702225396</v>
      </c>
      <c r="CH871" s="32">
        <f ca="1">IFERROR(IF(MOD(AP871-ap_months_since_start,12)=0,ap_drawdown/100*(AQ871+AV871+BA871-BC871),CH870),0)</f>
        <v>1089.152713369358</v>
      </c>
    </row>
    <row r="872" spans="40:86" x14ac:dyDescent="0.25">
      <c r="AN872" s="32">
        <f t="shared" ca="1" si="689"/>
        <v>126.91666666666667</v>
      </c>
      <c r="AO872" s="53">
        <f t="shared" ca="1" si="720"/>
        <v>71925</v>
      </c>
      <c r="AP872" s="22">
        <v>865</v>
      </c>
      <c r="AQ872" s="32">
        <f t="shared" ca="1" si="721"/>
        <v>7033.4806733989553</v>
      </c>
      <c r="AR872" s="23">
        <f t="array" aca="1" ref="AR872" ca="1">SUM(IF(lsc_start_date=AO872,lsc_amount,0))</f>
        <v>0</v>
      </c>
      <c r="AS872" s="24">
        <f t="shared" ca="1" si="695"/>
        <v>0</v>
      </c>
      <c r="AT872" s="24">
        <f t="shared" ca="1" si="696"/>
        <v>0</v>
      </c>
      <c r="AU872" s="24">
        <f t="shared" ca="1" si="697"/>
        <v>0</v>
      </c>
      <c r="AV872" s="25">
        <f t="shared" ca="1" si="698"/>
        <v>0</v>
      </c>
      <c r="AW872" s="23">
        <f t="array" aca="1" ref="AW872" ca="1">SUM(IF(rcs_start_date&lt;=AO872,1,0)*IF(rcs_end_date&gt;=AO872,1,0)*rcs_amount*(1+rcs_escalation/100)^(INT((AP872-rcs_months_since_start)/12))*IF(MOD((AP872-rcs_months_since_start),rcs_frequency)=0,1,0)*IF(rcs_frequency=13,0,1))+SUM(IF(rcs_start_date=AO872,rcs_amount,0)*IF(rcs_frequency=13,1,0))</f>
        <v>0</v>
      </c>
      <c r="AX872" s="24">
        <f t="shared" ca="1" si="699"/>
        <v>0</v>
      </c>
      <c r="AY872" s="24">
        <f t="shared" ca="1" si="700"/>
        <v>0</v>
      </c>
      <c r="AZ872" s="24">
        <f t="shared" ca="1" si="701"/>
        <v>0</v>
      </c>
      <c r="BA872" s="25">
        <f t="shared" ca="1" si="702"/>
        <v>0</v>
      </c>
      <c r="BB872" s="23">
        <f t="array" aca="1" ref="BB872" ca="1">SUM(IF(w_start_date&lt;=AO872,1,0)*IF(w_end_date&gt;=AO872,1,0)*w_amount*(1+w_escalation/100)^(INT((AP872-w_months_since_start)/12))*IF(MOD(AP872-w_months_since_start,w_frequency)=0,1,0)*IF(w_frequency=13,0,1))+SUM(IF(w_start_date=AO872,w_amount,0)*IF(w_frequency=13,1,0))</f>
        <v>0</v>
      </c>
      <c r="BC872" s="25">
        <f t="shared" ca="1" si="703"/>
        <v>0</v>
      </c>
      <c r="BD872" s="24" t="b">
        <f t="shared" ca="1" si="704"/>
        <v>1</v>
      </c>
      <c r="BE872" s="24" t="b">
        <f t="shared" ca="1" si="705"/>
        <v>1</v>
      </c>
      <c r="BF872" s="23">
        <f t="array" aca="1" ref="BF872" ca="1">SUM(IF(BD872,1,0)*IF(ap_start_date&lt;=AO872,1,0)*IF(ap_end_date&gt;=AO872,1,0)*ap_amount*(1+ap_escalation/100)^(INT((AP872-ap_months_since_start)/12))*IF(MOD(AP872-ap_months_since_start,ap_frequency)=0,1,0))</f>
        <v>382914.43765312427</v>
      </c>
      <c r="BG872" s="24">
        <f t="shared" ca="1" si="706"/>
        <v>4594973.2518374911</v>
      </c>
      <c r="BH872" s="24">
        <f t="shared" ca="1" si="707"/>
        <v>177.16238936513767</v>
      </c>
      <c r="BI872">
        <f t="shared" ca="1" si="708"/>
        <v>0</v>
      </c>
      <c r="BJ872" s="24">
        <f t="shared" ca="1" si="709"/>
        <v>1240.1367255559635</v>
      </c>
      <c r="BK872">
        <f t="shared" ca="1" si="710"/>
        <v>1</v>
      </c>
      <c r="BL872" s="25">
        <f t="shared" ca="1" si="711"/>
        <v>103.34472712966364</v>
      </c>
      <c r="BM872" s="32">
        <f t="shared" ca="1" si="690"/>
        <v>6980.0836766588354</v>
      </c>
      <c r="BN872" s="23">
        <f t="shared" ca="1" si="712"/>
        <v>0</v>
      </c>
      <c r="BO872" s="24">
        <f t="shared" ca="1" si="713"/>
        <v>0</v>
      </c>
      <c r="BP872" s="25">
        <f t="shared" ca="1" si="714"/>
        <v>0</v>
      </c>
      <c r="BQ872" s="34">
        <f t="shared" ca="1" si="715"/>
        <v>71955</v>
      </c>
      <c r="BR872" s="23">
        <f t="shared" ca="1" si="716"/>
        <v>6980.0836766588354</v>
      </c>
      <c r="BS872" s="24">
        <f t="shared" ca="1" si="717"/>
        <v>0</v>
      </c>
      <c r="BT872" s="24">
        <f t="shared" ca="1" si="722"/>
        <v>0</v>
      </c>
      <c r="BU872" s="24">
        <f t="shared" ca="1" si="718"/>
        <v>0</v>
      </c>
      <c r="BV872" s="24">
        <f t="shared" ca="1" si="723"/>
        <v>0</v>
      </c>
      <c r="BW872" s="24">
        <f t="shared" ca="1" si="719"/>
        <v>-103.34472712966364</v>
      </c>
      <c r="BX872" s="25">
        <f t="shared" ca="1" si="724"/>
        <v>-1346.6286371000374</v>
      </c>
      <c r="BY872" s="23">
        <f t="shared" ca="1" si="691"/>
        <v>413.0862644644962</v>
      </c>
      <c r="BZ872" s="24">
        <f t="shared" ca="1" si="692"/>
        <v>0</v>
      </c>
      <c r="CA872" s="24">
        <f t="shared" ca="1" si="725"/>
        <v>0</v>
      </c>
      <c r="CB872" s="24">
        <f t="shared" ca="1" si="693"/>
        <v>0</v>
      </c>
      <c r="CC872" s="24">
        <f t="shared" ca="1" si="726"/>
        <v>0</v>
      </c>
      <c r="CD872" s="24">
        <f t="shared" ca="1" si="694"/>
        <v>-6.136035921332363</v>
      </c>
      <c r="CE872" s="25">
        <f t="shared" ca="1" si="727"/>
        <v>-81.431746688499487</v>
      </c>
      <c r="CF872" s="23">
        <f t="shared" ca="1" si="728"/>
        <v>4447698.4681247501</v>
      </c>
      <c r="CG872" s="25">
        <f t="array" aca="1" ref="CG872" ca="1">SUM(BF861:BF872/(1+inflation/100)^(AP861:AP872/12))</f>
        <v>267980.53702225396</v>
      </c>
      <c r="CH872" s="32">
        <f ca="1">IFERROR(IF(MOD(AP872-ap_months_since_start,12)=0,ap_drawdown/100*(AQ872+AV872+BA872-BC872),CH871),0)</f>
        <v>1089.152713369358</v>
      </c>
    </row>
    <row r="873" spans="40:86" x14ac:dyDescent="0.25">
      <c r="AN873" s="32">
        <f t="shared" ca="1" si="689"/>
        <v>127</v>
      </c>
      <c r="AO873" s="53">
        <f t="shared" ca="1" si="720"/>
        <v>71956</v>
      </c>
      <c r="AP873" s="22">
        <v>866</v>
      </c>
      <c r="AQ873" s="32">
        <f t="shared" ca="1" si="721"/>
        <v>6980.0836766588354</v>
      </c>
      <c r="AR873" s="23">
        <f t="array" aca="1" ref="AR873" ca="1">SUM(IF(lsc_start_date=AO873,lsc_amount,0))</f>
        <v>0</v>
      </c>
      <c r="AS873" s="24">
        <f t="shared" ca="1" si="695"/>
        <v>0</v>
      </c>
      <c r="AT873" s="24">
        <f t="shared" ca="1" si="696"/>
        <v>0</v>
      </c>
      <c r="AU873" s="24">
        <f t="shared" ca="1" si="697"/>
        <v>0</v>
      </c>
      <c r="AV873" s="25">
        <f t="shared" ca="1" si="698"/>
        <v>0</v>
      </c>
      <c r="AW873" s="23">
        <f t="array" aca="1" ref="AW873" ca="1">SUM(IF(rcs_start_date&lt;=AO873,1,0)*IF(rcs_end_date&gt;=AO873,1,0)*rcs_amount*(1+rcs_escalation/100)^(INT((AP873-rcs_months_since_start)/12))*IF(MOD((AP873-rcs_months_since_start),rcs_frequency)=0,1,0)*IF(rcs_frequency=13,0,1))+SUM(IF(rcs_start_date=AO873,rcs_amount,0)*IF(rcs_frequency=13,1,0))</f>
        <v>0</v>
      </c>
      <c r="AX873" s="24">
        <f t="shared" ca="1" si="699"/>
        <v>0</v>
      </c>
      <c r="AY873" s="24">
        <f t="shared" ca="1" si="700"/>
        <v>0</v>
      </c>
      <c r="AZ873" s="24">
        <f t="shared" ca="1" si="701"/>
        <v>0</v>
      </c>
      <c r="BA873" s="25">
        <f t="shared" ca="1" si="702"/>
        <v>0</v>
      </c>
      <c r="BB873" s="23">
        <f t="array" aca="1" ref="BB873" ca="1">SUM(IF(w_start_date&lt;=AO873,1,0)*IF(w_end_date&gt;=AO873,1,0)*w_amount*(1+w_escalation/100)^(INT((AP873-w_months_since_start)/12))*IF(MOD(AP873-w_months_since_start,w_frequency)=0,1,0)*IF(w_frequency=13,0,1))+SUM(IF(w_start_date=AO873,w_amount,0)*IF(w_frequency=13,1,0))</f>
        <v>0</v>
      </c>
      <c r="BC873" s="25">
        <f t="shared" ca="1" si="703"/>
        <v>0</v>
      </c>
      <c r="BD873" s="24" t="b">
        <f t="shared" ca="1" si="704"/>
        <v>1</v>
      </c>
      <c r="BE873" s="24" t="b">
        <f t="shared" ca="1" si="705"/>
        <v>1</v>
      </c>
      <c r="BF873" s="23">
        <f t="array" aca="1" ref="BF873" ca="1">SUM(IF(BD873,1,0)*IF(ap_start_date&lt;=AO873,1,0)*IF(ap_end_date&gt;=AO873,1,0)*ap_amount*(1+ap_escalation/100)^(INT((AP873-ap_months_since_start)/12))*IF(MOD(AP873-ap_months_since_start,ap_frequency)=0,1,0))</f>
        <v>382914.43765312427</v>
      </c>
      <c r="BG873" s="24">
        <f t="shared" ca="1" si="706"/>
        <v>4594973.2518374911</v>
      </c>
      <c r="BH873" s="24">
        <f t="shared" ca="1" si="707"/>
        <v>177.16238936513767</v>
      </c>
      <c r="BI873">
        <f t="shared" ca="1" si="708"/>
        <v>0</v>
      </c>
      <c r="BJ873" s="24">
        <f t="shared" ca="1" si="709"/>
        <v>1240.1367255559635</v>
      </c>
      <c r="BK873">
        <f t="shared" ca="1" si="710"/>
        <v>1</v>
      </c>
      <c r="BL873" s="25">
        <f t="shared" ca="1" si="711"/>
        <v>103.34472712966364</v>
      </c>
      <c r="BM873" s="32">
        <f t="shared" ca="1" si="690"/>
        <v>6926.3018304990992</v>
      </c>
      <c r="BN873" s="23">
        <f t="shared" ca="1" si="712"/>
        <v>0</v>
      </c>
      <c r="BO873" s="24">
        <f t="shared" ca="1" si="713"/>
        <v>0</v>
      </c>
      <c r="BP873" s="25">
        <f t="shared" ca="1" si="714"/>
        <v>0</v>
      </c>
      <c r="BQ873" s="34">
        <f t="shared" ca="1" si="715"/>
        <v>71986</v>
      </c>
      <c r="BR873" s="23">
        <f t="shared" ca="1" si="716"/>
        <v>6926.3018304990992</v>
      </c>
      <c r="BS873" s="24">
        <f t="shared" ca="1" si="717"/>
        <v>0</v>
      </c>
      <c r="BT873" s="24">
        <f t="shared" ca="1" si="722"/>
        <v>0</v>
      </c>
      <c r="BU873" s="24">
        <f t="shared" ca="1" si="718"/>
        <v>0</v>
      </c>
      <c r="BV873" s="24">
        <f t="shared" ca="1" si="723"/>
        <v>0</v>
      </c>
      <c r="BW873" s="24">
        <f t="shared" ca="1" si="719"/>
        <v>-103.34472712966364</v>
      </c>
      <c r="BX873" s="25">
        <f t="shared" ca="1" si="724"/>
        <v>-1335.97944594563</v>
      </c>
      <c r="BY873" s="23">
        <f t="shared" ca="1" si="691"/>
        <v>408.56587858751271</v>
      </c>
      <c r="BZ873" s="24">
        <f t="shared" ca="1" si="692"/>
        <v>0</v>
      </c>
      <c r="CA873" s="24">
        <f t="shared" ca="1" si="725"/>
        <v>0</v>
      </c>
      <c r="CB873" s="24">
        <f t="shared" ca="1" si="693"/>
        <v>0</v>
      </c>
      <c r="CC873" s="24">
        <f t="shared" ca="1" si="726"/>
        <v>0</v>
      </c>
      <c r="CD873" s="24">
        <f t="shared" ca="1" si="694"/>
        <v>-6.1160136840264983</v>
      </c>
      <c r="CE873" s="25">
        <f t="shared" ca="1" si="727"/>
        <v>-80.531670448786656</v>
      </c>
      <c r="CF873" s="23">
        <f t="shared" ca="1" si="728"/>
        <v>4462425.9464960247</v>
      </c>
      <c r="CG873" s="25">
        <f t="array" aca="1" ref="CG873" ca="1">SUM(BF862:BF873/(1+inflation/100)^(AP862:AP873/12))</f>
        <v>267980.53702225391</v>
      </c>
      <c r="CH873" s="32">
        <f ca="1">IFERROR(IF(MOD(AP873-ap_months_since_start,12)=0,ap_drawdown/100*(AQ873+AV873+BA873-BC873),CH872),0)</f>
        <v>1089.152713369358</v>
      </c>
    </row>
    <row r="874" spans="40:86" x14ac:dyDescent="0.25">
      <c r="AN874" s="32">
        <f t="shared" ca="1" si="689"/>
        <v>127.08333333333333</v>
      </c>
      <c r="AO874" s="53">
        <f t="shared" ca="1" si="720"/>
        <v>71987</v>
      </c>
      <c r="AP874" s="22">
        <v>867</v>
      </c>
      <c r="AQ874" s="32">
        <f t="shared" ca="1" si="721"/>
        <v>6926.3018304990992</v>
      </c>
      <c r="AR874" s="23">
        <f t="array" aca="1" ref="AR874" ca="1">SUM(IF(lsc_start_date=AO874,lsc_amount,0))</f>
        <v>0</v>
      </c>
      <c r="AS874" s="24">
        <f t="shared" ca="1" si="695"/>
        <v>0</v>
      </c>
      <c r="AT874" s="24">
        <f t="shared" ca="1" si="696"/>
        <v>0</v>
      </c>
      <c r="AU874" s="24">
        <f t="shared" ca="1" si="697"/>
        <v>0</v>
      </c>
      <c r="AV874" s="25">
        <f t="shared" ca="1" si="698"/>
        <v>0</v>
      </c>
      <c r="AW874" s="23">
        <f t="array" aca="1" ref="AW874" ca="1">SUM(IF(rcs_start_date&lt;=AO874,1,0)*IF(rcs_end_date&gt;=AO874,1,0)*rcs_amount*(1+rcs_escalation/100)^(INT((AP874-rcs_months_since_start)/12))*IF(MOD((AP874-rcs_months_since_start),rcs_frequency)=0,1,0)*IF(rcs_frequency=13,0,1))+SUM(IF(rcs_start_date=AO874,rcs_amount,0)*IF(rcs_frequency=13,1,0))</f>
        <v>0</v>
      </c>
      <c r="AX874" s="24">
        <f t="shared" ca="1" si="699"/>
        <v>0</v>
      </c>
      <c r="AY874" s="24">
        <f t="shared" ca="1" si="700"/>
        <v>0</v>
      </c>
      <c r="AZ874" s="24">
        <f t="shared" ca="1" si="701"/>
        <v>0</v>
      </c>
      <c r="BA874" s="25">
        <f t="shared" ca="1" si="702"/>
        <v>0</v>
      </c>
      <c r="BB874" s="23">
        <f t="array" aca="1" ref="BB874" ca="1">SUM(IF(w_start_date&lt;=AO874,1,0)*IF(w_end_date&gt;=AO874,1,0)*w_amount*(1+w_escalation/100)^(INT((AP874-w_months_since_start)/12))*IF(MOD(AP874-w_months_since_start,w_frequency)=0,1,0)*IF(w_frequency=13,0,1))+SUM(IF(w_start_date=AO874,w_amount,0)*IF(w_frequency=13,1,0))</f>
        <v>0</v>
      </c>
      <c r="BC874" s="25">
        <f t="shared" ca="1" si="703"/>
        <v>0</v>
      </c>
      <c r="BD874" s="24" t="b">
        <f t="shared" ca="1" si="704"/>
        <v>1</v>
      </c>
      <c r="BE874" s="24" t="b">
        <f t="shared" ca="1" si="705"/>
        <v>1</v>
      </c>
      <c r="BF874" s="23">
        <f t="array" aca="1" ref="BF874" ca="1">SUM(IF(BD874,1,0)*IF(ap_start_date&lt;=AO874,1,0)*IF(ap_end_date&gt;=AO874,1,0)*ap_amount*(1+ap_escalation/100)^(INT((AP874-ap_months_since_start)/12))*IF(MOD(AP874-ap_months_since_start,ap_frequency)=0,1,0))</f>
        <v>382914.43765312427</v>
      </c>
      <c r="BG874" s="24">
        <f t="shared" ca="1" si="706"/>
        <v>4594973.2518374911</v>
      </c>
      <c r="BH874" s="24">
        <f t="shared" ca="1" si="707"/>
        <v>177.16238936513767</v>
      </c>
      <c r="BI874">
        <f t="shared" ca="1" si="708"/>
        <v>0</v>
      </c>
      <c r="BJ874" s="24">
        <f t="shared" ca="1" si="709"/>
        <v>1240.1367255559635</v>
      </c>
      <c r="BK874">
        <f t="shared" ca="1" si="710"/>
        <v>1</v>
      </c>
      <c r="BL874" s="25">
        <f t="shared" ca="1" si="711"/>
        <v>103.34472712966364</v>
      </c>
      <c r="BM874" s="32">
        <f t="shared" ca="1" si="690"/>
        <v>6872.1323611855505</v>
      </c>
      <c r="BN874" s="23">
        <f t="shared" ca="1" si="712"/>
        <v>0</v>
      </c>
      <c r="BO874" s="24">
        <f t="shared" ca="1" si="713"/>
        <v>0</v>
      </c>
      <c r="BP874" s="25">
        <f t="shared" ca="1" si="714"/>
        <v>0</v>
      </c>
      <c r="BQ874" s="34">
        <f t="shared" ca="1" si="715"/>
        <v>72014</v>
      </c>
      <c r="BR874" s="23">
        <f t="shared" ca="1" si="716"/>
        <v>6872.1323611855505</v>
      </c>
      <c r="BS874" s="24">
        <f t="shared" ca="1" si="717"/>
        <v>0</v>
      </c>
      <c r="BT874" s="24">
        <f t="shared" ca="1" si="722"/>
        <v>0</v>
      </c>
      <c r="BU874" s="24">
        <f t="shared" ca="1" si="718"/>
        <v>0</v>
      </c>
      <c r="BV874" s="24">
        <f t="shared" ca="1" si="723"/>
        <v>0</v>
      </c>
      <c r="BW874" s="24">
        <f t="shared" ca="1" si="719"/>
        <v>-103.34472712966364</v>
      </c>
      <c r="BX874" s="25">
        <f t="shared" ca="1" si="724"/>
        <v>-1325.3302547912226</v>
      </c>
      <c r="BY874" s="23">
        <f t="shared" ca="1" si="691"/>
        <v>404.04780456611633</v>
      </c>
      <c r="BZ874" s="24">
        <f t="shared" ca="1" si="692"/>
        <v>0</v>
      </c>
      <c r="CA874" s="24">
        <f t="shared" ca="1" si="725"/>
        <v>0</v>
      </c>
      <c r="CB874" s="24">
        <f t="shared" ca="1" si="693"/>
        <v>0</v>
      </c>
      <c r="CC874" s="24">
        <f t="shared" ca="1" si="726"/>
        <v>0</v>
      </c>
      <c r="CD874" s="24">
        <f t="shared" ca="1" si="694"/>
        <v>-6.0960567804298602</v>
      </c>
      <c r="CE874" s="25">
        <f t="shared" ca="1" si="727"/>
        <v>-79.634531209491669</v>
      </c>
      <c r="CF874" s="23">
        <f t="shared" ca="1" si="728"/>
        <v>4477153.4248672985</v>
      </c>
      <c r="CG874" s="25">
        <f t="array" aca="1" ref="CG874" ca="1">SUM(BF863:BF874/(1+inflation/100)^(AP863:AP874/12))</f>
        <v>267980.53702225391</v>
      </c>
      <c r="CH874" s="32">
        <f ca="1">IFERROR(IF(MOD(AP874-ap_months_since_start,12)=0,ap_drawdown/100*(AQ874+AV874+BA874-BC874),CH873),0)</f>
        <v>1089.152713369358</v>
      </c>
    </row>
    <row r="875" spans="40:86" x14ac:dyDescent="0.25">
      <c r="AN875" s="32">
        <f t="shared" ca="1" si="689"/>
        <v>127.16666666666667</v>
      </c>
      <c r="AO875" s="53">
        <f t="shared" ca="1" si="720"/>
        <v>72015</v>
      </c>
      <c r="AP875" s="22">
        <v>868</v>
      </c>
      <c r="AQ875" s="32">
        <f t="shared" ca="1" si="721"/>
        <v>6872.1323611855505</v>
      </c>
      <c r="AR875" s="23">
        <f t="array" aca="1" ref="AR875" ca="1">SUM(IF(lsc_start_date=AO875,lsc_amount,0))</f>
        <v>0</v>
      </c>
      <c r="AS875" s="24">
        <f t="shared" ca="1" si="695"/>
        <v>0</v>
      </c>
      <c r="AT875" s="24">
        <f t="shared" ca="1" si="696"/>
        <v>0</v>
      </c>
      <c r="AU875" s="24">
        <f t="shared" ca="1" si="697"/>
        <v>0</v>
      </c>
      <c r="AV875" s="25">
        <f t="shared" ca="1" si="698"/>
        <v>0</v>
      </c>
      <c r="AW875" s="23">
        <f t="array" aca="1" ref="AW875" ca="1">SUM(IF(rcs_start_date&lt;=AO875,1,0)*IF(rcs_end_date&gt;=AO875,1,0)*rcs_amount*(1+rcs_escalation/100)^(INT((AP875-rcs_months_since_start)/12))*IF(MOD((AP875-rcs_months_since_start),rcs_frequency)=0,1,0)*IF(rcs_frequency=13,0,1))+SUM(IF(rcs_start_date=AO875,rcs_amount,0)*IF(rcs_frequency=13,1,0))</f>
        <v>0</v>
      </c>
      <c r="AX875" s="24">
        <f t="shared" ca="1" si="699"/>
        <v>0</v>
      </c>
      <c r="AY875" s="24">
        <f t="shared" ca="1" si="700"/>
        <v>0</v>
      </c>
      <c r="AZ875" s="24">
        <f t="shared" ca="1" si="701"/>
        <v>0</v>
      </c>
      <c r="BA875" s="25">
        <f t="shared" ca="1" si="702"/>
        <v>0</v>
      </c>
      <c r="BB875" s="23">
        <f t="array" aca="1" ref="BB875" ca="1">SUM(IF(w_start_date&lt;=AO875,1,0)*IF(w_end_date&gt;=AO875,1,0)*w_amount*(1+w_escalation/100)^(INT((AP875-w_months_since_start)/12))*IF(MOD(AP875-w_months_since_start,w_frequency)=0,1,0)*IF(w_frequency=13,0,1))+SUM(IF(w_start_date=AO875,w_amount,0)*IF(w_frequency=13,1,0))</f>
        <v>0</v>
      </c>
      <c r="BC875" s="25">
        <f t="shared" ca="1" si="703"/>
        <v>0</v>
      </c>
      <c r="BD875" s="24" t="b">
        <f t="shared" ca="1" si="704"/>
        <v>1</v>
      </c>
      <c r="BE875" s="24" t="b">
        <f t="shared" ca="1" si="705"/>
        <v>1</v>
      </c>
      <c r="BF875" s="23">
        <f t="array" aca="1" ref="BF875" ca="1">SUM(IF(BD875,1,0)*IF(ap_start_date&lt;=AO875,1,0)*IF(ap_end_date&gt;=AO875,1,0)*ap_amount*(1+ap_escalation/100)^(INT((AP875-ap_months_since_start)/12))*IF(MOD(AP875-ap_months_since_start,ap_frequency)=0,1,0))</f>
        <v>382914.43765312427</v>
      </c>
      <c r="BG875" s="24">
        <f t="shared" ca="1" si="706"/>
        <v>4594973.2518374911</v>
      </c>
      <c r="BH875" s="24">
        <f t="shared" ca="1" si="707"/>
        <v>177.16238936513767</v>
      </c>
      <c r="BI875">
        <f t="shared" ca="1" si="708"/>
        <v>0</v>
      </c>
      <c r="BJ875" s="24">
        <f t="shared" ca="1" si="709"/>
        <v>1240.1367255559635</v>
      </c>
      <c r="BK875">
        <f t="shared" ca="1" si="710"/>
        <v>1</v>
      </c>
      <c r="BL875" s="25">
        <f t="shared" ca="1" si="711"/>
        <v>103.34472712966364</v>
      </c>
      <c r="BM875" s="32">
        <f t="shared" ca="1" si="690"/>
        <v>6817.5724749927958</v>
      </c>
      <c r="BN875" s="23">
        <f t="shared" ca="1" si="712"/>
        <v>0</v>
      </c>
      <c r="BO875" s="24">
        <f t="shared" ca="1" si="713"/>
        <v>0</v>
      </c>
      <c r="BP875" s="25">
        <f t="shared" ca="1" si="714"/>
        <v>0</v>
      </c>
      <c r="BQ875" s="34">
        <f t="shared" ca="1" si="715"/>
        <v>72045</v>
      </c>
      <c r="BR875" s="23">
        <f t="shared" ca="1" si="716"/>
        <v>6817.5724749927958</v>
      </c>
      <c r="BS875" s="24">
        <f t="shared" ca="1" si="717"/>
        <v>0</v>
      </c>
      <c r="BT875" s="24">
        <f t="shared" ca="1" si="722"/>
        <v>0</v>
      </c>
      <c r="BU875" s="24">
        <f t="shared" ca="1" si="718"/>
        <v>0</v>
      </c>
      <c r="BV875" s="24">
        <f t="shared" ca="1" si="723"/>
        <v>0</v>
      </c>
      <c r="BW875" s="24">
        <f t="shared" ca="1" si="719"/>
        <v>-103.34472712966364</v>
      </c>
      <c r="BX875" s="25">
        <f t="shared" ca="1" si="724"/>
        <v>-1314.6810636368152</v>
      </c>
      <c r="BY875" s="23">
        <f t="shared" ca="1" si="691"/>
        <v>399.53198608866734</v>
      </c>
      <c r="BZ875" s="24">
        <f t="shared" ca="1" si="692"/>
        <v>0</v>
      </c>
      <c r="CA875" s="24">
        <f t="shared" ca="1" si="725"/>
        <v>0</v>
      </c>
      <c r="CB875" s="24">
        <f t="shared" ca="1" si="693"/>
        <v>0</v>
      </c>
      <c r="CC875" s="24">
        <f t="shared" ca="1" si="726"/>
        <v>0</v>
      </c>
      <c r="CD875" s="24">
        <f t="shared" ca="1" si="694"/>
        <v>-6.0761649973548169</v>
      </c>
      <c r="CE875" s="25">
        <f t="shared" ca="1" si="727"/>
        <v>-78.740319387013656</v>
      </c>
      <c r="CF875" s="23">
        <f t="shared" ca="1" si="728"/>
        <v>4491880.9032385731</v>
      </c>
      <c r="CG875" s="25">
        <f t="array" aca="1" ref="CG875" ca="1">SUM(BF864:BF875/(1+inflation/100)^(AP864:AP875/12))</f>
        <v>267980.53702225391</v>
      </c>
      <c r="CH875" s="32">
        <f ca="1">IFERROR(IF(MOD(AP875-ap_months_since_start,12)=0,ap_drawdown/100*(AQ875+AV875+BA875-BC875),CH874),0)</f>
        <v>1089.152713369358</v>
      </c>
    </row>
    <row r="876" spans="40:86" x14ac:dyDescent="0.25">
      <c r="AN876" s="32">
        <f t="shared" ca="1" si="689"/>
        <v>127.25</v>
      </c>
      <c r="AO876" s="53">
        <f t="shared" ca="1" si="720"/>
        <v>72046</v>
      </c>
      <c r="AP876" s="22">
        <v>869</v>
      </c>
      <c r="AQ876" s="32">
        <f t="shared" ca="1" si="721"/>
        <v>6817.5724749927958</v>
      </c>
      <c r="AR876" s="23">
        <f t="array" aca="1" ref="AR876" ca="1">SUM(IF(lsc_start_date=AO876,lsc_amount,0))</f>
        <v>0</v>
      </c>
      <c r="AS876" s="24">
        <f t="shared" ca="1" si="695"/>
        <v>0</v>
      </c>
      <c r="AT876" s="24">
        <f t="shared" ca="1" si="696"/>
        <v>0</v>
      </c>
      <c r="AU876" s="24">
        <f t="shared" ca="1" si="697"/>
        <v>0</v>
      </c>
      <c r="AV876" s="25">
        <f t="shared" ca="1" si="698"/>
        <v>0</v>
      </c>
      <c r="AW876" s="23">
        <f t="array" aca="1" ref="AW876" ca="1">SUM(IF(rcs_start_date&lt;=AO876,1,0)*IF(rcs_end_date&gt;=AO876,1,0)*rcs_amount*(1+rcs_escalation/100)^(INT((AP876-rcs_months_since_start)/12))*IF(MOD((AP876-rcs_months_since_start),rcs_frequency)=0,1,0)*IF(rcs_frequency=13,0,1))+SUM(IF(rcs_start_date=AO876,rcs_amount,0)*IF(rcs_frequency=13,1,0))</f>
        <v>0</v>
      </c>
      <c r="AX876" s="24">
        <f t="shared" ca="1" si="699"/>
        <v>0</v>
      </c>
      <c r="AY876" s="24">
        <f t="shared" ca="1" si="700"/>
        <v>0</v>
      </c>
      <c r="AZ876" s="24">
        <f t="shared" ca="1" si="701"/>
        <v>0</v>
      </c>
      <c r="BA876" s="25">
        <f t="shared" ca="1" si="702"/>
        <v>0</v>
      </c>
      <c r="BB876" s="23">
        <f t="array" aca="1" ref="BB876" ca="1">SUM(IF(w_start_date&lt;=AO876,1,0)*IF(w_end_date&gt;=AO876,1,0)*w_amount*(1+w_escalation/100)^(INT((AP876-w_months_since_start)/12))*IF(MOD(AP876-w_months_since_start,w_frequency)=0,1,0)*IF(w_frequency=13,0,1))+SUM(IF(w_start_date=AO876,w_amount,0)*IF(w_frequency=13,1,0))</f>
        <v>0</v>
      </c>
      <c r="BC876" s="25">
        <f t="shared" ca="1" si="703"/>
        <v>0</v>
      </c>
      <c r="BD876" s="24" t="b">
        <f t="shared" ca="1" si="704"/>
        <v>1</v>
      </c>
      <c r="BE876" s="24" t="b">
        <f t="shared" ca="1" si="705"/>
        <v>1</v>
      </c>
      <c r="BF876" s="23">
        <f t="array" aca="1" ref="BF876" ca="1">SUM(IF(BD876,1,0)*IF(ap_start_date&lt;=AO876,1,0)*IF(ap_end_date&gt;=AO876,1,0)*ap_amount*(1+ap_escalation/100)^(INT((AP876-ap_months_since_start)/12))*IF(MOD(AP876-ap_months_since_start,ap_frequency)=0,1,0))</f>
        <v>382914.43765312427</v>
      </c>
      <c r="BG876" s="24">
        <f t="shared" ca="1" si="706"/>
        <v>4594973.2518374911</v>
      </c>
      <c r="BH876" s="24">
        <f t="shared" ca="1" si="707"/>
        <v>177.16238936513767</v>
      </c>
      <c r="BI876">
        <f t="shared" ca="1" si="708"/>
        <v>0</v>
      </c>
      <c r="BJ876" s="24">
        <f t="shared" ca="1" si="709"/>
        <v>1240.1367255559635</v>
      </c>
      <c r="BK876">
        <f t="shared" ca="1" si="710"/>
        <v>1</v>
      </c>
      <c r="BL876" s="25">
        <f t="shared" ca="1" si="711"/>
        <v>103.34472712966364</v>
      </c>
      <c r="BM876" s="32">
        <f t="shared" ca="1" si="690"/>
        <v>6762.6193580601584</v>
      </c>
      <c r="BN876" s="23">
        <f t="shared" ca="1" si="712"/>
        <v>0</v>
      </c>
      <c r="BO876" s="24">
        <f t="shared" ca="1" si="713"/>
        <v>0</v>
      </c>
      <c r="BP876" s="25">
        <f t="shared" ca="1" si="714"/>
        <v>0</v>
      </c>
      <c r="BQ876" s="34">
        <f t="shared" ca="1" si="715"/>
        <v>72075</v>
      </c>
      <c r="BR876" s="23">
        <f t="shared" ca="1" si="716"/>
        <v>6762.6193580601584</v>
      </c>
      <c r="BS876" s="24">
        <f t="shared" ca="1" si="717"/>
        <v>0</v>
      </c>
      <c r="BT876" s="24">
        <f t="shared" ca="1" si="722"/>
        <v>0</v>
      </c>
      <c r="BU876" s="24">
        <f t="shared" ca="1" si="718"/>
        <v>0</v>
      </c>
      <c r="BV876" s="24">
        <f t="shared" ca="1" si="723"/>
        <v>0</v>
      </c>
      <c r="BW876" s="24">
        <f t="shared" ca="1" si="719"/>
        <v>-103.34472712966364</v>
      </c>
      <c r="BX876" s="25">
        <f t="shared" ca="1" si="724"/>
        <v>-1304.0318724824078</v>
      </c>
      <c r="BY876" s="23">
        <f t="shared" ca="1" si="691"/>
        <v>395.01836683606734</v>
      </c>
      <c r="BZ876" s="24">
        <f t="shared" ca="1" si="692"/>
        <v>0</v>
      </c>
      <c r="CA876" s="24">
        <f t="shared" ca="1" si="725"/>
        <v>0</v>
      </c>
      <c r="CB876" s="24">
        <f t="shared" ca="1" si="693"/>
        <v>0</v>
      </c>
      <c r="CC876" s="24">
        <f t="shared" ca="1" si="726"/>
        <v>0</v>
      </c>
      <c r="CD876" s="24">
        <f t="shared" ca="1" si="694"/>
        <v>-6.0563381223093673</v>
      </c>
      <c r="CE876" s="25">
        <f t="shared" ca="1" si="727"/>
        <v>-77.849025429023541</v>
      </c>
      <c r="CF876" s="23">
        <f t="shared" ca="1" si="728"/>
        <v>4506608.3816098468</v>
      </c>
      <c r="CG876" s="25">
        <f t="array" aca="1" ref="CG876" ca="1">SUM(BF865:BF876/(1+inflation/100)^(AP865:AP876/12))</f>
        <v>267980.53702225391</v>
      </c>
      <c r="CH876" s="32">
        <f ca="1">IFERROR(IF(MOD(AP876-ap_months_since_start,12)=0,ap_drawdown/100*(AQ876+AV876+BA876-BC876),CH875),0)</f>
        <v>1089.152713369358</v>
      </c>
    </row>
    <row r="877" spans="40:86" x14ac:dyDescent="0.25">
      <c r="AN877" s="32">
        <f t="shared" ca="1" si="689"/>
        <v>127.33333333333333</v>
      </c>
      <c r="AO877" s="53">
        <f t="shared" ca="1" si="720"/>
        <v>72076</v>
      </c>
      <c r="AP877" s="22">
        <v>870</v>
      </c>
      <c r="AQ877" s="32">
        <f t="shared" ca="1" si="721"/>
        <v>6762.6193580601584</v>
      </c>
      <c r="AR877" s="23">
        <f t="array" aca="1" ref="AR877" ca="1">SUM(IF(lsc_start_date=AO877,lsc_amount,0))</f>
        <v>0</v>
      </c>
      <c r="AS877" s="24">
        <f t="shared" ca="1" si="695"/>
        <v>0</v>
      </c>
      <c r="AT877" s="24">
        <f t="shared" ca="1" si="696"/>
        <v>0</v>
      </c>
      <c r="AU877" s="24">
        <f t="shared" ca="1" si="697"/>
        <v>0</v>
      </c>
      <c r="AV877" s="25">
        <f t="shared" ca="1" si="698"/>
        <v>0</v>
      </c>
      <c r="AW877" s="23">
        <f t="array" aca="1" ref="AW877" ca="1">SUM(IF(rcs_start_date&lt;=AO877,1,0)*IF(rcs_end_date&gt;=AO877,1,0)*rcs_amount*(1+rcs_escalation/100)^(INT((AP877-rcs_months_since_start)/12))*IF(MOD((AP877-rcs_months_since_start),rcs_frequency)=0,1,0)*IF(rcs_frequency=13,0,1))+SUM(IF(rcs_start_date=AO877,rcs_amount,0)*IF(rcs_frequency=13,1,0))</f>
        <v>0</v>
      </c>
      <c r="AX877" s="24">
        <f t="shared" ca="1" si="699"/>
        <v>0</v>
      </c>
      <c r="AY877" s="24">
        <f t="shared" ca="1" si="700"/>
        <v>0</v>
      </c>
      <c r="AZ877" s="24">
        <f t="shared" ca="1" si="701"/>
        <v>0</v>
      </c>
      <c r="BA877" s="25">
        <f t="shared" ca="1" si="702"/>
        <v>0</v>
      </c>
      <c r="BB877" s="23">
        <f t="array" aca="1" ref="BB877" ca="1">SUM(IF(w_start_date&lt;=AO877,1,0)*IF(w_end_date&gt;=AO877,1,0)*w_amount*(1+w_escalation/100)^(INT((AP877-w_months_since_start)/12))*IF(MOD(AP877-w_months_since_start,w_frequency)=0,1,0)*IF(w_frequency=13,0,1))+SUM(IF(w_start_date=AO877,w_amount,0)*IF(w_frequency=13,1,0))</f>
        <v>0</v>
      </c>
      <c r="BC877" s="25">
        <f t="shared" ca="1" si="703"/>
        <v>0</v>
      </c>
      <c r="BD877" s="24" t="b">
        <f t="shared" ca="1" si="704"/>
        <v>1</v>
      </c>
      <c r="BE877" s="24" t="b">
        <f t="shared" ca="1" si="705"/>
        <v>1</v>
      </c>
      <c r="BF877" s="23">
        <f t="array" aca="1" ref="BF877" ca="1">SUM(IF(BD877,1,0)*IF(ap_start_date&lt;=AO877,1,0)*IF(ap_end_date&gt;=AO877,1,0)*ap_amount*(1+ap_escalation/100)^(INT((AP877-ap_months_since_start)/12))*IF(MOD(AP877-ap_months_since_start,ap_frequency)=0,1,0))</f>
        <v>382914.43765312427</v>
      </c>
      <c r="BG877" s="24">
        <f t="shared" ca="1" si="706"/>
        <v>4594973.2518374911</v>
      </c>
      <c r="BH877" s="24">
        <f t="shared" ca="1" si="707"/>
        <v>177.16238936513767</v>
      </c>
      <c r="BI877">
        <f t="shared" ca="1" si="708"/>
        <v>0</v>
      </c>
      <c r="BJ877" s="24">
        <f t="shared" ca="1" si="709"/>
        <v>1240.1367255559635</v>
      </c>
      <c r="BK877">
        <f t="shared" ca="1" si="710"/>
        <v>1</v>
      </c>
      <c r="BL877" s="25">
        <f t="shared" ca="1" si="711"/>
        <v>103.34472712966364</v>
      </c>
      <c r="BM877" s="32">
        <f t="shared" ca="1" si="690"/>
        <v>6707.2701762465576</v>
      </c>
      <c r="BN877" s="23">
        <f t="shared" ca="1" si="712"/>
        <v>0</v>
      </c>
      <c r="BO877" s="24">
        <f t="shared" ca="1" si="713"/>
        <v>0</v>
      </c>
      <c r="BP877" s="25">
        <f t="shared" ca="1" si="714"/>
        <v>0</v>
      </c>
      <c r="BQ877" s="34">
        <f t="shared" ca="1" si="715"/>
        <v>72106</v>
      </c>
      <c r="BR877" s="23">
        <f t="shared" ca="1" si="716"/>
        <v>6707.2701762465576</v>
      </c>
      <c r="BS877" s="24">
        <f t="shared" ca="1" si="717"/>
        <v>0</v>
      </c>
      <c r="BT877" s="24">
        <f t="shared" ca="1" si="722"/>
        <v>0</v>
      </c>
      <c r="BU877" s="24">
        <f t="shared" ca="1" si="718"/>
        <v>0</v>
      </c>
      <c r="BV877" s="24">
        <f t="shared" ca="1" si="723"/>
        <v>0</v>
      </c>
      <c r="BW877" s="24">
        <f t="shared" ca="1" si="719"/>
        <v>-103.34472712966364</v>
      </c>
      <c r="BX877" s="25">
        <f t="shared" ca="1" si="724"/>
        <v>-1293.3826813280004</v>
      </c>
      <c r="BY877" s="23">
        <f t="shared" ca="1" si="691"/>
        <v>390.50689048103465</v>
      </c>
      <c r="BZ877" s="24">
        <f t="shared" ca="1" si="692"/>
        <v>0</v>
      </c>
      <c r="CA877" s="24">
        <f t="shared" ca="1" si="725"/>
        <v>0</v>
      </c>
      <c r="CB877" s="24">
        <f t="shared" ca="1" si="693"/>
        <v>0</v>
      </c>
      <c r="CC877" s="24">
        <f t="shared" ca="1" si="726"/>
        <v>0</v>
      </c>
      <c r="CD877" s="24">
        <f t="shared" ca="1" si="694"/>
        <v>-6.0365759434948822</v>
      </c>
      <c r="CE877" s="25">
        <f t="shared" ca="1" si="727"/>
        <v>-76.960639814362068</v>
      </c>
      <c r="CF877" s="23">
        <f t="shared" ca="1" si="728"/>
        <v>4521335.8599811215</v>
      </c>
      <c r="CG877" s="25">
        <f t="array" aca="1" ref="CG877" ca="1">SUM(BF866:BF877/(1+inflation/100)^(AP866:AP877/12))</f>
        <v>267980.53702225396</v>
      </c>
      <c r="CH877" s="32">
        <f ca="1">IFERROR(IF(MOD(AP877-ap_months_since_start,12)=0,ap_drawdown/100*(AQ877+AV877+BA877-BC877),CH876),0)</f>
        <v>1089.152713369358</v>
      </c>
    </row>
    <row r="878" spans="40:86" x14ac:dyDescent="0.25">
      <c r="AN878" s="32">
        <f t="shared" ca="1" si="689"/>
        <v>127.41666666666667</v>
      </c>
      <c r="AO878" s="53">
        <f t="shared" ca="1" si="720"/>
        <v>72107</v>
      </c>
      <c r="AP878" s="22">
        <v>871</v>
      </c>
      <c r="AQ878" s="32">
        <f t="shared" ca="1" si="721"/>
        <v>6707.2701762465576</v>
      </c>
      <c r="AR878" s="23">
        <f t="array" aca="1" ref="AR878" ca="1">SUM(IF(lsc_start_date=AO878,lsc_amount,0))</f>
        <v>0</v>
      </c>
      <c r="AS878" s="24">
        <f t="shared" ca="1" si="695"/>
        <v>0</v>
      </c>
      <c r="AT878" s="24">
        <f t="shared" ca="1" si="696"/>
        <v>0</v>
      </c>
      <c r="AU878" s="24">
        <f t="shared" ca="1" si="697"/>
        <v>0</v>
      </c>
      <c r="AV878" s="25">
        <f t="shared" ca="1" si="698"/>
        <v>0</v>
      </c>
      <c r="AW878" s="23">
        <f t="array" aca="1" ref="AW878" ca="1">SUM(IF(rcs_start_date&lt;=AO878,1,0)*IF(rcs_end_date&gt;=AO878,1,0)*rcs_amount*(1+rcs_escalation/100)^(INT((AP878-rcs_months_since_start)/12))*IF(MOD((AP878-rcs_months_since_start),rcs_frequency)=0,1,0)*IF(rcs_frequency=13,0,1))+SUM(IF(rcs_start_date=AO878,rcs_amount,0)*IF(rcs_frequency=13,1,0))</f>
        <v>0</v>
      </c>
      <c r="AX878" s="24">
        <f t="shared" ca="1" si="699"/>
        <v>0</v>
      </c>
      <c r="AY878" s="24">
        <f t="shared" ca="1" si="700"/>
        <v>0</v>
      </c>
      <c r="AZ878" s="24">
        <f t="shared" ca="1" si="701"/>
        <v>0</v>
      </c>
      <c r="BA878" s="25">
        <f t="shared" ca="1" si="702"/>
        <v>0</v>
      </c>
      <c r="BB878" s="23">
        <f t="array" aca="1" ref="BB878" ca="1">SUM(IF(w_start_date&lt;=AO878,1,0)*IF(w_end_date&gt;=AO878,1,0)*w_amount*(1+w_escalation/100)^(INT((AP878-w_months_since_start)/12))*IF(MOD(AP878-w_months_since_start,w_frequency)=0,1,0)*IF(w_frequency=13,0,1))+SUM(IF(w_start_date=AO878,w_amount,0)*IF(w_frequency=13,1,0))</f>
        <v>0</v>
      </c>
      <c r="BC878" s="25">
        <f t="shared" ca="1" si="703"/>
        <v>0</v>
      </c>
      <c r="BD878" s="24" t="b">
        <f t="shared" ca="1" si="704"/>
        <v>1</v>
      </c>
      <c r="BE878" s="24" t="b">
        <f t="shared" ca="1" si="705"/>
        <v>1</v>
      </c>
      <c r="BF878" s="23">
        <f t="array" aca="1" ref="BF878" ca="1">SUM(IF(BD878,1,0)*IF(ap_start_date&lt;=AO878,1,0)*IF(ap_end_date&gt;=AO878,1,0)*ap_amount*(1+ap_escalation/100)^(INT((AP878-ap_months_since_start)/12))*IF(MOD(AP878-ap_months_since_start,ap_frequency)=0,1,0))</f>
        <v>382914.43765312427</v>
      </c>
      <c r="BG878" s="24">
        <f t="shared" ca="1" si="706"/>
        <v>4594973.2518374911</v>
      </c>
      <c r="BH878" s="24">
        <f t="shared" ca="1" si="707"/>
        <v>177.16238936513767</v>
      </c>
      <c r="BI878">
        <f t="shared" ca="1" si="708"/>
        <v>0</v>
      </c>
      <c r="BJ878" s="24">
        <f t="shared" ca="1" si="709"/>
        <v>1240.1367255559635</v>
      </c>
      <c r="BK878">
        <f t="shared" ca="1" si="710"/>
        <v>1</v>
      </c>
      <c r="BL878" s="25">
        <f t="shared" ca="1" si="711"/>
        <v>103.34472712966364</v>
      </c>
      <c r="BM878" s="32">
        <f t="shared" ca="1" si="690"/>
        <v>6651.5220749843429</v>
      </c>
      <c r="BN878" s="23">
        <f t="shared" ca="1" si="712"/>
        <v>0</v>
      </c>
      <c r="BO878" s="24">
        <f t="shared" ca="1" si="713"/>
        <v>0</v>
      </c>
      <c r="BP878" s="25">
        <f t="shared" ca="1" si="714"/>
        <v>0</v>
      </c>
      <c r="BQ878" s="34">
        <f t="shared" ca="1" si="715"/>
        <v>72136</v>
      </c>
      <c r="BR878" s="23">
        <f t="shared" ca="1" si="716"/>
        <v>6651.5220749843429</v>
      </c>
      <c r="BS878" s="24">
        <f t="shared" ca="1" si="717"/>
        <v>0</v>
      </c>
      <c r="BT878" s="24">
        <f t="shared" ca="1" si="722"/>
        <v>0</v>
      </c>
      <c r="BU878" s="24">
        <f t="shared" ca="1" si="718"/>
        <v>0</v>
      </c>
      <c r="BV878" s="24">
        <f t="shared" ca="1" si="723"/>
        <v>0</v>
      </c>
      <c r="BW878" s="24">
        <f t="shared" ca="1" si="719"/>
        <v>-103.34472712966364</v>
      </c>
      <c r="BX878" s="25">
        <f t="shared" ca="1" si="724"/>
        <v>-1282.7334901735931</v>
      </c>
      <c r="BY878" s="23">
        <f t="shared" ca="1" si="691"/>
        <v>385.99750068737711</v>
      </c>
      <c r="BZ878" s="24">
        <f t="shared" ca="1" si="692"/>
        <v>0</v>
      </c>
      <c r="CA878" s="24">
        <f t="shared" ca="1" si="725"/>
        <v>0</v>
      </c>
      <c r="CB878" s="24">
        <f t="shared" ca="1" si="693"/>
        <v>0</v>
      </c>
      <c r="CC878" s="24">
        <f t="shared" ca="1" si="726"/>
        <v>0</v>
      </c>
      <c r="CD878" s="24">
        <f t="shared" ca="1" si="694"/>
        <v>-6.0168782498038524</v>
      </c>
      <c r="CE878" s="25">
        <f t="shared" ca="1" si="727"/>
        <v>-76.075153052938091</v>
      </c>
      <c r="CF878" s="23">
        <f t="shared" ca="1" si="728"/>
        <v>4536063.3383523952</v>
      </c>
      <c r="CG878" s="25">
        <f t="array" aca="1" ref="CG878" ca="1">SUM(BF867:BF878/(1+inflation/100)^(AP867:AP878/12))</f>
        <v>267980.53702225396</v>
      </c>
      <c r="CH878" s="32">
        <f ca="1">IFERROR(IF(MOD(AP878-ap_months_since_start,12)=0,ap_drawdown/100*(AQ878+AV878+BA878-BC878),CH877),0)</f>
        <v>1089.152713369358</v>
      </c>
    </row>
    <row r="879" spans="40:86" x14ac:dyDescent="0.25">
      <c r="AN879" s="32">
        <f t="shared" ca="1" si="689"/>
        <v>127.5</v>
      </c>
      <c r="AO879" s="53">
        <f t="shared" ca="1" si="720"/>
        <v>72137</v>
      </c>
      <c r="AP879" s="22">
        <v>872</v>
      </c>
      <c r="AQ879" s="32">
        <f t="shared" ca="1" si="721"/>
        <v>6651.5220749843429</v>
      </c>
      <c r="AR879" s="23">
        <f t="array" aca="1" ref="AR879" ca="1">SUM(IF(lsc_start_date=AO879,lsc_amount,0))</f>
        <v>0</v>
      </c>
      <c r="AS879" s="24">
        <f t="shared" ca="1" si="695"/>
        <v>0</v>
      </c>
      <c r="AT879" s="24">
        <f t="shared" ca="1" si="696"/>
        <v>0</v>
      </c>
      <c r="AU879" s="24">
        <f t="shared" ca="1" si="697"/>
        <v>0</v>
      </c>
      <c r="AV879" s="25">
        <f t="shared" ca="1" si="698"/>
        <v>0</v>
      </c>
      <c r="AW879" s="23">
        <f t="array" aca="1" ref="AW879" ca="1">SUM(IF(rcs_start_date&lt;=AO879,1,0)*IF(rcs_end_date&gt;=AO879,1,0)*rcs_amount*(1+rcs_escalation/100)^(INT((AP879-rcs_months_since_start)/12))*IF(MOD((AP879-rcs_months_since_start),rcs_frequency)=0,1,0)*IF(rcs_frequency=13,0,1))+SUM(IF(rcs_start_date=AO879,rcs_amount,0)*IF(rcs_frequency=13,1,0))</f>
        <v>0</v>
      </c>
      <c r="AX879" s="24">
        <f t="shared" ca="1" si="699"/>
        <v>0</v>
      </c>
      <c r="AY879" s="24">
        <f t="shared" ca="1" si="700"/>
        <v>0</v>
      </c>
      <c r="AZ879" s="24">
        <f t="shared" ca="1" si="701"/>
        <v>0</v>
      </c>
      <c r="BA879" s="25">
        <f t="shared" ca="1" si="702"/>
        <v>0</v>
      </c>
      <c r="BB879" s="23">
        <f t="array" aca="1" ref="BB879" ca="1">SUM(IF(w_start_date&lt;=AO879,1,0)*IF(w_end_date&gt;=AO879,1,0)*w_amount*(1+w_escalation/100)^(INT((AP879-w_months_since_start)/12))*IF(MOD(AP879-w_months_since_start,w_frequency)=0,1,0)*IF(w_frequency=13,0,1))+SUM(IF(w_start_date=AO879,w_amount,0)*IF(w_frequency=13,1,0))</f>
        <v>0</v>
      </c>
      <c r="BC879" s="25">
        <f t="shared" ca="1" si="703"/>
        <v>0</v>
      </c>
      <c r="BD879" s="24" t="b">
        <f t="shared" ca="1" si="704"/>
        <v>1</v>
      </c>
      <c r="BE879" s="24" t="b">
        <f t="shared" ca="1" si="705"/>
        <v>1</v>
      </c>
      <c r="BF879" s="23">
        <f t="array" aca="1" ref="BF879" ca="1">SUM(IF(BD879,1,0)*IF(ap_start_date&lt;=AO879,1,0)*IF(ap_end_date&gt;=AO879,1,0)*ap_amount*(1+ap_escalation/100)^(INT((AP879-ap_months_since_start)/12))*IF(MOD(AP879-ap_months_since_start,ap_frequency)=0,1,0))</f>
        <v>382914.43765312427</v>
      </c>
      <c r="BG879" s="24">
        <f t="shared" ca="1" si="706"/>
        <v>4594973.2518374911</v>
      </c>
      <c r="BH879" s="24">
        <f t="shared" ca="1" si="707"/>
        <v>177.16238936513767</v>
      </c>
      <c r="BI879">
        <f t="shared" ca="1" si="708"/>
        <v>0</v>
      </c>
      <c r="BJ879" s="24">
        <f t="shared" ca="1" si="709"/>
        <v>1240.1367255559635</v>
      </c>
      <c r="BK879">
        <f t="shared" ca="1" si="710"/>
        <v>1</v>
      </c>
      <c r="BL879" s="25">
        <f t="shared" ca="1" si="711"/>
        <v>103.34472712966364</v>
      </c>
      <c r="BM879" s="32">
        <f t="shared" ca="1" si="690"/>
        <v>6595.3721791320704</v>
      </c>
      <c r="BN879" s="23">
        <f t="shared" ca="1" si="712"/>
        <v>0</v>
      </c>
      <c r="BO879" s="24">
        <f t="shared" ca="1" si="713"/>
        <v>0</v>
      </c>
      <c r="BP879" s="25">
        <f t="shared" ca="1" si="714"/>
        <v>0</v>
      </c>
      <c r="BQ879" s="34">
        <f t="shared" ca="1" si="715"/>
        <v>72167</v>
      </c>
      <c r="BR879" s="23">
        <f t="shared" ca="1" si="716"/>
        <v>6595.3721791320704</v>
      </c>
      <c r="BS879" s="24">
        <f t="shared" ca="1" si="717"/>
        <v>0</v>
      </c>
      <c r="BT879" s="24">
        <f t="shared" ca="1" si="722"/>
        <v>0</v>
      </c>
      <c r="BU879" s="24">
        <f t="shared" ca="1" si="718"/>
        <v>0</v>
      </c>
      <c r="BV879" s="24">
        <f t="shared" ca="1" si="723"/>
        <v>0</v>
      </c>
      <c r="BW879" s="24">
        <f t="shared" ca="1" si="719"/>
        <v>-103.34472712966364</v>
      </c>
      <c r="BX879" s="25">
        <f t="shared" ca="1" si="724"/>
        <v>-1272.0842990191857</v>
      </c>
      <c r="BY879" s="23">
        <f t="shared" ca="1" si="691"/>
        <v>381.49014110926601</v>
      </c>
      <c r="BZ879" s="24">
        <f t="shared" ca="1" si="692"/>
        <v>0</v>
      </c>
      <c r="CA879" s="24">
        <f t="shared" ca="1" si="725"/>
        <v>0</v>
      </c>
      <c r="CB879" s="24">
        <f t="shared" ca="1" si="693"/>
        <v>0</v>
      </c>
      <c r="CC879" s="24">
        <f t="shared" ca="1" si="726"/>
        <v>0</v>
      </c>
      <c r="CD879" s="24">
        <f t="shared" ca="1" si="694"/>
        <v>-5.9972448308176194</v>
      </c>
      <c r="CE879" s="25">
        <f t="shared" ca="1" si="727"/>
        <v>-75.192555685627141</v>
      </c>
      <c r="CF879" s="23">
        <f t="shared" ca="1" si="728"/>
        <v>4550790.8167236699</v>
      </c>
      <c r="CG879" s="25">
        <f t="array" aca="1" ref="CG879" ca="1">SUM(BF868:BF879/(1+inflation/100)^(AP868:AP879/12))</f>
        <v>267980.53702225396</v>
      </c>
      <c r="CH879" s="32">
        <f ca="1">IFERROR(IF(MOD(AP879-ap_months_since_start,12)=0,ap_drawdown/100*(AQ879+AV879+BA879-BC879),CH878),0)</f>
        <v>1089.152713369358</v>
      </c>
    </row>
    <row r="880" spans="40:86" x14ac:dyDescent="0.25">
      <c r="AN880" s="32">
        <f t="shared" ca="1" si="689"/>
        <v>127.58333333333333</v>
      </c>
      <c r="AO880" s="53">
        <f t="shared" ca="1" si="720"/>
        <v>72168</v>
      </c>
      <c r="AP880" s="22">
        <v>873</v>
      </c>
      <c r="AQ880" s="32">
        <f t="shared" ca="1" si="721"/>
        <v>6595.3721791320704</v>
      </c>
      <c r="AR880" s="23">
        <f t="array" aca="1" ref="AR880" ca="1">SUM(IF(lsc_start_date=AO880,lsc_amount,0))</f>
        <v>0</v>
      </c>
      <c r="AS880" s="24">
        <f t="shared" ca="1" si="695"/>
        <v>0</v>
      </c>
      <c r="AT880" s="24">
        <f t="shared" ca="1" si="696"/>
        <v>0</v>
      </c>
      <c r="AU880" s="24">
        <f t="shared" ca="1" si="697"/>
        <v>0</v>
      </c>
      <c r="AV880" s="25">
        <f t="shared" ca="1" si="698"/>
        <v>0</v>
      </c>
      <c r="AW880" s="23">
        <f t="array" aca="1" ref="AW880" ca="1">SUM(IF(rcs_start_date&lt;=AO880,1,0)*IF(rcs_end_date&gt;=AO880,1,0)*rcs_amount*(1+rcs_escalation/100)^(INT((AP880-rcs_months_since_start)/12))*IF(MOD((AP880-rcs_months_since_start),rcs_frequency)=0,1,0)*IF(rcs_frequency=13,0,1))+SUM(IF(rcs_start_date=AO880,rcs_amount,0)*IF(rcs_frequency=13,1,0))</f>
        <v>0</v>
      </c>
      <c r="AX880" s="24">
        <f t="shared" ca="1" si="699"/>
        <v>0</v>
      </c>
      <c r="AY880" s="24">
        <f t="shared" ca="1" si="700"/>
        <v>0</v>
      </c>
      <c r="AZ880" s="24">
        <f t="shared" ca="1" si="701"/>
        <v>0</v>
      </c>
      <c r="BA880" s="25">
        <f t="shared" ca="1" si="702"/>
        <v>0</v>
      </c>
      <c r="BB880" s="23">
        <f t="array" aca="1" ref="BB880" ca="1">SUM(IF(w_start_date&lt;=AO880,1,0)*IF(w_end_date&gt;=AO880,1,0)*w_amount*(1+w_escalation/100)^(INT((AP880-w_months_since_start)/12))*IF(MOD(AP880-w_months_since_start,w_frequency)=0,1,0)*IF(w_frequency=13,0,1))+SUM(IF(w_start_date=AO880,w_amount,0)*IF(w_frequency=13,1,0))</f>
        <v>0</v>
      </c>
      <c r="BC880" s="25">
        <f t="shared" ca="1" si="703"/>
        <v>0</v>
      </c>
      <c r="BD880" s="24" t="b">
        <f t="shared" ca="1" si="704"/>
        <v>1</v>
      </c>
      <c r="BE880" s="24" t="b">
        <f t="shared" ca="1" si="705"/>
        <v>1</v>
      </c>
      <c r="BF880" s="23">
        <f t="array" aca="1" ref="BF880" ca="1">SUM(IF(BD880,1,0)*IF(ap_start_date&lt;=AO880,1,0)*IF(ap_end_date&gt;=AO880,1,0)*ap_amount*(1+ap_escalation/100)^(INT((AP880-ap_months_since_start)/12))*IF(MOD(AP880-ap_months_since_start,ap_frequency)=0,1,0))</f>
        <v>382914.43765312427</v>
      </c>
      <c r="BG880" s="24">
        <f t="shared" ca="1" si="706"/>
        <v>4594973.2518374911</v>
      </c>
      <c r="BH880" s="24">
        <f t="shared" ca="1" si="707"/>
        <v>177.16238936513767</v>
      </c>
      <c r="BI880">
        <f t="shared" ca="1" si="708"/>
        <v>0</v>
      </c>
      <c r="BJ880" s="24">
        <f t="shared" ca="1" si="709"/>
        <v>1240.1367255559635</v>
      </c>
      <c r="BK880">
        <f t="shared" ca="1" si="710"/>
        <v>1</v>
      </c>
      <c r="BL880" s="25">
        <f t="shared" ca="1" si="711"/>
        <v>103.34472712966364</v>
      </c>
      <c r="BM880" s="32">
        <f t="shared" ca="1" si="690"/>
        <v>6538.8175928262235</v>
      </c>
      <c r="BN880" s="23">
        <f t="shared" ca="1" si="712"/>
        <v>0</v>
      </c>
      <c r="BO880" s="24">
        <f t="shared" ca="1" si="713"/>
        <v>0</v>
      </c>
      <c r="BP880" s="25">
        <f t="shared" ca="1" si="714"/>
        <v>0</v>
      </c>
      <c r="BQ880" s="34">
        <f t="shared" ca="1" si="715"/>
        <v>72198</v>
      </c>
      <c r="BR880" s="23">
        <f t="shared" ca="1" si="716"/>
        <v>6538.8175928262235</v>
      </c>
      <c r="BS880" s="24">
        <f t="shared" ca="1" si="717"/>
        <v>0</v>
      </c>
      <c r="BT880" s="24">
        <f t="shared" ca="1" si="722"/>
        <v>0</v>
      </c>
      <c r="BU880" s="24">
        <f t="shared" ca="1" si="718"/>
        <v>0</v>
      </c>
      <c r="BV880" s="24">
        <f t="shared" ca="1" si="723"/>
        <v>0</v>
      </c>
      <c r="BW880" s="24">
        <f t="shared" ca="1" si="719"/>
        <v>-103.34472712966364</v>
      </c>
      <c r="BX880" s="25">
        <f t="shared" ca="1" si="724"/>
        <v>-1261.4351078647783</v>
      </c>
      <c r="BY880" s="23">
        <f t="shared" ca="1" si="691"/>
        <v>376.98475539051037</v>
      </c>
      <c r="BZ880" s="24">
        <f t="shared" ca="1" si="692"/>
        <v>0</v>
      </c>
      <c r="CA880" s="24">
        <f t="shared" ca="1" si="725"/>
        <v>0</v>
      </c>
      <c r="CB880" s="24">
        <f t="shared" ca="1" si="693"/>
        <v>0</v>
      </c>
      <c r="CC880" s="24">
        <f t="shared" ca="1" si="726"/>
        <v>0</v>
      </c>
      <c r="CD880" s="24">
        <f t="shared" ca="1" si="694"/>
        <v>-5.9776754768041274</v>
      </c>
      <c r="CE880" s="25">
        <f t="shared" ca="1" si="727"/>
        <v>-74.312838284170411</v>
      </c>
      <c r="CF880" s="23">
        <f t="shared" ca="1" si="728"/>
        <v>4565518.2950949436</v>
      </c>
      <c r="CG880" s="25">
        <f t="array" aca="1" ref="CG880" ca="1">SUM(BF869:BF880/(1+inflation/100)^(AP869:AP880/12))</f>
        <v>267980.53702225396</v>
      </c>
      <c r="CH880" s="32">
        <f ca="1">IFERROR(IF(MOD(AP880-ap_months_since_start,12)=0,ap_drawdown/100*(AQ880+AV880+BA880-BC880),CH879),0)</f>
        <v>1089.152713369358</v>
      </c>
    </row>
    <row r="881" spans="40:86" x14ac:dyDescent="0.25">
      <c r="AN881" s="32">
        <f t="shared" ca="1" si="689"/>
        <v>127.66666666666667</v>
      </c>
      <c r="AO881" s="53">
        <f t="shared" ca="1" si="720"/>
        <v>72199</v>
      </c>
      <c r="AP881" s="22">
        <v>874</v>
      </c>
      <c r="AQ881" s="32">
        <f t="shared" ca="1" si="721"/>
        <v>6538.8175928262235</v>
      </c>
      <c r="AR881" s="23">
        <f t="array" aca="1" ref="AR881" ca="1">SUM(IF(lsc_start_date=AO881,lsc_amount,0))</f>
        <v>0</v>
      </c>
      <c r="AS881" s="24">
        <f t="shared" ca="1" si="695"/>
        <v>0</v>
      </c>
      <c r="AT881" s="24">
        <f t="shared" ca="1" si="696"/>
        <v>0</v>
      </c>
      <c r="AU881" s="24">
        <f t="shared" ca="1" si="697"/>
        <v>0</v>
      </c>
      <c r="AV881" s="25">
        <f t="shared" ca="1" si="698"/>
        <v>0</v>
      </c>
      <c r="AW881" s="23">
        <f t="array" aca="1" ref="AW881" ca="1">SUM(IF(rcs_start_date&lt;=AO881,1,0)*IF(rcs_end_date&gt;=AO881,1,0)*rcs_amount*(1+rcs_escalation/100)^(INT((AP881-rcs_months_since_start)/12))*IF(MOD((AP881-rcs_months_since_start),rcs_frequency)=0,1,0)*IF(rcs_frequency=13,0,1))+SUM(IF(rcs_start_date=AO881,rcs_amount,0)*IF(rcs_frequency=13,1,0))</f>
        <v>0</v>
      </c>
      <c r="AX881" s="24">
        <f t="shared" ca="1" si="699"/>
        <v>0</v>
      </c>
      <c r="AY881" s="24">
        <f t="shared" ca="1" si="700"/>
        <v>0</v>
      </c>
      <c r="AZ881" s="24">
        <f t="shared" ca="1" si="701"/>
        <v>0</v>
      </c>
      <c r="BA881" s="25">
        <f t="shared" ca="1" si="702"/>
        <v>0</v>
      </c>
      <c r="BB881" s="23">
        <f t="array" aca="1" ref="BB881" ca="1">SUM(IF(w_start_date&lt;=AO881,1,0)*IF(w_end_date&gt;=AO881,1,0)*w_amount*(1+w_escalation/100)^(INT((AP881-w_months_since_start)/12))*IF(MOD(AP881-w_months_since_start,w_frequency)=0,1,0)*IF(w_frequency=13,0,1))+SUM(IF(w_start_date=AO881,w_amount,0)*IF(w_frequency=13,1,0))</f>
        <v>0</v>
      </c>
      <c r="BC881" s="25">
        <f t="shared" ca="1" si="703"/>
        <v>0</v>
      </c>
      <c r="BD881" s="24" t="b">
        <f t="shared" ca="1" si="704"/>
        <v>1</v>
      </c>
      <c r="BE881" s="24" t="b">
        <f t="shared" ca="1" si="705"/>
        <v>1</v>
      </c>
      <c r="BF881" s="23">
        <f t="array" aca="1" ref="BF881" ca="1">SUM(IF(BD881,1,0)*IF(ap_start_date&lt;=AO881,1,0)*IF(ap_end_date&gt;=AO881,1,0)*ap_amount*(1+ap_escalation/100)^(INT((AP881-ap_months_since_start)/12))*IF(MOD(AP881-ap_months_since_start,ap_frequency)=0,1,0))</f>
        <v>382914.43765312427</v>
      </c>
      <c r="BG881" s="24">
        <f t="shared" ca="1" si="706"/>
        <v>4594973.2518374911</v>
      </c>
      <c r="BH881" s="24">
        <f t="shared" ca="1" si="707"/>
        <v>177.16238936513767</v>
      </c>
      <c r="BI881">
        <f t="shared" ca="1" si="708"/>
        <v>0</v>
      </c>
      <c r="BJ881" s="24">
        <f t="shared" ca="1" si="709"/>
        <v>1240.1367255559635</v>
      </c>
      <c r="BK881">
        <f t="shared" ca="1" si="710"/>
        <v>1</v>
      </c>
      <c r="BL881" s="25">
        <f t="shared" ca="1" si="711"/>
        <v>103.34472712966364</v>
      </c>
      <c r="BM881" s="32">
        <f t="shared" ca="1" si="690"/>
        <v>6481.8553993318601</v>
      </c>
      <c r="BN881" s="23">
        <f t="shared" ca="1" si="712"/>
        <v>0</v>
      </c>
      <c r="BO881" s="24">
        <f t="shared" ca="1" si="713"/>
        <v>0</v>
      </c>
      <c r="BP881" s="25">
        <f t="shared" ca="1" si="714"/>
        <v>0</v>
      </c>
      <c r="BQ881" s="34">
        <f t="shared" ca="1" si="715"/>
        <v>72228</v>
      </c>
      <c r="BR881" s="23">
        <f t="shared" ca="1" si="716"/>
        <v>6481.8553993318601</v>
      </c>
      <c r="BS881" s="24">
        <f t="shared" ca="1" si="717"/>
        <v>0</v>
      </c>
      <c r="BT881" s="24">
        <f t="shared" ca="1" si="722"/>
        <v>0</v>
      </c>
      <c r="BU881" s="24">
        <f t="shared" ca="1" si="718"/>
        <v>0</v>
      </c>
      <c r="BV881" s="24">
        <f t="shared" ca="1" si="723"/>
        <v>0</v>
      </c>
      <c r="BW881" s="24">
        <f t="shared" ca="1" si="719"/>
        <v>-103.34472712966364</v>
      </c>
      <c r="BX881" s="25">
        <f t="shared" ca="1" si="724"/>
        <v>-1250.7859167103709</v>
      </c>
      <c r="BY881" s="23">
        <f t="shared" ca="1" si="691"/>
        <v>372.48128716382695</v>
      </c>
      <c r="BZ881" s="24">
        <f t="shared" ca="1" si="692"/>
        <v>0</v>
      </c>
      <c r="CA881" s="24">
        <f t="shared" ca="1" si="725"/>
        <v>0</v>
      </c>
      <c r="CB881" s="24">
        <f t="shared" ca="1" si="693"/>
        <v>0</v>
      </c>
      <c r="CC881" s="24">
        <f t="shared" ca="1" si="726"/>
        <v>0</v>
      </c>
      <c r="CD881" s="24">
        <f t="shared" ca="1" si="694"/>
        <v>-5.958169978715703</v>
      </c>
      <c r="CE881" s="25">
        <f t="shared" ca="1" si="727"/>
        <v>-73.435991451074102</v>
      </c>
      <c r="CF881" s="23">
        <f t="shared" ca="1" si="728"/>
        <v>4580245.7734662173</v>
      </c>
      <c r="CG881" s="25">
        <f t="array" aca="1" ref="CG881" ca="1">SUM(BF870:BF881/(1+inflation/100)^(AP870:AP881/12))</f>
        <v>267980.53702225391</v>
      </c>
      <c r="CH881" s="32">
        <f ca="1">IFERROR(IF(MOD(AP881-ap_months_since_start,12)=0,ap_drawdown/100*(AQ881+AV881+BA881-BC881),CH880),0)</f>
        <v>1089.152713369358</v>
      </c>
    </row>
    <row r="882" spans="40:86" x14ac:dyDescent="0.25">
      <c r="AN882" s="32">
        <f t="shared" ca="1" si="689"/>
        <v>127.75</v>
      </c>
      <c r="AO882" s="53">
        <f t="shared" ca="1" si="720"/>
        <v>72229</v>
      </c>
      <c r="AP882" s="22">
        <v>875</v>
      </c>
      <c r="AQ882" s="32">
        <f t="shared" ca="1" si="721"/>
        <v>6481.8553993318601</v>
      </c>
      <c r="AR882" s="23">
        <f t="array" aca="1" ref="AR882" ca="1">SUM(IF(lsc_start_date=AO882,lsc_amount,0))</f>
        <v>0</v>
      </c>
      <c r="AS882" s="24">
        <f t="shared" ca="1" si="695"/>
        <v>0</v>
      </c>
      <c r="AT882" s="24">
        <f t="shared" ca="1" si="696"/>
        <v>0</v>
      </c>
      <c r="AU882" s="24">
        <f t="shared" ca="1" si="697"/>
        <v>0</v>
      </c>
      <c r="AV882" s="25">
        <f t="shared" ca="1" si="698"/>
        <v>0</v>
      </c>
      <c r="AW882" s="23">
        <f t="array" aca="1" ref="AW882" ca="1">SUM(IF(rcs_start_date&lt;=AO882,1,0)*IF(rcs_end_date&gt;=AO882,1,0)*rcs_amount*(1+rcs_escalation/100)^(INT((AP882-rcs_months_since_start)/12))*IF(MOD((AP882-rcs_months_since_start),rcs_frequency)=0,1,0)*IF(rcs_frequency=13,0,1))+SUM(IF(rcs_start_date=AO882,rcs_amount,0)*IF(rcs_frequency=13,1,0))</f>
        <v>0</v>
      </c>
      <c r="AX882" s="24">
        <f t="shared" ca="1" si="699"/>
        <v>0</v>
      </c>
      <c r="AY882" s="24">
        <f t="shared" ca="1" si="700"/>
        <v>0</v>
      </c>
      <c r="AZ882" s="24">
        <f t="shared" ca="1" si="701"/>
        <v>0</v>
      </c>
      <c r="BA882" s="25">
        <f t="shared" ca="1" si="702"/>
        <v>0</v>
      </c>
      <c r="BB882" s="23">
        <f t="array" aca="1" ref="BB882" ca="1">SUM(IF(w_start_date&lt;=AO882,1,0)*IF(w_end_date&gt;=AO882,1,0)*w_amount*(1+w_escalation/100)^(INT((AP882-w_months_since_start)/12))*IF(MOD(AP882-w_months_since_start,w_frequency)=0,1,0)*IF(w_frequency=13,0,1))+SUM(IF(w_start_date=AO882,w_amount,0)*IF(w_frequency=13,1,0))</f>
        <v>0</v>
      </c>
      <c r="BC882" s="25">
        <f t="shared" ca="1" si="703"/>
        <v>0</v>
      </c>
      <c r="BD882" s="24" t="b">
        <f t="shared" ca="1" si="704"/>
        <v>1</v>
      </c>
      <c r="BE882" s="24" t="b">
        <f t="shared" ca="1" si="705"/>
        <v>1</v>
      </c>
      <c r="BF882" s="23">
        <f t="array" aca="1" ref="BF882" ca="1">SUM(IF(BD882,1,0)*IF(ap_start_date&lt;=AO882,1,0)*IF(ap_end_date&gt;=AO882,1,0)*ap_amount*(1+ap_escalation/100)^(INT((AP882-ap_months_since_start)/12))*IF(MOD(AP882-ap_months_since_start,ap_frequency)=0,1,0))</f>
        <v>382914.43765312427</v>
      </c>
      <c r="BG882" s="24">
        <f t="shared" ca="1" si="706"/>
        <v>4594973.2518374911</v>
      </c>
      <c r="BH882" s="24">
        <f t="shared" ca="1" si="707"/>
        <v>177.16238936513767</v>
      </c>
      <c r="BI882">
        <f t="shared" ca="1" si="708"/>
        <v>0</v>
      </c>
      <c r="BJ882" s="24">
        <f t="shared" ca="1" si="709"/>
        <v>1240.1367255559635</v>
      </c>
      <c r="BK882">
        <f t="shared" ca="1" si="710"/>
        <v>1</v>
      </c>
      <c r="BL882" s="25">
        <f t="shared" ca="1" si="711"/>
        <v>103.34472712966364</v>
      </c>
      <c r="BM882" s="32">
        <f t="shared" ca="1" si="690"/>
        <v>6424.4826608921867</v>
      </c>
      <c r="BN882" s="23">
        <f t="shared" ca="1" si="712"/>
        <v>0</v>
      </c>
      <c r="BO882" s="24">
        <f t="shared" ca="1" si="713"/>
        <v>0</v>
      </c>
      <c r="BP882" s="25">
        <f t="shared" ca="1" si="714"/>
        <v>0</v>
      </c>
      <c r="BQ882" s="34">
        <f t="shared" ca="1" si="715"/>
        <v>72259</v>
      </c>
      <c r="BR882" s="23">
        <f t="shared" ca="1" si="716"/>
        <v>6424.4826608921867</v>
      </c>
      <c r="BS882" s="24">
        <f t="shared" ca="1" si="717"/>
        <v>0</v>
      </c>
      <c r="BT882" s="24">
        <f t="shared" ca="1" si="722"/>
        <v>0</v>
      </c>
      <c r="BU882" s="24">
        <f t="shared" ca="1" si="718"/>
        <v>0</v>
      </c>
      <c r="BV882" s="24">
        <f t="shared" ca="1" si="723"/>
        <v>0</v>
      </c>
      <c r="BW882" s="24">
        <f t="shared" ca="1" si="719"/>
        <v>-103.34472712966364</v>
      </c>
      <c r="BX882" s="25">
        <f t="shared" ca="1" si="724"/>
        <v>-1240.1367255559637</v>
      </c>
      <c r="BY882" s="23">
        <f t="shared" ca="1" si="691"/>
        <v>367.97968005011319</v>
      </c>
      <c r="BZ882" s="24">
        <f t="shared" ca="1" si="692"/>
        <v>0</v>
      </c>
      <c r="CA882" s="24">
        <f t="shared" ca="1" si="725"/>
        <v>0</v>
      </c>
      <c r="CB882" s="24">
        <f t="shared" ca="1" si="693"/>
        <v>0</v>
      </c>
      <c r="CC882" s="24">
        <f t="shared" ca="1" si="726"/>
        <v>0</v>
      </c>
      <c r="CD882" s="24">
        <f t="shared" ca="1" si="694"/>
        <v>-5.9387281281867965</v>
      </c>
      <c r="CE882" s="25">
        <f t="shared" ca="1" si="727"/>
        <v>-72.562005819508926</v>
      </c>
      <c r="CF882" s="23">
        <f t="shared" ca="1" si="728"/>
        <v>4594973.2518374911</v>
      </c>
      <c r="CG882" s="25">
        <f t="array" aca="1" ref="CG882" ca="1">SUM(BF871:BF882/(1+inflation/100)^(AP871:AP882/12))</f>
        <v>267980.53702225391</v>
      </c>
      <c r="CH882" s="32">
        <f ca="1">IFERROR(IF(MOD(AP882-ap_months_since_start,12)=0,ap_drawdown/100*(AQ882+AV882+BA882-BC882),CH881),0)</f>
        <v>1089.152713369358</v>
      </c>
    </row>
    <row r="883" spans="40:86" x14ac:dyDescent="0.25">
      <c r="AN883" s="32">
        <f t="shared" ca="1" si="689"/>
        <v>127.83333333333333</v>
      </c>
      <c r="AO883" s="53">
        <f t="shared" ca="1" si="720"/>
        <v>72260</v>
      </c>
      <c r="AP883" s="22">
        <v>876</v>
      </c>
      <c r="AQ883" s="32">
        <f t="shared" ca="1" si="721"/>
        <v>6424.4826608921867</v>
      </c>
      <c r="AR883" s="23">
        <f t="array" aca="1" ref="AR883" ca="1">SUM(IF(lsc_start_date=AO883,lsc_amount,0))</f>
        <v>0</v>
      </c>
      <c r="AS883" s="24">
        <f t="shared" ca="1" si="695"/>
        <v>0</v>
      </c>
      <c r="AT883" s="24">
        <f t="shared" ca="1" si="696"/>
        <v>0</v>
      </c>
      <c r="AU883" s="24">
        <f t="shared" ca="1" si="697"/>
        <v>0</v>
      </c>
      <c r="AV883" s="25">
        <f t="shared" ca="1" si="698"/>
        <v>0</v>
      </c>
      <c r="AW883" s="23">
        <f t="array" aca="1" ref="AW883" ca="1">SUM(IF(rcs_start_date&lt;=AO883,1,0)*IF(rcs_end_date&gt;=AO883,1,0)*rcs_amount*(1+rcs_escalation/100)^(INT((AP883-rcs_months_since_start)/12))*IF(MOD((AP883-rcs_months_since_start),rcs_frequency)=0,1,0)*IF(rcs_frequency=13,0,1))+SUM(IF(rcs_start_date=AO883,rcs_amount,0)*IF(rcs_frequency=13,1,0))</f>
        <v>0</v>
      </c>
      <c r="AX883" s="24">
        <f t="shared" ca="1" si="699"/>
        <v>0</v>
      </c>
      <c r="AY883" s="24">
        <f t="shared" ca="1" si="700"/>
        <v>0</v>
      </c>
      <c r="AZ883" s="24">
        <f t="shared" ca="1" si="701"/>
        <v>0</v>
      </c>
      <c r="BA883" s="25">
        <f t="shared" ca="1" si="702"/>
        <v>0</v>
      </c>
      <c r="BB883" s="23">
        <f t="array" aca="1" ref="BB883" ca="1">SUM(IF(w_start_date&lt;=AO883,1,0)*IF(w_end_date&gt;=AO883,1,0)*w_amount*(1+w_escalation/100)^(INT((AP883-w_months_since_start)/12))*IF(MOD(AP883-w_months_since_start,w_frequency)=0,1,0)*IF(w_frequency=13,0,1))+SUM(IF(w_start_date=AO883,w_amount,0)*IF(w_frequency=13,1,0))</f>
        <v>0</v>
      </c>
      <c r="BC883" s="25">
        <f t="shared" ca="1" si="703"/>
        <v>0</v>
      </c>
      <c r="BD883" s="24" t="b">
        <f t="shared" ca="1" si="704"/>
        <v>1</v>
      </c>
      <c r="BE883" s="24" t="b">
        <f t="shared" ca="1" si="705"/>
        <v>1</v>
      </c>
      <c r="BF883" s="23">
        <f t="array" aca="1" ref="BF883" ca="1">SUM(IF(BD883,1,0)*IF(ap_start_date&lt;=AO883,1,0)*IF(ap_end_date&gt;=AO883,1,0)*ap_amount*(1+ap_escalation/100)^(INT((AP883-ap_months_since_start)/12))*IF(MOD(AP883-ap_months_since_start,ap_frequency)=0,1,0))</f>
        <v>398231.01515924919</v>
      </c>
      <c r="BG883" s="24">
        <f t="shared" ca="1" si="706"/>
        <v>4778772.1819109907</v>
      </c>
      <c r="BH883" s="24">
        <f t="shared" ca="1" si="707"/>
        <v>160.61206652230467</v>
      </c>
      <c r="BI883">
        <f t="shared" ca="1" si="708"/>
        <v>0</v>
      </c>
      <c r="BJ883" s="24">
        <f t="shared" ca="1" si="709"/>
        <v>1124.2844656561326</v>
      </c>
      <c r="BK883">
        <f t="shared" ca="1" si="710"/>
        <v>1</v>
      </c>
      <c r="BL883" s="25">
        <f t="shared" ca="1" si="711"/>
        <v>93.690372138011043</v>
      </c>
      <c r="BM883" s="32">
        <f t="shared" ca="1" si="690"/>
        <v>6376.420355626532</v>
      </c>
      <c r="BN883" s="23">
        <f t="shared" ca="1" si="712"/>
        <v>0</v>
      </c>
      <c r="BO883" s="24">
        <f t="shared" ca="1" si="713"/>
        <v>0</v>
      </c>
      <c r="BP883" s="25">
        <f t="shared" ca="1" si="714"/>
        <v>0</v>
      </c>
      <c r="BQ883" s="34">
        <f t="shared" ca="1" si="715"/>
        <v>72289</v>
      </c>
      <c r="BR883" s="23">
        <f t="shared" ca="1" si="716"/>
        <v>6376.420355626532</v>
      </c>
      <c r="BS883" s="24">
        <f t="shared" ca="1" si="717"/>
        <v>0</v>
      </c>
      <c r="BT883" s="24">
        <f t="shared" ca="1" si="722"/>
        <v>0</v>
      </c>
      <c r="BU883" s="24">
        <f t="shared" ca="1" si="718"/>
        <v>0</v>
      </c>
      <c r="BV883" s="24">
        <f t="shared" ca="1" si="723"/>
        <v>0</v>
      </c>
      <c r="BW883" s="24">
        <f t="shared" ca="1" si="719"/>
        <v>-93.690372138011043</v>
      </c>
      <c r="BX883" s="25">
        <f t="shared" ca="1" si="724"/>
        <v>-1230.4823705643112</v>
      </c>
      <c r="BY883" s="23">
        <f t="shared" ca="1" si="691"/>
        <v>364.03502513401179</v>
      </c>
      <c r="BZ883" s="24">
        <f t="shared" ca="1" si="692"/>
        <v>0</v>
      </c>
      <c r="CA883" s="24">
        <f t="shared" ca="1" si="725"/>
        <v>0</v>
      </c>
      <c r="CB883" s="24">
        <f t="shared" ca="1" si="693"/>
        <v>0</v>
      </c>
      <c r="CC883" s="24">
        <f t="shared" ca="1" si="726"/>
        <v>0</v>
      </c>
      <c r="CD883" s="24">
        <f t="shared" ca="1" si="694"/>
        <v>-5.3663703340641495</v>
      </c>
      <c r="CE883" s="25">
        <f t="shared" ca="1" si="727"/>
        <v>-71.772252447340037</v>
      </c>
      <c r="CF883" s="23">
        <f t="shared" ca="1" si="728"/>
        <v>4610289.829343616</v>
      </c>
      <c r="CG883" s="25">
        <f t="array" aca="1" ref="CG883" ca="1">SUM(BF872:BF883/(1+inflation/100)^(AP872:AP883/12))</f>
        <v>267980.53702225391</v>
      </c>
      <c r="CH883" s="32">
        <f ca="1">IFERROR(IF(MOD(AP883-ap_months_since_start,12)=0,ap_drawdown/100*(AQ883+AV883+BA883-BC883),CH882),0)</f>
        <v>987.40522003284298</v>
      </c>
    </row>
    <row r="884" spans="40:86" x14ac:dyDescent="0.25">
      <c r="AN884" s="32">
        <f t="shared" ca="1" si="689"/>
        <v>127.91666666666667</v>
      </c>
      <c r="AO884" s="53">
        <f t="shared" ca="1" si="720"/>
        <v>72290</v>
      </c>
      <c r="AP884" s="22">
        <v>877</v>
      </c>
      <c r="AQ884" s="32">
        <f t="shared" ca="1" si="721"/>
        <v>6376.420355626532</v>
      </c>
      <c r="AR884" s="23">
        <f t="array" aca="1" ref="AR884" ca="1">SUM(IF(lsc_start_date=AO884,lsc_amount,0))</f>
        <v>0</v>
      </c>
      <c r="AS884" s="24">
        <f t="shared" ca="1" si="695"/>
        <v>0</v>
      </c>
      <c r="AT884" s="24">
        <f t="shared" ca="1" si="696"/>
        <v>0</v>
      </c>
      <c r="AU884" s="24">
        <f t="shared" ca="1" si="697"/>
        <v>0</v>
      </c>
      <c r="AV884" s="25">
        <f t="shared" ca="1" si="698"/>
        <v>0</v>
      </c>
      <c r="AW884" s="23">
        <f t="array" aca="1" ref="AW884" ca="1">SUM(IF(rcs_start_date&lt;=AO884,1,0)*IF(rcs_end_date&gt;=AO884,1,0)*rcs_amount*(1+rcs_escalation/100)^(INT((AP884-rcs_months_since_start)/12))*IF(MOD((AP884-rcs_months_since_start),rcs_frequency)=0,1,0)*IF(rcs_frequency=13,0,1))+SUM(IF(rcs_start_date=AO884,rcs_amount,0)*IF(rcs_frequency=13,1,0))</f>
        <v>0</v>
      </c>
      <c r="AX884" s="24">
        <f t="shared" ca="1" si="699"/>
        <v>0</v>
      </c>
      <c r="AY884" s="24">
        <f t="shared" ca="1" si="700"/>
        <v>0</v>
      </c>
      <c r="AZ884" s="24">
        <f t="shared" ca="1" si="701"/>
        <v>0</v>
      </c>
      <c r="BA884" s="25">
        <f t="shared" ca="1" si="702"/>
        <v>0</v>
      </c>
      <c r="BB884" s="23">
        <f t="array" aca="1" ref="BB884" ca="1">SUM(IF(w_start_date&lt;=AO884,1,0)*IF(w_end_date&gt;=AO884,1,0)*w_amount*(1+w_escalation/100)^(INT((AP884-w_months_since_start)/12))*IF(MOD(AP884-w_months_since_start,w_frequency)=0,1,0)*IF(w_frequency=13,0,1))+SUM(IF(w_start_date=AO884,w_amount,0)*IF(w_frequency=13,1,0))</f>
        <v>0</v>
      </c>
      <c r="BC884" s="25">
        <f t="shared" ca="1" si="703"/>
        <v>0</v>
      </c>
      <c r="BD884" s="24" t="b">
        <f t="shared" ca="1" si="704"/>
        <v>1</v>
      </c>
      <c r="BE884" s="24" t="b">
        <f t="shared" ca="1" si="705"/>
        <v>1</v>
      </c>
      <c r="BF884" s="23">
        <f t="array" aca="1" ref="BF884" ca="1">SUM(IF(BD884,1,0)*IF(ap_start_date&lt;=AO884,1,0)*IF(ap_end_date&gt;=AO884,1,0)*ap_amount*(1+ap_escalation/100)^(INT((AP884-ap_months_since_start)/12))*IF(MOD(AP884-ap_months_since_start,ap_frequency)=0,1,0))</f>
        <v>398231.01515924919</v>
      </c>
      <c r="BG884" s="24">
        <f t="shared" ca="1" si="706"/>
        <v>4778772.1819109907</v>
      </c>
      <c r="BH884" s="24">
        <f t="shared" ca="1" si="707"/>
        <v>160.61206652230467</v>
      </c>
      <c r="BI884">
        <f t="shared" ca="1" si="708"/>
        <v>0</v>
      </c>
      <c r="BJ884" s="24">
        <f t="shared" ca="1" si="709"/>
        <v>1124.2844656561326</v>
      </c>
      <c r="BK884">
        <f t="shared" ca="1" si="710"/>
        <v>1</v>
      </c>
      <c r="BL884" s="25">
        <f t="shared" ca="1" si="711"/>
        <v>93.690372138011043</v>
      </c>
      <c r="BM884" s="32">
        <f t="shared" ca="1" si="690"/>
        <v>6328.0116497875088</v>
      </c>
      <c r="BN884" s="23">
        <f t="shared" ca="1" si="712"/>
        <v>0</v>
      </c>
      <c r="BO884" s="24">
        <f t="shared" ca="1" si="713"/>
        <v>0</v>
      </c>
      <c r="BP884" s="25">
        <f t="shared" ca="1" si="714"/>
        <v>0</v>
      </c>
      <c r="BQ884" s="34">
        <f t="shared" ca="1" si="715"/>
        <v>72320</v>
      </c>
      <c r="BR884" s="23">
        <f t="shared" ca="1" si="716"/>
        <v>6328.0116497875088</v>
      </c>
      <c r="BS884" s="24">
        <f t="shared" ca="1" si="717"/>
        <v>0</v>
      </c>
      <c r="BT884" s="24">
        <f t="shared" ca="1" si="722"/>
        <v>0</v>
      </c>
      <c r="BU884" s="24">
        <f t="shared" ca="1" si="718"/>
        <v>0</v>
      </c>
      <c r="BV884" s="24">
        <f t="shared" ca="1" si="723"/>
        <v>0</v>
      </c>
      <c r="BW884" s="24">
        <f t="shared" ca="1" si="719"/>
        <v>-93.690372138011043</v>
      </c>
      <c r="BX884" s="25">
        <f t="shared" ca="1" si="724"/>
        <v>-1220.8280155726586</v>
      </c>
      <c r="BY884" s="23">
        <f t="shared" ca="1" si="691"/>
        <v>360.0924836496028</v>
      </c>
      <c r="BZ884" s="24">
        <f t="shared" ca="1" si="692"/>
        <v>0</v>
      </c>
      <c r="CA884" s="24">
        <f t="shared" ca="1" si="725"/>
        <v>0</v>
      </c>
      <c r="CB884" s="24">
        <f t="shared" ca="1" si="693"/>
        <v>0</v>
      </c>
      <c r="CC884" s="24">
        <f t="shared" ca="1" si="726"/>
        <v>0</v>
      </c>
      <c r="CD884" s="24">
        <f t="shared" ca="1" si="694"/>
        <v>-5.3488595597340503</v>
      </c>
      <c r="CE884" s="25">
        <f t="shared" ca="1" si="727"/>
        <v>-70.985076085741724</v>
      </c>
      <c r="CF884" s="23">
        <f t="shared" ca="1" si="728"/>
        <v>4625606.406849741</v>
      </c>
      <c r="CG884" s="25">
        <f t="array" aca="1" ref="CG884" ca="1">SUM(BF873:BF884/(1+inflation/100)^(AP873:AP884/12))</f>
        <v>267980.53702225391</v>
      </c>
      <c r="CH884" s="32">
        <f ca="1">IFERROR(IF(MOD(AP884-ap_months_since_start,12)=0,ap_drawdown/100*(AQ884+AV884+BA884-BC884),CH883),0)</f>
        <v>987.40522003284298</v>
      </c>
    </row>
    <row r="885" spans="40:86" x14ac:dyDescent="0.25">
      <c r="AN885" s="32">
        <f t="shared" ca="1" si="689"/>
        <v>128</v>
      </c>
      <c r="AO885" s="53">
        <f t="shared" ca="1" si="720"/>
        <v>72321</v>
      </c>
      <c r="AP885" s="22">
        <v>878</v>
      </c>
      <c r="AQ885" s="32">
        <f t="shared" ca="1" si="721"/>
        <v>6328.0116497875088</v>
      </c>
      <c r="AR885" s="23">
        <f t="array" aca="1" ref="AR885" ca="1">SUM(IF(lsc_start_date=AO885,lsc_amount,0))</f>
        <v>0</v>
      </c>
      <c r="AS885" s="24">
        <f t="shared" ca="1" si="695"/>
        <v>0</v>
      </c>
      <c r="AT885" s="24">
        <f t="shared" ca="1" si="696"/>
        <v>0</v>
      </c>
      <c r="AU885" s="24">
        <f t="shared" ca="1" si="697"/>
        <v>0</v>
      </c>
      <c r="AV885" s="25">
        <f t="shared" ca="1" si="698"/>
        <v>0</v>
      </c>
      <c r="AW885" s="23">
        <f t="array" aca="1" ref="AW885" ca="1">SUM(IF(rcs_start_date&lt;=AO885,1,0)*IF(rcs_end_date&gt;=AO885,1,0)*rcs_amount*(1+rcs_escalation/100)^(INT((AP885-rcs_months_since_start)/12))*IF(MOD((AP885-rcs_months_since_start),rcs_frequency)=0,1,0)*IF(rcs_frequency=13,0,1))+SUM(IF(rcs_start_date=AO885,rcs_amount,0)*IF(rcs_frequency=13,1,0))</f>
        <v>0</v>
      </c>
      <c r="AX885" s="24">
        <f t="shared" ca="1" si="699"/>
        <v>0</v>
      </c>
      <c r="AY885" s="24">
        <f t="shared" ca="1" si="700"/>
        <v>0</v>
      </c>
      <c r="AZ885" s="24">
        <f t="shared" ca="1" si="701"/>
        <v>0</v>
      </c>
      <c r="BA885" s="25">
        <f t="shared" ca="1" si="702"/>
        <v>0</v>
      </c>
      <c r="BB885" s="23">
        <f t="array" aca="1" ref="BB885" ca="1">SUM(IF(w_start_date&lt;=AO885,1,0)*IF(w_end_date&gt;=AO885,1,0)*w_amount*(1+w_escalation/100)^(INT((AP885-w_months_since_start)/12))*IF(MOD(AP885-w_months_since_start,w_frequency)=0,1,0)*IF(w_frequency=13,0,1))+SUM(IF(w_start_date=AO885,w_amount,0)*IF(w_frequency=13,1,0))</f>
        <v>0</v>
      </c>
      <c r="BC885" s="25">
        <f t="shared" ca="1" si="703"/>
        <v>0</v>
      </c>
      <c r="BD885" s="24" t="b">
        <f t="shared" ca="1" si="704"/>
        <v>1</v>
      </c>
      <c r="BE885" s="24" t="b">
        <f t="shared" ca="1" si="705"/>
        <v>1</v>
      </c>
      <c r="BF885" s="23">
        <f t="array" aca="1" ref="BF885" ca="1">SUM(IF(BD885,1,0)*IF(ap_start_date&lt;=AO885,1,0)*IF(ap_end_date&gt;=AO885,1,0)*ap_amount*(1+ap_escalation/100)^(INT((AP885-ap_months_since_start)/12))*IF(MOD(AP885-ap_months_since_start,ap_frequency)=0,1,0))</f>
        <v>398231.01515924919</v>
      </c>
      <c r="BG885" s="24">
        <f t="shared" ca="1" si="706"/>
        <v>4778772.1819109907</v>
      </c>
      <c r="BH885" s="24">
        <f t="shared" ca="1" si="707"/>
        <v>160.61206652230467</v>
      </c>
      <c r="BI885">
        <f t="shared" ca="1" si="708"/>
        <v>0</v>
      </c>
      <c r="BJ885" s="24">
        <f t="shared" ca="1" si="709"/>
        <v>1124.2844656561326</v>
      </c>
      <c r="BK885">
        <f t="shared" ca="1" si="710"/>
        <v>1</v>
      </c>
      <c r="BL885" s="25">
        <f t="shared" ca="1" si="711"/>
        <v>93.690372138011043</v>
      </c>
      <c r="BM885" s="32">
        <f t="shared" ca="1" si="690"/>
        <v>6279.2540467541876</v>
      </c>
      <c r="BN885" s="23">
        <f t="shared" ca="1" si="712"/>
        <v>0</v>
      </c>
      <c r="BO885" s="24">
        <f t="shared" ca="1" si="713"/>
        <v>0</v>
      </c>
      <c r="BP885" s="25">
        <f t="shared" ca="1" si="714"/>
        <v>0</v>
      </c>
      <c r="BQ885" s="34">
        <f t="shared" ca="1" si="715"/>
        <v>72351</v>
      </c>
      <c r="BR885" s="23">
        <f t="shared" ca="1" si="716"/>
        <v>6279.2540467541876</v>
      </c>
      <c r="BS885" s="24">
        <f t="shared" ca="1" si="717"/>
        <v>0</v>
      </c>
      <c r="BT885" s="24">
        <f t="shared" ca="1" si="722"/>
        <v>0</v>
      </c>
      <c r="BU885" s="24">
        <f t="shared" ca="1" si="718"/>
        <v>0</v>
      </c>
      <c r="BV885" s="24">
        <f t="shared" ca="1" si="723"/>
        <v>0</v>
      </c>
      <c r="BW885" s="24">
        <f t="shared" ca="1" si="719"/>
        <v>-93.690372138011043</v>
      </c>
      <c r="BX885" s="25">
        <f t="shared" ca="1" si="724"/>
        <v>-1211.1736605810058</v>
      </c>
      <c r="BY885" s="23">
        <f t="shared" ca="1" si="691"/>
        <v>356.15200652043052</v>
      </c>
      <c r="BZ885" s="24">
        <f t="shared" ca="1" si="692"/>
        <v>0</v>
      </c>
      <c r="CA885" s="24">
        <f t="shared" ca="1" si="725"/>
        <v>0</v>
      </c>
      <c r="CB885" s="24">
        <f t="shared" ca="1" si="693"/>
        <v>0</v>
      </c>
      <c r="CC885" s="24">
        <f t="shared" ca="1" si="726"/>
        <v>0</v>
      </c>
      <c r="CD885" s="24">
        <f t="shared" ca="1" si="694"/>
        <v>-5.3314059240653924</v>
      </c>
      <c r="CE885" s="25">
        <f t="shared" ca="1" si="727"/>
        <v>-70.200468325780619</v>
      </c>
      <c r="CF885" s="23">
        <f t="shared" ca="1" si="728"/>
        <v>4640922.984355866</v>
      </c>
      <c r="CG885" s="25">
        <f t="array" aca="1" ref="CG885" ca="1">SUM(BF874:BF885/(1+inflation/100)^(AP874:AP885/12))</f>
        <v>267980.53702225391</v>
      </c>
      <c r="CH885" s="32">
        <f ca="1">IFERROR(IF(MOD(AP885-ap_months_since_start,12)=0,ap_drawdown/100*(AQ885+AV885+BA885-BC885),CH884),0)</f>
        <v>987.40522003284298</v>
      </c>
    </row>
    <row r="886" spans="40:86" x14ac:dyDescent="0.25">
      <c r="AN886" s="32">
        <f t="shared" ca="1" si="689"/>
        <v>128.08333333333334</v>
      </c>
      <c r="AO886" s="53">
        <f t="shared" ca="1" si="720"/>
        <v>72352</v>
      </c>
      <c r="AP886" s="22">
        <v>879</v>
      </c>
      <c r="AQ886" s="32">
        <f t="shared" ca="1" si="721"/>
        <v>6279.2540467541876</v>
      </c>
      <c r="AR886" s="23">
        <f t="array" aca="1" ref="AR886" ca="1">SUM(IF(lsc_start_date=AO886,lsc_amount,0))</f>
        <v>0</v>
      </c>
      <c r="AS886" s="24">
        <f t="shared" ca="1" si="695"/>
        <v>0</v>
      </c>
      <c r="AT886" s="24">
        <f t="shared" ca="1" si="696"/>
        <v>0</v>
      </c>
      <c r="AU886" s="24">
        <f t="shared" ca="1" si="697"/>
        <v>0</v>
      </c>
      <c r="AV886" s="25">
        <f t="shared" ca="1" si="698"/>
        <v>0</v>
      </c>
      <c r="AW886" s="23">
        <f t="array" aca="1" ref="AW886" ca="1">SUM(IF(rcs_start_date&lt;=AO886,1,0)*IF(rcs_end_date&gt;=AO886,1,0)*rcs_amount*(1+rcs_escalation/100)^(INT((AP886-rcs_months_since_start)/12))*IF(MOD((AP886-rcs_months_since_start),rcs_frequency)=0,1,0)*IF(rcs_frequency=13,0,1))+SUM(IF(rcs_start_date=AO886,rcs_amount,0)*IF(rcs_frequency=13,1,0))</f>
        <v>0</v>
      </c>
      <c r="AX886" s="24">
        <f t="shared" ca="1" si="699"/>
        <v>0</v>
      </c>
      <c r="AY886" s="24">
        <f t="shared" ca="1" si="700"/>
        <v>0</v>
      </c>
      <c r="AZ886" s="24">
        <f t="shared" ca="1" si="701"/>
        <v>0</v>
      </c>
      <c r="BA886" s="25">
        <f t="shared" ca="1" si="702"/>
        <v>0</v>
      </c>
      <c r="BB886" s="23">
        <f t="array" aca="1" ref="BB886" ca="1">SUM(IF(w_start_date&lt;=AO886,1,0)*IF(w_end_date&gt;=AO886,1,0)*w_amount*(1+w_escalation/100)^(INT((AP886-w_months_since_start)/12))*IF(MOD(AP886-w_months_since_start,w_frequency)=0,1,0)*IF(w_frequency=13,0,1))+SUM(IF(w_start_date=AO886,w_amount,0)*IF(w_frequency=13,1,0))</f>
        <v>0</v>
      </c>
      <c r="BC886" s="25">
        <f t="shared" ca="1" si="703"/>
        <v>0</v>
      </c>
      <c r="BD886" s="24" t="b">
        <f t="shared" ca="1" si="704"/>
        <v>1</v>
      </c>
      <c r="BE886" s="24" t="b">
        <f t="shared" ca="1" si="705"/>
        <v>1</v>
      </c>
      <c r="BF886" s="23">
        <f t="array" aca="1" ref="BF886" ca="1">SUM(IF(BD886,1,0)*IF(ap_start_date&lt;=AO886,1,0)*IF(ap_end_date&gt;=AO886,1,0)*ap_amount*(1+ap_escalation/100)^(INT((AP886-ap_months_since_start)/12))*IF(MOD(AP886-ap_months_since_start,ap_frequency)=0,1,0))</f>
        <v>398231.01515924919</v>
      </c>
      <c r="BG886" s="24">
        <f t="shared" ca="1" si="706"/>
        <v>4778772.1819109907</v>
      </c>
      <c r="BH886" s="24">
        <f t="shared" ca="1" si="707"/>
        <v>160.61206652230467</v>
      </c>
      <c r="BI886">
        <f t="shared" ca="1" si="708"/>
        <v>0</v>
      </c>
      <c r="BJ886" s="24">
        <f t="shared" ca="1" si="709"/>
        <v>1124.2844656561326</v>
      </c>
      <c r="BK886">
        <f t="shared" ca="1" si="710"/>
        <v>1</v>
      </c>
      <c r="BL886" s="25">
        <f t="shared" ca="1" si="711"/>
        <v>93.690372138011043</v>
      </c>
      <c r="BM886" s="32">
        <f t="shared" ca="1" si="690"/>
        <v>6230.1450319116857</v>
      </c>
      <c r="BN886" s="23">
        <f t="shared" ca="1" si="712"/>
        <v>0</v>
      </c>
      <c r="BO886" s="24">
        <f t="shared" ca="1" si="713"/>
        <v>0</v>
      </c>
      <c r="BP886" s="25">
        <f t="shared" ca="1" si="714"/>
        <v>0</v>
      </c>
      <c r="BQ886" s="34">
        <f t="shared" ca="1" si="715"/>
        <v>72379</v>
      </c>
      <c r="BR886" s="23">
        <f t="shared" ca="1" si="716"/>
        <v>6230.1450319116857</v>
      </c>
      <c r="BS886" s="24">
        <f t="shared" ca="1" si="717"/>
        <v>0</v>
      </c>
      <c r="BT886" s="24">
        <f t="shared" ca="1" si="722"/>
        <v>0</v>
      </c>
      <c r="BU886" s="24">
        <f t="shared" ca="1" si="718"/>
        <v>0</v>
      </c>
      <c r="BV886" s="24">
        <f t="shared" ca="1" si="723"/>
        <v>0</v>
      </c>
      <c r="BW886" s="24">
        <f t="shared" ca="1" si="719"/>
        <v>-93.690372138011043</v>
      </c>
      <c r="BX886" s="25">
        <f t="shared" ca="1" si="724"/>
        <v>-1201.5193055893533</v>
      </c>
      <c r="BY886" s="23">
        <f t="shared" ca="1" si="691"/>
        <v>352.21354466480221</v>
      </c>
      <c r="BZ886" s="24">
        <f t="shared" ca="1" si="692"/>
        <v>0</v>
      </c>
      <c r="CA886" s="24">
        <f t="shared" ca="1" si="725"/>
        <v>0</v>
      </c>
      <c r="CB886" s="24">
        <f t="shared" ca="1" si="693"/>
        <v>0</v>
      </c>
      <c r="CC886" s="24">
        <f t="shared" ca="1" si="726"/>
        <v>0</v>
      </c>
      <c r="CD886" s="24">
        <f t="shared" ca="1" si="694"/>
        <v>-5.3140092406114299</v>
      </c>
      <c r="CE886" s="25">
        <f t="shared" ca="1" si="727"/>
        <v>-69.418420785962184</v>
      </c>
      <c r="CF886" s="23">
        <f t="shared" ca="1" si="728"/>
        <v>4656239.561861991</v>
      </c>
      <c r="CG886" s="25">
        <f t="array" aca="1" ref="CG886" ca="1">SUM(BF875:BF886/(1+inflation/100)^(AP875:AP886/12))</f>
        <v>267980.53702225391</v>
      </c>
      <c r="CH886" s="32">
        <f ca="1">IFERROR(IF(MOD(AP886-ap_months_since_start,12)=0,ap_drawdown/100*(AQ886+AV886+BA886-BC886),CH885),0)</f>
        <v>987.40522003284298</v>
      </c>
    </row>
    <row r="887" spans="40:86" x14ac:dyDescent="0.25">
      <c r="AN887" s="32">
        <f t="shared" ca="1" si="689"/>
        <v>128.16666666666666</v>
      </c>
      <c r="AO887" s="53">
        <f t="shared" ca="1" si="720"/>
        <v>72380</v>
      </c>
      <c r="AP887" s="22">
        <v>880</v>
      </c>
      <c r="AQ887" s="32">
        <f t="shared" ca="1" si="721"/>
        <v>6230.1450319116857</v>
      </c>
      <c r="AR887" s="23">
        <f t="array" aca="1" ref="AR887" ca="1">SUM(IF(lsc_start_date=AO887,lsc_amount,0))</f>
        <v>0</v>
      </c>
      <c r="AS887" s="24">
        <f t="shared" ca="1" si="695"/>
        <v>0</v>
      </c>
      <c r="AT887" s="24">
        <f t="shared" ca="1" si="696"/>
        <v>0</v>
      </c>
      <c r="AU887" s="24">
        <f t="shared" ca="1" si="697"/>
        <v>0</v>
      </c>
      <c r="AV887" s="25">
        <f t="shared" ca="1" si="698"/>
        <v>0</v>
      </c>
      <c r="AW887" s="23">
        <f t="array" aca="1" ref="AW887" ca="1">SUM(IF(rcs_start_date&lt;=AO887,1,0)*IF(rcs_end_date&gt;=AO887,1,0)*rcs_amount*(1+rcs_escalation/100)^(INT((AP887-rcs_months_since_start)/12))*IF(MOD((AP887-rcs_months_since_start),rcs_frequency)=0,1,0)*IF(rcs_frequency=13,0,1))+SUM(IF(rcs_start_date=AO887,rcs_amount,0)*IF(rcs_frequency=13,1,0))</f>
        <v>0</v>
      </c>
      <c r="AX887" s="24">
        <f t="shared" ca="1" si="699"/>
        <v>0</v>
      </c>
      <c r="AY887" s="24">
        <f t="shared" ca="1" si="700"/>
        <v>0</v>
      </c>
      <c r="AZ887" s="24">
        <f t="shared" ca="1" si="701"/>
        <v>0</v>
      </c>
      <c r="BA887" s="25">
        <f t="shared" ca="1" si="702"/>
        <v>0</v>
      </c>
      <c r="BB887" s="23">
        <f t="array" aca="1" ref="BB887" ca="1">SUM(IF(w_start_date&lt;=AO887,1,0)*IF(w_end_date&gt;=AO887,1,0)*w_amount*(1+w_escalation/100)^(INT((AP887-w_months_since_start)/12))*IF(MOD(AP887-w_months_since_start,w_frequency)=0,1,0)*IF(w_frequency=13,0,1))+SUM(IF(w_start_date=AO887,w_amount,0)*IF(w_frequency=13,1,0))</f>
        <v>0</v>
      </c>
      <c r="BC887" s="25">
        <f t="shared" ca="1" si="703"/>
        <v>0</v>
      </c>
      <c r="BD887" s="24" t="b">
        <f t="shared" ca="1" si="704"/>
        <v>1</v>
      </c>
      <c r="BE887" s="24" t="b">
        <f t="shared" ca="1" si="705"/>
        <v>1</v>
      </c>
      <c r="BF887" s="23">
        <f t="array" aca="1" ref="BF887" ca="1">SUM(IF(BD887,1,0)*IF(ap_start_date&lt;=AO887,1,0)*IF(ap_end_date&gt;=AO887,1,0)*ap_amount*(1+ap_escalation/100)^(INT((AP887-ap_months_since_start)/12))*IF(MOD(AP887-ap_months_since_start,ap_frequency)=0,1,0))</f>
        <v>398231.01515924919</v>
      </c>
      <c r="BG887" s="24">
        <f t="shared" ca="1" si="706"/>
        <v>4778772.1819109907</v>
      </c>
      <c r="BH887" s="24">
        <f t="shared" ca="1" si="707"/>
        <v>160.61206652230467</v>
      </c>
      <c r="BI887">
        <f t="shared" ca="1" si="708"/>
        <v>0</v>
      </c>
      <c r="BJ887" s="24">
        <f t="shared" ca="1" si="709"/>
        <v>1124.2844656561326</v>
      </c>
      <c r="BK887">
        <f t="shared" ca="1" si="710"/>
        <v>1</v>
      </c>
      <c r="BL887" s="25">
        <f t="shared" ca="1" si="711"/>
        <v>93.690372138011043</v>
      </c>
      <c r="BM887" s="32">
        <f t="shared" ca="1" si="690"/>
        <v>6180.6820725214766</v>
      </c>
      <c r="BN887" s="23">
        <f t="shared" ca="1" si="712"/>
        <v>0</v>
      </c>
      <c r="BO887" s="24">
        <f t="shared" ca="1" si="713"/>
        <v>0</v>
      </c>
      <c r="BP887" s="25">
        <f t="shared" ca="1" si="714"/>
        <v>0</v>
      </c>
      <c r="BQ887" s="34">
        <f t="shared" ca="1" si="715"/>
        <v>72410</v>
      </c>
      <c r="BR887" s="23">
        <f t="shared" ca="1" si="716"/>
        <v>6180.6820725214766</v>
      </c>
      <c r="BS887" s="24">
        <f t="shared" ca="1" si="717"/>
        <v>0</v>
      </c>
      <c r="BT887" s="24">
        <f t="shared" ca="1" si="722"/>
        <v>0</v>
      </c>
      <c r="BU887" s="24">
        <f t="shared" ca="1" si="718"/>
        <v>0</v>
      </c>
      <c r="BV887" s="24">
        <f t="shared" ca="1" si="723"/>
        <v>0</v>
      </c>
      <c r="BW887" s="24">
        <f t="shared" ca="1" si="719"/>
        <v>-93.690372138011043</v>
      </c>
      <c r="BX887" s="25">
        <f t="shared" ca="1" si="724"/>
        <v>-1191.8649505977007</v>
      </c>
      <c r="BY887" s="23">
        <f t="shared" ca="1" si="691"/>
        <v>348.27704899515453</v>
      </c>
      <c r="BZ887" s="24">
        <f t="shared" ca="1" si="692"/>
        <v>0</v>
      </c>
      <c r="CA887" s="24">
        <f t="shared" ca="1" si="725"/>
        <v>0</v>
      </c>
      <c r="CB887" s="24">
        <f t="shared" ca="1" si="693"/>
        <v>0</v>
      </c>
      <c r="CC887" s="24">
        <f t="shared" ca="1" si="726"/>
        <v>0</v>
      </c>
      <c r="CD887" s="24">
        <f t="shared" ca="1" si="694"/>
        <v>-5.296669323533826</v>
      </c>
      <c r="CE887" s="25">
        <f t="shared" ca="1" si="727"/>
        <v>-68.638925112141195</v>
      </c>
      <c r="CF887" s="23">
        <f t="shared" ca="1" si="728"/>
        <v>4671556.1393681159</v>
      </c>
      <c r="CG887" s="25">
        <f t="array" aca="1" ref="CG887" ca="1">SUM(BF876:BF887/(1+inflation/100)^(AP876:AP887/12))</f>
        <v>267980.53702225391</v>
      </c>
      <c r="CH887" s="32">
        <f ca="1">IFERROR(IF(MOD(AP887-ap_months_since_start,12)=0,ap_drawdown/100*(AQ887+AV887+BA887-BC887),CH886),0)</f>
        <v>987.40522003284298</v>
      </c>
    </row>
    <row r="888" spans="40:86" x14ac:dyDescent="0.25">
      <c r="AN888" s="32">
        <f t="shared" ca="1" si="689"/>
        <v>128.25</v>
      </c>
      <c r="AO888" s="53">
        <f t="shared" ca="1" si="720"/>
        <v>72411</v>
      </c>
      <c r="AP888" s="22">
        <v>881</v>
      </c>
      <c r="AQ888" s="32">
        <f t="shared" ca="1" si="721"/>
        <v>6180.6820725214766</v>
      </c>
      <c r="AR888" s="23">
        <f t="array" aca="1" ref="AR888" ca="1">SUM(IF(lsc_start_date=AO888,lsc_amount,0))</f>
        <v>0</v>
      </c>
      <c r="AS888" s="24">
        <f t="shared" ca="1" si="695"/>
        <v>0</v>
      </c>
      <c r="AT888" s="24">
        <f t="shared" ca="1" si="696"/>
        <v>0</v>
      </c>
      <c r="AU888" s="24">
        <f t="shared" ca="1" si="697"/>
        <v>0</v>
      </c>
      <c r="AV888" s="25">
        <f t="shared" ca="1" si="698"/>
        <v>0</v>
      </c>
      <c r="AW888" s="23">
        <f t="array" aca="1" ref="AW888" ca="1">SUM(IF(rcs_start_date&lt;=AO888,1,0)*IF(rcs_end_date&gt;=AO888,1,0)*rcs_amount*(1+rcs_escalation/100)^(INT((AP888-rcs_months_since_start)/12))*IF(MOD((AP888-rcs_months_since_start),rcs_frequency)=0,1,0)*IF(rcs_frequency=13,0,1))+SUM(IF(rcs_start_date=AO888,rcs_amount,0)*IF(rcs_frequency=13,1,0))</f>
        <v>0</v>
      </c>
      <c r="AX888" s="24">
        <f t="shared" ca="1" si="699"/>
        <v>0</v>
      </c>
      <c r="AY888" s="24">
        <f t="shared" ca="1" si="700"/>
        <v>0</v>
      </c>
      <c r="AZ888" s="24">
        <f t="shared" ca="1" si="701"/>
        <v>0</v>
      </c>
      <c r="BA888" s="25">
        <f t="shared" ca="1" si="702"/>
        <v>0</v>
      </c>
      <c r="BB888" s="23">
        <f t="array" aca="1" ref="BB888" ca="1">SUM(IF(w_start_date&lt;=AO888,1,0)*IF(w_end_date&gt;=AO888,1,0)*w_amount*(1+w_escalation/100)^(INT((AP888-w_months_since_start)/12))*IF(MOD(AP888-w_months_since_start,w_frequency)=0,1,0)*IF(w_frequency=13,0,1))+SUM(IF(w_start_date=AO888,w_amount,0)*IF(w_frequency=13,1,0))</f>
        <v>0</v>
      </c>
      <c r="BC888" s="25">
        <f t="shared" ca="1" si="703"/>
        <v>0</v>
      </c>
      <c r="BD888" s="24" t="b">
        <f t="shared" ca="1" si="704"/>
        <v>1</v>
      </c>
      <c r="BE888" s="24" t="b">
        <f t="shared" ca="1" si="705"/>
        <v>1</v>
      </c>
      <c r="BF888" s="23">
        <f t="array" aca="1" ref="BF888" ca="1">SUM(IF(BD888,1,0)*IF(ap_start_date&lt;=AO888,1,0)*IF(ap_end_date&gt;=AO888,1,0)*ap_amount*(1+ap_escalation/100)^(INT((AP888-ap_months_since_start)/12))*IF(MOD(AP888-ap_months_since_start,ap_frequency)=0,1,0))</f>
        <v>398231.01515924919</v>
      </c>
      <c r="BG888" s="24">
        <f t="shared" ca="1" si="706"/>
        <v>4778772.1819109907</v>
      </c>
      <c r="BH888" s="24">
        <f t="shared" ca="1" si="707"/>
        <v>160.61206652230467</v>
      </c>
      <c r="BI888">
        <f t="shared" ca="1" si="708"/>
        <v>0</v>
      </c>
      <c r="BJ888" s="24">
        <f t="shared" ca="1" si="709"/>
        <v>1124.2844656561326</v>
      </c>
      <c r="BK888">
        <f t="shared" ca="1" si="710"/>
        <v>1</v>
      </c>
      <c r="BL888" s="25">
        <f t="shared" ca="1" si="711"/>
        <v>93.690372138011043</v>
      </c>
      <c r="BM888" s="32">
        <f t="shared" ca="1" si="690"/>
        <v>6130.8626175907693</v>
      </c>
      <c r="BN888" s="23">
        <f t="shared" ca="1" si="712"/>
        <v>0</v>
      </c>
      <c r="BO888" s="24">
        <f t="shared" ca="1" si="713"/>
        <v>0</v>
      </c>
      <c r="BP888" s="25">
        <f t="shared" ca="1" si="714"/>
        <v>0</v>
      </c>
      <c r="BQ888" s="34">
        <f t="shared" ca="1" si="715"/>
        <v>72440</v>
      </c>
      <c r="BR888" s="23">
        <f t="shared" ca="1" si="716"/>
        <v>6130.8626175907693</v>
      </c>
      <c r="BS888" s="24">
        <f t="shared" ca="1" si="717"/>
        <v>0</v>
      </c>
      <c r="BT888" s="24">
        <f t="shared" ca="1" si="722"/>
        <v>0</v>
      </c>
      <c r="BU888" s="24">
        <f t="shared" ca="1" si="718"/>
        <v>0</v>
      </c>
      <c r="BV888" s="24">
        <f t="shared" ca="1" si="723"/>
        <v>0</v>
      </c>
      <c r="BW888" s="24">
        <f t="shared" ca="1" si="719"/>
        <v>-93.690372138011043</v>
      </c>
      <c r="BX888" s="25">
        <f t="shared" ca="1" si="724"/>
        <v>-1182.2105956060482</v>
      </c>
      <c r="BY888" s="23">
        <f t="shared" ca="1" si="691"/>
        <v>344.34247041742225</v>
      </c>
      <c r="BZ888" s="24">
        <f t="shared" ca="1" si="692"/>
        <v>0</v>
      </c>
      <c r="CA888" s="24">
        <f t="shared" ca="1" si="725"/>
        <v>0</v>
      </c>
      <c r="CB888" s="24">
        <f t="shared" ca="1" si="693"/>
        <v>0</v>
      </c>
      <c r="CC888" s="24">
        <f t="shared" ca="1" si="726"/>
        <v>0</v>
      </c>
      <c r="CD888" s="24">
        <f t="shared" ca="1" si="694"/>
        <v>-5.2793859876006346</v>
      </c>
      <c r="CE888" s="25">
        <f t="shared" ca="1" si="727"/>
        <v>-67.861972977432472</v>
      </c>
      <c r="CF888" s="23">
        <f t="shared" ca="1" si="728"/>
        <v>4686872.7168742409</v>
      </c>
      <c r="CG888" s="25">
        <f t="array" aca="1" ref="CG888" ca="1">SUM(BF877:BF888/(1+inflation/100)^(AP877:AP888/12))</f>
        <v>267980.53702225391</v>
      </c>
      <c r="CH888" s="32">
        <f ca="1">IFERROR(IF(MOD(AP888-ap_months_since_start,12)=0,ap_drawdown/100*(AQ888+AV888+BA888-BC888),CH887),0)</f>
        <v>987.40522003284298</v>
      </c>
    </row>
    <row r="889" spans="40:86" x14ac:dyDescent="0.25">
      <c r="AN889" s="32">
        <f t="shared" ca="1" si="689"/>
        <v>128.33333333333334</v>
      </c>
      <c r="AO889" s="53">
        <f t="shared" ca="1" si="720"/>
        <v>72441</v>
      </c>
      <c r="AP889" s="22">
        <v>882</v>
      </c>
      <c r="AQ889" s="32">
        <f t="shared" ca="1" si="721"/>
        <v>6130.8626175907693</v>
      </c>
      <c r="AR889" s="23">
        <f t="array" aca="1" ref="AR889" ca="1">SUM(IF(lsc_start_date=AO889,lsc_amount,0))</f>
        <v>0</v>
      </c>
      <c r="AS889" s="24">
        <f t="shared" ca="1" si="695"/>
        <v>0</v>
      </c>
      <c r="AT889" s="24">
        <f t="shared" ca="1" si="696"/>
        <v>0</v>
      </c>
      <c r="AU889" s="24">
        <f t="shared" ca="1" si="697"/>
        <v>0</v>
      </c>
      <c r="AV889" s="25">
        <f t="shared" ca="1" si="698"/>
        <v>0</v>
      </c>
      <c r="AW889" s="23">
        <f t="array" aca="1" ref="AW889" ca="1">SUM(IF(rcs_start_date&lt;=AO889,1,0)*IF(rcs_end_date&gt;=AO889,1,0)*rcs_amount*(1+rcs_escalation/100)^(INT((AP889-rcs_months_since_start)/12))*IF(MOD((AP889-rcs_months_since_start),rcs_frequency)=0,1,0)*IF(rcs_frequency=13,0,1))+SUM(IF(rcs_start_date=AO889,rcs_amount,0)*IF(rcs_frequency=13,1,0))</f>
        <v>0</v>
      </c>
      <c r="AX889" s="24">
        <f t="shared" ca="1" si="699"/>
        <v>0</v>
      </c>
      <c r="AY889" s="24">
        <f t="shared" ca="1" si="700"/>
        <v>0</v>
      </c>
      <c r="AZ889" s="24">
        <f t="shared" ca="1" si="701"/>
        <v>0</v>
      </c>
      <c r="BA889" s="25">
        <f t="shared" ca="1" si="702"/>
        <v>0</v>
      </c>
      <c r="BB889" s="23">
        <f t="array" aca="1" ref="BB889" ca="1">SUM(IF(w_start_date&lt;=AO889,1,0)*IF(w_end_date&gt;=AO889,1,0)*w_amount*(1+w_escalation/100)^(INT((AP889-w_months_since_start)/12))*IF(MOD(AP889-w_months_since_start,w_frequency)=0,1,0)*IF(w_frequency=13,0,1))+SUM(IF(w_start_date=AO889,w_amount,0)*IF(w_frequency=13,1,0))</f>
        <v>0</v>
      </c>
      <c r="BC889" s="25">
        <f t="shared" ca="1" si="703"/>
        <v>0</v>
      </c>
      <c r="BD889" s="24" t="b">
        <f t="shared" ca="1" si="704"/>
        <v>1</v>
      </c>
      <c r="BE889" s="24" t="b">
        <f t="shared" ca="1" si="705"/>
        <v>1</v>
      </c>
      <c r="BF889" s="23">
        <f t="array" aca="1" ref="BF889" ca="1">SUM(IF(BD889,1,0)*IF(ap_start_date&lt;=AO889,1,0)*IF(ap_end_date&gt;=AO889,1,0)*ap_amount*(1+ap_escalation/100)^(INT((AP889-ap_months_since_start)/12))*IF(MOD(AP889-ap_months_since_start,ap_frequency)=0,1,0))</f>
        <v>398231.01515924919</v>
      </c>
      <c r="BG889" s="24">
        <f t="shared" ca="1" si="706"/>
        <v>4778772.1819109907</v>
      </c>
      <c r="BH889" s="24">
        <f t="shared" ca="1" si="707"/>
        <v>160.61206652230467</v>
      </c>
      <c r="BI889">
        <f t="shared" ca="1" si="708"/>
        <v>0</v>
      </c>
      <c r="BJ889" s="24">
        <f t="shared" ca="1" si="709"/>
        <v>1124.2844656561326</v>
      </c>
      <c r="BK889">
        <f t="shared" ca="1" si="710"/>
        <v>1</v>
      </c>
      <c r="BL889" s="25">
        <f t="shared" ca="1" si="711"/>
        <v>93.690372138011043</v>
      </c>
      <c r="BM889" s="32">
        <f t="shared" ca="1" si="690"/>
        <v>6080.6840977409429</v>
      </c>
      <c r="BN889" s="23">
        <f t="shared" ca="1" si="712"/>
        <v>0</v>
      </c>
      <c r="BO889" s="24">
        <f t="shared" ca="1" si="713"/>
        <v>0</v>
      </c>
      <c r="BP889" s="25">
        <f t="shared" ca="1" si="714"/>
        <v>0</v>
      </c>
      <c r="BQ889" s="34">
        <f t="shared" ca="1" si="715"/>
        <v>72471</v>
      </c>
      <c r="BR889" s="23">
        <f t="shared" ca="1" si="716"/>
        <v>6080.6840977409429</v>
      </c>
      <c r="BS889" s="24">
        <f t="shared" ca="1" si="717"/>
        <v>0</v>
      </c>
      <c r="BT889" s="24">
        <f t="shared" ca="1" si="722"/>
        <v>0</v>
      </c>
      <c r="BU889" s="24">
        <f t="shared" ca="1" si="718"/>
        <v>0</v>
      </c>
      <c r="BV889" s="24">
        <f t="shared" ca="1" si="723"/>
        <v>0</v>
      </c>
      <c r="BW889" s="24">
        <f t="shared" ca="1" si="719"/>
        <v>-93.690372138011043</v>
      </c>
      <c r="BX889" s="25">
        <f t="shared" ca="1" si="724"/>
        <v>-1172.5562406143956</v>
      </c>
      <c r="BY889" s="23">
        <f t="shared" ca="1" si="691"/>
        <v>340.40975983040681</v>
      </c>
      <c r="BZ889" s="24">
        <f t="shared" ca="1" si="692"/>
        <v>0</v>
      </c>
      <c r="CA889" s="24">
        <f t="shared" ca="1" si="725"/>
        <v>0</v>
      </c>
      <c r="CB889" s="24">
        <f t="shared" ca="1" si="693"/>
        <v>0</v>
      </c>
      <c r="CC889" s="24">
        <f t="shared" ca="1" si="726"/>
        <v>0</v>
      </c>
      <c r="CD889" s="24">
        <f t="shared" ca="1" si="694"/>
        <v>-5.2621590481843326</v>
      </c>
      <c r="CE889" s="25">
        <f t="shared" ca="1" si="727"/>
        <v>-67.087556082121921</v>
      </c>
      <c r="CF889" s="23">
        <f t="shared" ca="1" si="728"/>
        <v>4702189.2943803659</v>
      </c>
      <c r="CG889" s="25">
        <f t="array" aca="1" ref="CG889" ca="1">SUM(BF878:BF889/(1+inflation/100)^(AP878:AP889/12))</f>
        <v>267980.53702225385</v>
      </c>
      <c r="CH889" s="32">
        <f ca="1">IFERROR(IF(MOD(AP889-ap_months_since_start,12)=0,ap_drawdown/100*(AQ889+AV889+BA889-BC889),CH888),0)</f>
        <v>987.40522003284298</v>
      </c>
    </row>
    <row r="890" spans="40:86" x14ac:dyDescent="0.25">
      <c r="AN890" s="32">
        <f t="shared" ca="1" si="689"/>
        <v>128.41666666666666</v>
      </c>
      <c r="AO890" s="53">
        <f t="shared" ca="1" si="720"/>
        <v>72472</v>
      </c>
      <c r="AP890" s="22">
        <v>883</v>
      </c>
      <c r="AQ890" s="32">
        <f t="shared" ca="1" si="721"/>
        <v>6080.6840977409429</v>
      </c>
      <c r="AR890" s="23">
        <f t="array" aca="1" ref="AR890" ca="1">SUM(IF(lsc_start_date=AO890,lsc_amount,0))</f>
        <v>0</v>
      </c>
      <c r="AS890" s="24">
        <f t="shared" ca="1" si="695"/>
        <v>0</v>
      </c>
      <c r="AT890" s="24">
        <f t="shared" ca="1" si="696"/>
        <v>0</v>
      </c>
      <c r="AU890" s="24">
        <f t="shared" ca="1" si="697"/>
        <v>0</v>
      </c>
      <c r="AV890" s="25">
        <f t="shared" ca="1" si="698"/>
        <v>0</v>
      </c>
      <c r="AW890" s="23">
        <f t="array" aca="1" ref="AW890" ca="1">SUM(IF(rcs_start_date&lt;=AO890,1,0)*IF(rcs_end_date&gt;=AO890,1,0)*rcs_amount*(1+rcs_escalation/100)^(INT((AP890-rcs_months_since_start)/12))*IF(MOD((AP890-rcs_months_since_start),rcs_frequency)=0,1,0)*IF(rcs_frequency=13,0,1))+SUM(IF(rcs_start_date=AO890,rcs_amount,0)*IF(rcs_frequency=13,1,0))</f>
        <v>0</v>
      </c>
      <c r="AX890" s="24">
        <f t="shared" ca="1" si="699"/>
        <v>0</v>
      </c>
      <c r="AY890" s="24">
        <f t="shared" ca="1" si="700"/>
        <v>0</v>
      </c>
      <c r="AZ890" s="24">
        <f t="shared" ca="1" si="701"/>
        <v>0</v>
      </c>
      <c r="BA890" s="25">
        <f t="shared" ca="1" si="702"/>
        <v>0</v>
      </c>
      <c r="BB890" s="23">
        <f t="array" aca="1" ref="BB890" ca="1">SUM(IF(w_start_date&lt;=AO890,1,0)*IF(w_end_date&gt;=AO890,1,0)*w_amount*(1+w_escalation/100)^(INT((AP890-w_months_since_start)/12))*IF(MOD(AP890-w_months_since_start,w_frequency)=0,1,0)*IF(w_frequency=13,0,1))+SUM(IF(w_start_date=AO890,w_amount,0)*IF(w_frequency=13,1,0))</f>
        <v>0</v>
      </c>
      <c r="BC890" s="25">
        <f t="shared" ca="1" si="703"/>
        <v>0</v>
      </c>
      <c r="BD890" s="24" t="b">
        <f t="shared" ca="1" si="704"/>
        <v>1</v>
      </c>
      <c r="BE890" s="24" t="b">
        <f t="shared" ca="1" si="705"/>
        <v>1</v>
      </c>
      <c r="BF890" s="23">
        <f t="array" aca="1" ref="BF890" ca="1">SUM(IF(BD890,1,0)*IF(ap_start_date&lt;=AO890,1,0)*IF(ap_end_date&gt;=AO890,1,0)*ap_amount*(1+ap_escalation/100)^(INT((AP890-ap_months_since_start)/12))*IF(MOD(AP890-ap_months_since_start,ap_frequency)=0,1,0))</f>
        <v>398231.01515924919</v>
      </c>
      <c r="BG890" s="24">
        <f t="shared" ca="1" si="706"/>
        <v>4778772.1819109907</v>
      </c>
      <c r="BH890" s="24">
        <f t="shared" ca="1" si="707"/>
        <v>160.61206652230467</v>
      </c>
      <c r="BI890">
        <f t="shared" ca="1" si="708"/>
        <v>0</v>
      </c>
      <c r="BJ890" s="24">
        <f t="shared" ca="1" si="709"/>
        <v>1124.2844656561326</v>
      </c>
      <c r="BK890">
        <f t="shared" ca="1" si="710"/>
        <v>1</v>
      </c>
      <c r="BL890" s="25">
        <f t="shared" ca="1" si="711"/>
        <v>93.690372138011043</v>
      </c>
      <c r="BM890" s="32">
        <f t="shared" ca="1" si="690"/>
        <v>6030.1439250750336</v>
      </c>
      <c r="BN890" s="23">
        <f t="shared" ca="1" si="712"/>
        <v>0</v>
      </c>
      <c r="BO890" s="24">
        <f t="shared" ca="1" si="713"/>
        <v>0</v>
      </c>
      <c r="BP890" s="25">
        <f t="shared" ca="1" si="714"/>
        <v>0</v>
      </c>
      <c r="BQ890" s="34">
        <f t="shared" ca="1" si="715"/>
        <v>72501</v>
      </c>
      <c r="BR890" s="23">
        <f t="shared" ca="1" si="716"/>
        <v>6030.1439250750336</v>
      </c>
      <c r="BS890" s="24">
        <f t="shared" ca="1" si="717"/>
        <v>0</v>
      </c>
      <c r="BT890" s="24">
        <f t="shared" ca="1" si="722"/>
        <v>0</v>
      </c>
      <c r="BU890" s="24">
        <f t="shared" ca="1" si="718"/>
        <v>0</v>
      </c>
      <c r="BV890" s="24">
        <f t="shared" ca="1" si="723"/>
        <v>0</v>
      </c>
      <c r="BW890" s="24">
        <f t="shared" ca="1" si="719"/>
        <v>-93.690372138011043</v>
      </c>
      <c r="BX890" s="25">
        <f t="shared" ca="1" si="724"/>
        <v>-1162.9018856227431</v>
      </c>
      <c r="BY890" s="23">
        <f t="shared" ca="1" si="691"/>
        <v>336.47886812514201</v>
      </c>
      <c r="BZ890" s="24">
        <f t="shared" ca="1" si="692"/>
        <v>0</v>
      </c>
      <c r="CA890" s="24">
        <f t="shared" ca="1" si="725"/>
        <v>0</v>
      </c>
      <c r="CB890" s="24">
        <f t="shared" ca="1" si="693"/>
        <v>0</v>
      </c>
      <c r="CC890" s="24">
        <f t="shared" ca="1" si="726"/>
        <v>0</v>
      </c>
      <c r="CD890" s="24">
        <f t="shared" ca="1" si="694"/>
        <v>-5.2449883212598571</v>
      </c>
      <c r="CE890" s="25">
        <f t="shared" ca="1" si="727"/>
        <v>-66.315666153577922</v>
      </c>
      <c r="CF890" s="23">
        <f t="shared" ca="1" si="728"/>
        <v>4717505.8718864908</v>
      </c>
      <c r="CG890" s="25">
        <f t="array" aca="1" ref="CG890" ca="1">SUM(BF879:BF890/(1+inflation/100)^(AP879:AP890/12))</f>
        <v>267980.53702225391</v>
      </c>
      <c r="CH890" s="32">
        <f ca="1">IFERROR(IF(MOD(AP890-ap_months_since_start,12)=0,ap_drawdown/100*(AQ890+AV890+BA890-BC890),CH889),0)</f>
        <v>987.40522003284298</v>
      </c>
    </row>
    <row r="891" spans="40:86" x14ac:dyDescent="0.25">
      <c r="AN891" s="32">
        <f t="shared" ca="1" si="689"/>
        <v>128.5</v>
      </c>
      <c r="AO891" s="53">
        <f t="shared" ca="1" si="720"/>
        <v>72502</v>
      </c>
      <c r="AP891" s="22">
        <v>884</v>
      </c>
      <c r="AQ891" s="32">
        <f t="shared" ca="1" si="721"/>
        <v>6030.1439250750336</v>
      </c>
      <c r="AR891" s="23">
        <f t="array" aca="1" ref="AR891" ca="1">SUM(IF(lsc_start_date=AO891,lsc_amount,0))</f>
        <v>0</v>
      </c>
      <c r="AS891" s="24">
        <f t="shared" ca="1" si="695"/>
        <v>0</v>
      </c>
      <c r="AT891" s="24">
        <f t="shared" ca="1" si="696"/>
        <v>0</v>
      </c>
      <c r="AU891" s="24">
        <f t="shared" ca="1" si="697"/>
        <v>0</v>
      </c>
      <c r="AV891" s="25">
        <f t="shared" ca="1" si="698"/>
        <v>0</v>
      </c>
      <c r="AW891" s="23">
        <f t="array" aca="1" ref="AW891" ca="1">SUM(IF(rcs_start_date&lt;=AO891,1,0)*IF(rcs_end_date&gt;=AO891,1,0)*rcs_amount*(1+rcs_escalation/100)^(INT((AP891-rcs_months_since_start)/12))*IF(MOD((AP891-rcs_months_since_start),rcs_frequency)=0,1,0)*IF(rcs_frequency=13,0,1))+SUM(IF(rcs_start_date=AO891,rcs_amount,0)*IF(rcs_frequency=13,1,0))</f>
        <v>0</v>
      </c>
      <c r="AX891" s="24">
        <f t="shared" ca="1" si="699"/>
        <v>0</v>
      </c>
      <c r="AY891" s="24">
        <f t="shared" ca="1" si="700"/>
        <v>0</v>
      </c>
      <c r="AZ891" s="24">
        <f t="shared" ca="1" si="701"/>
        <v>0</v>
      </c>
      <c r="BA891" s="25">
        <f t="shared" ca="1" si="702"/>
        <v>0</v>
      </c>
      <c r="BB891" s="23">
        <f t="array" aca="1" ref="BB891" ca="1">SUM(IF(w_start_date&lt;=AO891,1,0)*IF(w_end_date&gt;=AO891,1,0)*w_amount*(1+w_escalation/100)^(INT((AP891-w_months_since_start)/12))*IF(MOD(AP891-w_months_since_start,w_frequency)=0,1,0)*IF(w_frequency=13,0,1))+SUM(IF(w_start_date=AO891,w_amount,0)*IF(w_frequency=13,1,0))</f>
        <v>0</v>
      </c>
      <c r="BC891" s="25">
        <f t="shared" ca="1" si="703"/>
        <v>0</v>
      </c>
      <c r="BD891" s="24" t="b">
        <f t="shared" ca="1" si="704"/>
        <v>1</v>
      </c>
      <c r="BE891" s="24" t="b">
        <f t="shared" ca="1" si="705"/>
        <v>1</v>
      </c>
      <c r="BF891" s="23">
        <f t="array" aca="1" ref="BF891" ca="1">SUM(IF(BD891,1,0)*IF(ap_start_date&lt;=AO891,1,0)*IF(ap_end_date&gt;=AO891,1,0)*ap_amount*(1+ap_escalation/100)^(INT((AP891-ap_months_since_start)/12))*IF(MOD(AP891-ap_months_since_start,ap_frequency)=0,1,0))</f>
        <v>398231.01515924919</v>
      </c>
      <c r="BG891" s="24">
        <f t="shared" ca="1" si="706"/>
        <v>4778772.1819109907</v>
      </c>
      <c r="BH891" s="24">
        <f t="shared" ca="1" si="707"/>
        <v>160.61206652230467</v>
      </c>
      <c r="BI891">
        <f t="shared" ca="1" si="708"/>
        <v>0</v>
      </c>
      <c r="BJ891" s="24">
        <f t="shared" ca="1" si="709"/>
        <v>1124.2844656561326</v>
      </c>
      <c r="BK891">
        <f t="shared" ca="1" si="710"/>
        <v>1</v>
      </c>
      <c r="BL891" s="25">
        <f t="shared" ca="1" si="711"/>
        <v>93.690372138011043</v>
      </c>
      <c r="BM891" s="32">
        <f t="shared" ca="1" si="690"/>
        <v>5979.2394930442679</v>
      </c>
      <c r="BN891" s="23">
        <f t="shared" ca="1" si="712"/>
        <v>0</v>
      </c>
      <c r="BO891" s="24">
        <f t="shared" ca="1" si="713"/>
        <v>0</v>
      </c>
      <c r="BP891" s="25">
        <f t="shared" ca="1" si="714"/>
        <v>0</v>
      </c>
      <c r="BQ891" s="34">
        <f t="shared" ca="1" si="715"/>
        <v>72532</v>
      </c>
      <c r="BR891" s="23">
        <f t="shared" ca="1" si="716"/>
        <v>5979.2394930442679</v>
      </c>
      <c r="BS891" s="24">
        <f t="shared" ca="1" si="717"/>
        <v>0</v>
      </c>
      <c r="BT891" s="24">
        <f t="shared" ca="1" si="722"/>
        <v>0</v>
      </c>
      <c r="BU891" s="24">
        <f t="shared" ca="1" si="718"/>
        <v>0</v>
      </c>
      <c r="BV891" s="24">
        <f t="shared" ca="1" si="723"/>
        <v>0</v>
      </c>
      <c r="BW891" s="24">
        <f t="shared" ca="1" si="719"/>
        <v>-93.690372138011043</v>
      </c>
      <c r="BX891" s="25">
        <f t="shared" ca="1" si="724"/>
        <v>-1153.2475306310905</v>
      </c>
      <c r="BY891" s="23">
        <f t="shared" ca="1" si="691"/>
        <v>332.54974618426161</v>
      </c>
      <c r="BZ891" s="24">
        <f t="shared" ca="1" si="692"/>
        <v>0</v>
      </c>
      <c r="CA891" s="24">
        <f t="shared" ca="1" si="725"/>
        <v>0</v>
      </c>
      <c r="CB891" s="24">
        <f t="shared" ca="1" si="693"/>
        <v>0</v>
      </c>
      <c r="CC891" s="24">
        <f t="shared" ca="1" si="726"/>
        <v>0</v>
      </c>
      <c r="CD891" s="24">
        <f t="shared" ca="1" si="694"/>
        <v>-5.2278736234026173</v>
      </c>
      <c r="CE891" s="25">
        <f t="shared" ca="1" si="727"/>
        <v>-65.546294946162917</v>
      </c>
      <c r="CF891" s="23">
        <f t="shared" ca="1" si="728"/>
        <v>4732822.4493926158</v>
      </c>
      <c r="CG891" s="25">
        <f t="array" aca="1" ref="CG891" ca="1">SUM(BF880:BF891/(1+inflation/100)^(AP880:AP891/12))</f>
        <v>267980.53702225391</v>
      </c>
      <c r="CH891" s="32">
        <f ca="1">IFERROR(IF(MOD(AP891-ap_months_since_start,12)=0,ap_drawdown/100*(AQ891+AV891+BA891-BC891),CH890),0)</f>
        <v>987.40522003284298</v>
      </c>
    </row>
    <row r="892" spans="40:86" x14ac:dyDescent="0.25">
      <c r="AN892" s="32">
        <f t="shared" ca="1" si="689"/>
        <v>128.58333333333334</v>
      </c>
      <c r="AO892" s="53">
        <f t="shared" ca="1" si="720"/>
        <v>72533</v>
      </c>
      <c r="AP892" s="22">
        <v>885</v>
      </c>
      <c r="AQ892" s="32">
        <f t="shared" ca="1" si="721"/>
        <v>5979.2394930442679</v>
      </c>
      <c r="AR892" s="23">
        <f t="array" aca="1" ref="AR892" ca="1">SUM(IF(lsc_start_date=AO892,lsc_amount,0))</f>
        <v>0</v>
      </c>
      <c r="AS892" s="24">
        <f t="shared" ca="1" si="695"/>
        <v>0</v>
      </c>
      <c r="AT892" s="24">
        <f t="shared" ca="1" si="696"/>
        <v>0</v>
      </c>
      <c r="AU892" s="24">
        <f t="shared" ca="1" si="697"/>
        <v>0</v>
      </c>
      <c r="AV892" s="25">
        <f t="shared" ca="1" si="698"/>
        <v>0</v>
      </c>
      <c r="AW892" s="23">
        <f t="array" aca="1" ref="AW892" ca="1">SUM(IF(rcs_start_date&lt;=AO892,1,0)*IF(rcs_end_date&gt;=AO892,1,0)*rcs_amount*(1+rcs_escalation/100)^(INT((AP892-rcs_months_since_start)/12))*IF(MOD((AP892-rcs_months_since_start),rcs_frequency)=0,1,0)*IF(rcs_frequency=13,0,1))+SUM(IF(rcs_start_date=AO892,rcs_amount,0)*IF(rcs_frequency=13,1,0))</f>
        <v>0</v>
      </c>
      <c r="AX892" s="24">
        <f t="shared" ca="1" si="699"/>
        <v>0</v>
      </c>
      <c r="AY892" s="24">
        <f t="shared" ca="1" si="700"/>
        <v>0</v>
      </c>
      <c r="AZ892" s="24">
        <f t="shared" ca="1" si="701"/>
        <v>0</v>
      </c>
      <c r="BA892" s="25">
        <f t="shared" ca="1" si="702"/>
        <v>0</v>
      </c>
      <c r="BB892" s="23">
        <f t="array" aca="1" ref="BB892" ca="1">SUM(IF(w_start_date&lt;=AO892,1,0)*IF(w_end_date&gt;=AO892,1,0)*w_amount*(1+w_escalation/100)^(INT((AP892-w_months_since_start)/12))*IF(MOD(AP892-w_months_since_start,w_frequency)=0,1,0)*IF(w_frequency=13,0,1))+SUM(IF(w_start_date=AO892,w_amount,0)*IF(w_frequency=13,1,0))</f>
        <v>0</v>
      </c>
      <c r="BC892" s="25">
        <f t="shared" ca="1" si="703"/>
        <v>0</v>
      </c>
      <c r="BD892" s="24" t="b">
        <f t="shared" ca="1" si="704"/>
        <v>1</v>
      </c>
      <c r="BE892" s="24" t="b">
        <f t="shared" ca="1" si="705"/>
        <v>1</v>
      </c>
      <c r="BF892" s="23">
        <f t="array" aca="1" ref="BF892" ca="1">SUM(IF(BD892,1,0)*IF(ap_start_date&lt;=AO892,1,0)*IF(ap_end_date&gt;=AO892,1,0)*ap_amount*(1+ap_escalation/100)^(INT((AP892-ap_months_since_start)/12))*IF(MOD(AP892-ap_months_since_start,ap_frequency)=0,1,0))</f>
        <v>398231.01515924919</v>
      </c>
      <c r="BG892" s="24">
        <f t="shared" ca="1" si="706"/>
        <v>4778772.1819109907</v>
      </c>
      <c r="BH892" s="24">
        <f t="shared" ca="1" si="707"/>
        <v>160.61206652230467</v>
      </c>
      <c r="BI892">
        <f t="shared" ca="1" si="708"/>
        <v>0</v>
      </c>
      <c r="BJ892" s="24">
        <f t="shared" ca="1" si="709"/>
        <v>1124.2844656561326</v>
      </c>
      <c r="BK892">
        <f t="shared" ca="1" si="710"/>
        <v>1</v>
      </c>
      <c r="BL892" s="25">
        <f t="shared" ca="1" si="711"/>
        <v>93.690372138011043</v>
      </c>
      <c r="BM892" s="32">
        <f t="shared" ca="1" si="690"/>
        <v>5927.9681763136323</v>
      </c>
      <c r="BN892" s="23">
        <f t="shared" ca="1" si="712"/>
        <v>0</v>
      </c>
      <c r="BO892" s="24">
        <f t="shared" ca="1" si="713"/>
        <v>0</v>
      </c>
      <c r="BP892" s="25">
        <f t="shared" ca="1" si="714"/>
        <v>0</v>
      </c>
      <c r="BQ892" s="34">
        <f t="shared" ca="1" si="715"/>
        <v>72563</v>
      </c>
      <c r="BR892" s="23">
        <f t="shared" ca="1" si="716"/>
        <v>5927.9681763136323</v>
      </c>
      <c r="BS892" s="24">
        <f t="shared" ca="1" si="717"/>
        <v>0</v>
      </c>
      <c r="BT892" s="24">
        <f t="shared" ca="1" si="722"/>
        <v>0</v>
      </c>
      <c r="BU892" s="24">
        <f t="shared" ca="1" si="718"/>
        <v>0</v>
      </c>
      <c r="BV892" s="24">
        <f t="shared" ca="1" si="723"/>
        <v>0</v>
      </c>
      <c r="BW892" s="24">
        <f t="shared" ca="1" si="719"/>
        <v>-93.690372138011043</v>
      </c>
      <c r="BX892" s="25">
        <f t="shared" ca="1" si="724"/>
        <v>-1143.593175639438</v>
      </c>
      <c r="BY892" s="23">
        <f t="shared" ca="1" si="691"/>
        <v>328.6223448813659</v>
      </c>
      <c r="BZ892" s="24">
        <f t="shared" ca="1" si="692"/>
        <v>0</v>
      </c>
      <c r="CA892" s="24">
        <f t="shared" ca="1" si="725"/>
        <v>0</v>
      </c>
      <c r="CB892" s="24">
        <f t="shared" ca="1" si="693"/>
        <v>0</v>
      </c>
      <c r="CC892" s="24">
        <f t="shared" ca="1" si="726"/>
        <v>0</v>
      </c>
      <c r="CD892" s="24">
        <f t="shared" ca="1" si="694"/>
        <v>-5.2108147717865485</v>
      </c>
      <c r="CE892" s="25">
        <f t="shared" ca="1" si="727"/>
        <v>-64.779434241145339</v>
      </c>
      <c r="CF892" s="23">
        <f t="shared" ca="1" si="728"/>
        <v>4748139.0268987408</v>
      </c>
      <c r="CG892" s="25">
        <f t="array" aca="1" ref="CG892" ca="1">SUM(BF881:BF892/(1+inflation/100)^(AP881:AP892/12))</f>
        <v>267980.53702225391</v>
      </c>
      <c r="CH892" s="32">
        <f ca="1">IFERROR(IF(MOD(AP892-ap_months_since_start,12)=0,ap_drawdown/100*(AQ892+AV892+BA892-BC892),CH891),0)</f>
        <v>987.40522003284298</v>
      </c>
    </row>
    <row r="893" spans="40:86" x14ac:dyDescent="0.25">
      <c r="AN893" s="32">
        <f t="shared" ca="1" si="689"/>
        <v>128.66666666666666</v>
      </c>
      <c r="AO893" s="53">
        <f t="shared" ca="1" si="720"/>
        <v>72564</v>
      </c>
      <c r="AP893" s="22">
        <v>886</v>
      </c>
      <c r="AQ893" s="32">
        <f t="shared" ca="1" si="721"/>
        <v>5927.9681763136323</v>
      </c>
      <c r="AR893" s="23">
        <f t="array" aca="1" ref="AR893" ca="1">SUM(IF(lsc_start_date=AO893,lsc_amount,0))</f>
        <v>0</v>
      </c>
      <c r="AS893" s="24">
        <f t="shared" ca="1" si="695"/>
        <v>0</v>
      </c>
      <c r="AT893" s="24">
        <f t="shared" ca="1" si="696"/>
        <v>0</v>
      </c>
      <c r="AU893" s="24">
        <f t="shared" ca="1" si="697"/>
        <v>0</v>
      </c>
      <c r="AV893" s="25">
        <f t="shared" ca="1" si="698"/>
        <v>0</v>
      </c>
      <c r="AW893" s="23">
        <f t="array" aca="1" ref="AW893" ca="1">SUM(IF(rcs_start_date&lt;=AO893,1,0)*IF(rcs_end_date&gt;=AO893,1,0)*rcs_amount*(1+rcs_escalation/100)^(INT((AP893-rcs_months_since_start)/12))*IF(MOD((AP893-rcs_months_since_start),rcs_frequency)=0,1,0)*IF(rcs_frequency=13,0,1))+SUM(IF(rcs_start_date=AO893,rcs_amount,0)*IF(rcs_frequency=13,1,0))</f>
        <v>0</v>
      </c>
      <c r="AX893" s="24">
        <f t="shared" ca="1" si="699"/>
        <v>0</v>
      </c>
      <c r="AY893" s="24">
        <f t="shared" ca="1" si="700"/>
        <v>0</v>
      </c>
      <c r="AZ893" s="24">
        <f t="shared" ca="1" si="701"/>
        <v>0</v>
      </c>
      <c r="BA893" s="25">
        <f t="shared" ca="1" si="702"/>
        <v>0</v>
      </c>
      <c r="BB893" s="23">
        <f t="array" aca="1" ref="BB893" ca="1">SUM(IF(w_start_date&lt;=AO893,1,0)*IF(w_end_date&gt;=AO893,1,0)*w_amount*(1+w_escalation/100)^(INT((AP893-w_months_since_start)/12))*IF(MOD(AP893-w_months_since_start,w_frequency)=0,1,0)*IF(w_frequency=13,0,1))+SUM(IF(w_start_date=AO893,w_amount,0)*IF(w_frequency=13,1,0))</f>
        <v>0</v>
      </c>
      <c r="BC893" s="25">
        <f t="shared" ca="1" si="703"/>
        <v>0</v>
      </c>
      <c r="BD893" s="24" t="b">
        <f t="shared" ca="1" si="704"/>
        <v>1</v>
      </c>
      <c r="BE893" s="24" t="b">
        <f t="shared" ca="1" si="705"/>
        <v>1</v>
      </c>
      <c r="BF893" s="23">
        <f t="array" aca="1" ref="BF893" ca="1">SUM(IF(BD893,1,0)*IF(ap_start_date&lt;=AO893,1,0)*IF(ap_end_date&gt;=AO893,1,0)*ap_amount*(1+ap_escalation/100)^(INT((AP893-ap_months_since_start)/12))*IF(MOD(AP893-ap_months_since_start,ap_frequency)=0,1,0))</f>
        <v>398231.01515924919</v>
      </c>
      <c r="BG893" s="24">
        <f t="shared" ca="1" si="706"/>
        <v>4778772.1819109907</v>
      </c>
      <c r="BH893" s="24">
        <f t="shared" ca="1" si="707"/>
        <v>160.61206652230467</v>
      </c>
      <c r="BI893">
        <f t="shared" ca="1" si="708"/>
        <v>0</v>
      </c>
      <c r="BJ893" s="24">
        <f t="shared" ca="1" si="709"/>
        <v>1124.2844656561326</v>
      </c>
      <c r="BK893">
        <f t="shared" ca="1" si="710"/>
        <v>1</v>
      </c>
      <c r="BL893" s="25">
        <f t="shared" ca="1" si="711"/>
        <v>93.690372138011043</v>
      </c>
      <c r="BM893" s="32">
        <f t="shared" ca="1" si="690"/>
        <v>5876.3273306264746</v>
      </c>
      <c r="BN893" s="23">
        <f t="shared" ca="1" si="712"/>
        <v>0</v>
      </c>
      <c r="BO893" s="24">
        <f t="shared" ca="1" si="713"/>
        <v>0</v>
      </c>
      <c r="BP893" s="25">
        <f t="shared" ca="1" si="714"/>
        <v>0</v>
      </c>
      <c r="BQ893" s="34">
        <f t="shared" ca="1" si="715"/>
        <v>72593</v>
      </c>
      <c r="BR893" s="23">
        <f t="shared" ca="1" si="716"/>
        <v>5876.3273306264746</v>
      </c>
      <c r="BS893" s="24">
        <f t="shared" ca="1" si="717"/>
        <v>0</v>
      </c>
      <c r="BT893" s="24">
        <f t="shared" ca="1" si="722"/>
        <v>0</v>
      </c>
      <c r="BU893" s="24">
        <f t="shared" ca="1" si="718"/>
        <v>0</v>
      </c>
      <c r="BV893" s="24">
        <f t="shared" ca="1" si="723"/>
        <v>0</v>
      </c>
      <c r="BW893" s="24">
        <f t="shared" ca="1" si="719"/>
        <v>-93.690372138011043</v>
      </c>
      <c r="BX893" s="25">
        <f t="shared" ca="1" si="724"/>
        <v>-1133.9388206477854</v>
      </c>
      <c r="BY893" s="23">
        <f t="shared" ca="1" si="691"/>
        <v>324.69661508038644</v>
      </c>
      <c r="BZ893" s="24">
        <f t="shared" ca="1" si="692"/>
        <v>0</v>
      </c>
      <c r="CA893" s="24">
        <f t="shared" ca="1" si="725"/>
        <v>0</v>
      </c>
      <c r="CB893" s="24">
        <f t="shared" ca="1" si="693"/>
        <v>0</v>
      </c>
      <c r="CC893" s="24">
        <f t="shared" ca="1" si="726"/>
        <v>0</v>
      </c>
      <c r="CD893" s="24">
        <f t="shared" ca="1" si="694"/>
        <v>-5.1938115841821668</v>
      </c>
      <c r="CE893" s="25">
        <f t="shared" ca="1" si="727"/>
        <v>-64.015075846611794</v>
      </c>
      <c r="CF893" s="23">
        <f t="shared" ca="1" si="728"/>
        <v>4763455.6044048658</v>
      </c>
      <c r="CG893" s="25">
        <f t="array" aca="1" ref="CG893" ca="1">SUM(BF882:BF893/(1+inflation/100)^(AP882:AP893/12))</f>
        <v>267980.53702225385</v>
      </c>
      <c r="CH893" s="32">
        <f ca="1">IFERROR(IF(MOD(AP893-ap_months_since_start,12)=0,ap_drawdown/100*(AQ893+AV893+BA893-BC893),CH892),0)</f>
        <v>987.40522003284298</v>
      </c>
    </row>
    <row r="894" spans="40:86" x14ac:dyDescent="0.25">
      <c r="AN894" s="32">
        <f t="shared" ca="1" si="689"/>
        <v>128.75</v>
      </c>
      <c r="AO894" s="53">
        <f t="shared" ca="1" si="720"/>
        <v>72594</v>
      </c>
      <c r="AP894" s="22">
        <v>887</v>
      </c>
      <c r="AQ894" s="32">
        <f t="shared" ca="1" si="721"/>
        <v>5876.3273306264746</v>
      </c>
      <c r="AR894" s="23">
        <f t="array" aca="1" ref="AR894" ca="1">SUM(IF(lsc_start_date=AO894,lsc_amount,0))</f>
        <v>0</v>
      </c>
      <c r="AS894" s="24">
        <f t="shared" ca="1" si="695"/>
        <v>0</v>
      </c>
      <c r="AT894" s="24">
        <f t="shared" ca="1" si="696"/>
        <v>0</v>
      </c>
      <c r="AU894" s="24">
        <f t="shared" ca="1" si="697"/>
        <v>0</v>
      </c>
      <c r="AV894" s="25">
        <f t="shared" ca="1" si="698"/>
        <v>0</v>
      </c>
      <c r="AW894" s="23">
        <f t="array" aca="1" ref="AW894" ca="1">SUM(IF(rcs_start_date&lt;=AO894,1,0)*IF(rcs_end_date&gt;=AO894,1,0)*rcs_amount*(1+rcs_escalation/100)^(INT((AP894-rcs_months_since_start)/12))*IF(MOD((AP894-rcs_months_since_start),rcs_frequency)=0,1,0)*IF(rcs_frequency=13,0,1))+SUM(IF(rcs_start_date=AO894,rcs_amount,0)*IF(rcs_frequency=13,1,0))</f>
        <v>0</v>
      </c>
      <c r="AX894" s="24">
        <f t="shared" ca="1" si="699"/>
        <v>0</v>
      </c>
      <c r="AY894" s="24">
        <f t="shared" ca="1" si="700"/>
        <v>0</v>
      </c>
      <c r="AZ894" s="24">
        <f t="shared" ca="1" si="701"/>
        <v>0</v>
      </c>
      <c r="BA894" s="25">
        <f t="shared" ca="1" si="702"/>
        <v>0</v>
      </c>
      <c r="BB894" s="23">
        <f t="array" aca="1" ref="BB894" ca="1">SUM(IF(w_start_date&lt;=AO894,1,0)*IF(w_end_date&gt;=AO894,1,0)*w_amount*(1+w_escalation/100)^(INT((AP894-w_months_since_start)/12))*IF(MOD(AP894-w_months_since_start,w_frequency)=0,1,0)*IF(w_frequency=13,0,1))+SUM(IF(w_start_date=AO894,w_amount,0)*IF(w_frequency=13,1,0))</f>
        <v>0</v>
      </c>
      <c r="BC894" s="25">
        <f t="shared" ca="1" si="703"/>
        <v>0</v>
      </c>
      <c r="BD894" s="24" t="b">
        <f t="shared" ca="1" si="704"/>
        <v>1</v>
      </c>
      <c r="BE894" s="24" t="b">
        <f t="shared" ca="1" si="705"/>
        <v>1</v>
      </c>
      <c r="BF894" s="23">
        <f t="array" aca="1" ref="BF894" ca="1">SUM(IF(BD894,1,0)*IF(ap_start_date&lt;=AO894,1,0)*IF(ap_end_date&gt;=AO894,1,0)*ap_amount*(1+ap_escalation/100)^(INT((AP894-ap_months_since_start)/12))*IF(MOD(AP894-ap_months_since_start,ap_frequency)=0,1,0))</f>
        <v>398231.01515924919</v>
      </c>
      <c r="BG894" s="24">
        <f t="shared" ca="1" si="706"/>
        <v>4778772.1819109907</v>
      </c>
      <c r="BH894" s="24">
        <f t="shared" ca="1" si="707"/>
        <v>160.61206652230467</v>
      </c>
      <c r="BI894">
        <f t="shared" ca="1" si="708"/>
        <v>0</v>
      </c>
      <c r="BJ894" s="24">
        <f t="shared" ca="1" si="709"/>
        <v>1124.2844656561326</v>
      </c>
      <c r="BK894">
        <f t="shared" ca="1" si="710"/>
        <v>1</v>
      </c>
      <c r="BL894" s="25">
        <f t="shared" ca="1" si="711"/>
        <v>93.690372138011043</v>
      </c>
      <c r="BM894" s="32">
        <f t="shared" ca="1" si="690"/>
        <v>5824.3142926681312</v>
      </c>
      <c r="BN894" s="23">
        <f t="shared" ca="1" si="712"/>
        <v>0</v>
      </c>
      <c r="BO894" s="24">
        <f t="shared" ca="1" si="713"/>
        <v>0</v>
      </c>
      <c r="BP894" s="25">
        <f t="shared" ca="1" si="714"/>
        <v>0</v>
      </c>
      <c r="BQ894" s="34">
        <f t="shared" ca="1" si="715"/>
        <v>72624</v>
      </c>
      <c r="BR894" s="23">
        <f t="shared" ca="1" si="716"/>
        <v>5824.3142926681312</v>
      </c>
      <c r="BS894" s="24">
        <f t="shared" ca="1" si="717"/>
        <v>0</v>
      </c>
      <c r="BT894" s="24">
        <f t="shared" ca="1" si="722"/>
        <v>0</v>
      </c>
      <c r="BU894" s="24">
        <f t="shared" ca="1" si="718"/>
        <v>0</v>
      </c>
      <c r="BV894" s="24">
        <f t="shared" ca="1" si="723"/>
        <v>0</v>
      </c>
      <c r="BW894" s="24">
        <f t="shared" ca="1" si="719"/>
        <v>-93.690372138011043</v>
      </c>
      <c r="BX894" s="25">
        <f t="shared" ca="1" si="724"/>
        <v>-1124.2844656561326</v>
      </c>
      <c r="BY894" s="23">
        <f t="shared" ca="1" si="691"/>
        <v>320.77250763495186</v>
      </c>
      <c r="BZ894" s="24">
        <f t="shared" ca="1" si="692"/>
        <v>0</v>
      </c>
      <c r="CA894" s="24">
        <f t="shared" ca="1" si="725"/>
        <v>0</v>
      </c>
      <c r="CB894" s="24">
        <f t="shared" ca="1" si="693"/>
        <v>0</v>
      </c>
      <c r="CC894" s="24">
        <f t="shared" ca="1" si="726"/>
        <v>0</v>
      </c>
      <c r="CD894" s="24">
        <f t="shared" ca="1" si="694"/>
        <v>-5.176863878954606</v>
      </c>
      <c r="CE894" s="25">
        <f t="shared" ca="1" si="727"/>
        <v>-63.253211597379597</v>
      </c>
      <c r="CF894" s="23">
        <f t="shared" ca="1" si="728"/>
        <v>4778772.1819109907</v>
      </c>
      <c r="CG894" s="25">
        <f t="array" aca="1" ref="CG894" ca="1">SUM(BF883:BF894/(1+inflation/100)^(AP883:AP894/12))</f>
        <v>267980.53702225385</v>
      </c>
      <c r="CH894" s="32">
        <f ca="1">IFERROR(IF(MOD(AP894-ap_months_since_start,12)=0,ap_drawdown/100*(AQ894+AV894+BA894-BC894),CH893),0)</f>
        <v>987.40522003284298</v>
      </c>
    </row>
    <row r="895" spans="40:86" x14ac:dyDescent="0.25">
      <c r="AN895" s="32">
        <f t="shared" ca="1" si="689"/>
        <v>128.83333333333334</v>
      </c>
      <c r="AO895" s="53">
        <f t="shared" ca="1" si="720"/>
        <v>72625</v>
      </c>
      <c r="AP895" s="22">
        <v>888</v>
      </c>
      <c r="AQ895" s="32">
        <f t="shared" ca="1" si="721"/>
        <v>5824.3142926681312</v>
      </c>
      <c r="AR895" s="23">
        <f t="array" aca="1" ref="AR895" ca="1">SUM(IF(lsc_start_date=AO895,lsc_amount,0))</f>
        <v>0</v>
      </c>
      <c r="AS895" s="24">
        <f t="shared" ca="1" si="695"/>
        <v>0</v>
      </c>
      <c r="AT895" s="24">
        <f t="shared" ca="1" si="696"/>
        <v>0</v>
      </c>
      <c r="AU895" s="24">
        <f t="shared" ca="1" si="697"/>
        <v>0</v>
      </c>
      <c r="AV895" s="25">
        <f t="shared" ca="1" si="698"/>
        <v>0</v>
      </c>
      <c r="AW895" s="23">
        <f t="array" aca="1" ref="AW895" ca="1">SUM(IF(rcs_start_date&lt;=AO895,1,0)*IF(rcs_end_date&gt;=AO895,1,0)*rcs_amount*(1+rcs_escalation/100)^(INT((AP895-rcs_months_since_start)/12))*IF(MOD((AP895-rcs_months_since_start),rcs_frequency)=0,1,0)*IF(rcs_frequency=13,0,1))+SUM(IF(rcs_start_date=AO895,rcs_amount,0)*IF(rcs_frequency=13,1,0))</f>
        <v>0</v>
      </c>
      <c r="AX895" s="24">
        <f t="shared" ca="1" si="699"/>
        <v>0</v>
      </c>
      <c r="AY895" s="24">
        <f t="shared" ca="1" si="700"/>
        <v>0</v>
      </c>
      <c r="AZ895" s="24">
        <f t="shared" ca="1" si="701"/>
        <v>0</v>
      </c>
      <c r="BA895" s="25">
        <f t="shared" ca="1" si="702"/>
        <v>0</v>
      </c>
      <c r="BB895" s="23">
        <f t="array" aca="1" ref="BB895" ca="1">SUM(IF(w_start_date&lt;=AO895,1,0)*IF(w_end_date&gt;=AO895,1,0)*w_amount*(1+w_escalation/100)^(INT((AP895-w_months_since_start)/12))*IF(MOD(AP895-w_months_since_start,w_frequency)=0,1,0)*IF(w_frequency=13,0,1))+SUM(IF(w_start_date=AO895,w_amount,0)*IF(w_frequency=13,1,0))</f>
        <v>0</v>
      </c>
      <c r="BC895" s="25">
        <f t="shared" ca="1" si="703"/>
        <v>0</v>
      </c>
      <c r="BD895" s="24" t="b">
        <f t="shared" ca="1" si="704"/>
        <v>1</v>
      </c>
      <c r="BE895" s="24" t="b">
        <f t="shared" ca="1" si="705"/>
        <v>1</v>
      </c>
      <c r="BF895" s="23">
        <f t="array" aca="1" ref="BF895" ca="1">SUM(IF(BD895,1,0)*IF(ap_start_date&lt;=AO895,1,0)*IF(ap_end_date&gt;=AO895,1,0)*ap_amount*(1+ap_escalation/100)^(INT((AP895-ap_months_since_start)/12))*IF(MOD(AP895-ap_months_since_start,ap_frequency)=0,1,0))</f>
        <v>414160.25576561916</v>
      </c>
      <c r="BG895" s="24">
        <f t="shared" ca="1" si="706"/>
        <v>4969923.0691874297</v>
      </c>
      <c r="BH895" s="24">
        <f t="shared" ca="1" si="707"/>
        <v>145.60785731670327</v>
      </c>
      <c r="BI895">
        <f t="shared" ca="1" si="708"/>
        <v>0</v>
      </c>
      <c r="BJ895" s="24">
        <f t="shared" ca="1" si="709"/>
        <v>1019.2550012169229</v>
      </c>
      <c r="BK895">
        <f t="shared" ca="1" si="710"/>
        <v>1</v>
      </c>
      <c r="BL895" s="25">
        <f t="shared" ca="1" si="711"/>
        <v>84.937916768076917</v>
      </c>
      <c r="BM895" s="32">
        <f t="shared" ca="1" si="690"/>
        <v>5780.7419170741623</v>
      </c>
      <c r="BN895" s="23">
        <f t="shared" ca="1" si="712"/>
        <v>0</v>
      </c>
      <c r="BO895" s="24">
        <f t="shared" ca="1" si="713"/>
        <v>0</v>
      </c>
      <c r="BP895" s="25">
        <f t="shared" ca="1" si="714"/>
        <v>0</v>
      </c>
      <c r="BQ895" s="34">
        <f t="shared" ca="1" si="715"/>
        <v>72654</v>
      </c>
      <c r="BR895" s="23">
        <f t="shared" ca="1" si="716"/>
        <v>5780.7419170741623</v>
      </c>
      <c r="BS895" s="24">
        <f t="shared" ca="1" si="717"/>
        <v>0</v>
      </c>
      <c r="BT895" s="24">
        <f t="shared" ca="1" si="722"/>
        <v>0</v>
      </c>
      <c r="BU895" s="24">
        <f t="shared" ca="1" si="718"/>
        <v>0</v>
      </c>
      <c r="BV895" s="24">
        <f t="shared" ca="1" si="723"/>
        <v>0</v>
      </c>
      <c r="BW895" s="24">
        <f t="shared" ca="1" si="719"/>
        <v>-84.937916768076917</v>
      </c>
      <c r="BX895" s="25">
        <f t="shared" ca="1" si="724"/>
        <v>-1115.5320102861986</v>
      </c>
      <c r="BY895" s="23">
        <f t="shared" ca="1" si="691"/>
        <v>317.33390241354363</v>
      </c>
      <c r="BZ895" s="24">
        <f t="shared" ca="1" si="692"/>
        <v>0</v>
      </c>
      <c r="CA895" s="24">
        <f t="shared" ca="1" si="725"/>
        <v>0</v>
      </c>
      <c r="CB895" s="24">
        <f t="shared" ca="1" si="693"/>
        <v>0</v>
      </c>
      <c r="CC895" s="24">
        <f t="shared" ca="1" si="726"/>
        <v>0</v>
      </c>
      <c r="CD895" s="24">
        <f t="shared" ca="1" si="694"/>
        <v>-4.6779324030097147</v>
      </c>
      <c r="CE895" s="25">
        <f t="shared" ca="1" si="727"/>
        <v>-62.564773666325166</v>
      </c>
      <c r="CF895" s="23">
        <f t="shared" ca="1" si="728"/>
        <v>4794701.4225173602</v>
      </c>
      <c r="CG895" s="25">
        <f t="array" aca="1" ref="CG895" ca="1">SUM(BF884:BF895/(1+inflation/100)^(AP884:AP895/12))</f>
        <v>267980.53702225385</v>
      </c>
      <c r="CH895" s="32">
        <f ca="1">IFERROR(IF(MOD(AP895-ap_months_since_start,12)=0,ap_drawdown/100*(AQ895+AV895+BA895-BC895),CH894),0)</f>
        <v>895.16286979810377</v>
      </c>
    </row>
    <row r="896" spans="40:86" x14ac:dyDescent="0.25">
      <c r="AN896" s="32">
        <f t="shared" ca="1" si="689"/>
        <v>128.91666666666666</v>
      </c>
      <c r="AO896" s="53">
        <f t="shared" ca="1" si="720"/>
        <v>72655</v>
      </c>
      <c r="AP896" s="22">
        <v>889</v>
      </c>
      <c r="AQ896" s="32">
        <f t="shared" ca="1" si="721"/>
        <v>5780.7419170741623</v>
      </c>
      <c r="AR896" s="23">
        <f t="array" aca="1" ref="AR896" ca="1">SUM(IF(lsc_start_date=AO896,lsc_amount,0))</f>
        <v>0</v>
      </c>
      <c r="AS896" s="24">
        <f t="shared" ca="1" si="695"/>
        <v>0</v>
      </c>
      <c r="AT896" s="24">
        <f t="shared" ca="1" si="696"/>
        <v>0</v>
      </c>
      <c r="AU896" s="24">
        <f t="shared" ca="1" si="697"/>
        <v>0</v>
      </c>
      <c r="AV896" s="25">
        <f t="shared" ca="1" si="698"/>
        <v>0</v>
      </c>
      <c r="AW896" s="23">
        <f t="array" aca="1" ref="AW896" ca="1">SUM(IF(rcs_start_date&lt;=AO896,1,0)*IF(rcs_end_date&gt;=AO896,1,0)*rcs_amount*(1+rcs_escalation/100)^(INT((AP896-rcs_months_since_start)/12))*IF(MOD((AP896-rcs_months_since_start),rcs_frequency)=0,1,0)*IF(rcs_frequency=13,0,1))+SUM(IF(rcs_start_date=AO896,rcs_amount,0)*IF(rcs_frequency=13,1,0))</f>
        <v>0</v>
      </c>
      <c r="AX896" s="24">
        <f t="shared" ca="1" si="699"/>
        <v>0</v>
      </c>
      <c r="AY896" s="24">
        <f t="shared" ca="1" si="700"/>
        <v>0</v>
      </c>
      <c r="AZ896" s="24">
        <f t="shared" ca="1" si="701"/>
        <v>0</v>
      </c>
      <c r="BA896" s="25">
        <f t="shared" ca="1" si="702"/>
        <v>0</v>
      </c>
      <c r="BB896" s="23">
        <f t="array" aca="1" ref="BB896" ca="1">SUM(IF(w_start_date&lt;=AO896,1,0)*IF(w_end_date&gt;=AO896,1,0)*w_amount*(1+w_escalation/100)^(INT((AP896-w_months_since_start)/12))*IF(MOD(AP896-w_months_since_start,w_frequency)=0,1,0)*IF(w_frequency=13,0,1))+SUM(IF(w_start_date=AO896,w_amount,0)*IF(w_frequency=13,1,0))</f>
        <v>0</v>
      </c>
      <c r="BC896" s="25">
        <f t="shared" ca="1" si="703"/>
        <v>0</v>
      </c>
      <c r="BD896" s="24" t="b">
        <f t="shared" ca="1" si="704"/>
        <v>1</v>
      </c>
      <c r="BE896" s="24" t="b">
        <f t="shared" ca="1" si="705"/>
        <v>1</v>
      </c>
      <c r="BF896" s="23">
        <f t="array" aca="1" ref="BF896" ca="1">SUM(IF(BD896,1,0)*IF(ap_start_date&lt;=AO896,1,0)*IF(ap_end_date&gt;=AO896,1,0)*ap_amount*(1+ap_escalation/100)^(INT((AP896-ap_months_since_start)/12))*IF(MOD(AP896-ap_months_since_start,ap_frequency)=0,1,0))</f>
        <v>414160.25576561916</v>
      </c>
      <c r="BG896" s="24">
        <f t="shared" ca="1" si="706"/>
        <v>4969923.0691874297</v>
      </c>
      <c r="BH896" s="24">
        <f t="shared" ca="1" si="707"/>
        <v>145.60785731670327</v>
      </c>
      <c r="BI896">
        <f t="shared" ca="1" si="708"/>
        <v>0</v>
      </c>
      <c r="BJ896" s="24">
        <f t="shared" ca="1" si="709"/>
        <v>1019.2550012169229</v>
      </c>
      <c r="BK896">
        <f t="shared" ca="1" si="710"/>
        <v>1</v>
      </c>
      <c r="BL896" s="25">
        <f t="shared" ca="1" si="711"/>
        <v>84.937916768076917</v>
      </c>
      <c r="BM896" s="32">
        <f t="shared" ca="1" si="690"/>
        <v>5736.855501281636</v>
      </c>
      <c r="BN896" s="23">
        <f t="shared" ca="1" si="712"/>
        <v>0</v>
      </c>
      <c r="BO896" s="24">
        <f t="shared" ca="1" si="713"/>
        <v>0</v>
      </c>
      <c r="BP896" s="25">
        <f t="shared" ca="1" si="714"/>
        <v>0</v>
      </c>
      <c r="BQ896" s="34">
        <f t="shared" ca="1" si="715"/>
        <v>72685</v>
      </c>
      <c r="BR896" s="23">
        <f t="shared" ca="1" si="716"/>
        <v>5736.855501281636</v>
      </c>
      <c r="BS896" s="24">
        <f t="shared" ca="1" si="717"/>
        <v>0</v>
      </c>
      <c r="BT896" s="24">
        <f t="shared" ca="1" si="722"/>
        <v>0</v>
      </c>
      <c r="BU896" s="24">
        <f t="shared" ca="1" si="718"/>
        <v>0</v>
      </c>
      <c r="BV896" s="24">
        <f t="shared" ca="1" si="723"/>
        <v>0</v>
      </c>
      <c r="BW896" s="24">
        <f t="shared" ca="1" si="719"/>
        <v>-84.937916768076917</v>
      </c>
      <c r="BX896" s="25">
        <f t="shared" ca="1" si="724"/>
        <v>-1106.7795549162645</v>
      </c>
      <c r="BY896" s="23">
        <f t="shared" ca="1" si="691"/>
        <v>313.89713949707908</v>
      </c>
      <c r="BZ896" s="24">
        <f t="shared" ca="1" si="692"/>
        <v>0</v>
      </c>
      <c r="CA896" s="24">
        <f t="shared" ca="1" si="725"/>
        <v>0</v>
      </c>
      <c r="CB896" s="24">
        <f t="shared" ca="1" si="693"/>
        <v>0</v>
      </c>
      <c r="CC896" s="24">
        <f t="shared" ca="1" si="726"/>
        <v>0</v>
      </c>
      <c r="CD896" s="24">
        <f t="shared" ca="1" si="694"/>
        <v>-4.6626680411522026</v>
      </c>
      <c r="CE896" s="25">
        <f t="shared" ca="1" si="727"/>
        <v>-61.87858214774333</v>
      </c>
      <c r="CF896" s="23">
        <f t="shared" ca="1" si="728"/>
        <v>4810630.6631237306</v>
      </c>
      <c r="CG896" s="25">
        <f t="array" aca="1" ref="CG896" ca="1">SUM(BF885:BF896/(1+inflation/100)^(AP885:AP896/12))</f>
        <v>267980.53702225391</v>
      </c>
      <c r="CH896" s="32">
        <f ca="1">IFERROR(IF(MOD(AP896-ap_months_since_start,12)=0,ap_drawdown/100*(AQ896+AV896+BA896-BC896),CH895),0)</f>
        <v>895.16286979810377</v>
      </c>
    </row>
    <row r="897" spans="40:86" x14ac:dyDescent="0.25">
      <c r="AN897" s="32">
        <f t="shared" ca="1" si="689"/>
        <v>129</v>
      </c>
      <c r="AO897" s="53">
        <f t="shared" ca="1" si="720"/>
        <v>72686</v>
      </c>
      <c r="AP897" s="22">
        <v>890</v>
      </c>
      <c r="AQ897" s="32">
        <f t="shared" ca="1" si="721"/>
        <v>5736.855501281636</v>
      </c>
      <c r="AR897" s="23">
        <f t="array" aca="1" ref="AR897" ca="1">SUM(IF(lsc_start_date=AO897,lsc_amount,0))</f>
        <v>0</v>
      </c>
      <c r="AS897" s="24">
        <f t="shared" ca="1" si="695"/>
        <v>0</v>
      </c>
      <c r="AT897" s="24">
        <f t="shared" ca="1" si="696"/>
        <v>0</v>
      </c>
      <c r="AU897" s="24">
        <f t="shared" ca="1" si="697"/>
        <v>0</v>
      </c>
      <c r="AV897" s="25">
        <f t="shared" ca="1" si="698"/>
        <v>0</v>
      </c>
      <c r="AW897" s="23">
        <f t="array" aca="1" ref="AW897" ca="1">SUM(IF(rcs_start_date&lt;=AO897,1,0)*IF(rcs_end_date&gt;=AO897,1,0)*rcs_amount*(1+rcs_escalation/100)^(INT((AP897-rcs_months_since_start)/12))*IF(MOD((AP897-rcs_months_since_start),rcs_frequency)=0,1,0)*IF(rcs_frequency=13,0,1))+SUM(IF(rcs_start_date=AO897,rcs_amount,0)*IF(rcs_frequency=13,1,0))</f>
        <v>0</v>
      </c>
      <c r="AX897" s="24">
        <f t="shared" ca="1" si="699"/>
        <v>0</v>
      </c>
      <c r="AY897" s="24">
        <f t="shared" ca="1" si="700"/>
        <v>0</v>
      </c>
      <c r="AZ897" s="24">
        <f t="shared" ca="1" si="701"/>
        <v>0</v>
      </c>
      <c r="BA897" s="25">
        <f t="shared" ca="1" si="702"/>
        <v>0</v>
      </c>
      <c r="BB897" s="23">
        <f t="array" aca="1" ref="BB897" ca="1">SUM(IF(w_start_date&lt;=AO897,1,0)*IF(w_end_date&gt;=AO897,1,0)*w_amount*(1+w_escalation/100)^(INT((AP897-w_months_since_start)/12))*IF(MOD(AP897-w_months_since_start,w_frequency)=0,1,0)*IF(w_frequency=13,0,1))+SUM(IF(w_start_date=AO897,w_amount,0)*IF(w_frequency=13,1,0))</f>
        <v>0</v>
      </c>
      <c r="BC897" s="25">
        <f t="shared" ca="1" si="703"/>
        <v>0</v>
      </c>
      <c r="BD897" s="24" t="b">
        <f t="shared" ca="1" si="704"/>
        <v>1</v>
      </c>
      <c r="BE897" s="24" t="b">
        <f t="shared" ca="1" si="705"/>
        <v>1</v>
      </c>
      <c r="BF897" s="23">
        <f t="array" aca="1" ref="BF897" ca="1">SUM(IF(BD897,1,0)*IF(ap_start_date&lt;=AO897,1,0)*IF(ap_end_date&gt;=AO897,1,0)*ap_amount*(1+ap_escalation/100)^(INT((AP897-ap_months_since_start)/12))*IF(MOD(AP897-ap_months_since_start,ap_frequency)=0,1,0))</f>
        <v>414160.25576561916</v>
      </c>
      <c r="BG897" s="24">
        <f t="shared" ca="1" si="706"/>
        <v>4969923.0691874297</v>
      </c>
      <c r="BH897" s="24">
        <f t="shared" ca="1" si="707"/>
        <v>145.60785731670327</v>
      </c>
      <c r="BI897">
        <f t="shared" ca="1" si="708"/>
        <v>0</v>
      </c>
      <c r="BJ897" s="24">
        <f t="shared" ca="1" si="709"/>
        <v>1019.2550012169229</v>
      </c>
      <c r="BK897">
        <f t="shared" ca="1" si="710"/>
        <v>1</v>
      </c>
      <c r="BL897" s="25">
        <f t="shared" ca="1" si="711"/>
        <v>84.937916768076917</v>
      </c>
      <c r="BM897" s="32">
        <f t="shared" ca="1" si="690"/>
        <v>5692.6527819013063</v>
      </c>
      <c r="BN897" s="23">
        <f t="shared" ca="1" si="712"/>
        <v>0</v>
      </c>
      <c r="BO897" s="24">
        <f t="shared" ca="1" si="713"/>
        <v>0</v>
      </c>
      <c r="BP897" s="25">
        <f t="shared" ca="1" si="714"/>
        <v>0</v>
      </c>
      <c r="BQ897" s="34">
        <f t="shared" ca="1" si="715"/>
        <v>72716</v>
      </c>
      <c r="BR897" s="23">
        <f t="shared" ca="1" si="716"/>
        <v>5692.6527819013063</v>
      </c>
      <c r="BS897" s="24">
        <f t="shared" ca="1" si="717"/>
        <v>0</v>
      </c>
      <c r="BT897" s="24">
        <f t="shared" ca="1" si="722"/>
        <v>0</v>
      </c>
      <c r="BU897" s="24">
        <f t="shared" ca="1" si="718"/>
        <v>0</v>
      </c>
      <c r="BV897" s="24">
        <f t="shared" ca="1" si="723"/>
        <v>0</v>
      </c>
      <c r="BW897" s="24">
        <f t="shared" ca="1" si="719"/>
        <v>-84.937916768076917</v>
      </c>
      <c r="BX897" s="25">
        <f t="shared" ca="1" si="724"/>
        <v>-1098.0270995463302</v>
      </c>
      <c r="BY897" s="23">
        <f t="shared" ca="1" si="691"/>
        <v>310.46217610499542</v>
      </c>
      <c r="BZ897" s="24">
        <f t="shared" ca="1" si="692"/>
        <v>0</v>
      </c>
      <c r="CA897" s="24">
        <f t="shared" ca="1" si="725"/>
        <v>0</v>
      </c>
      <c r="CB897" s="24">
        <f t="shared" ca="1" si="693"/>
        <v>0</v>
      </c>
      <c r="CC897" s="24">
        <f t="shared" ca="1" si="726"/>
        <v>0</v>
      </c>
      <c r="CD897" s="24">
        <f t="shared" ca="1" si="694"/>
        <v>-4.6474534877833316</v>
      </c>
      <c r="CE897" s="25">
        <f t="shared" ca="1" si="727"/>
        <v>-61.194629711461268</v>
      </c>
      <c r="CF897" s="23">
        <f t="shared" ca="1" si="728"/>
        <v>4826559.9037301</v>
      </c>
      <c r="CG897" s="25">
        <f t="array" aca="1" ref="CG897" ca="1">SUM(BF886:BF897/(1+inflation/100)^(AP886:AP897/12))</f>
        <v>267980.53702225385</v>
      </c>
      <c r="CH897" s="32">
        <f ca="1">IFERROR(IF(MOD(AP897-ap_months_since_start,12)=0,ap_drawdown/100*(AQ897+AV897+BA897-BC897),CH896),0)</f>
        <v>895.16286979810377</v>
      </c>
    </row>
    <row r="898" spans="40:86" x14ac:dyDescent="0.25">
      <c r="AN898" s="32">
        <f t="shared" ca="1" si="689"/>
        <v>129.08333333333334</v>
      </c>
      <c r="AO898" s="53">
        <f t="shared" ca="1" si="720"/>
        <v>72717</v>
      </c>
      <c r="AP898" s="22">
        <v>891</v>
      </c>
      <c r="AQ898" s="32">
        <f t="shared" ca="1" si="721"/>
        <v>5692.6527819013063</v>
      </c>
      <c r="AR898" s="23">
        <f t="array" aca="1" ref="AR898" ca="1">SUM(IF(lsc_start_date=AO898,lsc_amount,0))</f>
        <v>0</v>
      </c>
      <c r="AS898" s="24">
        <f t="shared" ca="1" si="695"/>
        <v>0</v>
      </c>
      <c r="AT898" s="24">
        <f t="shared" ca="1" si="696"/>
        <v>0</v>
      </c>
      <c r="AU898" s="24">
        <f t="shared" ca="1" si="697"/>
        <v>0</v>
      </c>
      <c r="AV898" s="25">
        <f t="shared" ca="1" si="698"/>
        <v>0</v>
      </c>
      <c r="AW898" s="23">
        <f t="array" aca="1" ref="AW898" ca="1">SUM(IF(rcs_start_date&lt;=AO898,1,0)*IF(rcs_end_date&gt;=AO898,1,0)*rcs_amount*(1+rcs_escalation/100)^(INT((AP898-rcs_months_since_start)/12))*IF(MOD((AP898-rcs_months_since_start),rcs_frequency)=0,1,0)*IF(rcs_frequency=13,0,1))+SUM(IF(rcs_start_date=AO898,rcs_amount,0)*IF(rcs_frequency=13,1,0))</f>
        <v>0</v>
      </c>
      <c r="AX898" s="24">
        <f t="shared" ca="1" si="699"/>
        <v>0</v>
      </c>
      <c r="AY898" s="24">
        <f t="shared" ca="1" si="700"/>
        <v>0</v>
      </c>
      <c r="AZ898" s="24">
        <f t="shared" ca="1" si="701"/>
        <v>0</v>
      </c>
      <c r="BA898" s="25">
        <f t="shared" ca="1" si="702"/>
        <v>0</v>
      </c>
      <c r="BB898" s="23">
        <f t="array" aca="1" ref="BB898" ca="1">SUM(IF(w_start_date&lt;=AO898,1,0)*IF(w_end_date&gt;=AO898,1,0)*w_amount*(1+w_escalation/100)^(INT((AP898-w_months_since_start)/12))*IF(MOD(AP898-w_months_since_start,w_frequency)=0,1,0)*IF(w_frequency=13,0,1))+SUM(IF(w_start_date=AO898,w_amount,0)*IF(w_frequency=13,1,0))</f>
        <v>0</v>
      </c>
      <c r="BC898" s="25">
        <f t="shared" ca="1" si="703"/>
        <v>0</v>
      </c>
      <c r="BD898" s="24" t="b">
        <f t="shared" ca="1" si="704"/>
        <v>1</v>
      </c>
      <c r="BE898" s="24" t="b">
        <f t="shared" ca="1" si="705"/>
        <v>1</v>
      </c>
      <c r="BF898" s="23">
        <f t="array" aca="1" ref="BF898" ca="1">SUM(IF(BD898,1,0)*IF(ap_start_date&lt;=AO898,1,0)*IF(ap_end_date&gt;=AO898,1,0)*ap_amount*(1+ap_escalation/100)^(INT((AP898-ap_months_since_start)/12))*IF(MOD(AP898-ap_months_since_start,ap_frequency)=0,1,0))</f>
        <v>414160.25576561916</v>
      </c>
      <c r="BG898" s="24">
        <f t="shared" ca="1" si="706"/>
        <v>4969923.0691874297</v>
      </c>
      <c r="BH898" s="24">
        <f t="shared" ca="1" si="707"/>
        <v>145.60785731670327</v>
      </c>
      <c r="BI898">
        <f t="shared" ca="1" si="708"/>
        <v>0</v>
      </c>
      <c r="BJ898" s="24">
        <f t="shared" ca="1" si="709"/>
        <v>1019.2550012169229</v>
      </c>
      <c r="BK898">
        <f t="shared" ca="1" si="710"/>
        <v>1</v>
      </c>
      <c r="BL898" s="25">
        <f t="shared" ca="1" si="711"/>
        <v>84.937916768076917</v>
      </c>
      <c r="BM898" s="32">
        <f t="shared" ca="1" si="690"/>
        <v>5648.1314792309504</v>
      </c>
      <c r="BN898" s="23">
        <f t="shared" ca="1" si="712"/>
        <v>0</v>
      </c>
      <c r="BO898" s="24">
        <f t="shared" ca="1" si="713"/>
        <v>0</v>
      </c>
      <c r="BP898" s="25">
        <f t="shared" ca="1" si="714"/>
        <v>0</v>
      </c>
      <c r="BQ898" s="34">
        <f t="shared" ca="1" si="715"/>
        <v>72744</v>
      </c>
      <c r="BR898" s="23">
        <f t="shared" ca="1" si="716"/>
        <v>5648.1314792309504</v>
      </c>
      <c r="BS898" s="24">
        <f t="shared" ca="1" si="717"/>
        <v>0</v>
      </c>
      <c r="BT898" s="24">
        <f t="shared" ca="1" si="722"/>
        <v>0</v>
      </c>
      <c r="BU898" s="24">
        <f t="shared" ca="1" si="718"/>
        <v>0</v>
      </c>
      <c r="BV898" s="24">
        <f t="shared" ca="1" si="723"/>
        <v>0</v>
      </c>
      <c r="BW898" s="24">
        <f t="shared" ca="1" si="719"/>
        <v>-84.937916768076917</v>
      </c>
      <c r="BX898" s="25">
        <f t="shared" ca="1" si="724"/>
        <v>-1089.2746441763961</v>
      </c>
      <c r="BY898" s="23">
        <f t="shared" ca="1" si="691"/>
        <v>307.02896945216497</v>
      </c>
      <c r="BZ898" s="24">
        <f t="shared" ca="1" si="692"/>
        <v>0</v>
      </c>
      <c r="CA898" s="24">
        <f t="shared" ca="1" si="725"/>
        <v>0</v>
      </c>
      <c r="CB898" s="24">
        <f t="shared" ca="1" si="693"/>
        <v>0</v>
      </c>
      <c r="CC898" s="24">
        <f t="shared" ca="1" si="726"/>
        <v>0</v>
      </c>
      <c r="CD898" s="24">
        <f t="shared" ca="1" si="694"/>
        <v>-4.632288580375131</v>
      </c>
      <c r="CE898" s="25">
        <f t="shared" ca="1" si="727"/>
        <v>-60.512909051224966</v>
      </c>
      <c r="CF898" s="23">
        <f t="shared" ca="1" si="728"/>
        <v>4842489.1443364704</v>
      </c>
      <c r="CG898" s="25">
        <f t="array" aca="1" ref="CG898" ca="1">SUM(BF887:BF898/(1+inflation/100)^(AP887:AP898/12))</f>
        <v>267980.53702225385</v>
      </c>
      <c r="CH898" s="32">
        <f ca="1">IFERROR(IF(MOD(AP898-ap_months_since_start,12)=0,ap_drawdown/100*(AQ898+AV898+BA898-BC898),CH897),0)</f>
        <v>895.16286979810377</v>
      </c>
    </row>
    <row r="899" spans="40:86" x14ac:dyDescent="0.25">
      <c r="AN899" s="32">
        <f t="shared" ca="1" si="689"/>
        <v>129.16666666666666</v>
      </c>
      <c r="AO899" s="53">
        <f t="shared" ca="1" si="720"/>
        <v>72745</v>
      </c>
      <c r="AP899" s="22">
        <v>892</v>
      </c>
      <c r="AQ899" s="32">
        <f t="shared" ca="1" si="721"/>
        <v>5648.1314792309504</v>
      </c>
      <c r="AR899" s="23">
        <f t="array" aca="1" ref="AR899" ca="1">SUM(IF(lsc_start_date=AO899,lsc_amount,0))</f>
        <v>0</v>
      </c>
      <c r="AS899" s="24">
        <f t="shared" ca="1" si="695"/>
        <v>0</v>
      </c>
      <c r="AT899" s="24">
        <f t="shared" ca="1" si="696"/>
        <v>0</v>
      </c>
      <c r="AU899" s="24">
        <f t="shared" ca="1" si="697"/>
        <v>0</v>
      </c>
      <c r="AV899" s="25">
        <f t="shared" ca="1" si="698"/>
        <v>0</v>
      </c>
      <c r="AW899" s="23">
        <f t="array" aca="1" ref="AW899" ca="1">SUM(IF(rcs_start_date&lt;=AO899,1,0)*IF(rcs_end_date&gt;=AO899,1,0)*rcs_amount*(1+rcs_escalation/100)^(INT((AP899-rcs_months_since_start)/12))*IF(MOD((AP899-rcs_months_since_start),rcs_frequency)=0,1,0)*IF(rcs_frequency=13,0,1))+SUM(IF(rcs_start_date=AO899,rcs_amount,0)*IF(rcs_frequency=13,1,0))</f>
        <v>0</v>
      </c>
      <c r="AX899" s="24">
        <f t="shared" ca="1" si="699"/>
        <v>0</v>
      </c>
      <c r="AY899" s="24">
        <f t="shared" ca="1" si="700"/>
        <v>0</v>
      </c>
      <c r="AZ899" s="24">
        <f t="shared" ca="1" si="701"/>
        <v>0</v>
      </c>
      <c r="BA899" s="25">
        <f t="shared" ca="1" si="702"/>
        <v>0</v>
      </c>
      <c r="BB899" s="23">
        <f t="array" aca="1" ref="BB899" ca="1">SUM(IF(w_start_date&lt;=AO899,1,0)*IF(w_end_date&gt;=AO899,1,0)*w_amount*(1+w_escalation/100)^(INT((AP899-w_months_since_start)/12))*IF(MOD(AP899-w_months_since_start,w_frequency)=0,1,0)*IF(w_frequency=13,0,1))+SUM(IF(w_start_date=AO899,w_amount,0)*IF(w_frequency=13,1,0))</f>
        <v>0</v>
      </c>
      <c r="BC899" s="25">
        <f t="shared" ca="1" si="703"/>
        <v>0</v>
      </c>
      <c r="BD899" s="24" t="b">
        <f t="shared" ca="1" si="704"/>
        <v>1</v>
      </c>
      <c r="BE899" s="24" t="b">
        <f t="shared" ca="1" si="705"/>
        <v>1</v>
      </c>
      <c r="BF899" s="23">
        <f t="array" aca="1" ref="BF899" ca="1">SUM(IF(BD899,1,0)*IF(ap_start_date&lt;=AO899,1,0)*IF(ap_end_date&gt;=AO899,1,0)*ap_amount*(1+ap_escalation/100)^(INT((AP899-ap_months_since_start)/12))*IF(MOD(AP899-ap_months_since_start,ap_frequency)=0,1,0))</f>
        <v>414160.25576561916</v>
      </c>
      <c r="BG899" s="24">
        <f t="shared" ca="1" si="706"/>
        <v>4969923.0691874297</v>
      </c>
      <c r="BH899" s="24">
        <f t="shared" ca="1" si="707"/>
        <v>145.60785731670327</v>
      </c>
      <c r="BI899">
        <f t="shared" ca="1" si="708"/>
        <v>0</v>
      </c>
      <c r="BJ899" s="24">
        <f t="shared" ca="1" si="709"/>
        <v>1019.2550012169229</v>
      </c>
      <c r="BK899">
        <f t="shared" ca="1" si="710"/>
        <v>1</v>
      </c>
      <c r="BL899" s="25">
        <f t="shared" ca="1" si="711"/>
        <v>84.937916768076917</v>
      </c>
      <c r="BM899" s="32">
        <f t="shared" ca="1" si="690"/>
        <v>5603.2892971377933</v>
      </c>
      <c r="BN899" s="23">
        <f t="shared" ca="1" si="712"/>
        <v>0</v>
      </c>
      <c r="BO899" s="24">
        <f t="shared" ca="1" si="713"/>
        <v>0</v>
      </c>
      <c r="BP899" s="25">
        <f t="shared" ca="1" si="714"/>
        <v>0</v>
      </c>
      <c r="BQ899" s="34">
        <f t="shared" ca="1" si="715"/>
        <v>72775</v>
      </c>
      <c r="BR899" s="23">
        <f t="shared" ca="1" si="716"/>
        <v>5603.2892971377933</v>
      </c>
      <c r="BS899" s="24">
        <f t="shared" ca="1" si="717"/>
        <v>0</v>
      </c>
      <c r="BT899" s="24">
        <f t="shared" ca="1" si="722"/>
        <v>0</v>
      </c>
      <c r="BU899" s="24">
        <f t="shared" ca="1" si="718"/>
        <v>0</v>
      </c>
      <c r="BV899" s="24">
        <f t="shared" ca="1" si="723"/>
        <v>0</v>
      </c>
      <c r="BW899" s="24">
        <f t="shared" ca="1" si="719"/>
        <v>-84.937916768076917</v>
      </c>
      <c r="BX899" s="25">
        <f t="shared" ca="1" si="724"/>
        <v>-1080.5221888064618</v>
      </c>
      <c r="BY899" s="23">
        <f t="shared" ca="1" si="691"/>
        <v>303.59747674834222</v>
      </c>
      <c r="BZ899" s="24">
        <f t="shared" ca="1" si="692"/>
        <v>0</v>
      </c>
      <c r="CA899" s="24">
        <f t="shared" ca="1" si="725"/>
        <v>0</v>
      </c>
      <c r="CB899" s="24">
        <f t="shared" ca="1" si="693"/>
        <v>0</v>
      </c>
      <c r="CC899" s="24">
        <f t="shared" ca="1" si="726"/>
        <v>0</v>
      </c>
      <c r="CD899" s="24">
        <f t="shared" ca="1" si="694"/>
        <v>-4.6171731569299892</v>
      </c>
      <c r="CE899" s="25">
        <f t="shared" ca="1" si="727"/>
        <v>-59.833412884621126</v>
      </c>
      <c r="CF899" s="23">
        <f t="shared" ca="1" si="728"/>
        <v>4858418.3849428399</v>
      </c>
      <c r="CG899" s="25">
        <f t="array" aca="1" ref="CG899" ca="1">SUM(BF888:BF899/(1+inflation/100)^(AP888:AP899/12))</f>
        <v>267980.53702225385</v>
      </c>
      <c r="CH899" s="32">
        <f ca="1">IFERROR(IF(MOD(AP899-ap_months_since_start,12)=0,ap_drawdown/100*(AQ899+AV899+BA899-BC899),CH898),0)</f>
        <v>895.16286979810377</v>
      </c>
    </row>
    <row r="900" spans="40:86" x14ac:dyDescent="0.25">
      <c r="AN900" s="32">
        <f t="shared" ca="1" si="689"/>
        <v>129.25</v>
      </c>
      <c r="AO900" s="53">
        <f t="shared" ca="1" si="720"/>
        <v>72776</v>
      </c>
      <c r="AP900" s="22">
        <v>893</v>
      </c>
      <c r="AQ900" s="32">
        <f t="shared" ca="1" si="721"/>
        <v>5603.2892971377933</v>
      </c>
      <c r="AR900" s="23">
        <f t="array" aca="1" ref="AR900" ca="1">SUM(IF(lsc_start_date=AO900,lsc_amount,0))</f>
        <v>0</v>
      </c>
      <c r="AS900" s="24">
        <f t="shared" ca="1" si="695"/>
        <v>0</v>
      </c>
      <c r="AT900" s="24">
        <f t="shared" ca="1" si="696"/>
        <v>0</v>
      </c>
      <c r="AU900" s="24">
        <f t="shared" ca="1" si="697"/>
        <v>0</v>
      </c>
      <c r="AV900" s="25">
        <f t="shared" ca="1" si="698"/>
        <v>0</v>
      </c>
      <c r="AW900" s="23">
        <f t="array" aca="1" ref="AW900" ca="1">SUM(IF(rcs_start_date&lt;=AO900,1,0)*IF(rcs_end_date&gt;=AO900,1,0)*rcs_amount*(1+rcs_escalation/100)^(INT((AP900-rcs_months_since_start)/12))*IF(MOD((AP900-rcs_months_since_start),rcs_frequency)=0,1,0)*IF(rcs_frequency=13,0,1))+SUM(IF(rcs_start_date=AO900,rcs_amount,0)*IF(rcs_frequency=13,1,0))</f>
        <v>0</v>
      </c>
      <c r="AX900" s="24">
        <f t="shared" ca="1" si="699"/>
        <v>0</v>
      </c>
      <c r="AY900" s="24">
        <f t="shared" ca="1" si="700"/>
        <v>0</v>
      </c>
      <c r="AZ900" s="24">
        <f t="shared" ca="1" si="701"/>
        <v>0</v>
      </c>
      <c r="BA900" s="25">
        <f t="shared" ca="1" si="702"/>
        <v>0</v>
      </c>
      <c r="BB900" s="23">
        <f t="array" aca="1" ref="BB900" ca="1">SUM(IF(w_start_date&lt;=AO900,1,0)*IF(w_end_date&gt;=AO900,1,0)*w_amount*(1+w_escalation/100)^(INT((AP900-w_months_since_start)/12))*IF(MOD(AP900-w_months_since_start,w_frequency)=0,1,0)*IF(w_frequency=13,0,1))+SUM(IF(w_start_date=AO900,w_amount,0)*IF(w_frequency=13,1,0))</f>
        <v>0</v>
      </c>
      <c r="BC900" s="25">
        <f t="shared" ca="1" si="703"/>
        <v>0</v>
      </c>
      <c r="BD900" s="24" t="b">
        <f t="shared" ca="1" si="704"/>
        <v>1</v>
      </c>
      <c r="BE900" s="24" t="b">
        <f t="shared" ca="1" si="705"/>
        <v>1</v>
      </c>
      <c r="BF900" s="23">
        <f t="array" aca="1" ref="BF900" ca="1">SUM(IF(BD900,1,0)*IF(ap_start_date&lt;=AO900,1,0)*IF(ap_end_date&gt;=AO900,1,0)*ap_amount*(1+ap_escalation/100)^(INT((AP900-ap_months_since_start)/12))*IF(MOD(AP900-ap_months_since_start,ap_frequency)=0,1,0))</f>
        <v>414160.25576561916</v>
      </c>
      <c r="BG900" s="24">
        <f t="shared" ca="1" si="706"/>
        <v>4969923.0691874297</v>
      </c>
      <c r="BH900" s="24">
        <f t="shared" ca="1" si="707"/>
        <v>145.60785731670327</v>
      </c>
      <c r="BI900">
        <f t="shared" ca="1" si="708"/>
        <v>0</v>
      </c>
      <c r="BJ900" s="24">
        <f t="shared" ca="1" si="709"/>
        <v>1019.2550012169229</v>
      </c>
      <c r="BK900">
        <f t="shared" ca="1" si="710"/>
        <v>1</v>
      </c>
      <c r="BL900" s="25">
        <f t="shared" ca="1" si="711"/>
        <v>84.937916768076917</v>
      </c>
      <c r="BM900" s="32">
        <f t="shared" ca="1" si="690"/>
        <v>5558.1239229400899</v>
      </c>
      <c r="BN900" s="23">
        <f t="shared" ca="1" si="712"/>
        <v>0</v>
      </c>
      <c r="BO900" s="24">
        <f t="shared" ca="1" si="713"/>
        <v>0</v>
      </c>
      <c r="BP900" s="25">
        <f t="shared" ca="1" si="714"/>
        <v>0</v>
      </c>
      <c r="BQ900" s="34">
        <f t="shared" ca="1" si="715"/>
        <v>72805</v>
      </c>
      <c r="BR900" s="23">
        <f t="shared" ca="1" si="716"/>
        <v>5558.1239229400899</v>
      </c>
      <c r="BS900" s="24">
        <f t="shared" ca="1" si="717"/>
        <v>0</v>
      </c>
      <c r="BT900" s="24">
        <f t="shared" ca="1" si="722"/>
        <v>0</v>
      </c>
      <c r="BU900" s="24">
        <f t="shared" ca="1" si="718"/>
        <v>0</v>
      </c>
      <c r="BV900" s="24">
        <f t="shared" ca="1" si="723"/>
        <v>0</v>
      </c>
      <c r="BW900" s="24">
        <f t="shared" ca="1" si="719"/>
        <v>-84.937916768076917</v>
      </c>
      <c r="BX900" s="25">
        <f t="shared" ca="1" si="724"/>
        <v>-1071.7697334365278</v>
      </c>
      <c r="BY900" s="23">
        <f t="shared" ca="1" si="691"/>
        <v>300.16765519761412</v>
      </c>
      <c r="BZ900" s="24">
        <f t="shared" ca="1" si="692"/>
        <v>0</v>
      </c>
      <c r="CA900" s="24">
        <f t="shared" ca="1" si="725"/>
        <v>0</v>
      </c>
      <c r="CB900" s="24">
        <f t="shared" ca="1" si="693"/>
        <v>0</v>
      </c>
      <c r="CC900" s="24">
        <f t="shared" ca="1" si="726"/>
        <v>0</v>
      </c>
      <c r="CD900" s="24">
        <f t="shared" ca="1" si="694"/>
        <v>-4.6021070559788946</v>
      </c>
      <c r="CE900" s="25">
        <f t="shared" ca="1" si="727"/>
        <v>-59.156133952999397</v>
      </c>
      <c r="CF900" s="23">
        <f t="shared" ca="1" si="728"/>
        <v>4874347.6255492102</v>
      </c>
      <c r="CG900" s="25">
        <f t="array" aca="1" ref="CG900" ca="1">SUM(BF889:BF900/(1+inflation/100)^(AP889:AP900/12))</f>
        <v>267980.53702225391</v>
      </c>
      <c r="CH900" s="32">
        <f ca="1">IFERROR(IF(MOD(AP900-ap_months_since_start,12)=0,ap_drawdown/100*(AQ900+AV900+BA900-BC900),CH899),0)</f>
        <v>895.16286979810377</v>
      </c>
    </row>
    <row r="901" spans="40:86" x14ac:dyDescent="0.25">
      <c r="AN901" s="32">
        <f t="shared" ca="1" si="689"/>
        <v>129.33333333333334</v>
      </c>
      <c r="AO901" s="53">
        <f t="shared" ca="1" si="720"/>
        <v>72806</v>
      </c>
      <c r="AP901" s="22">
        <v>894</v>
      </c>
      <c r="AQ901" s="32">
        <f t="shared" ca="1" si="721"/>
        <v>5558.1239229400899</v>
      </c>
      <c r="AR901" s="23">
        <f t="array" aca="1" ref="AR901" ca="1">SUM(IF(lsc_start_date=AO901,lsc_amount,0))</f>
        <v>0</v>
      </c>
      <c r="AS901" s="24">
        <f t="shared" ca="1" si="695"/>
        <v>0</v>
      </c>
      <c r="AT901" s="24">
        <f t="shared" ca="1" si="696"/>
        <v>0</v>
      </c>
      <c r="AU901" s="24">
        <f t="shared" ca="1" si="697"/>
        <v>0</v>
      </c>
      <c r="AV901" s="25">
        <f t="shared" ca="1" si="698"/>
        <v>0</v>
      </c>
      <c r="AW901" s="23">
        <f t="array" aca="1" ref="AW901" ca="1">SUM(IF(rcs_start_date&lt;=AO901,1,0)*IF(rcs_end_date&gt;=AO901,1,0)*rcs_amount*(1+rcs_escalation/100)^(INT((AP901-rcs_months_since_start)/12))*IF(MOD((AP901-rcs_months_since_start),rcs_frequency)=0,1,0)*IF(rcs_frequency=13,0,1))+SUM(IF(rcs_start_date=AO901,rcs_amount,0)*IF(rcs_frequency=13,1,0))</f>
        <v>0</v>
      </c>
      <c r="AX901" s="24">
        <f t="shared" ca="1" si="699"/>
        <v>0</v>
      </c>
      <c r="AY901" s="24">
        <f t="shared" ca="1" si="700"/>
        <v>0</v>
      </c>
      <c r="AZ901" s="24">
        <f t="shared" ca="1" si="701"/>
        <v>0</v>
      </c>
      <c r="BA901" s="25">
        <f t="shared" ca="1" si="702"/>
        <v>0</v>
      </c>
      <c r="BB901" s="23">
        <f t="array" aca="1" ref="BB901" ca="1">SUM(IF(w_start_date&lt;=AO901,1,0)*IF(w_end_date&gt;=AO901,1,0)*w_amount*(1+w_escalation/100)^(INT((AP901-w_months_since_start)/12))*IF(MOD(AP901-w_months_since_start,w_frequency)=0,1,0)*IF(w_frequency=13,0,1))+SUM(IF(w_start_date=AO901,w_amount,0)*IF(w_frequency=13,1,0))</f>
        <v>0</v>
      </c>
      <c r="BC901" s="25">
        <f t="shared" ca="1" si="703"/>
        <v>0</v>
      </c>
      <c r="BD901" s="24" t="b">
        <f t="shared" ca="1" si="704"/>
        <v>1</v>
      </c>
      <c r="BE901" s="24" t="b">
        <f t="shared" ca="1" si="705"/>
        <v>1</v>
      </c>
      <c r="BF901" s="23">
        <f t="array" aca="1" ref="BF901" ca="1">SUM(IF(BD901,1,0)*IF(ap_start_date&lt;=AO901,1,0)*IF(ap_end_date&gt;=AO901,1,0)*ap_amount*(1+ap_escalation/100)^(INT((AP901-ap_months_since_start)/12))*IF(MOD(AP901-ap_months_since_start,ap_frequency)=0,1,0))</f>
        <v>414160.25576561916</v>
      </c>
      <c r="BG901" s="24">
        <f t="shared" ca="1" si="706"/>
        <v>4969923.0691874297</v>
      </c>
      <c r="BH901" s="24">
        <f t="shared" ca="1" si="707"/>
        <v>145.60785731670327</v>
      </c>
      <c r="BI901">
        <f t="shared" ca="1" si="708"/>
        <v>0</v>
      </c>
      <c r="BJ901" s="24">
        <f t="shared" ca="1" si="709"/>
        <v>1019.2550012169229</v>
      </c>
      <c r="BK901">
        <f t="shared" ca="1" si="710"/>
        <v>1</v>
      </c>
      <c r="BL901" s="25">
        <f t="shared" ca="1" si="711"/>
        <v>84.937916768076917</v>
      </c>
      <c r="BM901" s="32">
        <f t="shared" ca="1" si="690"/>
        <v>5512.6330272878495</v>
      </c>
      <c r="BN901" s="23">
        <f t="shared" ca="1" si="712"/>
        <v>0</v>
      </c>
      <c r="BO901" s="24">
        <f t="shared" ca="1" si="713"/>
        <v>0</v>
      </c>
      <c r="BP901" s="25">
        <f t="shared" ca="1" si="714"/>
        <v>0</v>
      </c>
      <c r="BQ901" s="34">
        <f t="shared" ca="1" si="715"/>
        <v>72836</v>
      </c>
      <c r="BR901" s="23">
        <f t="shared" ca="1" si="716"/>
        <v>5512.6330272878495</v>
      </c>
      <c r="BS901" s="24">
        <f t="shared" ca="1" si="717"/>
        <v>0</v>
      </c>
      <c r="BT901" s="24">
        <f t="shared" ca="1" si="722"/>
        <v>0</v>
      </c>
      <c r="BU901" s="24">
        <f t="shared" ca="1" si="718"/>
        <v>0</v>
      </c>
      <c r="BV901" s="24">
        <f t="shared" ca="1" si="723"/>
        <v>0</v>
      </c>
      <c r="BW901" s="24">
        <f t="shared" ca="1" si="719"/>
        <v>-84.937916768076917</v>
      </c>
      <c r="BX901" s="25">
        <f t="shared" ca="1" si="724"/>
        <v>-1063.0172780665935</v>
      </c>
      <c r="BY901" s="23">
        <f t="shared" ca="1" si="691"/>
        <v>296.73946199784922</v>
      </c>
      <c r="BZ901" s="24">
        <f t="shared" ca="1" si="692"/>
        <v>0</v>
      </c>
      <c r="CA901" s="24">
        <f t="shared" ca="1" si="725"/>
        <v>0</v>
      </c>
      <c r="CB901" s="24">
        <f t="shared" ca="1" si="693"/>
        <v>0</v>
      </c>
      <c r="CC901" s="24">
        <f t="shared" ca="1" si="726"/>
        <v>0</v>
      </c>
      <c r="CD901" s="24">
        <f t="shared" ca="1" si="694"/>
        <v>-4.5870901165797147</v>
      </c>
      <c r="CE901" s="25">
        <f t="shared" ca="1" si="727"/>
        <v>-58.48106502139477</v>
      </c>
      <c r="CF901" s="23">
        <f t="shared" ca="1" si="728"/>
        <v>4890276.8661555797</v>
      </c>
      <c r="CG901" s="25">
        <f t="array" aca="1" ref="CG901" ca="1">SUM(BF890:BF901/(1+inflation/100)^(AP890:AP901/12))</f>
        <v>267980.53702225385</v>
      </c>
      <c r="CH901" s="32">
        <f ca="1">IFERROR(IF(MOD(AP901-ap_months_since_start,12)=0,ap_drawdown/100*(AQ901+AV901+BA901-BC901),CH900),0)</f>
        <v>895.16286979810377</v>
      </c>
    </row>
    <row r="902" spans="40:86" x14ac:dyDescent="0.25">
      <c r="AN902" s="32">
        <f t="shared" ca="1" si="689"/>
        <v>129.41666666666666</v>
      </c>
      <c r="AO902" s="53">
        <f t="shared" ca="1" si="720"/>
        <v>72837</v>
      </c>
      <c r="AP902" s="22">
        <v>895</v>
      </c>
      <c r="AQ902" s="32">
        <f t="shared" ca="1" si="721"/>
        <v>5512.6330272878495</v>
      </c>
      <c r="AR902" s="23">
        <f t="array" aca="1" ref="AR902" ca="1">SUM(IF(lsc_start_date=AO902,lsc_amount,0))</f>
        <v>0</v>
      </c>
      <c r="AS902" s="24">
        <f t="shared" ca="1" si="695"/>
        <v>0</v>
      </c>
      <c r="AT902" s="24">
        <f t="shared" ca="1" si="696"/>
        <v>0</v>
      </c>
      <c r="AU902" s="24">
        <f t="shared" ca="1" si="697"/>
        <v>0</v>
      </c>
      <c r="AV902" s="25">
        <f t="shared" ca="1" si="698"/>
        <v>0</v>
      </c>
      <c r="AW902" s="23">
        <f t="array" aca="1" ref="AW902" ca="1">SUM(IF(rcs_start_date&lt;=AO902,1,0)*IF(rcs_end_date&gt;=AO902,1,0)*rcs_amount*(1+rcs_escalation/100)^(INT((AP902-rcs_months_since_start)/12))*IF(MOD((AP902-rcs_months_since_start),rcs_frequency)=0,1,0)*IF(rcs_frequency=13,0,1))+SUM(IF(rcs_start_date=AO902,rcs_amount,0)*IF(rcs_frequency=13,1,0))</f>
        <v>0</v>
      </c>
      <c r="AX902" s="24">
        <f t="shared" ca="1" si="699"/>
        <v>0</v>
      </c>
      <c r="AY902" s="24">
        <f t="shared" ca="1" si="700"/>
        <v>0</v>
      </c>
      <c r="AZ902" s="24">
        <f t="shared" ca="1" si="701"/>
        <v>0</v>
      </c>
      <c r="BA902" s="25">
        <f t="shared" ca="1" si="702"/>
        <v>0</v>
      </c>
      <c r="BB902" s="23">
        <f t="array" aca="1" ref="BB902" ca="1">SUM(IF(w_start_date&lt;=AO902,1,0)*IF(w_end_date&gt;=AO902,1,0)*w_amount*(1+w_escalation/100)^(INT((AP902-w_months_since_start)/12))*IF(MOD(AP902-w_months_since_start,w_frequency)=0,1,0)*IF(w_frequency=13,0,1))+SUM(IF(w_start_date=AO902,w_amount,0)*IF(w_frequency=13,1,0))</f>
        <v>0</v>
      </c>
      <c r="BC902" s="25">
        <f t="shared" ca="1" si="703"/>
        <v>0</v>
      </c>
      <c r="BD902" s="24" t="b">
        <f t="shared" ca="1" si="704"/>
        <v>1</v>
      </c>
      <c r="BE902" s="24" t="b">
        <f t="shared" ca="1" si="705"/>
        <v>1</v>
      </c>
      <c r="BF902" s="23">
        <f t="array" aca="1" ref="BF902" ca="1">SUM(IF(BD902,1,0)*IF(ap_start_date&lt;=AO902,1,0)*IF(ap_end_date&gt;=AO902,1,0)*ap_amount*(1+ap_escalation/100)^(INT((AP902-ap_months_since_start)/12))*IF(MOD(AP902-ap_months_since_start,ap_frequency)=0,1,0))</f>
        <v>414160.25576561916</v>
      </c>
      <c r="BG902" s="24">
        <f t="shared" ca="1" si="706"/>
        <v>4969923.0691874297</v>
      </c>
      <c r="BH902" s="24">
        <f t="shared" ca="1" si="707"/>
        <v>145.60785731670327</v>
      </c>
      <c r="BI902">
        <f t="shared" ca="1" si="708"/>
        <v>0</v>
      </c>
      <c r="BJ902" s="24">
        <f t="shared" ca="1" si="709"/>
        <v>1019.2550012169229</v>
      </c>
      <c r="BK902">
        <f t="shared" ca="1" si="710"/>
        <v>1</v>
      </c>
      <c r="BL902" s="25">
        <f t="shared" ca="1" si="711"/>
        <v>84.937916768076917</v>
      </c>
      <c r="BM902" s="32">
        <f t="shared" ca="1" si="690"/>
        <v>5466.8142640427022</v>
      </c>
      <c r="BN902" s="23">
        <f t="shared" ca="1" si="712"/>
        <v>0</v>
      </c>
      <c r="BO902" s="24">
        <f t="shared" ca="1" si="713"/>
        <v>0</v>
      </c>
      <c r="BP902" s="25">
        <f t="shared" ca="1" si="714"/>
        <v>0</v>
      </c>
      <c r="BQ902" s="34">
        <f t="shared" ca="1" si="715"/>
        <v>72866</v>
      </c>
      <c r="BR902" s="23">
        <f t="shared" ca="1" si="716"/>
        <v>5466.8142640427022</v>
      </c>
      <c r="BS902" s="24">
        <f t="shared" ca="1" si="717"/>
        <v>0</v>
      </c>
      <c r="BT902" s="24">
        <f t="shared" ca="1" si="722"/>
        <v>0</v>
      </c>
      <c r="BU902" s="24">
        <f t="shared" ca="1" si="718"/>
        <v>0</v>
      </c>
      <c r="BV902" s="24">
        <f t="shared" ca="1" si="723"/>
        <v>0</v>
      </c>
      <c r="BW902" s="24">
        <f t="shared" ca="1" si="719"/>
        <v>-84.937916768076917</v>
      </c>
      <c r="BX902" s="25">
        <f t="shared" ca="1" si="724"/>
        <v>-1054.2648226966594</v>
      </c>
      <c r="BY902" s="23">
        <f t="shared" ca="1" si="691"/>
        <v>293.31285434014507</v>
      </c>
      <c r="BZ902" s="24">
        <f t="shared" ca="1" si="692"/>
        <v>0</v>
      </c>
      <c r="CA902" s="24">
        <f t="shared" ca="1" si="725"/>
        <v>0</v>
      </c>
      <c r="CB902" s="24">
        <f t="shared" ca="1" si="693"/>
        <v>0</v>
      </c>
      <c r="CC902" s="24">
        <f t="shared" ca="1" si="726"/>
        <v>0</v>
      </c>
      <c r="CD902" s="24">
        <f t="shared" ca="1" si="694"/>
        <v>-4.5721221783154906</v>
      </c>
      <c r="CE902" s="25">
        <f t="shared" ca="1" si="727"/>
        <v>-57.808198878450405</v>
      </c>
      <c r="CF902" s="23">
        <f t="shared" ca="1" si="728"/>
        <v>4906206.1067619501</v>
      </c>
      <c r="CG902" s="25">
        <f t="array" aca="1" ref="CG902" ca="1">SUM(BF891:BF902/(1+inflation/100)^(AP891:AP902/12))</f>
        <v>267980.53702225391</v>
      </c>
      <c r="CH902" s="32">
        <f ca="1">IFERROR(IF(MOD(AP902-ap_months_since_start,12)=0,ap_drawdown/100*(AQ902+AV902+BA902-BC902),CH901),0)</f>
        <v>895.16286979810377</v>
      </c>
    </row>
    <row r="903" spans="40:86" x14ac:dyDescent="0.25">
      <c r="AN903" s="32">
        <f t="shared" ca="1" si="689"/>
        <v>129.5</v>
      </c>
      <c r="AO903" s="53">
        <f t="shared" ca="1" si="720"/>
        <v>72867</v>
      </c>
      <c r="AP903" s="22">
        <v>896</v>
      </c>
      <c r="AQ903" s="32">
        <f t="shared" ca="1" si="721"/>
        <v>5466.8142640427022</v>
      </c>
      <c r="AR903" s="23">
        <f t="array" aca="1" ref="AR903" ca="1">SUM(IF(lsc_start_date=AO903,lsc_amount,0))</f>
        <v>0</v>
      </c>
      <c r="AS903" s="24">
        <f t="shared" ca="1" si="695"/>
        <v>0</v>
      </c>
      <c r="AT903" s="24">
        <f t="shared" ca="1" si="696"/>
        <v>0</v>
      </c>
      <c r="AU903" s="24">
        <f t="shared" ca="1" si="697"/>
        <v>0</v>
      </c>
      <c r="AV903" s="25">
        <f t="shared" ca="1" si="698"/>
        <v>0</v>
      </c>
      <c r="AW903" s="23">
        <f t="array" aca="1" ref="AW903" ca="1">SUM(IF(rcs_start_date&lt;=AO903,1,0)*IF(rcs_end_date&gt;=AO903,1,0)*rcs_amount*(1+rcs_escalation/100)^(INT((AP903-rcs_months_since_start)/12))*IF(MOD((AP903-rcs_months_since_start),rcs_frequency)=0,1,0)*IF(rcs_frequency=13,0,1))+SUM(IF(rcs_start_date=AO903,rcs_amount,0)*IF(rcs_frequency=13,1,0))</f>
        <v>0</v>
      </c>
      <c r="AX903" s="24">
        <f t="shared" ca="1" si="699"/>
        <v>0</v>
      </c>
      <c r="AY903" s="24">
        <f t="shared" ca="1" si="700"/>
        <v>0</v>
      </c>
      <c r="AZ903" s="24">
        <f t="shared" ca="1" si="701"/>
        <v>0</v>
      </c>
      <c r="BA903" s="25">
        <f t="shared" ca="1" si="702"/>
        <v>0</v>
      </c>
      <c r="BB903" s="23">
        <f t="array" aca="1" ref="BB903" ca="1">SUM(IF(w_start_date&lt;=AO903,1,0)*IF(w_end_date&gt;=AO903,1,0)*w_amount*(1+w_escalation/100)^(INT((AP903-w_months_since_start)/12))*IF(MOD(AP903-w_months_since_start,w_frequency)=0,1,0)*IF(w_frequency=13,0,1))+SUM(IF(w_start_date=AO903,w_amount,0)*IF(w_frequency=13,1,0))</f>
        <v>0</v>
      </c>
      <c r="BC903" s="25">
        <f t="shared" ca="1" si="703"/>
        <v>0</v>
      </c>
      <c r="BD903" s="24" t="b">
        <f t="shared" ca="1" si="704"/>
        <v>1</v>
      </c>
      <c r="BE903" s="24" t="b">
        <f t="shared" ca="1" si="705"/>
        <v>1</v>
      </c>
      <c r="BF903" s="23">
        <f t="array" aca="1" ref="BF903" ca="1">SUM(IF(BD903,1,0)*IF(ap_start_date&lt;=AO903,1,0)*IF(ap_end_date&gt;=AO903,1,0)*ap_amount*(1+ap_escalation/100)^(INT((AP903-ap_months_since_start)/12))*IF(MOD(AP903-ap_months_since_start,ap_frequency)=0,1,0))</f>
        <v>414160.25576561916</v>
      </c>
      <c r="BG903" s="24">
        <f t="shared" ca="1" si="706"/>
        <v>4969923.0691874297</v>
      </c>
      <c r="BH903" s="24">
        <f t="shared" ca="1" si="707"/>
        <v>145.60785731670327</v>
      </c>
      <c r="BI903">
        <f t="shared" ca="1" si="708"/>
        <v>0</v>
      </c>
      <c r="BJ903" s="24">
        <f t="shared" ca="1" si="709"/>
        <v>1019.2550012169229</v>
      </c>
      <c r="BK903">
        <f t="shared" ca="1" si="710"/>
        <v>1</v>
      </c>
      <c r="BL903" s="25">
        <f t="shared" ca="1" si="711"/>
        <v>84.937916768076917</v>
      </c>
      <c r="BM903" s="32">
        <f t="shared" ca="1" si="690"/>
        <v>5420.6652701569019</v>
      </c>
      <c r="BN903" s="23">
        <f t="shared" ca="1" si="712"/>
        <v>0</v>
      </c>
      <c r="BO903" s="24">
        <f t="shared" ca="1" si="713"/>
        <v>0</v>
      </c>
      <c r="BP903" s="25">
        <f t="shared" ca="1" si="714"/>
        <v>0</v>
      </c>
      <c r="BQ903" s="34">
        <f t="shared" ca="1" si="715"/>
        <v>72897</v>
      </c>
      <c r="BR903" s="23">
        <f t="shared" ca="1" si="716"/>
        <v>5420.6652701569019</v>
      </c>
      <c r="BS903" s="24">
        <f t="shared" ca="1" si="717"/>
        <v>0</v>
      </c>
      <c r="BT903" s="24">
        <f t="shared" ca="1" si="722"/>
        <v>0</v>
      </c>
      <c r="BU903" s="24">
        <f t="shared" ca="1" si="718"/>
        <v>0</v>
      </c>
      <c r="BV903" s="24">
        <f t="shared" ca="1" si="723"/>
        <v>0</v>
      </c>
      <c r="BW903" s="24">
        <f t="shared" ca="1" si="719"/>
        <v>-84.937916768076917</v>
      </c>
      <c r="BX903" s="25">
        <f t="shared" ca="1" si="724"/>
        <v>-1045.5123673267251</v>
      </c>
      <c r="BY903" s="23">
        <f t="shared" ca="1" si="691"/>
        <v>289.88778940827677</v>
      </c>
      <c r="BZ903" s="24">
        <f t="shared" ca="1" si="692"/>
        <v>0</v>
      </c>
      <c r="CA903" s="24">
        <f t="shared" ca="1" si="725"/>
        <v>0</v>
      </c>
      <c r="CB903" s="24">
        <f t="shared" ca="1" si="693"/>
        <v>0</v>
      </c>
      <c r="CC903" s="24">
        <f t="shared" ca="1" si="726"/>
        <v>0</v>
      </c>
      <c r="CD903" s="24">
        <f t="shared" ca="1" si="694"/>
        <v>-4.5572030812927045</v>
      </c>
      <c r="CE903" s="25">
        <f t="shared" ca="1" si="727"/>
        <v>-57.137528336340495</v>
      </c>
      <c r="CF903" s="23">
        <f t="shared" ca="1" si="728"/>
        <v>4922135.3473683195</v>
      </c>
      <c r="CG903" s="25">
        <f t="array" aca="1" ref="CG903" ca="1">SUM(BF892:BF903/(1+inflation/100)^(AP892:AP903/12))</f>
        <v>267980.53702225391</v>
      </c>
      <c r="CH903" s="32">
        <f ca="1">IFERROR(IF(MOD(AP903-ap_months_since_start,12)=0,ap_drawdown/100*(AQ903+AV903+BA903-BC903),CH902),0)</f>
        <v>895.16286979810377</v>
      </c>
    </row>
    <row r="904" spans="40:86" x14ac:dyDescent="0.25">
      <c r="AN904" s="32">
        <f t="shared" ref="AN904:AN967" ca="1" si="729">IF(AND(Date_of_birth&lt;&gt;"",Date_of_birth&lt;&gt;"Please enter date of birth"),YEARFRAC(Date_of_birth,AO904),AP904/12)</f>
        <v>129.58333333333334</v>
      </c>
      <c r="AO904" s="53">
        <f t="shared" ca="1" si="720"/>
        <v>72898</v>
      </c>
      <c r="AP904" s="22">
        <v>897</v>
      </c>
      <c r="AQ904" s="32">
        <f t="shared" ca="1" si="721"/>
        <v>5420.6652701569019</v>
      </c>
      <c r="AR904" s="23">
        <f t="array" aca="1" ref="AR904" ca="1">SUM(IF(lsc_start_date=AO904,lsc_amount,0))</f>
        <v>0</v>
      </c>
      <c r="AS904" s="24">
        <f t="shared" ca="1" si="695"/>
        <v>0</v>
      </c>
      <c r="AT904" s="24">
        <f t="shared" ca="1" si="696"/>
        <v>0</v>
      </c>
      <c r="AU904" s="24">
        <f t="shared" ca="1" si="697"/>
        <v>0</v>
      </c>
      <c r="AV904" s="25">
        <f t="shared" ca="1" si="698"/>
        <v>0</v>
      </c>
      <c r="AW904" s="23">
        <f t="array" aca="1" ref="AW904" ca="1">SUM(IF(rcs_start_date&lt;=AO904,1,0)*IF(rcs_end_date&gt;=AO904,1,0)*rcs_amount*(1+rcs_escalation/100)^(INT((AP904-rcs_months_since_start)/12))*IF(MOD((AP904-rcs_months_since_start),rcs_frequency)=0,1,0)*IF(rcs_frequency=13,0,1))+SUM(IF(rcs_start_date=AO904,rcs_amount,0)*IF(rcs_frequency=13,1,0))</f>
        <v>0</v>
      </c>
      <c r="AX904" s="24">
        <f t="shared" ca="1" si="699"/>
        <v>0</v>
      </c>
      <c r="AY904" s="24">
        <f t="shared" ca="1" si="700"/>
        <v>0</v>
      </c>
      <c r="AZ904" s="24">
        <f t="shared" ca="1" si="701"/>
        <v>0</v>
      </c>
      <c r="BA904" s="25">
        <f t="shared" ca="1" si="702"/>
        <v>0</v>
      </c>
      <c r="BB904" s="23">
        <f t="array" aca="1" ref="BB904" ca="1">SUM(IF(w_start_date&lt;=AO904,1,0)*IF(w_end_date&gt;=AO904,1,0)*w_amount*(1+w_escalation/100)^(INT((AP904-w_months_since_start)/12))*IF(MOD(AP904-w_months_since_start,w_frequency)=0,1,0)*IF(w_frequency=13,0,1))+SUM(IF(w_start_date=AO904,w_amount,0)*IF(w_frequency=13,1,0))</f>
        <v>0</v>
      </c>
      <c r="BC904" s="25">
        <f t="shared" ca="1" si="703"/>
        <v>0</v>
      </c>
      <c r="BD904" s="24" t="b">
        <f t="shared" ca="1" si="704"/>
        <v>1</v>
      </c>
      <c r="BE904" s="24" t="b">
        <f t="shared" ca="1" si="705"/>
        <v>1</v>
      </c>
      <c r="BF904" s="23">
        <f t="array" aca="1" ref="BF904" ca="1">SUM(IF(BD904,1,0)*IF(ap_start_date&lt;=AO904,1,0)*IF(ap_end_date&gt;=AO904,1,0)*ap_amount*(1+ap_escalation/100)^(INT((AP904-ap_months_since_start)/12))*IF(MOD(AP904-ap_months_since_start,ap_frequency)=0,1,0))</f>
        <v>414160.25576561916</v>
      </c>
      <c r="BG904" s="24">
        <f t="shared" ca="1" si="706"/>
        <v>4969923.0691874297</v>
      </c>
      <c r="BH904" s="24">
        <f t="shared" ca="1" si="707"/>
        <v>145.60785731670327</v>
      </c>
      <c r="BI904">
        <f t="shared" ca="1" si="708"/>
        <v>0</v>
      </c>
      <c r="BJ904" s="24">
        <f t="shared" ca="1" si="709"/>
        <v>1019.2550012169229</v>
      </c>
      <c r="BK904">
        <f t="shared" ca="1" si="710"/>
        <v>1</v>
      </c>
      <c r="BL904" s="25">
        <f t="shared" ca="1" si="711"/>
        <v>84.937916768076917</v>
      </c>
      <c r="BM904" s="32">
        <f t="shared" ref="BM904:BM967" ca="1" si="730">(AQ904+AV904+BA904-BC904-BL904)*(1+NomRetn/100)^(1/12)</f>
        <v>5374.1836655514526</v>
      </c>
      <c r="BN904" s="23">
        <f t="shared" ca="1" si="712"/>
        <v>0</v>
      </c>
      <c r="BO904" s="24">
        <f t="shared" ca="1" si="713"/>
        <v>0</v>
      </c>
      <c r="BP904" s="25">
        <f t="shared" ca="1" si="714"/>
        <v>0</v>
      </c>
      <c r="BQ904" s="34">
        <f t="shared" ca="1" si="715"/>
        <v>72928</v>
      </c>
      <c r="BR904" s="23">
        <f t="shared" ca="1" si="716"/>
        <v>5374.1836655514526</v>
      </c>
      <c r="BS904" s="24">
        <f t="shared" ca="1" si="717"/>
        <v>0</v>
      </c>
      <c r="BT904" s="24">
        <f t="shared" ca="1" si="722"/>
        <v>0</v>
      </c>
      <c r="BU904" s="24">
        <f t="shared" ca="1" si="718"/>
        <v>0</v>
      </c>
      <c r="BV904" s="24">
        <f t="shared" ca="1" si="723"/>
        <v>0</v>
      </c>
      <c r="BW904" s="24">
        <f t="shared" ca="1" si="719"/>
        <v>-84.937916768076917</v>
      </c>
      <c r="BX904" s="25">
        <f t="shared" ca="1" si="724"/>
        <v>-1036.759911956791</v>
      </c>
      <c r="BY904" s="23">
        <f t="shared" ref="BY904:BY967" ca="1" si="731">BR904*(1+inflation/100)^(-$AP904/12)</f>
        <v>286.46422437814499</v>
      </c>
      <c r="BZ904" s="24">
        <f t="shared" ref="BZ904:BZ967" ca="1" si="732">BS904*(1+inflation/100)^(-(AP904-1)/12)</f>
        <v>0</v>
      </c>
      <c r="CA904" s="24">
        <f t="shared" ca="1" si="725"/>
        <v>0</v>
      </c>
      <c r="CB904" s="24">
        <f t="shared" ref="CB904:CB967" ca="1" si="733">BU904*(1+inflation/100)^(-($AP904-1)/12)</f>
        <v>0</v>
      </c>
      <c r="CC904" s="24">
        <f t="shared" ca="1" si="726"/>
        <v>0</v>
      </c>
      <c r="CD904" s="24">
        <f t="shared" ref="CD904:CD967" ca="1" si="734">BW904*(1+inflation/100)^(-($AP904-1)/12)</f>
        <v>-4.5423326661395791</v>
      </c>
      <c r="CE904" s="25">
        <f t="shared" ca="1" si="727"/>
        <v>-56.469046230693529</v>
      </c>
      <c r="CF904" s="23">
        <f t="shared" ca="1" si="728"/>
        <v>4938064.5879746899</v>
      </c>
      <c r="CG904" s="25">
        <f t="array" aca="1" ref="CG904" ca="1">SUM(BF893:BF904/(1+inflation/100)^(AP893:AP904/12))</f>
        <v>267980.53702225391</v>
      </c>
      <c r="CH904" s="32">
        <f ca="1">IFERROR(IF(MOD(AP904-ap_months_since_start,12)=0,ap_drawdown/100*(AQ904+AV904+BA904-BC904),CH903),0)</f>
        <v>895.16286979810377</v>
      </c>
    </row>
    <row r="905" spans="40:86" x14ac:dyDescent="0.25">
      <c r="AN905" s="32">
        <f t="shared" ca="1" si="729"/>
        <v>129.66666666666666</v>
      </c>
      <c r="AO905" s="53">
        <f t="shared" ca="1" si="720"/>
        <v>72929</v>
      </c>
      <c r="AP905" s="22">
        <v>898</v>
      </c>
      <c r="AQ905" s="32">
        <f t="shared" ca="1" si="721"/>
        <v>5374.1836655514526</v>
      </c>
      <c r="AR905" s="23">
        <f t="array" aca="1" ref="AR905" ca="1">SUM(IF(lsc_start_date=AO905,lsc_amount,0))</f>
        <v>0</v>
      </c>
      <c r="AS905" s="24">
        <f t="shared" ref="AS905:AS968" ca="1" si="735">AR905*$D$34/100</f>
        <v>0</v>
      </c>
      <c r="AT905" s="24">
        <f t="shared" ref="AT905:AT968" ca="1" si="736">AR905*$D$33/100</f>
        <v>0</v>
      </c>
      <c r="AU905" s="24">
        <f t="shared" ref="AU905:AU968" ca="1" si="737">AR905*$D$35/100</f>
        <v>0</v>
      </c>
      <c r="AV905" s="25">
        <f t="shared" ref="AV905:AV968" ca="1" si="738">AR905-AS905-AT905-AU905</f>
        <v>0</v>
      </c>
      <c r="AW905" s="23">
        <f t="array" aca="1" ref="AW905" ca="1">SUM(IF(rcs_start_date&lt;=AO905,1,0)*IF(rcs_end_date&gt;=AO905,1,0)*rcs_amount*(1+rcs_escalation/100)^(INT((AP905-rcs_months_since_start)/12))*IF(MOD((AP905-rcs_months_since_start),rcs_frequency)=0,1,0)*IF(rcs_frequency=13,0,1))+SUM(IF(rcs_start_date=AO905,rcs_amount,0)*IF(rcs_frequency=13,1,0))</f>
        <v>0</v>
      </c>
      <c r="AX905" s="24">
        <f t="shared" ref="AX905:AX968" ca="1" si="739">AW905*$D$34/100</f>
        <v>0</v>
      </c>
      <c r="AY905" s="24">
        <f t="shared" ref="AY905:AY968" ca="1" si="740">AW905*$D$33/100</f>
        <v>0</v>
      </c>
      <c r="AZ905" s="24">
        <f t="shared" ref="AZ905:AZ968" ca="1" si="741">AW905*$D$35/100</f>
        <v>0</v>
      </c>
      <c r="BA905" s="25">
        <f t="shared" ref="BA905:BA968" ca="1" si="742">AW905-AX905-AY905-AZ905</f>
        <v>0</v>
      </c>
      <c r="BB905" s="23">
        <f t="array" aca="1" ref="BB905" ca="1">SUM(IF(w_start_date&lt;=AO905,1,0)*IF(w_end_date&gt;=AO905,1,0)*w_amount*(1+w_escalation/100)^(INT((AP905-w_months_since_start)/12))*IF(MOD(AP905-w_months_since_start,w_frequency)=0,1,0)*IF(w_frequency=13,0,1))+SUM(IF(w_start_date=AO905,w_amount,0)*IF(w_frequency=13,1,0))</f>
        <v>0</v>
      </c>
      <c r="BC905" s="25">
        <f t="shared" ref="BC905:BC968" ca="1" si="743">IF(BB905&gt;AQ905+AV905+BA905,AQ905+AV905+BA905,BB905)</f>
        <v>0</v>
      </c>
      <c r="BD905" s="24" t="b">
        <f t="shared" ref="BD905:BD968" ca="1" si="744">AND($DV$11&lt;=AO905,$DV$11&lt;&gt;0)</f>
        <v>1</v>
      </c>
      <c r="BE905" s="24" t="b">
        <f t="shared" ref="BE905:BE968" ca="1" si="745">$DW$11&lt;&gt;""</f>
        <v>1</v>
      </c>
      <c r="BF905" s="23">
        <f t="array" aca="1" ref="BF905" ca="1">SUM(IF(BD905,1,0)*IF(ap_start_date&lt;=AO905,1,0)*IF(ap_end_date&gt;=AO905,1,0)*ap_amount*(1+ap_escalation/100)^(INT((AP905-ap_months_since_start)/12))*IF(MOD(AP905-ap_months_since_start,ap_frequency)=0,1,0))</f>
        <v>414160.25576561916</v>
      </c>
      <c r="BG905" s="24">
        <f t="shared" ref="BG905:BG968" ca="1" si="746">IF(MOD(YEAR(AO905)*12+MONTH(AO905)-YEAR(Earliest_annuity_payment)*12-MONTH(Earliest_annuity_payment),12)=0,SUM(BF905:BF916),BG904)</f>
        <v>4969923.0691874297</v>
      </c>
      <c r="BH905" s="24">
        <f t="shared" ref="BH905:BH968" ca="1" si="747">IF(AO905&gt;=Earliest_annuity_payment,IF(MOD(YEAR(AO905)*12+MONTH(AO905)-YEAR(Earliest_annuity_payment)*12-MONTH(Earliest_annuity_payment),12)=0,(AQ905+AV905+BA905-BC905)*Annuity_min,BH904),0)</f>
        <v>145.60785731670327</v>
      </c>
      <c r="BI905">
        <f t="shared" ref="BI905:BI968" ca="1" si="748">IF(AND(BH905&gt;BG905,BD905),1,0)</f>
        <v>0</v>
      </c>
      <c r="BJ905" s="24">
        <f t="shared" ref="BJ905:BJ968" ca="1" si="749">IF(AO905&gt;=Earliest_annuity_payment,IF(MOD(YEAR(AO905)*12+MONTH(AO905)-YEAR(Earliest_annuity_payment)*12-MONTH(Earliest_annuity_payment),12)=0,(AQ905+AV905+BA905-BC905)*Annuity_cap,BJ904),0)</f>
        <v>1019.2550012169229</v>
      </c>
      <c r="BK905">
        <f t="shared" ref="BK905:BK968" ca="1" si="750">IF(BJ905&lt;BG905,1,0)</f>
        <v>1</v>
      </c>
      <c r="BL905" s="25">
        <f t="shared" ref="BL905:BL968" ca="1" si="751">IF(BJ905&lt;BG905,BF905/BG905*BJ905,IF(AND(BH905&gt;BG905,BG905&lt;&gt;0),BF905/BG905*BH905,BF905))</f>
        <v>84.937916768076917</v>
      </c>
      <c r="BM905" s="32">
        <f t="shared" ca="1" si="730"/>
        <v>5327.3670529933588</v>
      </c>
      <c r="BN905" s="23">
        <f t="shared" ref="BN905:BN968" ca="1" si="752">BM905*$E$34/1200</f>
        <v>0</v>
      </c>
      <c r="BO905" s="24">
        <f t="shared" ref="BO905:BO968" ca="1" si="753">BM905*$E$33/1200</f>
        <v>0</v>
      </c>
      <c r="BP905" s="25">
        <f t="shared" ref="BP905:BP968" ca="1" si="754">BM905*$E$35/1200</f>
        <v>0</v>
      </c>
      <c r="BQ905" s="34">
        <f t="shared" ref="BQ905:BQ968" ca="1" si="755">EOMONTH(AO905,0)</f>
        <v>72958</v>
      </c>
      <c r="BR905" s="23">
        <f t="shared" ref="BR905:BR968" ca="1" si="756">BM905-BN905-BO905-BP905</f>
        <v>5327.3670529933588</v>
      </c>
      <c r="BS905" s="24">
        <f t="shared" ref="BS905:BS968" ca="1" si="757">AV905+BA905</f>
        <v>0</v>
      </c>
      <c r="BT905" s="24">
        <f t="shared" ca="1" si="722"/>
        <v>0</v>
      </c>
      <c r="BU905" s="24">
        <f t="shared" ref="BU905:BU968" ca="1" si="758">-BC905</f>
        <v>0</v>
      </c>
      <c r="BV905" s="24">
        <f t="shared" ca="1" si="723"/>
        <v>0</v>
      </c>
      <c r="BW905" s="24">
        <f t="shared" ref="BW905:BW968" ca="1" si="759">-BL905</f>
        <v>-84.937916768076917</v>
      </c>
      <c r="BX905" s="25">
        <f t="shared" ca="1" si="724"/>
        <v>-1028.007456586857</v>
      </c>
      <c r="BY905" s="23">
        <f t="shared" ca="1" si="731"/>
        <v>283.04211641722196</v>
      </c>
      <c r="BZ905" s="24">
        <f t="shared" ca="1" si="732"/>
        <v>0</v>
      </c>
      <c r="CA905" s="24">
        <f t="shared" ca="1" si="725"/>
        <v>0</v>
      </c>
      <c r="CB905" s="24">
        <f t="shared" ca="1" si="733"/>
        <v>0</v>
      </c>
      <c r="CC905" s="24">
        <f t="shared" ca="1" si="726"/>
        <v>0</v>
      </c>
      <c r="CD905" s="24">
        <f t="shared" ca="1" si="734"/>
        <v>-4.5275107740043872</v>
      </c>
      <c r="CE905" s="25">
        <f t="shared" ca="1" si="727"/>
        <v>-55.802745420515748</v>
      </c>
      <c r="CF905" s="23">
        <f t="shared" ca="1" si="728"/>
        <v>4953993.8285810594</v>
      </c>
      <c r="CG905" s="25">
        <f t="array" aca="1" ref="CG905" ca="1">SUM(BF894:BF905/(1+inflation/100)^(AP894:AP905/12))</f>
        <v>267980.53702225385</v>
      </c>
      <c r="CH905" s="32">
        <f ca="1">IFERROR(IF(MOD(AP905-ap_months_since_start,12)=0,ap_drawdown/100*(AQ905+AV905+BA905-BC905),CH904),0)</f>
        <v>895.16286979810377</v>
      </c>
    </row>
    <row r="906" spans="40:86" x14ac:dyDescent="0.25">
      <c r="AN906" s="32">
        <f t="shared" ca="1" si="729"/>
        <v>129.75</v>
      </c>
      <c r="AO906" s="53">
        <f t="shared" ref="AO906:AO969" ca="1" si="760">DATE(YEAR(AO905),MONTH(AO905)+1,1)</f>
        <v>72959</v>
      </c>
      <c r="AP906" s="22">
        <v>899</v>
      </c>
      <c r="AQ906" s="32">
        <f t="shared" ref="AQ906:AQ969" ca="1" si="761">IF(BR905&lt;0,0,BR905)</f>
        <v>5327.3670529933588</v>
      </c>
      <c r="AR906" s="23">
        <f t="array" aca="1" ref="AR906" ca="1">SUM(IF(lsc_start_date=AO906,lsc_amount,0))</f>
        <v>0</v>
      </c>
      <c r="AS906" s="24">
        <f t="shared" ca="1" si="735"/>
        <v>0</v>
      </c>
      <c r="AT906" s="24">
        <f t="shared" ca="1" si="736"/>
        <v>0</v>
      </c>
      <c r="AU906" s="24">
        <f t="shared" ca="1" si="737"/>
        <v>0</v>
      </c>
      <c r="AV906" s="25">
        <f t="shared" ca="1" si="738"/>
        <v>0</v>
      </c>
      <c r="AW906" s="23">
        <f t="array" aca="1" ref="AW906" ca="1">SUM(IF(rcs_start_date&lt;=AO906,1,0)*IF(rcs_end_date&gt;=AO906,1,0)*rcs_amount*(1+rcs_escalation/100)^(INT((AP906-rcs_months_since_start)/12))*IF(MOD((AP906-rcs_months_since_start),rcs_frequency)=0,1,0)*IF(rcs_frequency=13,0,1))+SUM(IF(rcs_start_date=AO906,rcs_amount,0)*IF(rcs_frequency=13,1,0))</f>
        <v>0</v>
      </c>
      <c r="AX906" s="24">
        <f t="shared" ca="1" si="739"/>
        <v>0</v>
      </c>
      <c r="AY906" s="24">
        <f t="shared" ca="1" si="740"/>
        <v>0</v>
      </c>
      <c r="AZ906" s="24">
        <f t="shared" ca="1" si="741"/>
        <v>0</v>
      </c>
      <c r="BA906" s="25">
        <f t="shared" ca="1" si="742"/>
        <v>0</v>
      </c>
      <c r="BB906" s="23">
        <f t="array" aca="1" ref="BB906" ca="1">SUM(IF(w_start_date&lt;=AO906,1,0)*IF(w_end_date&gt;=AO906,1,0)*w_amount*(1+w_escalation/100)^(INT((AP906-w_months_since_start)/12))*IF(MOD(AP906-w_months_since_start,w_frequency)=0,1,0)*IF(w_frequency=13,0,1))+SUM(IF(w_start_date=AO906,w_amount,0)*IF(w_frequency=13,1,0))</f>
        <v>0</v>
      </c>
      <c r="BC906" s="25">
        <f t="shared" ca="1" si="743"/>
        <v>0</v>
      </c>
      <c r="BD906" s="24" t="b">
        <f t="shared" ca="1" si="744"/>
        <v>1</v>
      </c>
      <c r="BE906" s="24" t="b">
        <f t="shared" ca="1" si="745"/>
        <v>1</v>
      </c>
      <c r="BF906" s="23">
        <f t="array" aca="1" ref="BF906" ca="1">SUM(IF(BD906,1,0)*IF(ap_start_date&lt;=AO906,1,0)*IF(ap_end_date&gt;=AO906,1,0)*ap_amount*(1+ap_escalation/100)^(INT((AP906-ap_months_since_start)/12))*IF(MOD(AP906-ap_months_since_start,ap_frequency)=0,1,0))</f>
        <v>414160.25576561916</v>
      </c>
      <c r="BG906" s="24">
        <f t="shared" ca="1" si="746"/>
        <v>4969923.0691874297</v>
      </c>
      <c r="BH906" s="24">
        <f t="shared" ca="1" si="747"/>
        <v>145.60785731670327</v>
      </c>
      <c r="BI906">
        <f t="shared" ca="1" si="748"/>
        <v>0</v>
      </c>
      <c r="BJ906" s="24">
        <f t="shared" ca="1" si="749"/>
        <v>1019.2550012169229</v>
      </c>
      <c r="BK906">
        <f t="shared" ca="1" si="750"/>
        <v>1</v>
      </c>
      <c r="BL906" s="25">
        <f t="shared" ca="1" si="751"/>
        <v>84.937916768076917</v>
      </c>
      <c r="BM906" s="32">
        <f t="shared" ca="1" si="730"/>
        <v>5280.2130179719925</v>
      </c>
      <c r="BN906" s="23">
        <f t="shared" ca="1" si="752"/>
        <v>0</v>
      </c>
      <c r="BO906" s="24">
        <f t="shared" ca="1" si="753"/>
        <v>0</v>
      </c>
      <c r="BP906" s="25">
        <f t="shared" ca="1" si="754"/>
        <v>0</v>
      </c>
      <c r="BQ906" s="34">
        <f t="shared" ca="1" si="755"/>
        <v>72989</v>
      </c>
      <c r="BR906" s="23">
        <f t="shared" ca="1" si="756"/>
        <v>5280.2130179719925</v>
      </c>
      <c r="BS906" s="24">
        <f t="shared" ca="1" si="757"/>
        <v>0</v>
      </c>
      <c r="BT906" s="24">
        <f t="shared" ca="1" si="722"/>
        <v>0</v>
      </c>
      <c r="BU906" s="24">
        <f t="shared" ca="1" si="758"/>
        <v>0</v>
      </c>
      <c r="BV906" s="24">
        <f t="shared" ca="1" si="723"/>
        <v>0</v>
      </c>
      <c r="BW906" s="24">
        <f t="shared" ca="1" si="759"/>
        <v>-84.937916768076917</v>
      </c>
      <c r="BX906" s="25">
        <f t="shared" ca="1" si="724"/>
        <v>-1019.2550012169228</v>
      </c>
      <c r="BY906" s="23">
        <f t="shared" ca="1" si="731"/>
        <v>279.62142268399828</v>
      </c>
      <c r="BZ906" s="24">
        <f t="shared" ca="1" si="732"/>
        <v>0</v>
      </c>
      <c r="CA906" s="24">
        <f t="shared" ca="1" si="725"/>
        <v>0</v>
      </c>
      <c r="CB906" s="24">
        <f t="shared" ca="1" si="733"/>
        <v>0</v>
      </c>
      <c r="CC906" s="24">
        <f t="shared" ca="1" si="726"/>
        <v>0</v>
      </c>
      <c r="CD906" s="24">
        <f t="shared" ca="1" si="734"/>
        <v>-4.5127372465537343</v>
      </c>
      <c r="CE906" s="25">
        <f t="shared" ca="1" si="727"/>
        <v>-55.138618788114876</v>
      </c>
      <c r="CF906" s="23">
        <f t="shared" ca="1" si="728"/>
        <v>4969923.0691874297</v>
      </c>
      <c r="CG906" s="25">
        <f t="array" aca="1" ref="CG906" ca="1">SUM(BF895:BF906/(1+inflation/100)^(AP895:AP906/12))</f>
        <v>267980.53702225385</v>
      </c>
      <c r="CH906" s="32">
        <f ca="1">IFERROR(IF(MOD(AP906-ap_months_since_start,12)=0,ap_drawdown/100*(AQ906+AV906+BA906-BC906),CH905),0)</f>
        <v>895.16286979810377</v>
      </c>
    </row>
    <row r="907" spans="40:86" x14ac:dyDescent="0.25">
      <c r="AN907" s="32">
        <f t="shared" ca="1" si="729"/>
        <v>129.83333333333334</v>
      </c>
      <c r="AO907" s="53">
        <f t="shared" ca="1" si="760"/>
        <v>72990</v>
      </c>
      <c r="AP907" s="22">
        <v>900</v>
      </c>
      <c r="AQ907" s="32">
        <f t="shared" ca="1" si="761"/>
        <v>5280.2130179719925</v>
      </c>
      <c r="AR907" s="23">
        <f t="array" aca="1" ref="AR907" ca="1">SUM(IF(lsc_start_date=AO907,lsc_amount,0))</f>
        <v>0</v>
      </c>
      <c r="AS907" s="24">
        <f t="shared" ca="1" si="735"/>
        <v>0</v>
      </c>
      <c r="AT907" s="24">
        <f t="shared" ca="1" si="736"/>
        <v>0</v>
      </c>
      <c r="AU907" s="24">
        <f t="shared" ca="1" si="737"/>
        <v>0</v>
      </c>
      <c r="AV907" s="25">
        <f t="shared" ca="1" si="738"/>
        <v>0</v>
      </c>
      <c r="AW907" s="23">
        <f t="array" aca="1" ref="AW907" ca="1">SUM(IF(rcs_start_date&lt;=AO907,1,0)*IF(rcs_end_date&gt;=AO907,1,0)*rcs_amount*(1+rcs_escalation/100)^(INT((AP907-rcs_months_since_start)/12))*IF(MOD((AP907-rcs_months_since_start),rcs_frequency)=0,1,0)*IF(rcs_frequency=13,0,1))+SUM(IF(rcs_start_date=AO907,rcs_amount,0)*IF(rcs_frequency=13,1,0))</f>
        <v>0</v>
      </c>
      <c r="AX907" s="24">
        <f t="shared" ca="1" si="739"/>
        <v>0</v>
      </c>
      <c r="AY907" s="24">
        <f t="shared" ca="1" si="740"/>
        <v>0</v>
      </c>
      <c r="AZ907" s="24">
        <f t="shared" ca="1" si="741"/>
        <v>0</v>
      </c>
      <c r="BA907" s="25">
        <f t="shared" ca="1" si="742"/>
        <v>0</v>
      </c>
      <c r="BB907" s="23">
        <f t="array" aca="1" ref="BB907" ca="1">SUM(IF(w_start_date&lt;=AO907,1,0)*IF(w_end_date&gt;=AO907,1,0)*w_amount*(1+w_escalation/100)^(INT((AP907-w_months_since_start)/12))*IF(MOD(AP907-w_months_since_start,w_frequency)=0,1,0)*IF(w_frequency=13,0,1))+SUM(IF(w_start_date=AO907,w_amount,0)*IF(w_frequency=13,1,0))</f>
        <v>0</v>
      </c>
      <c r="BC907" s="25">
        <f t="shared" ca="1" si="743"/>
        <v>0</v>
      </c>
      <c r="BD907" s="24" t="b">
        <f t="shared" ca="1" si="744"/>
        <v>1</v>
      </c>
      <c r="BE907" s="24" t="b">
        <f t="shared" ca="1" si="745"/>
        <v>1</v>
      </c>
      <c r="BF907" s="23">
        <f t="array" aca="1" ref="BF907" ca="1">SUM(IF(BD907,1,0)*IF(ap_start_date&lt;=AO907,1,0)*IF(ap_end_date&gt;=AO907,1,0)*ap_amount*(1+ap_escalation/100)^(INT((AP907-ap_months_since_start)/12))*IF(MOD(AP907-ap_months_since_start,ap_frequency)=0,1,0))</f>
        <v>430726.66599624394</v>
      </c>
      <c r="BG907" s="24">
        <f t="shared" ca="1" si="746"/>
        <v>5168719.9919549292</v>
      </c>
      <c r="BH907" s="24">
        <f t="shared" ca="1" si="747"/>
        <v>132.00532544929982</v>
      </c>
      <c r="BI907">
        <f t="shared" ca="1" si="748"/>
        <v>0</v>
      </c>
      <c r="BJ907" s="24">
        <f t="shared" ca="1" si="749"/>
        <v>924.03727814509864</v>
      </c>
      <c r="BK907">
        <f t="shared" ca="1" si="750"/>
        <v>1</v>
      </c>
      <c r="BL907" s="25">
        <f t="shared" ca="1" si="751"/>
        <v>77.00310651209152</v>
      </c>
      <c r="BM907" s="32">
        <f t="shared" ca="1" si="730"/>
        <v>5240.7111275735197</v>
      </c>
      <c r="BN907" s="23">
        <f t="shared" ca="1" si="752"/>
        <v>0</v>
      </c>
      <c r="BO907" s="24">
        <f t="shared" ca="1" si="753"/>
        <v>0</v>
      </c>
      <c r="BP907" s="25">
        <f t="shared" ca="1" si="754"/>
        <v>0</v>
      </c>
      <c r="BQ907" s="34">
        <f t="shared" ca="1" si="755"/>
        <v>73019</v>
      </c>
      <c r="BR907" s="23">
        <f t="shared" ca="1" si="756"/>
        <v>5240.7111275735197</v>
      </c>
      <c r="BS907" s="24">
        <f t="shared" ca="1" si="757"/>
        <v>0</v>
      </c>
      <c r="BT907" s="24">
        <f t="shared" ca="1" si="722"/>
        <v>0</v>
      </c>
      <c r="BU907" s="24">
        <f t="shared" ca="1" si="758"/>
        <v>0</v>
      </c>
      <c r="BV907" s="24">
        <f t="shared" ca="1" si="723"/>
        <v>0</v>
      </c>
      <c r="BW907" s="24">
        <f t="shared" ca="1" si="759"/>
        <v>-77.00310651209152</v>
      </c>
      <c r="BX907" s="25">
        <f t="shared" ca="1" si="724"/>
        <v>-1011.3201909609375</v>
      </c>
      <c r="BY907" s="23">
        <f t="shared" ca="1" si="731"/>
        <v>276.62394733566526</v>
      </c>
      <c r="BZ907" s="24">
        <f t="shared" ca="1" si="732"/>
        <v>0</v>
      </c>
      <c r="CA907" s="24">
        <f t="shared" ca="1" si="725"/>
        <v>0</v>
      </c>
      <c r="CB907" s="24">
        <f t="shared" ca="1" si="733"/>
        <v>0</v>
      </c>
      <c r="CC907" s="24">
        <f t="shared" ca="1" si="726"/>
        <v>0</v>
      </c>
      <c r="CD907" s="24">
        <f t="shared" ca="1" si="734"/>
        <v>-4.0778124141416399</v>
      </c>
      <c r="CE907" s="25">
        <f t="shared" ca="1" si="727"/>
        <v>-54.538498799246796</v>
      </c>
      <c r="CF907" s="23">
        <f t="shared" ca="1" si="728"/>
        <v>4986489.4794180552</v>
      </c>
      <c r="CG907" s="25">
        <f t="array" aca="1" ref="CG907" ca="1">SUM(BF896:BF907/(1+inflation/100)^(AP896:AP907/12))</f>
        <v>267980.53702225385</v>
      </c>
      <c r="CH907" s="32">
        <f ca="1">IFERROR(IF(MOD(AP907-ap_months_since_start,12)=0,ap_drawdown/100*(AQ907+AV907+BA907-BC907),CH906),0)</f>
        <v>811.53770226019628</v>
      </c>
    </row>
    <row r="908" spans="40:86" x14ac:dyDescent="0.25">
      <c r="AN908" s="32">
        <f t="shared" ca="1" si="729"/>
        <v>129.91666666666666</v>
      </c>
      <c r="AO908" s="53">
        <f t="shared" ca="1" si="760"/>
        <v>73020</v>
      </c>
      <c r="AP908" s="22">
        <v>901</v>
      </c>
      <c r="AQ908" s="32">
        <f t="shared" ca="1" si="761"/>
        <v>5240.7111275735197</v>
      </c>
      <c r="AR908" s="23">
        <f t="array" aca="1" ref="AR908" ca="1">SUM(IF(lsc_start_date=AO908,lsc_amount,0))</f>
        <v>0</v>
      </c>
      <c r="AS908" s="24">
        <f t="shared" ca="1" si="735"/>
        <v>0</v>
      </c>
      <c r="AT908" s="24">
        <f t="shared" ca="1" si="736"/>
        <v>0</v>
      </c>
      <c r="AU908" s="24">
        <f t="shared" ca="1" si="737"/>
        <v>0</v>
      </c>
      <c r="AV908" s="25">
        <f t="shared" ca="1" si="738"/>
        <v>0</v>
      </c>
      <c r="AW908" s="23">
        <f t="array" aca="1" ref="AW908" ca="1">SUM(IF(rcs_start_date&lt;=AO908,1,0)*IF(rcs_end_date&gt;=AO908,1,0)*rcs_amount*(1+rcs_escalation/100)^(INT((AP908-rcs_months_since_start)/12))*IF(MOD((AP908-rcs_months_since_start),rcs_frequency)=0,1,0)*IF(rcs_frequency=13,0,1))+SUM(IF(rcs_start_date=AO908,rcs_amount,0)*IF(rcs_frequency=13,1,0))</f>
        <v>0</v>
      </c>
      <c r="AX908" s="24">
        <f t="shared" ca="1" si="739"/>
        <v>0</v>
      </c>
      <c r="AY908" s="24">
        <f t="shared" ca="1" si="740"/>
        <v>0</v>
      </c>
      <c r="AZ908" s="24">
        <f t="shared" ca="1" si="741"/>
        <v>0</v>
      </c>
      <c r="BA908" s="25">
        <f t="shared" ca="1" si="742"/>
        <v>0</v>
      </c>
      <c r="BB908" s="23">
        <f t="array" aca="1" ref="BB908" ca="1">SUM(IF(w_start_date&lt;=AO908,1,0)*IF(w_end_date&gt;=AO908,1,0)*w_amount*(1+w_escalation/100)^(INT((AP908-w_months_since_start)/12))*IF(MOD(AP908-w_months_since_start,w_frequency)=0,1,0)*IF(w_frequency=13,0,1))+SUM(IF(w_start_date=AO908,w_amount,0)*IF(w_frequency=13,1,0))</f>
        <v>0</v>
      </c>
      <c r="BC908" s="25">
        <f t="shared" ca="1" si="743"/>
        <v>0</v>
      </c>
      <c r="BD908" s="24" t="b">
        <f t="shared" ca="1" si="744"/>
        <v>1</v>
      </c>
      <c r="BE908" s="24" t="b">
        <f t="shared" ca="1" si="745"/>
        <v>1</v>
      </c>
      <c r="BF908" s="23">
        <f t="array" aca="1" ref="BF908" ca="1">SUM(IF(BD908,1,0)*IF(ap_start_date&lt;=AO908,1,0)*IF(ap_end_date&gt;=AO908,1,0)*ap_amount*(1+ap_escalation/100)^(INT((AP908-ap_months_since_start)/12))*IF(MOD(AP908-ap_months_since_start,ap_frequency)=0,1,0))</f>
        <v>430726.66599624394</v>
      </c>
      <c r="BG908" s="24">
        <f t="shared" ca="1" si="746"/>
        <v>5168719.9919549292</v>
      </c>
      <c r="BH908" s="24">
        <f t="shared" ca="1" si="747"/>
        <v>132.00532544929982</v>
      </c>
      <c r="BI908">
        <f t="shared" ca="1" si="748"/>
        <v>0</v>
      </c>
      <c r="BJ908" s="24">
        <f t="shared" ca="1" si="749"/>
        <v>924.03727814509864</v>
      </c>
      <c r="BK908">
        <f t="shared" ca="1" si="750"/>
        <v>1</v>
      </c>
      <c r="BL908" s="25">
        <f t="shared" ca="1" si="751"/>
        <v>77.00310651209152</v>
      </c>
      <c r="BM908" s="32">
        <f t="shared" ca="1" si="730"/>
        <v>5200.9245342793465</v>
      </c>
      <c r="BN908" s="23">
        <f t="shared" ca="1" si="752"/>
        <v>0</v>
      </c>
      <c r="BO908" s="24">
        <f t="shared" ca="1" si="753"/>
        <v>0</v>
      </c>
      <c r="BP908" s="25">
        <f t="shared" ca="1" si="754"/>
        <v>0</v>
      </c>
      <c r="BQ908" s="34">
        <f t="shared" ca="1" si="755"/>
        <v>73050</v>
      </c>
      <c r="BR908" s="23">
        <f t="shared" ca="1" si="756"/>
        <v>5200.9245342793465</v>
      </c>
      <c r="BS908" s="24">
        <f t="shared" ca="1" si="757"/>
        <v>0</v>
      </c>
      <c r="BT908" s="24">
        <f t="shared" ca="1" si="722"/>
        <v>0</v>
      </c>
      <c r="BU908" s="24">
        <f t="shared" ca="1" si="758"/>
        <v>0</v>
      </c>
      <c r="BV908" s="24">
        <f t="shared" ca="1" si="723"/>
        <v>0</v>
      </c>
      <c r="BW908" s="24">
        <f t="shared" ca="1" si="759"/>
        <v>-77.00310651209152</v>
      </c>
      <c r="BX908" s="25">
        <f t="shared" ca="1" si="724"/>
        <v>-1003.3853807049521</v>
      </c>
      <c r="BY908" s="23">
        <f t="shared" ca="1" si="731"/>
        <v>273.6280779476844</v>
      </c>
      <c r="BZ908" s="24">
        <f t="shared" ca="1" si="732"/>
        <v>0</v>
      </c>
      <c r="CA908" s="24">
        <f t="shared" ca="1" si="725"/>
        <v>0</v>
      </c>
      <c r="CB908" s="24">
        <f t="shared" ca="1" si="733"/>
        <v>0</v>
      </c>
      <c r="CC908" s="24">
        <f t="shared" ca="1" si="726"/>
        <v>0</v>
      </c>
      <c r="CD908" s="24">
        <f t="shared" ca="1" si="734"/>
        <v>-4.064506278243555</v>
      </c>
      <c r="CE908" s="25">
        <f t="shared" ca="1" si="727"/>
        <v>-53.94033703633815</v>
      </c>
      <c r="CF908" s="23">
        <f t="shared" ca="1" si="728"/>
        <v>5003055.8896486796</v>
      </c>
      <c r="CG908" s="25">
        <f t="array" aca="1" ref="CG908" ca="1">SUM(BF897:BF908/(1+inflation/100)^(AP897:AP908/12))</f>
        <v>267980.53702225391</v>
      </c>
      <c r="CH908" s="32">
        <f ca="1">IFERROR(IF(MOD(AP908-ap_months_since_start,12)=0,ap_drawdown/100*(AQ908+AV908+BA908-BC908),CH907),0)</f>
        <v>811.53770226019628</v>
      </c>
    </row>
    <row r="909" spans="40:86" x14ac:dyDescent="0.25">
      <c r="AN909" s="32">
        <f t="shared" ca="1" si="729"/>
        <v>130</v>
      </c>
      <c r="AO909" s="53">
        <f t="shared" ca="1" si="760"/>
        <v>73051</v>
      </c>
      <c r="AP909" s="22">
        <v>902</v>
      </c>
      <c r="AQ909" s="32">
        <f t="shared" ca="1" si="761"/>
        <v>5200.9245342793465</v>
      </c>
      <c r="AR909" s="23">
        <f t="array" aca="1" ref="AR909" ca="1">SUM(IF(lsc_start_date=AO909,lsc_amount,0))</f>
        <v>0</v>
      </c>
      <c r="AS909" s="24">
        <f t="shared" ca="1" si="735"/>
        <v>0</v>
      </c>
      <c r="AT909" s="24">
        <f t="shared" ca="1" si="736"/>
        <v>0</v>
      </c>
      <c r="AU909" s="24">
        <f t="shared" ca="1" si="737"/>
        <v>0</v>
      </c>
      <c r="AV909" s="25">
        <f t="shared" ca="1" si="738"/>
        <v>0</v>
      </c>
      <c r="AW909" s="23">
        <f t="array" aca="1" ref="AW909" ca="1">SUM(IF(rcs_start_date&lt;=AO909,1,0)*IF(rcs_end_date&gt;=AO909,1,0)*rcs_amount*(1+rcs_escalation/100)^(INT((AP909-rcs_months_since_start)/12))*IF(MOD((AP909-rcs_months_since_start),rcs_frequency)=0,1,0)*IF(rcs_frequency=13,0,1))+SUM(IF(rcs_start_date=AO909,rcs_amount,0)*IF(rcs_frequency=13,1,0))</f>
        <v>0</v>
      </c>
      <c r="AX909" s="24">
        <f t="shared" ca="1" si="739"/>
        <v>0</v>
      </c>
      <c r="AY909" s="24">
        <f t="shared" ca="1" si="740"/>
        <v>0</v>
      </c>
      <c r="AZ909" s="24">
        <f t="shared" ca="1" si="741"/>
        <v>0</v>
      </c>
      <c r="BA909" s="25">
        <f t="shared" ca="1" si="742"/>
        <v>0</v>
      </c>
      <c r="BB909" s="23">
        <f t="array" aca="1" ref="BB909" ca="1">SUM(IF(w_start_date&lt;=AO909,1,0)*IF(w_end_date&gt;=AO909,1,0)*w_amount*(1+w_escalation/100)^(INT((AP909-w_months_since_start)/12))*IF(MOD(AP909-w_months_since_start,w_frequency)=0,1,0)*IF(w_frequency=13,0,1))+SUM(IF(w_start_date=AO909,w_amount,0)*IF(w_frequency=13,1,0))</f>
        <v>0</v>
      </c>
      <c r="BC909" s="25">
        <f t="shared" ca="1" si="743"/>
        <v>0</v>
      </c>
      <c r="BD909" s="24" t="b">
        <f t="shared" ca="1" si="744"/>
        <v>1</v>
      </c>
      <c r="BE909" s="24" t="b">
        <f t="shared" ca="1" si="745"/>
        <v>1</v>
      </c>
      <c r="BF909" s="23">
        <f t="array" aca="1" ref="BF909" ca="1">SUM(IF(BD909,1,0)*IF(ap_start_date&lt;=AO909,1,0)*IF(ap_end_date&gt;=AO909,1,0)*ap_amount*(1+ap_escalation/100)^(INT((AP909-ap_months_since_start)/12))*IF(MOD(AP909-ap_months_since_start,ap_frequency)=0,1,0))</f>
        <v>430726.66599624394</v>
      </c>
      <c r="BG909" s="24">
        <f t="shared" ca="1" si="746"/>
        <v>5168719.9919549292</v>
      </c>
      <c r="BH909" s="24">
        <f t="shared" ca="1" si="747"/>
        <v>132.00532544929982</v>
      </c>
      <c r="BI909">
        <f t="shared" ca="1" si="748"/>
        <v>0</v>
      </c>
      <c r="BJ909" s="24">
        <f t="shared" ca="1" si="749"/>
        <v>924.03727814509864</v>
      </c>
      <c r="BK909">
        <f t="shared" ca="1" si="750"/>
        <v>1</v>
      </c>
      <c r="BL909" s="25">
        <f t="shared" ca="1" si="751"/>
        <v>77.00310651209152</v>
      </c>
      <c r="BM909" s="32">
        <f t="shared" ca="1" si="730"/>
        <v>5160.8511861436546</v>
      </c>
      <c r="BN909" s="23">
        <f t="shared" ca="1" si="752"/>
        <v>0</v>
      </c>
      <c r="BO909" s="24">
        <f t="shared" ca="1" si="753"/>
        <v>0</v>
      </c>
      <c r="BP909" s="25">
        <f t="shared" ca="1" si="754"/>
        <v>0</v>
      </c>
      <c r="BQ909" s="34">
        <f t="shared" ca="1" si="755"/>
        <v>73081</v>
      </c>
      <c r="BR909" s="23">
        <f t="shared" ca="1" si="756"/>
        <v>5160.8511861436546</v>
      </c>
      <c r="BS909" s="24">
        <f t="shared" ca="1" si="757"/>
        <v>0</v>
      </c>
      <c r="BT909" s="24">
        <f t="shared" ca="1" si="722"/>
        <v>0</v>
      </c>
      <c r="BU909" s="24">
        <f t="shared" ca="1" si="758"/>
        <v>0</v>
      </c>
      <c r="BV909" s="24">
        <f t="shared" ca="1" si="723"/>
        <v>0</v>
      </c>
      <c r="BW909" s="24">
        <f t="shared" ca="1" si="759"/>
        <v>-77.00310651209152</v>
      </c>
      <c r="BX909" s="25">
        <f t="shared" ca="1" si="724"/>
        <v>-995.4505704489668</v>
      </c>
      <c r="BY909" s="23">
        <f t="shared" ca="1" si="731"/>
        <v>270.63377722770213</v>
      </c>
      <c r="BZ909" s="24">
        <f t="shared" ca="1" si="732"/>
        <v>0</v>
      </c>
      <c r="CA909" s="24">
        <f t="shared" ca="1" si="725"/>
        <v>0</v>
      </c>
      <c r="CB909" s="24">
        <f t="shared" ca="1" si="733"/>
        <v>0</v>
      </c>
      <c r="CC909" s="24">
        <f t="shared" ca="1" si="726"/>
        <v>0</v>
      </c>
      <c r="CD909" s="24">
        <f t="shared" ca="1" si="734"/>
        <v>-4.0512435610304367</v>
      </c>
      <c r="CE909" s="25">
        <f t="shared" ca="1" si="727"/>
        <v>-53.344127109585266</v>
      </c>
      <c r="CF909" s="23">
        <f t="shared" ca="1" si="728"/>
        <v>5019622.2998793051</v>
      </c>
      <c r="CG909" s="25">
        <f t="array" aca="1" ref="CG909" ca="1">SUM(BF898:BF909/(1+inflation/100)^(AP898:AP909/12))</f>
        <v>267980.53702225385</v>
      </c>
      <c r="CH909" s="32">
        <f ca="1">IFERROR(IF(MOD(AP909-ap_months_since_start,12)=0,ap_drawdown/100*(AQ909+AV909+BA909-BC909),CH908),0)</f>
        <v>811.53770226019628</v>
      </c>
    </row>
    <row r="910" spans="40:86" x14ac:dyDescent="0.25">
      <c r="AN910" s="32">
        <f t="shared" ca="1" si="729"/>
        <v>130.08333333333334</v>
      </c>
      <c r="AO910" s="53">
        <f t="shared" ca="1" si="760"/>
        <v>73082</v>
      </c>
      <c r="AP910" s="22">
        <v>903</v>
      </c>
      <c r="AQ910" s="32">
        <f t="shared" ca="1" si="761"/>
        <v>5160.8511861436546</v>
      </c>
      <c r="AR910" s="23">
        <f t="array" aca="1" ref="AR910" ca="1">SUM(IF(lsc_start_date=AO910,lsc_amount,0))</f>
        <v>0</v>
      </c>
      <c r="AS910" s="24">
        <f t="shared" ca="1" si="735"/>
        <v>0</v>
      </c>
      <c r="AT910" s="24">
        <f t="shared" ca="1" si="736"/>
        <v>0</v>
      </c>
      <c r="AU910" s="24">
        <f t="shared" ca="1" si="737"/>
        <v>0</v>
      </c>
      <c r="AV910" s="25">
        <f t="shared" ca="1" si="738"/>
        <v>0</v>
      </c>
      <c r="AW910" s="23">
        <f t="array" aca="1" ref="AW910" ca="1">SUM(IF(rcs_start_date&lt;=AO910,1,0)*IF(rcs_end_date&gt;=AO910,1,0)*rcs_amount*(1+rcs_escalation/100)^(INT((AP910-rcs_months_since_start)/12))*IF(MOD((AP910-rcs_months_since_start),rcs_frequency)=0,1,0)*IF(rcs_frequency=13,0,1))+SUM(IF(rcs_start_date=AO910,rcs_amount,0)*IF(rcs_frequency=13,1,0))</f>
        <v>0</v>
      </c>
      <c r="AX910" s="24">
        <f t="shared" ca="1" si="739"/>
        <v>0</v>
      </c>
      <c r="AY910" s="24">
        <f t="shared" ca="1" si="740"/>
        <v>0</v>
      </c>
      <c r="AZ910" s="24">
        <f t="shared" ca="1" si="741"/>
        <v>0</v>
      </c>
      <c r="BA910" s="25">
        <f t="shared" ca="1" si="742"/>
        <v>0</v>
      </c>
      <c r="BB910" s="23">
        <f t="array" aca="1" ref="BB910" ca="1">SUM(IF(w_start_date&lt;=AO910,1,0)*IF(w_end_date&gt;=AO910,1,0)*w_amount*(1+w_escalation/100)^(INT((AP910-w_months_since_start)/12))*IF(MOD(AP910-w_months_since_start,w_frequency)=0,1,0)*IF(w_frequency=13,0,1))+SUM(IF(w_start_date=AO910,w_amount,0)*IF(w_frequency=13,1,0))</f>
        <v>0</v>
      </c>
      <c r="BC910" s="25">
        <f t="shared" ca="1" si="743"/>
        <v>0</v>
      </c>
      <c r="BD910" s="24" t="b">
        <f t="shared" ca="1" si="744"/>
        <v>1</v>
      </c>
      <c r="BE910" s="24" t="b">
        <f t="shared" ca="1" si="745"/>
        <v>1</v>
      </c>
      <c r="BF910" s="23">
        <f t="array" aca="1" ref="BF910" ca="1">SUM(IF(BD910,1,0)*IF(ap_start_date&lt;=AO910,1,0)*IF(ap_end_date&gt;=AO910,1,0)*ap_amount*(1+ap_escalation/100)^(INT((AP910-ap_months_since_start)/12))*IF(MOD(AP910-ap_months_since_start,ap_frequency)=0,1,0))</f>
        <v>430726.66599624394</v>
      </c>
      <c r="BG910" s="24">
        <f t="shared" ca="1" si="746"/>
        <v>5168719.9919549292</v>
      </c>
      <c r="BH910" s="24">
        <f t="shared" ca="1" si="747"/>
        <v>132.00532544929982</v>
      </c>
      <c r="BI910">
        <f t="shared" ca="1" si="748"/>
        <v>0</v>
      </c>
      <c r="BJ910" s="24">
        <f t="shared" ca="1" si="749"/>
        <v>924.03727814509864</v>
      </c>
      <c r="BK910">
        <f t="shared" ca="1" si="750"/>
        <v>1</v>
      </c>
      <c r="BL910" s="25">
        <f t="shared" ca="1" si="751"/>
        <v>77.00310651209152</v>
      </c>
      <c r="BM910" s="32">
        <f t="shared" ca="1" si="730"/>
        <v>5120.4890164315893</v>
      </c>
      <c r="BN910" s="23">
        <f t="shared" ca="1" si="752"/>
        <v>0</v>
      </c>
      <c r="BO910" s="24">
        <f t="shared" ca="1" si="753"/>
        <v>0</v>
      </c>
      <c r="BP910" s="25">
        <f t="shared" ca="1" si="754"/>
        <v>0</v>
      </c>
      <c r="BQ910" s="34">
        <f t="shared" ca="1" si="755"/>
        <v>73109</v>
      </c>
      <c r="BR910" s="23">
        <f t="shared" ca="1" si="756"/>
        <v>5120.4890164315893</v>
      </c>
      <c r="BS910" s="24">
        <f t="shared" ca="1" si="757"/>
        <v>0</v>
      </c>
      <c r="BT910" s="24">
        <f t="shared" ca="1" si="722"/>
        <v>0</v>
      </c>
      <c r="BU910" s="24">
        <f t="shared" ca="1" si="758"/>
        <v>0</v>
      </c>
      <c r="BV910" s="24">
        <f t="shared" ca="1" si="723"/>
        <v>0</v>
      </c>
      <c r="BW910" s="24">
        <f t="shared" ca="1" si="759"/>
        <v>-77.00310651209152</v>
      </c>
      <c r="BX910" s="25">
        <f t="shared" ca="1" si="724"/>
        <v>-987.51576019298147</v>
      </c>
      <c r="BY910" s="23">
        <f t="shared" ca="1" si="731"/>
        <v>267.64100787938526</v>
      </c>
      <c r="BZ910" s="24">
        <f t="shared" ca="1" si="732"/>
        <v>0</v>
      </c>
      <c r="CA910" s="24">
        <f t="shared" ca="1" si="725"/>
        <v>0</v>
      </c>
      <c r="CB910" s="24">
        <f t="shared" ca="1" si="733"/>
        <v>0</v>
      </c>
      <c r="CC910" s="24">
        <f t="shared" ca="1" si="726"/>
        <v>0</v>
      </c>
      <c r="CD910" s="24">
        <f t="shared" ca="1" si="734"/>
        <v>-4.0380241208246135</v>
      </c>
      <c r="CE910" s="25">
        <f t="shared" ca="1" si="727"/>
        <v>-52.74986265003475</v>
      </c>
      <c r="CF910" s="23">
        <f t="shared" ca="1" si="728"/>
        <v>5036188.7101099296</v>
      </c>
      <c r="CG910" s="25">
        <f t="array" aca="1" ref="CG910" ca="1">SUM(BF899:BF910/(1+inflation/100)^(AP899:AP910/12))</f>
        <v>267980.53702225385</v>
      </c>
      <c r="CH910" s="32">
        <f ca="1">IFERROR(IF(MOD(AP910-ap_months_since_start,12)=0,ap_drawdown/100*(AQ910+AV910+BA910-BC910),CH909),0)</f>
        <v>811.53770226019628</v>
      </c>
    </row>
    <row r="911" spans="40:86" x14ac:dyDescent="0.25">
      <c r="AN911" s="32">
        <f t="shared" ca="1" si="729"/>
        <v>130.16666666666666</v>
      </c>
      <c r="AO911" s="53">
        <f t="shared" ca="1" si="760"/>
        <v>73110</v>
      </c>
      <c r="AP911" s="22">
        <v>904</v>
      </c>
      <c r="AQ911" s="32">
        <f t="shared" ca="1" si="761"/>
        <v>5120.4890164315893</v>
      </c>
      <c r="AR911" s="23">
        <f t="array" aca="1" ref="AR911" ca="1">SUM(IF(lsc_start_date=AO911,lsc_amount,0))</f>
        <v>0</v>
      </c>
      <c r="AS911" s="24">
        <f t="shared" ca="1" si="735"/>
        <v>0</v>
      </c>
      <c r="AT911" s="24">
        <f t="shared" ca="1" si="736"/>
        <v>0</v>
      </c>
      <c r="AU911" s="24">
        <f t="shared" ca="1" si="737"/>
        <v>0</v>
      </c>
      <c r="AV911" s="25">
        <f t="shared" ca="1" si="738"/>
        <v>0</v>
      </c>
      <c r="AW911" s="23">
        <f t="array" aca="1" ref="AW911" ca="1">SUM(IF(rcs_start_date&lt;=AO911,1,0)*IF(rcs_end_date&gt;=AO911,1,0)*rcs_amount*(1+rcs_escalation/100)^(INT((AP911-rcs_months_since_start)/12))*IF(MOD((AP911-rcs_months_since_start),rcs_frequency)=0,1,0)*IF(rcs_frequency=13,0,1))+SUM(IF(rcs_start_date=AO911,rcs_amount,0)*IF(rcs_frequency=13,1,0))</f>
        <v>0</v>
      </c>
      <c r="AX911" s="24">
        <f t="shared" ca="1" si="739"/>
        <v>0</v>
      </c>
      <c r="AY911" s="24">
        <f t="shared" ca="1" si="740"/>
        <v>0</v>
      </c>
      <c r="AZ911" s="24">
        <f t="shared" ca="1" si="741"/>
        <v>0</v>
      </c>
      <c r="BA911" s="25">
        <f t="shared" ca="1" si="742"/>
        <v>0</v>
      </c>
      <c r="BB911" s="23">
        <f t="array" aca="1" ref="BB911" ca="1">SUM(IF(w_start_date&lt;=AO911,1,0)*IF(w_end_date&gt;=AO911,1,0)*w_amount*(1+w_escalation/100)^(INT((AP911-w_months_since_start)/12))*IF(MOD(AP911-w_months_since_start,w_frequency)=0,1,0)*IF(w_frequency=13,0,1))+SUM(IF(w_start_date=AO911,w_amount,0)*IF(w_frequency=13,1,0))</f>
        <v>0</v>
      </c>
      <c r="BC911" s="25">
        <f t="shared" ca="1" si="743"/>
        <v>0</v>
      </c>
      <c r="BD911" s="24" t="b">
        <f t="shared" ca="1" si="744"/>
        <v>1</v>
      </c>
      <c r="BE911" s="24" t="b">
        <f t="shared" ca="1" si="745"/>
        <v>1</v>
      </c>
      <c r="BF911" s="23">
        <f t="array" aca="1" ref="BF911" ca="1">SUM(IF(BD911,1,0)*IF(ap_start_date&lt;=AO911,1,0)*IF(ap_end_date&gt;=AO911,1,0)*ap_amount*(1+ap_escalation/100)^(INT((AP911-ap_months_since_start)/12))*IF(MOD(AP911-ap_months_since_start,ap_frequency)=0,1,0))</f>
        <v>430726.66599624394</v>
      </c>
      <c r="BG911" s="24">
        <f t="shared" ca="1" si="746"/>
        <v>5168719.9919549292</v>
      </c>
      <c r="BH911" s="24">
        <f t="shared" ca="1" si="747"/>
        <v>132.00532544929982</v>
      </c>
      <c r="BI911">
        <f t="shared" ca="1" si="748"/>
        <v>0</v>
      </c>
      <c r="BJ911" s="24">
        <f t="shared" ca="1" si="749"/>
        <v>924.03727814509864</v>
      </c>
      <c r="BK911">
        <f t="shared" ca="1" si="750"/>
        <v>1</v>
      </c>
      <c r="BL911" s="25">
        <f t="shared" ca="1" si="751"/>
        <v>77.00310651209152</v>
      </c>
      <c r="BM911" s="32">
        <f t="shared" ca="1" si="730"/>
        <v>5079.8359435126677</v>
      </c>
      <c r="BN911" s="23">
        <f t="shared" ca="1" si="752"/>
        <v>0</v>
      </c>
      <c r="BO911" s="24">
        <f t="shared" ca="1" si="753"/>
        <v>0</v>
      </c>
      <c r="BP911" s="25">
        <f t="shared" ca="1" si="754"/>
        <v>0</v>
      </c>
      <c r="BQ911" s="34">
        <f t="shared" ca="1" si="755"/>
        <v>73140</v>
      </c>
      <c r="BR911" s="23">
        <f t="shared" ca="1" si="756"/>
        <v>5079.8359435126677</v>
      </c>
      <c r="BS911" s="24">
        <f t="shared" ca="1" si="757"/>
        <v>0</v>
      </c>
      <c r="BT911" s="24">
        <f t="shared" ca="1" si="722"/>
        <v>0</v>
      </c>
      <c r="BU911" s="24">
        <f t="shared" ca="1" si="758"/>
        <v>0</v>
      </c>
      <c r="BV911" s="24">
        <f t="shared" ca="1" si="723"/>
        <v>0</v>
      </c>
      <c r="BW911" s="24">
        <f t="shared" ca="1" si="759"/>
        <v>-77.00310651209152</v>
      </c>
      <c r="BX911" s="25">
        <f t="shared" ca="1" si="724"/>
        <v>-979.58094993699615</v>
      </c>
      <c r="BY911" s="23">
        <f t="shared" ca="1" si="731"/>
        <v>264.64973260193966</v>
      </c>
      <c r="BZ911" s="24">
        <f t="shared" ca="1" si="732"/>
        <v>0</v>
      </c>
      <c r="CA911" s="24">
        <f t="shared" ca="1" si="725"/>
        <v>0</v>
      </c>
      <c r="CB911" s="24">
        <f t="shared" ca="1" si="733"/>
        <v>0</v>
      </c>
      <c r="CC911" s="24">
        <f t="shared" ca="1" si="726"/>
        <v>0</v>
      </c>
      <c r="CD911" s="24">
        <f t="shared" ca="1" si="734"/>
        <v>-4.024847816410734</v>
      </c>
      <c r="CE911" s="25">
        <f t="shared" ca="1" si="727"/>
        <v>-52.15753730951549</v>
      </c>
      <c r="CF911" s="23">
        <f t="shared" ca="1" si="728"/>
        <v>5052755.120340555</v>
      </c>
      <c r="CG911" s="25">
        <f t="array" aca="1" ref="CG911" ca="1">SUM(BF900:BF911/(1+inflation/100)^(AP900:AP911/12))</f>
        <v>267980.53702225385</v>
      </c>
      <c r="CH911" s="32">
        <f ca="1">IFERROR(IF(MOD(AP911-ap_months_since_start,12)=0,ap_drawdown/100*(AQ911+AV911+BA911-BC911),CH910),0)</f>
        <v>811.53770226019628</v>
      </c>
    </row>
    <row r="912" spans="40:86" x14ac:dyDescent="0.25">
      <c r="AN912" s="32">
        <f t="shared" ca="1" si="729"/>
        <v>130.25</v>
      </c>
      <c r="AO912" s="53">
        <f t="shared" ca="1" si="760"/>
        <v>73141</v>
      </c>
      <c r="AP912" s="22">
        <v>905</v>
      </c>
      <c r="AQ912" s="32">
        <f t="shared" ca="1" si="761"/>
        <v>5079.8359435126677</v>
      </c>
      <c r="AR912" s="23">
        <f t="array" aca="1" ref="AR912" ca="1">SUM(IF(lsc_start_date=AO912,lsc_amount,0))</f>
        <v>0</v>
      </c>
      <c r="AS912" s="24">
        <f t="shared" ca="1" si="735"/>
        <v>0</v>
      </c>
      <c r="AT912" s="24">
        <f t="shared" ca="1" si="736"/>
        <v>0</v>
      </c>
      <c r="AU912" s="24">
        <f t="shared" ca="1" si="737"/>
        <v>0</v>
      </c>
      <c r="AV912" s="25">
        <f t="shared" ca="1" si="738"/>
        <v>0</v>
      </c>
      <c r="AW912" s="23">
        <f t="array" aca="1" ref="AW912" ca="1">SUM(IF(rcs_start_date&lt;=AO912,1,0)*IF(rcs_end_date&gt;=AO912,1,0)*rcs_amount*(1+rcs_escalation/100)^(INT((AP912-rcs_months_since_start)/12))*IF(MOD((AP912-rcs_months_since_start),rcs_frequency)=0,1,0)*IF(rcs_frequency=13,0,1))+SUM(IF(rcs_start_date=AO912,rcs_amount,0)*IF(rcs_frequency=13,1,0))</f>
        <v>0</v>
      </c>
      <c r="AX912" s="24">
        <f t="shared" ca="1" si="739"/>
        <v>0</v>
      </c>
      <c r="AY912" s="24">
        <f t="shared" ca="1" si="740"/>
        <v>0</v>
      </c>
      <c r="AZ912" s="24">
        <f t="shared" ca="1" si="741"/>
        <v>0</v>
      </c>
      <c r="BA912" s="25">
        <f t="shared" ca="1" si="742"/>
        <v>0</v>
      </c>
      <c r="BB912" s="23">
        <f t="array" aca="1" ref="BB912" ca="1">SUM(IF(w_start_date&lt;=AO912,1,0)*IF(w_end_date&gt;=AO912,1,0)*w_amount*(1+w_escalation/100)^(INT((AP912-w_months_since_start)/12))*IF(MOD(AP912-w_months_since_start,w_frequency)=0,1,0)*IF(w_frequency=13,0,1))+SUM(IF(w_start_date=AO912,w_amount,0)*IF(w_frequency=13,1,0))</f>
        <v>0</v>
      </c>
      <c r="BC912" s="25">
        <f t="shared" ca="1" si="743"/>
        <v>0</v>
      </c>
      <c r="BD912" s="24" t="b">
        <f t="shared" ca="1" si="744"/>
        <v>1</v>
      </c>
      <c r="BE912" s="24" t="b">
        <f t="shared" ca="1" si="745"/>
        <v>1</v>
      </c>
      <c r="BF912" s="23">
        <f t="array" aca="1" ref="BF912" ca="1">SUM(IF(BD912,1,0)*IF(ap_start_date&lt;=AO912,1,0)*IF(ap_end_date&gt;=AO912,1,0)*ap_amount*(1+ap_escalation/100)^(INT((AP912-ap_months_since_start)/12))*IF(MOD(AP912-ap_months_since_start,ap_frequency)=0,1,0))</f>
        <v>430726.66599624394</v>
      </c>
      <c r="BG912" s="24">
        <f t="shared" ca="1" si="746"/>
        <v>5168719.9919549292</v>
      </c>
      <c r="BH912" s="24">
        <f t="shared" ca="1" si="747"/>
        <v>132.00532544929982</v>
      </c>
      <c r="BI912">
        <f t="shared" ca="1" si="748"/>
        <v>0</v>
      </c>
      <c r="BJ912" s="24">
        <f t="shared" ca="1" si="749"/>
        <v>924.03727814509864</v>
      </c>
      <c r="BK912">
        <f t="shared" ca="1" si="750"/>
        <v>1</v>
      </c>
      <c r="BL912" s="25">
        <f t="shared" ca="1" si="751"/>
        <v>77.00310651209152</v>
      </c>
      <c r="BM912" s="32">
        <f t="shared" ca="1" si="730"/>
        <v>5038.8898707534254</v>
      </c>
      <c r="BN912" s="23">
        <f t="shared" ca="1" si="752"/>
        <v>0</v>
      </c>
      <c r="BO912" s="24">
        <f t="shared" ca="1" si="753"/>
        <v>0</v>
      </c>
      <c r="BP912" s="25">
        <f t="shared" ca="1" si="754"/>
        <v>0</v>
      </c>
      <c r="BQ912" s="34">
        <f t="shared" ca="1" si="755"/>
        <v>73170</v>
      </c>
      <c r="BR912" s="23">
        <f t="shared" ca="1" si="756"/>
        <v>5038.8898707534254</v>
      </c>
      <c r="BS912" s="24">
        <f t="shared" ca="1" si="757"/>
        <v>0</v>
      </c>
      <c r="BT912" s="24">
        <f t="shared" ca="1" si="722"/>
        <v>0</v>
      </c>
      <c r="BU912" s="24">
        <f t="shared" ca="1" si="758"/>
        <v>0</v>
      </c>
      <c r="BV912" s="24">
        <f t="shared" ca="1" si="723"/>
        <v>0</v>
      </c>
      <c r="BW912" s="24">
        <f t="shared" ca="1" si="759"/>
        <v>-77.00310651209152</v>
      </c>
      <c r="BX912" s="25">
        <f t="shared" ca="1" si="724"/>
        <v>-971.64613968101082</v>
      </c>
      <c r="BY912" s="23">
        <f t="shared" ca="1" si="731"/>
        <v>261.65991408963038</v>
      </c>
      <c r="BZ912" s="24">
        <f t="shared" ca="1" si="732"/>
        <v>0</v>
      </c>
      <c r="CA912" s="24">
        <f t="shared" ca="1" si="725"/>
        <v>0</v>
      </c>
      <c r="CB912" s="24">
        <f t="shared" ca="1" si="733"/>
        <v>0</v>
      </c>
      <c r="CC912" s="24">
        <f t="shared" ca="1" si="726"/>
        <v>0</v>
      </c>
      <c r="CD912" s="24">
        <f t="shared" ca="1" si="734"/>
        <v>-4.0117145070342328</v>
      </c>
      <c r="CE912" s="25">
        <f t="shared" ca="1" si="727"/>
        <v>-51.567144760570827</v>
      </c>
      <c r="CF912" s="23">
        <f t="shared" ca="1" si="728"/>
        <v>5069321.5305711795</v>
      </c>
      <c r="CG912" s="25">
        <f t="array" aca="1" ref="CG912" ca="1">SUM(BF901:BF912/(1+inflation/100)^(AP901:AP912/12))</f>
        <v>267980.53702225391</v>
      </c>
      <c r="CH912" s="32">
        <f ca="1">IFERROR(IF(MOD(AP912-ap_months_since_start,12)=0,ap_drawdown/100*(AQ912+AV912+BA912-BC912),CH911),0)</f>
        <v>811.53770226019628</v>
      </c>
    </row>
    <row r="913" spans="40:86" x14ac:dyDescent="0.25">
      <c r="AN913" s="32">
        <f t="shared" ca="1" si="729"/>
        <v>130.33333333333334</v>
      </c>
      <c r="AO913" s="53">
        <f t="shared" ca="1" si="760"/>
        <v>73171</v>
      </c>
      <c r="AP913" s="22">
        <v>906</v>
      </c>
      <c r="AQ913" s="32">
        <f t="shared" ca="1" si="761"/>
        <v>5038.8898707534254</v>
      </c>
      <c r="AR913" s="23">
        <f t="array" aca="1" ref="AR913" ca="1">SUM(IF(lsc_start_date=AO913,lsc_amount,0))</f>
        <v>0</v>
      </c>
      <c r="AS913" s="24">
        <f t="shared" ca="1" si="735"/>
        <v>0</v>
      </c>
      <c r="AT913" s="24">
        <f t="shared" ca="1" si="736"/>
        <v>0</v>
      </c>
      <c r="AU913" s="24">
        <f t="shared" ca="1" si="737"/>
        <v>0</v>
      </c>
      <c r="AV913" s="25">
        <f t="shared" ca="1" si="738"/>
        <v>0</v>
      </c>
      <c r="AW913" s="23">
        <f t="array" aca="1" ref="AW913" ca="1">SUM(IF(rcs_start_date&lt;=AO913,1,0)*IF(rcs_end_date&gt;=AO913,1,0)*rcs_amount*(1+rcs_escalation/100)^(INT((AP913-rcs_months_since_start)/12))*IF(MOD((AP913-rcs_months_since_start),rcs_frequency)=0,1,0)*IF(rcs_frequency=13,0,1))+SUM(IF(rcs_start_date=AO913,rcs_amount,0)*IF(rcs_frequency=13,1,0))</f>
        <v>0</v>
      </c>
      <c r="AX913" s="24">
        <f t="shared" ca="1" si="739"/>
        <v>0</v>
      </c>
      <c r="AY913" s="24">
        <f t="shared" ca="1" si="740"/>
        <v>0</v>
      </c>
      <c r="AZ913" s="24">
        <f t="shared" ca="1" si="741"/>
        <v>0</v>
      </c>
      <c r="BA913" s="25">
        <f t="shared" ca="1" si="742"/>
        <v>0</v>
      </c>
      <c r="BB913" s="23">
        <f t="array" aca="1" ref="BB913" ca="1">SUM(IF(w_start_date&lt;=AO913,1,0)*IF(w_end_date&gt;=AO913,1,0)*w_amount*(1+w_escalation/100)^(INT((AP913-w_months_since_start)/12))*IF(MOD(AP913-w_months_since_start,w_frequency)=0,1,0)*IF(w_frequency=13,0,1))+SUM(IF(w_start_date=AO913,w_amount,0)*IF(w_frequency=13,1,0))</f>
        <v>0</v>
      </c>
      <c r="BC913" s="25">
        <f t="shared" ca="1" si="743"/>
        <v>0</v>
      </c>
      <c r="BD913" s="24" t="b">
        <f t="shared" ca="1" si="744"/>
        <v>1</v>
      </c>
      <c r="BE913" s="24" t="b">
        <f t="shared" ca="1" si="745"/>
        <v>1</v>
      </c>
      <c r="BF913" s="23">
        <f t="array" aca="1" ref="BF913" ca="1">SUM(IF(BD913,1,0)*IF(ap_start_date&lt;=AO913,1,0)*IF(ap_end_date&gt;=AO913,1,0)*ap_amount*(1+ap_escalation/100)^(INT((AP913-ap_months_since_start)/12))*IF(MOD(AP913-ap_months_since_start,ap_frequency)=0,1,0))</f>
        <v>430726.66599624394</v>
      </c>
      <c r="BG913" s="24">
        <f t="shared" ca="1" si="746"/>
        <v>5168719.9919549292</v>
      </c>
      <c r="BH913" s="24">
        <f t="shared" ca="1" si="747"/>
        <v>132.00532544929982</v>
      </c>
      <c r="BI913">
        <f t="shared" ca="1" si="748"/>
        <v>0</v>
      </c>
      <c r="BJ913" s="24">
        <f t="shared" ca="1" si="749"/>
        <v>924.03727814509864</v>
      </c>
      <c r="BK913">
        <f t="shared" ca="1" si="750"/>
        <v>1</v>
      </c>
      <c r="BL913" s="25">
        <f t="shared" ca="1" si="751"/>
        <v>77.00310651209152</v>
      </c>
      <c r="BM913" s="32">
        <f t="shared" ca="1" si="730"/>
        <v>4997.6486864092813</v>
      </c>
      <c r="BN913" s="23">
        <f t="shared" ca="1" si="752"/>
        <v>0</v>
      </c>
      <c r="BO913" s="24">
        <f t="shared" ca="1" si="753"/>
        <v>0</v>
      </c>
      <c r="BP913" s="25">
        <f t="shared" ca="1" si="754"/>
        <v>0</v>
      </c>
      <c r="BQ913" s="34">
        <f t="shared" ca="1" si="755"/>
        <v>73201</v>
      </c>
      <c r="BR913" s="23">
        <f t="shared" ca="1" si="756"/>
        <v>4997.6486864092813</v>
      </c>
      <c r="BS913" s="24">
        <f t="shared" ca="1" si="757"/>
        <v>0</v>
      </c>
      <c r="BT913" s="24">
        <f t="shared" ca="1" si="722"/>
        <v>0</v>
      </c>
      <c r="BU913" s="24">
        <f t="shared" ca="1" si="758"/>
        <v>0</v>
      </c>
      <c r="BV913" s="24">
        <f t="shared" ca="1" si="723"/>
        <v>0</v>
      </c>
      <c r="BW913" s="24">
        <f t="shared" ca="1" si="759"/>
        <v>-77.00310651209152</v>
      </c>
      <c r="BX913" s="25">
        <f t="shared" ca="1" si="724"/>
        <v>-963.71132942502538</v>
      </c>
      <c r="BY913" s="23">
        <f t="shared" ca="1" si="731"/>
        <v>258.67151503130219</v>
      </c>
      <c r="BZ913" s="24">
        <f t="shared" ca="1" si="732"/>
        <v>0</v>
      </c>
      <c r="CA913" s="24">
        <f t="shared" ca="1" si="725"/>
        <v>0</v>
      </c>
      <c r="CB913" s="24">
        <f t="shared" ca="1" si="733"/>
        <v>0</v>
      </c>
      <c r="CC913" s="24">
        <f t="shared" ca="1" si="726"/>
        <v>0</v>
      </c>
      <c r="CD913" s="24">
        <f t="shared" ca="1" si="734"/>
        <v>-3.9986240523998315</v>
      </c>
      <c r="CE913" s="25">
        <f t="shared" ca="1" si="727"/>
        <v>-50.978678696390944</v>
      </c>
      <c r="CF913" s="23">
        <f t="shared" ca="1" si="728"/>
        <v>5085887.9408018049</v>
      </c>
      <c r="CG913" s="25">
        <f t="array" aca="1" ref="CG913" ca="1">SUM(BF902:BF913/(1+inflation/100)^(AP902:AP913/12))</f>
        <v>267980.53702225385</v>
      </c>
      <c r="CH913" s="32">
        <f ca="1">IFERROR(IF(MOD(AP913-ap_months_since_start,12)=0,ap_drawdown/100*(AQ913+AV913+BA913-BC913),CH912),0)</f>
        <v>811.53770226019628</v>
      </c>
    </row>
    <row r="914" spans="40:86" x14ac:dyDescent="0.25">
      <c r="AN914" s="32">
        <f t="shared" ca="1" si="729"/>
        <v>130.41666666666666</v>
      </c>
      <c r="AO914" s="53">
        <f t="shared" ca="1" si="760"/>
        <v>73202</v>
      </c>
      <c r="AP914" s="22">
        <v>907</v>
      </c>
      <c r="AQ914" s="32">
        <f t="shared" ca="1" si="761"/>
        <v>4997.6486864092813</v>
      </c>
      <c r="AR914" s="23">
        <f t="array" aca="1" ref="AR914" ca="1">SUM(IF(lsc_start_date=AO914,lsc_amount,0))</f>
        <v>0</v>
      </c>
      <c r="AS914" s="24">
        <f t="shared" ca="1" si="735"/>
        <v>0</v>
      </c>
      <c r="AT914" s="24">
        <f t="shared" ca="1" si="736"/>
        <v>0</v>
      </c>
      <c r="AU914" s="24">
        <f t="shared" ca="1" si="737"/>
        <v>0</v>
      </c>
      <c r="AV914" s="25">
        <f t="shared" ca="1" si="738"/>
        <v>0</v>
      </c>
      <c r="AW914" s="23">
        <f t="array" aca="1" ref="AW914" ca="1">SUM(IF(rcs_start_date&lt;=AO914,1,0)*IF(rcs_end_date&gt;=AO914,1,0)*rcs_amount*(1+rcs_escalation/100)^(INT((AP914-rcs_months_since_start)/12))*IF(MOD((AP914-rcs_months_since_start),rcs_frequency)=0,1,0)*IF(rcs_frequency=13,0,1))+SUM(IF(rcs_start_date=AO914,rcs_amount,0)*IF(rcs_frequency=13,1,0))</f>
        <v>0</v>
      </c>
      <c r="AX914" s="24">
        <f t="shared" ca="1" si="739"/>
        <v>0</v>
      </c>
      <c r="AY914" s="24">
        <f t="shared" ca="1" si="740"/>
        <v>0</v>
      </c>
      <c r="AZ914" s="24">
        <f t="shared" ca="1" si="741"/>
        <v>0</v>
      </c>
      <c r="BA914" s="25">
        <f t="shared" ca="1" si="742"/>
        <v>0</v>
      </c>
      <c r="BB914" s="23">
        <f t="array" aca="1" ref="BB914" ca="1">SUM(IF(w_start_date&lt;=AO914,1,0)*IF(w_end_date&gt;=AO914,1,0)*w_amount*(1+w_escalation/100)^(INT((AP914-w_months_since_start)/12))*IF(MOD(AP914-w_months_since_start,w_frequency)=0,1,0)*IF(w_frequency=13,0,1))+SUM(IF(w_start_date=AO914,w_amount,0)*IF(w_frequency=13,1,0))</f>
        <v>0</v>
      </c>
      <c r="BC914" s="25">
        <f t="shared" ca="1" si="743"/>
        <v>0</v>
      </c>
      <c r="BD914" s="24" t="b">
        <f t="shared" ca="1" si="744"/>
        <v>1</v>
      </c>
      <c r="BE914" s="24" t="b">
        <f t="shared" ca="1" si="745"/>
        <v>1</v>
      </c>
      <c r="BF914" s="23">
        <f t="array" aca="1" ref="BF914" ca="1">SUM(IF(BD914,1,0)*IF(ap_start_date&lt;=AO914,1,0)*IF(ap_end_date&gt;=AO914,1,0)*ap_amount*(1+ap_escalation/100)^(INT((AP914-ap_months_since_start)/12))*IF(MOD(AP914-ap_months_since_start,ap_frequency)=0,1,0))</f>
        <v>430726.66599624394</v>
      </c>
      <c r="BG914" s="24">
        <f t="shared" ca="1" si="746"/>
        <v>5168719.9919549292</v>
      </c>
      <c r="BH914" s="24">
        <f t="shared" ca="1" si="747"/>
        <v>132.00532544929982</v>
      </c>
      <c r="BI914">
        <f t="shared" ca="1" si="748"/>
        <v>0</v>
      </c>
      <c r="BJ914" s="24">
        <f t="shared" ca="1" si="749"/>
        <v>924.03727814509864</v>
      </c>
      <c r="BK914">
        <f t="shared" ca="1" si="750"/>
        <v>1</v>
      </c>
      <c r="BL914" s="25">
        <f t="shared" ca="1" si="751"/>
        <v>77.00310651209152</v>
      </c>
      <c r="BM914" s="32">
        <f t="shared" ca="1" si="730"/>
        <v>4956.1102635156285</v>
      </c>
      <c r="BN914" s="23">
        <f t="shared" ca="1" si="752"/>
        <v>0</v>
      </c>
      <c r="BO914" s="24">
        <f t="shared" ca="1" si="753"/>
        <v>0</v>
      </c>
      <c r="BP914" s="25">
        <f t="shared" ca="1" si="754"/>
        <v>0</v>
      </c>
      <c r="BQ914" s="34">
        <f t="shared" ca="1" si="755"/>
        <v>73231</v>
      </c>
      <c r="BR914" s="23">
        <f t="shared" ca="1" si="756"/>
        <v>4956.1102635156285</v>
      </c>
      <c r="BS914" s="24">
        <f t="shared" ca="1" si="757"/>
        <v>0</v>
      </c>
      <c r="BT914" s="24">
        <f t="shared" ca="1" si="722"/>
        <v>0</v>
      </c>
      <c r="BU914" s="24">
        <f t="shared" ca="1" si="758"/>
        <v>0</v>
      </c>
      <c r="BV914" s="24">
        <f t="shared" ca="1" si="723"/>
        <v>0</v>
      </c>
      <c r="BW914" s="24">
        <f t="shared" ca="1" si="759"/>
        <v>-77.00310651209152</v>
      </c>
      <c r="BX914" s="25">
        <f t="shared" ca="1" si="724"/>
        <v>-955.77651916904006</v>
      </c>
      <c r="BY914" s="23">
        <f t="shared" ca="1" si="731"/>
        <v>255.68449810989731</v>
      </c>
      <c r="BZ914" s="24">
        <f t="shared" ca="1" si="732"/>
        <v>0</v>
      </c>
      <c r="CA914" s="24">
        <f t="shared" ca="1" si="725"/>
        <v>0</v>
      </c>
      <c r="CB914" s="24">
        <f t="shared" ca="1" si="733"/>
        <v>0</v>
      </c>
      <c r="CC914" s="24">
        <f t="shared" ca="1" si="726"/>
        <v>0</v>
      </c>
      <c r="CD914" s="24">
        <f t="shared" ca="1" si="734"/>
        <v>-3.9855763126700547</v>
      </c>
      <c r="CE914" s="25">
        <f t="shared" ca="1" si="727"/>
        <v>-50.39213283074551</v>
      </c>
      <c r="CF914" s="23">
        <f t="shared" ca="1" si="728"/>
        <v>5102454.3510324294</v>
      </c>
      <c r="CG914" s="25">
        <f t="array" aca="1" ref="CG914" ca="1">SUM(BF903:BF914/(1+inflation/100)^(AP903:AP914/12))</f>
        <v>267980.53702225385</v>
      </c>
      <c r="CH914" s="32">
        <f ca="1">IFERROR(IF(MOD(AP914-ap_months_since_start,12)=0,ap_drawdown/100*(AQ914+AV914+BA914-BC914),CH913),0)</f>
        <v>811.53770226019628</v>
      </c>
    </row>
    <row r="915" spans="40:86" x14ac:dyDescent="0.25">
      <c r="AN915" s="32">
        <f t="shared" ca="1" si="729"/>
        <v>130.5</v>
      </c>
      <c r="AO915" s="53">
        <f t="shared" ca="1" si="760"/>
        <v>73232</v>
      </c>
      <c r="AP915" s="22">
        <v>908</v>
      </c>
      <c r="AQ915" s="32">
        <f t="shared" ca="1" si="761"/>
        <v>4956.1102635156285</v>
      </c>
      <c r="AR915" s="23">
        <f t="array" aca="1" ref="AR915" ca="1">SUM(IF(lsc_start_date=AO915,lsc_amount,0))</f>
        <v>0</v>
      </c>
      <c r="AS915" s="24">
        <f t="shared" ca="1" si="735"/>
        <v>0</v>
      </c>
      <c r="AT915" s="24">
        <f t="shared" ca="1" si="736"/>
        <v>0</v>
      </c>
      <c r="AU915" s="24">
        <f t="shared" ca="1" si="737"/>
        <v>0</v>
      </c>
      <c r="AV915" s="25">
        <f t="shared" ca="1" si="738"/>
        <v>0</v>
      </c>
      <c r="AW915" s="23">
        <f t="array" aca="1" ref="AW915" ca="1">SUM(IF(rcs_start_date&lt;=AO915,1,0)*IF(rcs_end_date&gt;=AO915,1,0)*rcs_amount*(1+rcs_escalation/100)^(INT((AP915-rcs_months_since_start)/12))*IF(MOD((AP915-rcs_months_since_start),rcs_frequency)=0,1,0)*IF(rcs_frequency=13,0,1))+SUM(IF(rcs_start_date=AO915,rcs_amount,0)*IF(rcs_frequency=13,1,0))</f>
        <v>0</v>
      </c>
      <c r="AX915" s="24">
        <f t="shared" ca="1" si="739"/>
        <v>0</v>
      </c>
      <c r="AY915" s="24">
        <f t="shared" ca="1" si="740"/>
        <v>0</v>
      </c>
      <c r="AZ915" s="24">
        <f t="shared" ca="1" si="741"/>
        <v>0</v>
      </c>
      <c r="BA915" s="25">
        <f t="shared" ca="1" si="742"/>
        <v>0</v>
      </c>
      <c r="BB915" s="23">
        <f t="array" aca="1" ref="BB915" ca="1">SUM(IF(w_start_date&lt;=AO915,1,0)*IF(w_end_date&gt;=AO915,1,0)*w_amount*(1+w_escalation/100)^(INT((AP915-w_months_since_start)/12))*IF(MOD(AP915-w_months_since_start,w_frequency)=0,1,0)*IF(w_frequency=13,0,1))+SUM(IF(w_start_date=AO915,w_amount,0)*IF(w_frequency=13,1,0))</f>
        <v>0</v>
      </c>
      <c r="BC915" s="25">
        <f t="shared" ca="1" si="743"/>
        <v>0</v>
      </c>
      <c r="BD915" s="24" t="b">
        <f t="shared" ca="1" si="744"/>
        <v>1</v>
      </c>
      <c r="BE915" s="24" t="b">
        <f t="shared" ca="1" si="745"/>
        <v>1</v>
      </c>
      <c r="BF915" s="23">
        <f t="array" aca="1" ref="BF915" ca="1">SUM(IF(BD915,1,0)*IF(ap_start_date&lt;=AO915,1,0)*IF(ap_end_date&gt;=AO915,1,0)*ap_amount*(1+ap_escalation/100)^(INT((AP915-ap_months_since_start)/12))*IF(MOD(AP915-ap_months_since_start,ap_frequency)=0,1,0))</f>
        <v>430726.66599624394</v>
      </c>
      <c r="BG915" s="24">
        <f t="shared" ca="1" si="746"/>
        <v>5168719.9919549292</v>
      </c>
      <c r="BH915" s="24">
        <f t="shared" ca="1" si="747"/>
        <v>132.00532544929982</v>
      </c>
      <c r="BI915">
        <f t="shared" ca="1" si="748"/>
        <v>0</v>
      </c>
      <c r="BJ915" s="24">
        <f t="shared" ca="1" si="749"/>
        <v>924.03727814509864</v>
      </c>
      <c r="BK915">
        <f t="shared" ca="1" si="750"/>
        <v>1</v>
      </c>
      <c r="BL915" s="25">
        <f t="shared" ca="1" si="751"/>
        <v>77.00310651209152</v>
      </c>
      <c r="BM915" s="32">
        <f t="shared" ca="1" si="730"/>
        <v>4914.2724597781389</v>
      </c>
      <c r="BN915" s="23">
        <f t="shared" ca="1" si="752"/>
        <v>0</v>
      </c>
      <c r="BO915" s="24">
        <f t="shared" ca="1" si="753"/>
        <v>0</v>
      </c>
      <c r="BP915" s="25">
        <f t="shared" ca="1" si="754"/>
        <v>0</v>
      </c>
      <c r="BQ915" s="34">
        <f t="shared" ca="1" si="755"/>
        <v>73262</v>
      </c>
      <c r="BR915" s="23">
        <f t="shared" ca="1" si="756"/>
        <v>4914.2724597781389</v>
      </c>
      <c r="BS915" s="24">
        <f t="shared" ca="1" si="757"/>
        <v>0</v>
      </c>
      <c r="BT915" s="24">
        <f t="shared" ca="1" si="722"/>
        <v>0</v>
      </c>
      <c r="BU915" s="24">
        <f t="shared" ca="1" si="758"/>
        <v>0</v>
      </c>
      <c r="BV915" s="24">
        <f t="shared" ca="1" si="723"/>
        <v>0</v>
      </c>
      <c r="BW915" s="24">
        <f t="shared" ca="1" si="759"/>
        <v>-77.00310651209152</v>
      </c>
      <c r="BX915" s="25">
        <f t="shared" ca="1" si="724"/>
        <v>-947.84170891305462</v>
      </c>
      <c r="BY915" s="23">
        <f t="shared" ca="1" si="731"/>
        <v>252.69882600197477</v>
      </c>
      <c r="BZ915" s="24">
        <f t="shared" ca="1" si="732"/>
        <v>0</v>
      </c>
      <c r="CA915" s="24">
        <f t="shared" ca="1" si="725"/>
        <v>0</v>
      </c>
      <c r="CB915" s="24">
        <f t="shared" ca="1" si="733"/>
        <v>0</v>
      </c>
      <c r="CC915" s="24">
        <f t="shared" ca="1" si="726"/>
        <v>0</v>
      </c>
      <c r="CD915" s="24">
        <f t="shared" ca="1" si="734"/>
        <v>-3.972571148463715</v>
      </c>
      <c r="CE915" s="25">
        <f t="shared" ca="1" si="727"/>
        <v>-49.807500897916512</v>
      </c>
      <c r="CF915" s="23">
        <f t="shared" ca="1" si="728"/>
        <v>5119020.7612630548</v>
      </c>
      <c r="CG915" s="25">
        <f t="array" aca="1" ref="CG915" ca="1">SUM(BF904:BF915/(1+inflation/100)^(AP904:AP915/12))</f>
        <v>267980.53702225385</v>
      </c>
      <c r="CH915" s="32">
        <f ca="1">IFERROR(IF(MOD(AP915-ap_months_since_start,12)=0,ap_drawdown/100*(AQ915+AV915+BA915-BC915),CH914),0)</f>
        <v>811.53770226019628</v>
      </c>
    </row>
    <row r="916" spans="40:86" x14ac:dyDescent="0.25">
      <c r="AN916" s="32">
        <f t="shared" ca="1" si="729"/>
        <v>130.58333333333334</v>
      </c>
      <c r="AO916" s="53">
        <f t="shared" ca="1" si="760"/>
        <v>73263</v>
      </c>
      <c r="AP916" s="22">
        <v>909</v>
      </c>
      <c r="AQ916" s="32">
        <f t="shared" ca="1" si="761"/>
        <v>4914.2724597781389</v>
      </c>
      <c r="AR916" s="23">
        <f t="array" aca="1" ref="AR916" ca="1">SUM(IF(lsc_start_date=AO916,lsc_amount,0))</f>
        <v>0</v>
      </c>
      <c r="AS916" s="24">
        <f t="shared" ca="1" si="735"/>
        <v>0</v>
      </c>
      <c r="AT916" s="24">
        <f t="shared" ca="1" si="736"/>
        <v>0</v>
      </c>
      <c r="AU916" s="24">
        <f t="shared" ca="1" si="737"/>
        <v>0</v>
      </c>
      <c r="AV916" s="25">
        <f t="shared" ca="1" si="738"/>
        <v>0</v>
      </c>
      <c r="AW916" s="23">
        <f t="array" aca="1" ref="AW916" ca="1">SUM(IF(rcs_start_date&lt;=AO916,1,0)*IF(rcs_end_date&gt;=AO916,1,0)*rcs_amount*(1+rcs_escalation/100)^(INT((AP916-rcs_months_since_start)/12))*IF(MOD((AP916-rcs_months_since_start),rcs_frequency)=0,1,0)*IF(rcs_frequency=13,0,1))+SUM(IF(rcs_start_date=AO916,rcs_amount,0)*IF(rcs_frequency=13,1,0))</f>
        <v>0</v>
      </c>
      <c r="AX916" s="24">
        <f t="shared" ca="1" si="739"/>
        <v>0</v>
      </c>
      <c r="AY916" s="24">
        <f t="shared" ca="1" si="740"/>
        <v>0</v>
      </c>
      <c r="AZ916" s="24">
        <f t="shared" ca="1" si="741"/>
        <v>0</v>
      </c>
      <c r="BA916" s="25">
        <f t="shared" ca="1" si="742"/>
        <v>0</v>
      </c>
      <c r="BB916" s="23">
        <f t="array" aca="1" ref="BB916" ca="1">SUM(IF(w_start_date&lt;=AO916,1,0)*IF(w_end_date&gt;=AO916,1,0)*w_amount*(1+w_escalation/100)^(INT((AP916-w_months_since_start)/12))*IF(MOD(AP916-w_months_since_start,w_frequency)=0,1,0)*IF(w_frequency=13,0,1))+SUM(IF(w_start_date=AO916,w_amount,0)*IF(w_frequency=13,1,0))</f>
        <v>0</v>
      </c>
      <c r="BC916" s="25">
        <f t="shared" ca="1" si="743"/>
        <v>0</v>
      </c>
      <c r="BD916" s="24" t="b">
        <f t="shared" ca="1" si="744"/>
        <v>1</v>
      </c>
      <c r="BE916" s="24" t="b">
        <f t="shared" ca="1" si="745"/>
        <v>1</v>
      </c>
      <c r="BF916" s="23">
        <f t="array" aca="1" ref="BF916" ca="1">SUM(IF(BD916,1,0)*IF(ap_start_date&lt;=AO916,1,0)*IF(ap_end_date&gt;=AO916,1,0)*ap_amount*(1+ap_escalation/100)^(INT((AP916-ap_months_since_start)/12))*IF(MOD(AP916-ap_months_since_start,ap_frequency)=0,1,0))</f>
        <v>430726.66599624394</v>
      </c>
      <c r="BG916" s="24">
        <f t="shared" ca="1" si="746"/>
        <v>5168719.9919549292</v>
      </c>
      <c r="BH916" s="24">
        <f t="shared" ca="1" si="747"/>
        <v>132.00532544929982</v>
      </c>
      <c r="BI916">
        <f t="shared" ca="1" si="748"/>
        <v>0</v>
      </c>
      <c r="BJ916" s="24">
        <f t="shared" ca="1" si="749"/>
        <v>924.03727814509864</v>
      </c>
      <c r="BK916">
        <f t="shared" ca="1" si="750"/>
        <v>1</v>
      </c>
      <c r="BL916" s="25">
        <f t="shared" ca="1" si="751"/>
        <v>77.00310651209152</v>
      </c>
      <c r="BM916" s="32">
        <f t="shared" ca="1" si="730"/>
        <v>4872.1331174622755</v>
      </c>
      <c r="BN916" s="23">
        <f t="shared" ca="1" si="752"/>
        <v>0</v>
      </c>
      <c r="BO916" s="24">
        <f t="shared" ca="1" si="753"/>
        <v>0</v>
      </c>
      <c r="BP916" s="25">
        <f t="shared" ca="1" si="754"/>
        <v>0</v>
      </c>
      <c r="BQ916" s="34">
        <f t="shared" ca="1" si="755"/>
        <v>73293</v>
      </c>
      <c r="BR916" s="23">
        <f t="shared" ca="1" si="756"/>
        <v>4872.1331174622755</v>
      </c>
      <c r="BS916" s="24">
        <f t="shared" ca="1" si="757"/>
        <v>0</v>
      </c>
      <c r="BT916" s="24">
        <f t="shared" ref="BT916:BT979" ca="1" si="762">SUM(BS905:BS916)</f>
        <v>0</v>
      </c>
      <c r="BU916" s="24">
        <f t="shared" ca="1" si="758"/>
        <v>0</v>
      </c>
      <c r="BV916" s="24">
        <f t="shared" ref="BV916:BV979" ca="1" si="763">SUM(BU905:BU916)</f>
        <v>0</v>
      </c>
      <c r="BW916" s="24">
        <f t="shared" ca="1" si="759"/>
        <v>-77.00310651209152</v>
      </c>
      <c r="BX916" s="25">
        <f t="shared" ref="BX916:BX979" ca="1" si="764">SUM(BW905:BW916)</f>
        <v>-939.90689865706918</v>
      </c>
      <c r="BY916" s="23">
        <f t="shared" ca="1" si="731"/>
        <v>249.71446137722938</v>
      </c>
      <c r="BZ916" s="24">
        <f t="shared" ca="1" si="732"/>
        <v>0</v>
      </c>
      <c r="CA916" s="24">
        <f t="shared" ref="CA916:CA979" ca="1" si="765">SUM(BZ905:BZ916)</f>
        <v>0</v>
      </c>
      <c r="CB916" s="24">
        <f t="shared" ca="1" si="733"/>
        <v>0</v>
      </c>
      <c r="CC916" s="24">
        <f t="shared" ref="CC916:CC979" ca="1" si="766">SUM(CB905:CB916)</f>
        <v>0</v>
      </c>
      <c r="CD916" s="24">
        <f t="shared" ca="1" si="734"/>
        <v>-3.9596084208544329</v>
      </c>
      <c r="CE916" s="25">
        <f t="shared" ref="CE916:CE979" ca="1" si="767">SUM(CD905:CD916)</f>
        <v>-49.224776652631363</v>
      </c>
      <c r="CF916" s="23">
        <f t="shared" ref="CF916:CF979" ca="1" si="768">SUM(BF905:BF916)</f>
        <v>5135587.1714936793</v>
      </c>
      <c r="CG916" s="25">
        <f t="array" aca="1" ref="CG916" ca="1">SUM(BF905:BF916/(1+inflation/100)^(AP905:AP916/12))</f>
        <v>267980.53702225391</v>
      </c>
      <c r="CH916" s="32">
        <f ca="1">IFERROR(IF(MOD(AP916-ap_months_since_start,12)=0,ap_drawdown/100*(AQ916+AV916+BA916-BC916),CH915),0)</f>
        <v>811.53770226019628</v>
      </c>
    </row>
    <row r="917" spans="40:86" x14ac:dyDescent="0.25">
      <c r="AN917" s="32">
        <f t="shared" ca="1" si="729"/>
        <v>130.66666666666666</v>
      </c>
      <c r="AO917" s="53">
        <f t="shared" ca="1" si="760"/>
        <v>73294</v>
      </c>
      <c r="AP917" s="22">
        <v>910</v>
      </c>
      <c r="AQ917" s="32">
        <f t="shared" ca="1" si="761"/>
        <v>4872.1331174622755</v>
      </c>
      <c r="AR917" s="23">
        <f t="array" aca="1" ref="AR917" ca="1">SUM(IF(lsc_start_date=AO917,lsc_amount,0))</f>
        <v>0</v>
      </c>
      <c r="AS917" s="24">
        <f t="shared" ca="1" si="735"/>
        <v>0</v>
      </c>
      <c r="AT917" s="24">
        <f t="shared" ca="1" si="736"/>
        <v>0</v>
      </c>
      <c r="AU917" s="24">
        <f t="shared" ca="1" si="737"/>
        <v>0</v>
      </c>
      <c r="AV917" s="25">
        <f t="shared" ca="1" si="738"/>
        <v>0</v>
      </c>
      <c r="AW917" s="23">
        <f t="array" aca="1" ref="AW917" ca="1">SUM(IF(rcs_start_date&lt;=AO917,1,0)*IF(rcs_end_date&gt;=AO917,1,0)*rcs_amount*(1+rcs_escalation/100)^(INT((AP917-rcs_months_since_start)/12))*IF(MOD((AP917-rcs_months_since_start),rcs_frequency)=0,1,0)*IF(rcs_frequency=13,0,1))+SUM(IF(rcs_start_date=AO917,rcs_amount,0)*IF(rcs_frequency=13,1,0))</f>
        <v>0</v>
      </c>
      <c r="AX917" s="24">
        <f t="shared" ca="1" si="739"/>
        <v>0</v>
      </c>
      <c r="AY917" s="24">
        <f t="shared" ca="1" si="740"/>
        <v>0</v>
      </c>
      <c r="AZ917" s="24">
        <f t="shared" ca="1" si="741"/>
        <v>0</v>
      </c>
      <c r="BA917" s="25">
        <f t="shared" ca="1" si="742"/>
        <v>0</v>
      </c>
      <c r="BB917" s="23">
        <f t="array" aca="1" ref="BB917" ca="1">SUM(IF(w_start_date&lt;=AO917,1,0)*IF(w_end_date&gt;=AO917,1,0)*w_amount*(1+w_escalation/100)^(INT((AP917-w_months_since_start)/12))*IF(MOD(AP917-w_months_since_start,w_frequency)=0,1,0)*IF(w_frequency=13,0,1))+SUM(IF(w_start_date=AO917,w_amount,0)*IF(w_frequency=13,1,0))</f>
        <v>0</v>
      </c>
      <c r="BC917" s="25">
        <f t="shared" ca="1" si="743"/>
        <v>0</v>
      </c>
      <c r="BD917" s="24" t="b">
        <f t="shared" ca="1" si="744"/>
        <v>1</v>
      </c>
      <c r="BE917" s="24" t="b">
        <f t="shared" ca="1" si="745"/>
        <v>1</v>
      </c>
      <c r="BF917" s="23">
        <f t="array" aca="1" ref="BF917" ca="1">SUM(IF(BD917,1,0)*IF(ap_start_date&lt;=AO917,1,0)*IF(ap_end_date&gt;=AO917,1,0)*ap_amount*(1+ap_escalation/100)^(INT((AP917-ap_months_since_start)/12))*IF(MOD(AP917-ap_months_since_start,ap_frequency)=0,1,0))</f>
        <v>430726.66599624394</v>
      </c>
      <c r="BG917" s="24">
        <f t="shared" ca="1" si="746"/>
        <v>5168719.9919549292</v>
      </c>
      <c r="BH917" s="24">
        <f t="shared" ca="1" si="747"/>
        <v>132.00532544929982</v>
      </c>
      <c r="BI917">
        <f t="shared" ca="1" si="748"/>
        <v>0</v>
      </c>
      <c r="BJ917" s="24">
        <f t="shared" ca="1" si="749"/>
        <v>924.03727814509864</v>
      </c>
      <c r="BK917">
        <f t="shared" ca="1" si="750"/>
        <v>1</v>
      </c>
      <c r="BL917" s="25">
        <f t="shared" ca="1" si="751"/>
        <v>77.00310651209152</v>
      </c>
      <c r="BM917" s="32">
        <f t="shared" ca="1" si="730"/>
        <v>4829.6900632820125</v>
      </c>
      <c r="BN917" s="23">
        <f t="shared" ca="1" si="752"/>
        <v>0</v>
      </c>
      <c r="BO917" s="24">
        <f t="shared" ca="1" si="753"/>
        <v>0</v>
      </c>
      <c r="BP917" s="25">
        <f t="shared" ca="1" si="754"/>
        <v>0</v>
      </c>
      <c r="BQ917" s="34">
        <f t="shared" ca="1" si="755"/>
        <v>73323</v>
      </c>
      <c r="BR917" s="23">
        <f t="shared" ca="1" si="756"/>
        <v>4829.6900632820125</v>
      </c>
      <c r="BS917" s="24">
        <f t="shared" ca="1" si="757"/>
        <v>0</v>
      </c>
      <c r="BT917" s="24">
        <f t="shared" ca="1" si="762"/>
        <v>0</v>
      </c>
      <c r="BU917" s="24">
        <f t="shared" ca="1" si="758"/>
        <v>0</v>
      </c>
      <c r="BV917" s="24">
        <f t="shared" ca="1" si="763"/>
        <v>0</v>
      </c>
      <c r="BW917" s="24">
        <f t="shared" ca="1" si="759"/>
        <v>-77.00310651209152</v>
      </c>
      <c r="BX917" s="25">
        <f t="shared" ca="1" si="764"/>
        <v>-931.97208840108385</v>
      </c>
      <c r="BY917" s="23">
        <f t="shared" ca="1" si="731"/>
        <v>246.7313668980089</v>
      </c>
      <c r="BZ917" s="24">
        <f t="shared" ca="1" si="732"/>
        <v>0</v>
      </c>
      <c r="CA917" s="24">
        <f t="shared" ca="1" si="765"/>
        <v>0</v>
      </c>
      <c r="CB917" s="24">
        <f t="shared" ca="1" si="733"/>
        <v>0</v>
      </c>
      <c r="CC917" s="24">
        <f t="shared" ca="1" si="766"/>
        <v>0</v>
      </c>
      <c r="CD917" s="24">
        <f t="shared" ca="1" si="734"/>
        <v>-3.9466879913691613</v>
      </c>
      <c r="CE917" s="25">
        <f t="shared" ca="1" si="767"/>
        <v>-48.643953869996139</v>
      </c>
      <c r="CF917" s="23">
        <f t="shared" ca="1" si="768"/>
        <v>5152153.5817243038</v>
      </c>
      <c r="CG917" s="25">
        <f t="array" aca="1" ref="CG917" ca="1">SUM(BF906:BF917/(1+inflation/100)^(AP906:AP917/12))</f>
        <v>267980.53702225385</v>
      </c>
      <c r="CH917" s="32">
        <f ca="1">IFERROR(IF(MOD(AP917-ap_months_since_start,12)=0,ap_drawdown/100*(AQ917+AV917+BA917-BC917),CH916),0)</f>
        <v>811.53770226019628</v>
      </c>
    </row>
    <row r="918" spans="40:86" x14ac:dyDescent="0.25">
      <c r="AN918" s="32">
        <f t="shared" ca="1" si="729"/>
        <v>130.75</v>
      </c>
      <c r="AO918" s="53">
        <f t="shared" ca="1" si="760"/>
        <v>73324</v>
      </c>
      <c r="AP918" s="22">
        <v>911</v>
      </c>
      <c r="AQ918" s="32">
        <f t="shared" ca="1" si="761"/>
        <v>4829.6900632820125</v>
      </c>
      <c r="AR918" s="23">
        <f t="array" aca="1" ref="AR918" ca="1">SUM(IF(lsc_start_date=AO918,lsc_amount,0))</f>
        <v>0</v>
      </c>
      <c r="AS918" s="24">
        <f t="shared" ca="1" si="735"/>
        <v>0</v>
      </c>
      <c r="AT918" s="24">
        <f t="shared" ca="1" si="736"/>
        <v>0</v>
      </c>
      <c r="AU918" s="24">
        <f t="shared" ca="1" si="737"/>
        <v>0</v>
      </c>
      <c r="AV918" s="25">
        <f t="shared" ca="1" si="738"/>
        <v>0</v>
      </c>
      <c r="AW918" s="23">
        <f t="array" aca="1" ref="AW918" ca="1">SUM(IF(rcs_start_date&lt;=AO918,1,0)*IF(rcs_end_date&gt;=AO918,1,0)*rcs_amount*(1+rcs_escalation/100)^(INT((AP918-rcs_months_since_start)/12))*IF(MOD((AP918-rcs_months_since_start),rcs_frequency)=0,1,0)*IF(rcs_frequency=13,0,1))+SUM(IF(rcs_start_date=AO918,rcs_amount,0)*IF(rcs_frequency=13,1,0))</f>
        <v>0</v>
      </c>
      <c r="AX918" s="24">
        <f t="shared" ca="1" si="739"/>
        <v>0</v>
      </c>
      <c r="AY918" s="24">
        <f t="shared" ca="1" si="740"/>
        <v>0</v>
      </c>
      <c r="AZ918" s="24">
        <f t="shared" ca="1" si="741"/>
        <v>0</v>
      </c>
      <c r="BA918" s="25">
        <f t="shared" ca="1" si="742"/>
        <v>0</v>
      </c>
      <c r="BB918" s="23">
        <f t="array" aca="1" ref="BB918" ca="1">SUM(IF(w_start_date&lt;=AO918,1,0)*IF(w_end_date&gt;=AO918,1,0)*w_amount*(1+w_escalation/100)^(INT((AP918-w_months_since_start)/12))*IF(MOD(AP918-w_months_since_start,w_frequency)=0,1,0)*IF(w_frequency=13,0,1))+SUM(IF(w_start_date=AO918,w_amount,0)*IF(w_frequency=13,1,0))</f>
        <v>0</v>
      </c>
      <c r="BC918" s="25">
        <f t="shared" ca="1" si="743"/>
        <v>0</v>
      </c>
      <c r="BD918" s="24" t="b">
        <f t="shared" ca="1" si="744"/>
        <v>1</v>
      </c>
      <c r="BE918" s="24" t="b">
        <f t="shared" ca="1" si="745"/>
        <v>1</v>
      </c>
      <c r="BF918" s="23">
        <f t="array" aca="1" ref="BF918" ca="1">SUM(IF(BD918,1,0)*IF(ap_start_date&lt;=AO918,1,0)*IF(ap_end_date&gt;=AO918,1,0)*ap_amount*(1+ap_escalation/100)^(INT((AP918-ap_months_since_start)/12))*IF(MOD(AP918-ap_months_since_start,ap_frequency)=0,1,0))</f>
        <v>430726.66599624394</v>
      </c>
      <c r="BG918" s="24">
        <f t="shared" ca="1" si="746"/>
        <v>5168719.9919549292</v>
      </c>
      <c r="BH918" s="24">
        <f t="shared" ca="1" si="747"/>
        <v>132.00532544929982</v>
      </c>
      <c r="BI918">
        <f t="shared" ca="1" si="748"/>
        <v>0</v>
      </c>
      <c r="BJ918" s="24">
        <f t="shared" ca="1" si="749"/>
        <v>924.03727814509864</v>
      </c>
      <c r="BK918">
        <f t="shared" ca="1" si="750"/>
        <v>1</v>
      </c>
      <c r="BL918" s="25">
        <f t="shared" ca="1" si="751"/>
        <v>77.00310651209152</v>
      </c>
      <c r="BM918" s="32">
        <f t="shared" ca="1" si="730"/>
        <v>4786.9411082877477</v>
      </c>
      <c r="BN918" s="23">
        <f t="shared" ca="1" si="752"/>
        <v>0</v>
      </c>
      <c r="BO918" s="24">
        <f t="shared" ca="1" si="753"/>
        <v>0</v>
      </c>
      <c r="BP918" s="25">
        <f t="shared" ca="1" si="754"/>
        <v>0</v>
      </c>
      <c r="BQ918" s="34">
        <f t="shared" ca="1" si="755"/>
        <v>73354</v>
      </c>
      <c r="BR918" s="23">
        <f t="shared" ca="1" si="756"/>
        <v>4786.9411082877477</v>
      </c>
      <c r="BS918" s="24">
        <f t="shared" ca="1" si="757"/>
        <v>0</v>
      </c>
      <c r="BT918" s="24">
        <f t="shared" ca="1" si="762"/>
        <v>0</v>
      </c>
      <c r="BU918" s="24">
        <f t="shared" ca="1" si="758"/>
        <v>0</v>
      </c>
      <c r="BV918" s="24">
        <f t="shared" ca="1" si="763"/>
        <v>0</v>
      </c>
      <c r="BW918" s="24">
        <f t="shared" ca="1" si="759"/>
        <v>-77.00310651209152</v>
      </c>
      <c r="BX918" s="25">
        <f t="shared" ca="1" si="764"/>
        <v>-924.03727814509841</v>
      </c>
      <c r="BY918" s="23">
        <f t="shared" ca="1" si="731"/>
        <v>243.74950521883173</v>
      </c>
      <c r="BZ918" s="24">
        <f t="shared" ca="1" si="732"/>
        <v>0</v>
      </c>
      <c r="CA918" s="24">
        <f t="shared" ca="1" si="765"/>
        <v>0</v>
      </c>
      <c r="CB918" s="24">
        <f t="shared" ca="1" si="733"/>
        <v>0</v>
      </c>
      <c r="CC918" s="24">
        <f t="shared" ca="1" si="766"/>
        <v>0</v>
      </c>
      <c r="CD918" s="24">
        <f t="shared" ca="1" si="734"/>
        <v>-3.9338097219866937</v>
      </c>
      <c r="CE918" s="25">
        <f t="shared" ca="1" si="767"/>
        <v>-48.065026345429096</v>
      </c>
      <c r="CF918" s="23">
        <f t="shared" ca="1" si="768"/>
        <v>5168719.9919549292</v>
      </c>
      <c r="CG918" s="25">
        <f t="array" aca="1" ref="CG918" ca="1">SUM(BF907:BF918/(1+inflation/100)^(AP907:AP918/12))</f>
        <v>267980.53702225391</v>
      </c>
      <c r="CH918" s="32">
        <f ca="1">IFERROR(IF(MOD(AP918-ap_months_since_start,12)=0,ap_drawdown/100*(AQ918+AV918+BA918-BC918),CH917),0)</f>
        <v>811.53770226019628</v>
      </c>
    </row>
    <row r="919" spans="40:86" x14ac:dyDescent="0.25">
      <c r="AN919" s="32">
        <f t="shared" ca="1" si="729"/>
        <v>130.83333333333334</v>
      </c>
      <c r="AO919" s="53">
        <f t="shared" ca="1" si="760"/>
        <v>73355</v>
      </c>
      <c r="AP919" s="22">
        <v>912</v>
      </c>
      <c r="AQ919" s="32">
        <f t="shared" ca="1" si="761"/>
        <v>4786.9411082877477</v>
      </c>
      <c r="AR919" s="23">
        <f t="array" aca="1" ref="AR919" ca="1">SUM(IF(lsc_start_date=AO919,lsc_amount,0))</f>
        <v>0</v>
      </c>
      <c r="AS919" s="24">
        <f t="shared" ca="1" si="735"/>
        <v>0</v>
      </c>
      <c r="AT919" s="24">
        <f t="shared" ca="1" si="736"/>
        <v>0</v>
      </c>
      <c r="AU919" s="24">
        <f t="shared" ca="1" si="737"/>
        <v>0</v>
      </c>
      <c r="AV919" s="25">
        <f t="shared" ca="1" si="738"/>
        <v>0</v>
      </c>
      <c r="AW919" s="23">
        <f t="array" aca="1" ref="AW919" ca="1">SUM(IF(rcs_start_date&lt;=AO919,1,0)*IF(rcs_end_date&gt;=AO919,1,0)*rcs_amount*(1+rcs_escalation/100)^(INT((AP919-rcs_months_since_start)/12))*IF(MOD((AP919-rcs_months_since_start),rcs_frequency)=0,1,0)*IF(rcs_frequency=13,0,1))+SUM(IF(rcs_start_date=AO919,rcs_amount,0)*IF(rcs_frequency=13,1,0))</f>
        <v>0</v>
      </c>
      <c r="AX919" s="24">
        <f t="shared" ca="1" si="739"/>
        <v>0</v>
      </c>
      <c r="AY919" s="24">
        <f t="shared" ca="1" si="740"/>
        <v>0</v>
      </c>
      <c r="AZ919" s="24">
        <f t="shared" ca="1" si="741"/>
        <v>0</v>
      </c>
      <c r="BA919" s="25">
        <f t="shared" ca="1" si="742"/>
        <v>0</v>
      </c>
      <c r="BB919" s="23">
        <f t="array" aca="1" ref="BB919" ca="1">SUM(IF(w_start_date&lt;=AO919,1,0)*IF(w_end_date&gt;=AO919,1,0)*w_amount*(1+w_escalation/100)^(INT((AP919-w_months_since_start)/12))*IF(MOD(AP919-w_months_since_start,w_frequency)=0,1,0)*IF(w_frequency=13,0,1))+SUM(IF(w_start_date=AO919,w_amount,0)*IF(w_frequency=13,1,0))</f>
        <v>0</v>
      </c>
      <c r="BC919" s="25">
        <f t="shared" ca="1" si="743"/>
        <v>0</v>
      </c>
      <c r="BD919" s="24" t="b">
        <f t="shared" ca="1" si="744"/>
        <v>1</v>
      </c>
      <c r="BE919" s="24" t="b">
        <f t="shared" ca="1" si="745"/>
        <v>1</v>
      </c>
      <c r="BF919" s="23">
        <f t="array" aca="1" ref="BF919" ca="1">SUM(IF(BD919,1,0)*IF(ap_start_date&lt;=AO919,1,0)*IF(ap_end_date&gt;=AO919,1,0)*ap_amount*(1+ap_escalation/100)^(INT((AP919-ap_months_since_start)/12))*IF(MOD(AP919-ap_months_since_start,ap_frequency)=0,1,0))</f>
        <v>447955.73263609374</v>
      </c>
      <c r="BG919" s="24">
        <f t="shared" ca="1" si="746"/>
        <v>5375468.7916331254</v>
      </c>
      <c r="BH919" s="24">
        <f t="shared" ca="1" si="747"/>
        <v>119.6735277071937</v>
      </c>
      <c r="BI919">
        <f t="shared" ca="1" si="748"/>
        <v>0</v>
      </c>
      <c r="BJ919" s="24">
        <f t="shared" ca="1" si="749"/>
        <v>837.71469395035581</v>
      </c>
      <c r="BK919">
        <f t="shared" ca="1" si="750"/>
        <v>1</v>
      </c>
      <c r="BL919" s="25">
        <f t="shared" ca="1" si="751"/>
        <v>69.809557829196308</v>
      </c>
      <c r="BM919" s="32">
        <f t="shared" ca="1" si="730"/>
        <v>4751.1294426674558</v>
      </c>
      <c r="BN919" s="23">
        <f t="shared" ca="1" si="752"/>
        <v>0</v>
      </c>
      <c r="BO919" s="24">
        <f t="shared" ca="1" si="753"/>
        <v>0</v>
      </c>
      <c r="BP919" s="25">
        <f t="shared" ca="1" si="754"/>
        <v>0</v>
      </c>
      <c r="BQ919" s="34">
        <f t="shared" ca="1" si="755"/>
        <v>73384</v>
      </c>
      <c r="BR919" s="23">
        <f t="shared" ca="1" si="756"/>
        <v>4751.1294426674558</v>
      </c>
      <c r="BS919" s="24">
        <f t="shared" ca="1" si="757"/>
        <v>0</v>
      </c>
      <c r="BT919" s="24">
        <f t="shared" ca="1" si="762"/>
        <v>0</v>
      </c>
      <c r="BU919" s="24">
        <f t="shared" ca="1" si="758"/>
        <v>0</v>
      </c>
      <c r="BV919" s="24">
        <f t="shared" ca="1" si="763"/>
        <v>0</v>
      </c>
      <c r="BW919" s="24">
        <f t="shared" ca="1" si="759"/>
        <v>-69.809557829196308</v>
      </c>
      <c r="BX919" s="25">
        <f t="shared" ca="1" si="764"/>
        <v>-916.8437294622031</v>
      </c>
      <c r="BY919" s="23">
        <f t="shared" ca="1" si="731"/>
        <v>241.13656831990349</v>
      </c>
      <c r="BZ919" s="24">
        <f t="shared" ca="1" si="732"/>
        <v>0</v>
      </c>
      <c r="CA919" s="24">
        <f t="shared" ca="1" si="765"/>
        <v>0</v>
      </c>
      <c r="CB919" s="24">
        <f t="shared" ca="1" si="733"/>
        <v>0</v>
      </c>
      <c r="CC919" s="24">
        <f t="shared" ca="1" si="766"/>
        <v>0</v>
      </c>
      <c r="CD919" s="24">
        <f t="shared" ca="1" si="734"/>
        <v>-3.5546802844412952</v>
      </c>
      <c r="CE919" s="25">
        <f t="shared" ca="1" si="767"/>
        <v>-47.541894215728753</v>
      </c>
      <c r="CF919" s="23">
        <f t="shared" ca="1" si="768"/>
        <v>5185949.0585947791</v>
      </c>
      <c r="CG919" s="25">
        <f t="array" aca="1" ref="CG919" ca="1">SUM(BF908:BF919/(1+inflation/100)^(AP908:AP919/12))</f>
        <v>267980.53702225385</v>
      </c>
      <c r="CH919" s="32">
        <f ca="1">IFERROR(IF(MOD(AP919-ap_months_since_start,12)=0,ap_drawdown/100*(AQ919+AV919+BA919-BC919),CH918),0)</f>
        <v>735.72470933507361</v>
      </c>
    </row>
    <row r="920" spans="40:86" x14ac:dyDescent="0.25">
      <c r="AN920" s="32">
        <f t="shared" ca="1" si="729"/>
        <v>130.91666666666666</v>
      </c>
      <c r="AO920" s="53">
        <f t="shared" ca="1" si="760"/>
        <v>73385</v>
      </c>
      <c r="AP920" s="22">
        <v>913</v>
      </c>
      <c r="AQ920" s="32">
        <f t="shared" ca="1" si="761"/>
        <v>4751.1294426674558</v>
      </c>
      <c r="AR920" s="23">
        <f t="array" aca="1" ref="AR920" ca="1">SUM(IF(lsc_start_date=AO920,lsc_amount,0))</f>
        <v>0</v>
      </c>
      <c r="AS920" s="24">
        <f t="shared" ca="1" si="735"/>
        <v>0</v>
      </c>
      <c r="AT920" s="24">
        <f t="shared" ca="1" si="736"/>
        <v>0</v>
      </c>
      <c r="AU920" s="24">
        <f t="shared" ca="1" si="737"/>
        <v>0</v>
      </c>
      <c r="AV920" s="25">
        <f t="shared" ca="1" si="738"/>
        <v>0</v>
      </c>
      <c r="AW920" s="23">
        <f t="array" aca="1" ref="AW920" ca="1">SUM(IF(rcs_start_date&lt;=AO920,1,0)*IF(rcs_end_date&gt;=AO920,1,0)*rcs_amount*(1+rcs_escalation/100)^(INT((AP920-rcs_months_since_start)/12))*IF(MOD((AP920-rcs_months_since_start),rcs_frequency)=0,1,0)*IF(rcs_frequency=13,0,1))+SUM(IF(rcs_start_date=AO920,rcs_amount,0)*IF(rcs_frequency=13,1,0))</f>
        <v>0</v>
      </c>
      <c r="AX920" s="24">
        <f t="shared" ca="1" si="739"/>
        <v>0</v>
      </c>
      <c r="AY920" s="24">
        <f t="shared" ca="1" si="740"/>
        <v>0</v>
      </c>
      <c r="AZ920" s="24">
        <f t="shared" ca="1" si="741"/>
        <v>0</v>
      </c>
      <c r="BA920" s="25">
        <f t="shared" ca="1" si="742"/>
        <v>0</v>
      </c>
      <c r="BB920" s="23">
        <f t="array" aca="1" ref="BB920" ca="1">SUM(IF(w_start_date&lt;=AO920,1,0)*IF(w_end_date&gt;=AO920,1,0)*w_amount*(1+w_escalation/100)^(INT((AP920-w_months_since_start)/12))*IF(MOD(AP920-w_months_since_start,w_frequency)=0,1,0)*IF(w_frequency=13,0,1))+SUM(IF(w_start_date=AO920,w_amount,0)*IF(w_frequency=13,1,0))</f>
        <v>0</v>
      </c>
      <c r="BC920" s="25">
        <f t="shared" ca="1" si="743"/>
        <v>0</v>
      </c>
      <c r="BD920" s="24" t="b">
        <f t="shared" ca="1" si="744"/>
        <v>1</v>
      </c>
      <c r="BE920" s="24" t="b">
        <f t="shared" ca="1" si="745"/>
        <v>1</v>
      </c>
      <c r="BF920" s="23">
        <f t="array" aca="1" ref="BF920" ca="1">SUM(IF(BD920,1,0)*IF(ap_start_date&lt;=AO920,1,0)*IF(ap_end_date&gt;=AO920,1,0)*ap_amount*(1+ap_escalation/100)^(INT((AP920-ap_months_since_start)/12))*IF(MOD(AP920-ap_months_since_start,ap_frequency)=0,1,0))</f>
        <v>447955.73263609374</v>
      </c>
      <c r="BG920" s="24">
        <f t="shared" ca="1" si="746"/>
        <v>5375468.7916331254</v>
      </c>
      <c r="BH920" s="24">
        <f t="shared" ca="1" si="747"/>
        <v>119.6735277071937</v>
      </c>
      <c r="BI920">
        <f t="shared" ca="1" si="748"/>
        <v>0</v>
      </c>
      <c r="BJ920" s="24">
        <f t="shared" ca="1" si="749"/>
        <v>837.71469395035581</v>
      </c>
      <c r="BK920">
        <f t="shared" ca="1" si="750"/>
        <v>1</v>
      </c>
      <c r="BL920" s="25">
        <f t="shared" ca="1" si="751"/>
        <v>69.809557829196308</v>
      </c>
      <c r="BM920" s="32">
        <f t="shared" ca="1" si="730"/>
        <v>4715.0596707945488</v>
      </c>
      <c r="BN920" s="23">
        <f t="shared" ca="1" si="752"/>
        <v>0</v>
      </c>
      <c r="BO920" s="24">
        <f t="shared" ca="1" si="753"/>
        <v>0</v>
      </c>
      <c r="BP920" s="25">
        <f t="shared" ca="1" si="754"/>
        <v>0</v>
      </c>
      <c r="BQ920" s="34">
        <f t="shared" ca="1" si="755"/>
        <v>73415</v>
      </c>
      <c r="BR920" s="23">
        <f t="shared" ca="1" si="756"/>
        <v>4715.0596707945488</v>
      </c>
      <c r="BS920" s="24">
        <f t="shared" ca="1" si="757"/>
        <v>0</v>
      </c>
      <c r="BT920" s="24">
        <f t="shared" ca="1" si="762"/>
        <v>0</v>
      </c>
      <c r="BU920" s="24">
        <f t="shared" ca="1" si="758"/>
        <v>0</v>
      </c>
      <c r="BV920" s="24">
        <f t="shared" ca="1" si="763"/>
        <v>0</v>
      </c>
      <c r="BW920" s="24">
        <f t="shared" ca="1" si="759"/>
        <v>-69.809557829196308</v>
      </c>
      <c r="BX920" s="25">
        <f t="shared" ca="1" si="764"/>
        <v>-909.6501807793079</v>
      </c>
      <c r="BY920" s="23">
        <f t="shared" ca="1" si="731"/>
        <v>238.52503135677952</v>
      </c>
      <c r="BZ920" s="24">
        <f t="shared" ca="1" si="732"/>
        <v>0</v>
      </c>
      <c r="CA920" s="24">
        <f t="shared" ca="1" si="765"/>
        <v>0</v>
      </c>
      <c r="CB920" s="24">
        <f t="shared" ca="1" si="733"/>
        <v>0</v>
      </c>
      <c r="CC920" s="24">
        <f t="shared" ca="1" si="766"/>
        <v>0</v>
      </c>
      <c r="CD920" s="24">
        <f t="shared" ca="1" si="734"/>
        <v>-3.5430811587004953</v>
      </c>
      <c r="CE920" s="25">
        <f t="shared" ca="1" si="767"/>
        <v>-47.020469096185693</v>
      </c>
      <c r="CF920" s="23">
        <f t="shared" ca="1" si="768"/>
        <v>5203178.125234629</v>
      </c>
      <c r="CG920" s="25">
        <f t="array" aca="1" ref="CG920" ca="1">SUM(BF909:BF920/(1+inflation/100)^(AP909:AP920/12))</f>
        <v>267980.53702225391</v>
      </c>
      <c r="CH920" s="32">
        <f ca="1">IFERROR(IF(MOD(AP920-ap_months_since_start,12)=0,ap_drawdown/100*(AQ920+AV920+BA920-BC920),CH919),0)</f>
        <v>735.72470933507361</v>
      </c>
    </row>
    <row r="921" spans="40:86" x14ac:dyDescent="0.25">
      <c r="AN921" s="32">
        <f t="shared" ca="1" si="729"/>
        <v>131</v>
      </c>
      <c r="AO921" s="53">
        <f t="shared" ca="1" si="760"/>
        <v>73416</v>
      </c>
      <c r="AP921" s="22">
        <v>914</v>
      </c>
      <c r="AQ921" s="32">
        <f t="shared" ca="1" si="761"/>
        <v>4715.0596707945488</v>
      </c>
      <c r="AR921" s="23">
        <f t="array" aca="1" ref="AR921" ca="1">SUM(IF(lsc_start_date=AO921,lsc_amount,0))</f>
        <v>0</v>
      </c>
      <c r="AS921" s="24">
        <f t="shared" ca="1" si="735"/>
        <v>0</v>
      </c>
      <c r="AT921" s="24">
        <f t="shared" ca="1" si="736"/>
        <v>0</v>
      </c>
      <c r="AU921" s="24">
        <f t="shared" ca="1" si="737"/>
        <v>0</v>
      </c>
      <c r="AV921" s="25">
        <f t="shared" ca="1" si="738"/>
        <v>0</v>
      </c>
      <c r="AW921" s="23">
        <f t="array" aca="1" ref="AW921" ca="1">SUM(IF(rcs_start_date&lt;=AO921,1,0)*IF(rcs_end_date&gt;=AO921,1,0)*rcs_amount*(1+rcs_escalation/100)^(INT((AP921-rcs_months_since_start)/12))*IF(MOD((AP921-rcs_months_since_start),rcs_frequency)=0,1,0)*IF(rcs_frequency=13,0,1))+SUM(IF(rcs_start_date=AO921,rcs_amount,0)*IF(rcs_frequency=13,1,0))</f>
        <v>0</v>
      </c>
      <c r="AX921" s="24">
        <f t="shared" ca="1" si="739"/>
        <v>0</v>
      </c>
      <c r="AY921" s="24">
        <f t="shared" ca="1" si="740"/>
        <v>0</v>
      </c>
      <c r="AZ921" s="24">
        <f t="shared" ca="1" si="741"/>
        <v>0</v>
      </c>
      <c r="BA921" s="25">
        <f t="shared" ca="1" si="742"/>
        <v>0</v>
      </c>
      <c r="BB921" s="23">
        <f t="array" aca="1" ref="BB921" ca="1">SUM(IF(w_start_date&lt;=AO921,1,0)*IF(w_end_date&gt;=AO921,1,0)*w_amount*(1+w_escalation/100)^(INT((AP921-w_months_since_start)/12))*IF(MOD(AP921-w_months_since_start,w_frequency)=0,1,0)*IF(w_frequency=13,0,1))+SUM(IF(w_start_date=AO921,w_amount,0)*IF(w_frequency=13,1,0))</f>
        <v>0</v>
      </c>
      <c r="BC921" s="25">
        <f t="shared" ca="1" si="743"/>
        <v>0</v>
      </c>
      <c r="BD921" s="24" t="b">
        <f t="shared" ca="1" si="744"/>
        <v>1</v>
      </c>
      <c r="BE921" s="24" t="b">
        <f t="shared" ca="1" si="745"/>
        <v>1</v>
      </c>
      <c r="BF921" s="23">
        <f t="array" aca="1" ref="BF921" ca="1">SUM(IF(BD921,1,0)*IF(ap_start_date&lt;=AO921,1,0)*IF(ap_end_date&gt;=AO921,1,0)*ap_amount*(1+ap_escalation/100)^(INT((AP921-ap_months_since_start)/12))*IF(MOD(AP921-ap_months_since_start,ap_frequency)=0,1,0))</f>
        <v>447955.73263609374</v>
      </c>
      <c r="BG921" s="24">
        <f t="shared" ca="1" si="746"/>
        <v>5375468.7916331254</v>
      </c>
      <c r="BH921" s="24">
        <f t="shared" ca="1" si="747"/>
        <v>119.6735277071937</v>
      </c>
      <c r="BI921">
        <f t="shared" ca="1" si="748"/>
        <v>0</v>
      </c>
      <c r="BJ921" s="24">
        <f t="shared" ca="1" si="749"/>
        <v>837.71469395035581</v>
      </c>
      <c r="BK921">
        <f t="shared" ca="1" si="750"/>
        <v>1</v>
      </c>
      <c r="BL921" s="25">
        <f t="shared" ca="1" si="751"/>
        <v>69.809557829196308</v>
      </c>
      <c r="BM921" s="32">
        <f t="shared" ca="1" si="730"/>
        <v>4678.7299324138148</v>
      </c>
      <c r="BN921" s="23">
        <f t="shared" ca="1" si="752"/>
        <v>0</v>
      </c>
      <c r="BO921" s="24">
        <f t="shared" ca="1" si="753"/>
        <v>0</v>
      </c>
      <c r="BP921" s="25">
        <f t="shared" ca="1" si="754"/>
        <v>0</v>
      </c>
      <c r="BQ921" s="34">
        <f t="shared" ca="1" si="755"/>
        <v>73446</v>
      </c>
      <c r="BR921" s="23">
        <f t="shared" ca="1" si="756"/>
        <v>4678.7299324138148</v>
      </c>
      <c r="BS921" s="24">
        <f t="shared" ca="1" si="757"/>
        <v>0</v>
      </c>
      <c r="BT921" s="24">
        <f t="shared" ca="1" si="762"/>
        <v>0</v>
      </c>
      <c r="BU921" s="24">
        <f t="shared" ca="1" si="758"/>
        <v>0</v>
      </c>
      <c r="BV921" s="24">
        <f t="shared" ca="1" si="763"/>
        <v>0</v>
      </c>
      <c r="BW921" s="24">
        <f t="shared" ca="1" si="759"/>
        <v>-69.809557829196308</v>
      </c>
      <c r="BX921" s="25">
        <f t="shared" ca="1" si="764"/>
        <v>-902.4566320964127</v>
      </c>
      <c r="BY921" s="23">
        <f t="shared" ca="1" si="731"/>
        <v>235.91486182124677</v>
      </c>
      <c r="BZ921" s="24">
        <f t="shared" ca="1" si="732"/>
        <v>0</v>
      </c>
      <c r="CA921" s="24">
        <f t="shared" ca="1" si="765"/>
        <v>0</v>
      </c>
      <c r="CB921" s="24">
        <f t="shared" ca="1" si="733"/>
        <v>0</v>
      </c>
      <c r="CC921" s="24">
        <f t="shared" ca="1" si="766"/>
        <v>0</v>
      </c>
      <c r="CD921" s="24">
        <f t="shared" ca="1" si="734"/>
        <v>-3.5315198815725695</v>
      </c>
      <c r="CE921" s="25">
        <f t="shared" ca="1" si="767"/>
        <v>-46.500745416727831</v>
      </c>
      <c r="CF921" s="23">
        <f t="shared" ca="1" si="768"/>
        <v>5220407.1918744789</v>
      </c>
      <c r="CG921" s="25">
        <f t="array" aca="1" ref="CG921" ca="1">SUM(BF910:BF921/(1+inflation/100)^(AP910:AP921/12))</f>
        <v>267980.53702225385</v>
      </c>
      <c r="CH921" s="32">
        <f ca="1">IFERROR(IF(MOD(AP921-ap_months_since_start,12)=0,ap_drawdown/100*(AQ921+AV921+BA921-BC921),CH920),0)</f>
        <v>735.72470933507361</v>
      </c>
    </row>
    <row r="922" spans="40:86" x14ac:dyDescent="0.25">
      <c r="AN922" s="32">
        <f t="shared" ca="1" si="729"/>
        <v>131.08333333333334</v>
      </c>
      <c r="AO922" s="53">
        <f t="shared" ca="1" si="760"/>
        <v>73447</v>
      </c>
      <c r="AP922" s="22">
        <v>915</v>
      </c>
      <c r="AQ922" s="32">
        <f t="shared" ca="1" si="761"/>
        <v>4678.7299324138148</v>
      </c>
      <c r="AR922" s="23">
        <f t="array" aca="1" ref="AR922" ca="1">SUM(IF(lsc_start_date=AO922,lsc_amount,0))</f>
        <v>0</v>
      </c>
      <c r="AS922" s="24">
        <f t="shared" ca="1" si="735"/>
        <v>0</v>
      </c>
      <c r="AT922" s="24">
        <f t="shared" ca="1" si="736"/>
        <v>0</v>
      </c>
      <c r="AU922" s="24">
        <f t="shared" ca="1" si="737"/>
        <v>0</v>
      </c>
      <c r="AV922" s="25">
        <f t="shared" ca="1" si="738"/>
        <v>0</v>
      </c>
      <c r="AW922" s="23">
        <f t="array" aca="1" ref="AW922" ca="1">SUM(IF(rcs_start_date&lt;=AO922,1,0)*IF(rcs_end_date&gt;=AO922,1,0)*rcs_amount*(1+rcs_escalation/100)^(INT((AP922-rcs_months_since_start)/12))*IF(MOD((AP922-rcs_months_since_start),rcs_frequency)=0,1,0)*IF(rcs_frequency=13,0,1))+SUM(IF(rcs_start_date=AO922,rcs_amount,0)*IF(rcs_frequency=13,1,0))</f>
        <v>0</v>
      </c>
      <c r="AX922" s="24">
        <f t="shared" ca="1" si="739"/>
        <v>0</v>
      </c>
      <c r="AY922" s="24">
        <f t="shared" ca="1" si="740"/>
        <v>0</v>
      </c>
      <c r="AZ922" s="24">
        <f t="shared" ca="1" si="741"/>
        <v>0</v>
      </c>
      <c r="BA922" s="25">
        <f t="shared" ca="1" si="742"/>
        <v>0</v>
      </c>
      <c r="BB922" s="23">
        <f t="array" aca="1" ref="BB922" ca="1">SUM(IF(w_start_date&lt;=AO922,1,0)*IF(w_end_date&gt;=AO922,1,0)*w_amount*(1+w_escalation/100)^(INT((AP922-w_months_since_start)/12))*IF(MOD(AP922-w_months_since_start,w_frequency)=0,1,0)*IF(w_frequency=13,0,1))+SUM(IF(w_start_date=AO922,w_amount,0)*IF(w_frequency=13,1,0))</f>
        <v>0</v>
      </c>
      <c r="BC922" s="25">
        <f t="shared" ca="1" si="743"/>
        <v>0</v>
      </c>
      <c r="BD922" s="24" t="b">
        <f t="shared" ca="1" si="744"/>
        <v>1</v>
      </c>
      <c r="BE922" s="24" t="b">
        <f t="shared" ca="1" si="745"/>
        <v>1</v>
      </c>
      <c r="BF922" s="23">
        <f t="array" aca="1" ref="BF922" ca="1">SUM(IF(BD922,1,0)*IF(ap_start_date&lt;=AO922,1,0)*IF(ap_end_date&gt;=AO922,1,0)*ap_amount*(1+ap_escalation/100)^(INT((AP922-ap_months_since_start)/12))*IF(MOD(AP922-ap_months_since_start,ap_frequency)=0,1,0))</f>
        <v>447955.73263609374</v>
      </c>
      <c r="BG922" s="24">
        <f t="shared" ca="1" si="746"/>
        <v>5375468.7916331254</v>
      </c>
      <c r="BH922" s="24">
        <f t="shared" ca="1" si="747"/>
        <v>119.6735277071937</v>
      </c>
      <c r="BI922">
        <f t="shared" ca="1" si="748"/>
        <v>0</v>
      </c>
      <c r="BJ922" s="24">
        <f t="shared" ca="1" si="749"/>
        <v>837.71469395035581</v>
      </c>
      <c r="BK922">
        <f t="shared" ca="1" si="750"/>
        <v>1</v>
      </c>
      <c r="BL922" s="25">
        <f t="shared" ca="1" si="751"/>
        <v>69.809557829196308</v>
      </c>
      <c r="BM922" s="32">
        <f t="shared" ca="1" si="730"/>
        <v>4642.1383538625805</v>
      </c>
      <c r="BN922" s="23">
        <f t="shared" ca="1" si="752"/>
        <v>0</v>
      </c>
      <c r="BO922" s="24">
        <f t="shared" ca="1" si="753"/>
        <v>0</v>
      </c>
      <c r="BP922" s="25">
        <f t="shared" ca="1" si="754"/>
        <v>0</v>
      </c>
      <c r="BQ922" s="34">
        <f t="shared" ca="1" si="755"/>
        <v>73474</v>
      </c>
      <c r="BR922" s="23">
        <f t="shared" ca="1" si="756"/>
        <v>4642.1383538625805</v>
      </c>
      <c r="BS922" s="24">
        <f t="shared" ca="1" si="757"/>
        <v>0</v>
      </c>
      <c r="BT922" s="24">
        <f t="shared" ca="1" si="762"/>
        <v>0</v>
      </c>
      <c r="BU922" s="24">
        <f t="shared" ca="1" si="758"/>
        <v>0</v>
      </c>
      <c r="BV922" s="24">
        <f t="shared" ca="1" si="763"/>
        <v>0</v>
      </c>
      <c r="BW922" s="24">
        <f t="shared" ca="1" si="759"/>
        <v>-69.809557829196308</v>
      </c>
      <c r="BX922" s="25">
        <f t="shared" ca="1" si="764"/>
        <v>-895.26308341351751</v>
      </c>
      <c r="BY922" s="23">
        <f t="shared" ca="1" si="731"/>
        <v>233.30602720162355</v>
      </c>
      <c r="BZ922" s="24">
        <f t="shared" ca="1" si="732"/>
        <v>0</v>
      </c>
      <c r="CA922" s="24">
        <f t="shared" ca="1" si="765"/>
        <v>0</v>
      </c>
      <c r="CB922" s="24">
        <f t="shared" ca="1" si="733"/>
        <v>0</v>
      </c>
      <c r="CC922" s="24">
        <f t="shared" ca="1" si="766"/>
        <v>0</v>
      </c>
      <c r="CD922" s="24">
        <f t="shared" ca="1" si="734"/>
        <v>-3.5199963295553083</v>
      </c>
      <c r="CE922" s="25">
        <f t="shared" ca="1" si="767"/>
        <v>-45.98271762545852</v>
      </c>
      <c r="CF922" s="23">
        <f t="shared" ca="1" si="768"/>
        <v>5237636.2585143279</v>
      </c>
      <c r="CG922" s="25">
        <f t="array" aca="1" ref="CG922" ca="1">SUM(BF911:BF922/(1+inflation/100)^(AP911:AP922/12))</f>
        <v>267980.53702225385</v>
      </c>
      <c r="CH922" s="32">
        <f ca="1">IFERROR(IF(MOD(AP922-ap_months_since_start,12)=0,ap_drawdown/100*(AQ922+AV922+BA922-BC922),CH921),0)</f>
        <v>735.72470933507361</v>
      </c>
    </row>
    <row r="923" spans="40:86" x14ac:dyDescent="0.25">
      <c r="AN923" s="32">
        <f t="shared" ca="1" si="729"/>
        <v>131.16666666666666</v>
      </c>
      <c r="AO923" s="53">
        <f t="shared" ca="1" si="760"/>
        <v>73475</v>
      </c>
      <c r="AP923" s="22">
        <v>916</v>
      </c>
      <c r="AQ923" s="32">
        <f t="shared" ca="1" si="761"/>
        <v>4642.1383538625805</v>
      </c>
      <c r="AR923" s="23">
        <f t="array" aca="1" ref="AR923" ca="1">SUM(IF(lsc_start_date=AO923,lsc_amount,0))</f>
        <v>0</v>
      </c>
      <c r="AS923" s="24">
        <f t="shared" ca="1" si="735"/>
        <v>0</v>
      </c>
      <c r="AT923" s="24">
        <f t="shared" ca="1" si="736"/>
        <v>0</v>
      </c>
      <c r="AU923" s="24">
        <f t="shared" ca="1" si="737"/>
        <v>0</v>
      </c>
      <c r="AV923" s="25">
        <f t="shared" ca="1" si="738"/>
        <v>0</v>
      </c>
      <c r="AW923" s="23">
        <f t="array" aca="1" ref="AW923" ca="1">SUM(IF(rcs_start_date&lt;=AO923,1,0)*IF(rcs_end_date&gt;=AO923,1,0)*rcs_amount*(1+rcs_escalation/100)^(INT((AP923-rcs_months_since_start)/12))*IF(MOD((AP923-rcs_months_since_start),rcs_frequency)=0,1,0)*IF(rcs_frequency=13,0,1))+SUM(IF(rcs_start_date=AO923,rcs_amount,0)*IF(rcs_frequency=13,1,0))</f>
        <v>0</v>
      </c>
      <c r="AX923" s="24">
        <f t="shared" ca="1" si="739"/>
        <v>0</v>
      </c>
      <c r="AY923" s="24">
        <f t="shared" ca="1" si="740"/>
        <v>0</v>
      </c>
      <c r="AZ923" s="24">
        <f t="shared" ca="1" si="741"/>
        <v>0</v>
      </c>
      <c r="BA923" s="25">
        <f t="shared" ca="1" si="742"/>
        <v>0</v>
      </c>
      <c r="BB923" s="23">
        <f t="array" aca="1" ref="BB923" ca="1">SUM(IF(w_start_date&lt;=AO923,1,0)*IF(w_end_date&gt;=AO923,1,0)*w_amount*(1+w_escalation/100)^(INT((AP923-w_months_since_start)/12))*IF(MOD(AP923-w_months_since_start,w_frequency)=0,1,0)*IF(w_frequency=13,0,1))+SUM(IF(w_start_date=AO923,w_amount,0)*IF(w_frequency=13,1,0))</f>
        <v>0</v>
      </c>
      <c r="BC923" s="25">
        <f t="shared" ca="1" si="743"/>
        <v>0</v>
      </c>
      <c r="BD923" s="24" t="b">
        <f t="shared" ca="1" si="744"/>
        <v>1</v>
      </c>
      <c r="BE923" s="24" t="b">
        <f t="shared" ca="1" si="745"/>
        <v>1</v>
      </c>
      <c r="BF923" s="23">
        <f t="array" aca="1" ref="BF923" ca="1">SUM(IF(BD923,1,0)*IF(ap_start_date&lt;=AO923,1,0)*IF(ap_end_date&gt;=AO923,1,0)*ap_amount*(1+ap_escalation/100)^(INT((AP923-ap_months_since_start)/12))*IF(MOD(AP923-ap_months_since_start,ap_frequency)=0,1,0))</f>
        <v>447955.73263609374</v>
      </c>
      <c r="BG923" s="24">
        <f t="shared" ca="1" si="746"/>
        <v>5375468.7916331254</v>
      </c>
      <c r="BH923" s="24">
        <f t="shared" ca="1" si="747"/>
        <v>119.6735277071937</v>
      </c>
      <c r="BI923">
        <f t="shared" ca="1" si="748"/>
        <v>0</v>
      </c>
      <c r="BJ923" s="24">
        <f t="shared" ca="1" si="749"/>
        <v>837.71469395035581</v>
      </c>
      <c r="BK923">
        <f t="shared" ca="1" si="750"/>
        <v>1</v>
      </c>
      <c r="BL923" s="25">
        <f t="shared" ca="1" si="751"/>
        <v>69.809557829196308</v>
      </c>
      <c r="BM923" s="32">
        <f t="shared" ca="1" si="730"/>
        <v>4605.2830479740796</v>
      </c>
      <c r="BN923" s="23">
        <f t="shared" ca="1" si="752"/>
        <v>0</v>
      </c>
      <c r="BO923" s="24">
        <f t="shared" ca="1" si="753"/>
        <v>0</v>
      </c>
      <c r="BP923" s="25">
        <f t="shared" ca="1" si="754"/>
        <v>0</v>
      </c>
      <c r="BQ923" s="34">
        <f t="shared" ca="1" si="755"/>
        <v>73505</v>
      </c>
      <c r="BR923" s="23">
        <f t="shared" ca="1" si="756"/>
        <v>4605.2830479740796</v>
      </c>
      <c r="BS923" s="24">
        <f t="shared" ca="1" si="757"/>
        <v>0</v>
      </c>
      <c r="BT923" s="24">
        <f t="shared" ca="1" si="762"/>
        <v>0</v>
      </c>
      <c r="BU923" s="24">
        <f t="shared" ca="1" si="758"/>
        <v>0</v>
      </c>
      <c r="BV923" s="24">
        <f t="shared" ca="1" si="763"/>
        <v>0</v>
      </c>
      <c r="BW923" s="24">
        <f t="shared" ca="1" si="759"/>
        <v>-69.809557829196308</v>
      </c>
      <c r="BX923" s="25">
        <f t="shared" ca="1" si="764"/>
        <v>-888.06953473062231</v>
      </c>
      <c r="BY923" s="23">
        <f t="shared" ca="1" si="731"/>
        <v>230.6984949823391</v>
      </c>
      <c r="BZ923" s="24">
        <f t="shared" ca="1" si="732"/>
        <v>0</v>
      </c>
      <c r="CA923" s="24">
        <f t="shared" ca="1" si="765"/>
        <v>0</v>
      </c>
      <c r="CB923" s="24">
        <f t="shared" ca="1" si="733"/>
        <v>0</v>
      </c>
      <c r="CC923" s="24">
        <f t="shared" ca="1" si="766"/>
        <v>0</v>
      </c>
      <c r="CD923" s="24">
        <f t="shared" ca="1" si="734"/>
        <v>-3.5085103795495201</v>
      </c>
      <c r="CE923" s="25">
        <f t="shared" ca="1" si="767"/>
        <v>-45.466380188597313</v>
      </c>
      <c r="CF923" s="23">
        <f t="shared" ca="1" si="768"/>
        <v>5254865.3251541778</v>
      </c>
      <c r="CG923" s="25">
        <f t="array" aca="1" ref="CG923" ca="1">SUM(BF912:BF923/(1+inflation/100)^(AP912:AP923/12))</f>
        <v>267980.53702225385</v>
      </c>
      <c r="CH923" s="32">
        <f ca="1">IFERROR(IF(MOD(AP923-ap_months_since_start,12)=0,ap_drawdown/100*(AQ923+AV923+BA923-BC923),CH922),0)</f>
        <v>735.72470933507361</v>
      </c>
    </row>
    <row r="924" spans="40:86" x14ac:dyDescent="0.25">
      <c r="AN924" s="32">
        <f t="shared" ca="1" si="729"/>
        <v>131.25</v>
      </c>
      <c r="AO924" s="53">
        <f t="shared" ca="1" si="760"/>
        <v>73506</v>
      </c>
      <c r="AP924" s="22">
        <v>917</v>
      </c>
      <c r="AQ924" s="32">
        <f t="shared" ca="1" si="761"/>
        <v>4605.2830479740796</v>
      </c>
      <c r="AR924" s="23">
        <f t="array" aca="1" ref="AR924" ca="1">SUM(IF(lsc_start_date=AO924,lsc_amount,0))</f>
        <v>0</v>
      </c>
      <c r="AS924" s="24">
        <f t="shared" ca="1" si="735"/>
        <v>0</v>
      </c>
      <c r="AT924" s="24">
        <f t="shared" ca="1" si="736"/>
        <v>0</v>
      </c>
      <c r="AU924" s="24">
        <f t="shared" ca="1" si="737"/>
        <v>0</v>
      </c>
      <c r="AV924" s="25">
        <f t="shared" ca="1" si="738"/>
        <v>0</v>
      </c>
      <c r="AW924" s="23">
        <f t="array" aca="1" ref="AW924" ca="1">SUM(IF(rcs_start_date&lt;=AO924,1,0)*IF(rcs_end_date&gt;=AO924,1,0)*rcs_amount*(1+rcs_escalation/100)^(INT((AP924-rcs_months_since_start)/12))*IF(MOD((AP924-rcs_months_since_start),rcs_frequency)=0,1,0)*IF(rcs_frequency=13,0,1))+SUM(IF(rcs_start_date=AO924,rcs_amount,0)*IF(rcs_frequency=13,1,0))</f>
        <v>0</v>
      </c>
      <c r="AX924" s="24">
        <f t="shared" ca="1" si="739"/>
        <v>0</v>
      </c>
      <c r="AY924" s="24">
        <f t="shared" ca="1" si="740"/>
        <v>0</v>
      </c>
      <c r="AZ924" s="24">
        <f t="shared" ca="1" si="741"/>
        <v>0</v>
      </c>
      <c r="BA924" s="25">
        <f t="shared" ca="1" si="742"/>
        <v>0</v>
      </c>
      <c r="BB924" s="23">
        <f t="array" aca="1" ref="BB924" ca="1">SUM(IF(w_start_date&lt;=AO924,1,0)*IF(w_end_date&gt;=AO924,1,0)*w_amount*(1+w_escalation/100)^(INT((AP924-w_months_since_start)/12))*IF(MOD(AP924-w_months_since_start,w_frequency)=0,1,0)*IF(w_frequency=13,0,1))+SUM(IF(w_start_date=AO924,w_amount,0)*IF(w_frequency=13,1,0))</f>
        <v>0</v>
      </c>
      <c r="BC924" s="25">
        <f t="shared" ca="1" si="743"/>
        <v>0</v>
      </c>
      <c r="BD924" s="24" t="b">
        <f t="shared" ca="1" si="744"/>
        <v>1</v>
      </c>
      <c r="BE924" s="24" t="b">
        <f t="shared" ca="1" si="745"/>
        <v>1</v>
      </c>
      <c r="BF924" s="23">
        <f t="array" aca="1" ref="BF924" ca="1">SUM(IF(BD924,1,0)*IF(ap_start_date&lt;=AO924,1,0)*IF(ap_end_date&gt;=AO924,1,0)*ap_amount*(1+ap_escalation/100)^(INT((AP924-ap_months_since_start)/12))*IF(MOD(AP924-ap_months_since_start,ap_frequency)=0,1,0))</f>
        <v>447955.73263609374</v>
      </c>
      <c r="BG924" s="24">
        <f t="shared" ca="1" si="746"/>
        <v>5375468.7916331254</v>
      </c>
      <c r="BH924" s="24">
        <f t="shared" ca="1" si="747"/>
        <v>119.6735277071937</v>
      </c>
      <c r="BI924">
        <f t="shared" ca="1" si="748"/>
        <v>0</v>
      </c>
      <c r="BJ924" s="24">
        <f t="shared" ca="1" si="749"/>
        <v>837.71469395035581</v>
      </c>
      <c r="BK924">
        <f t="shared" ca="1" si="750"/>
        <v>1</v>
      </c>
      <c r="BL924" s="25">
        <f t="shared" ca="1" si="751"/>
        <v>69.809557829196308</v>
      </c>
      <c r="BM924" s="32">
        <f t="shared" ca="1" si="730"/>
        <v>4568.1621139801246</v>
      </c>
      <c r="BN924" s="23">
        <f t="shared" ca="1" si="752"/>
        <v>0</v>
      </c>
      <c r="BO924" s="24">
        <f t="shared" ca="1" si="753"/>
        <v>0</v>
      </c>
      <c r="BP924" s="25">
        <f t="shared" ca="1" si="754"/>
        <v>0</v>
      </c>
      <c r="BQ924" s="34">
        <f t="shared" ca="1" si="755"/>
        <v>73535</v>
      </c>
      <c r="BR924" s="23">
        <f t="shared" ca="1" si="756"/>
        <v>4568.1621139801246</v>
      </c>
      <c r="BS924" s="24">
        <f t="shared" ca="1" si="757"/>
        <v>0</v>
      </c>
      <c r="BT924" s="24">
        <f t="shared" ca="1" si="762"/>
        <v>0</v>
      </c>
      <c r="BU924" s="24">
        <f t="shared" ca="1" si="758"/>
        <v>0</v>
      </c>
      <c r="BV924" s="24">
        <f t="shared" ca="1" si="763"/>
        <v>0</v>
      </c>
      <c r="BW924" s="24">
        <f t="shared" ca="1" si="759"/>
        <v>-69.809557829196308</v>
      </c>
      <c r="BX924" s="25">
        <f t="shared" ca="1" si="764"/>
        <v>-880.87598604772711</v>
      </c>
      <c r="BY924" s="23">
        <f t="shared" ca="1" si="731"/>
        <v>228.09223264351587</v>
      </c>
      <c r="BZ924" s="24">
        <f t="shared" ca="1" si="732"/>
        <v>0</v>
      </c>
      <c r="CA924" s="24">
        <f t="shared" ca="1" si="765"/>
        <v>0</v>
      </c>
      <c r="CB924" s="24">
        <f t="shared" ca="1" si="733"/>
        <v>0</v>
      </c>
      <c r="CC924" s="24">
        <f t="shared" ca="1" si="766"/>
        <v>0</v>
      </c>
      <c r="CD924" s="24">
        <f t="shared" ca="1" si="734"/>
        <v>-3.4970619088576811</v>
      </c>
      <c r="CE924" s="25">
        <f t="shared" ca="1" si="767"/>
        <v>-44.951727590420766</v>
      </c>
      <c r="CF924" s="23">
        <f t="shared" ca="1" si="768"/>
        <v>5272094.3917940268</v>
      </c>
      <c r="CG924" s="25">
        <f t="array" aca="1" ref="CG924" ca="1">SUM(BF913:BF924/(1+inflation/100)^(AP913:AP924/12))</f>
        <v>267980.53702225391</v>
      </c>
      <c r="CH924" s="32">
        <f ca="1">IFERROR(IF(MOD(AP924-ap_months_since_start,12)=0,ap_drawdown/100*(AQ924+AV924+BA924-BC924),CH923),0)</f>
        <v>735.72470933507361</v>
      </c>
    </row>
    <row r="925" spans="40:86" x14ac:dyDescent="0.25">
      <c r="AN925" s="32">
        <f t="shared" ca="1" si="729"/>
        <v>131.33333333333334</v>
      </c>
      <c r="AO925" s="53">
        <f t="shared" ca="1" si="760"/>
        <v>73536</v>
      </c>
      <c r="AP925" s="22">
        <v>918</v>
      </c>
      <c r="AQ925" s="32">
        <f t="shared" ca="1" si="761"/>
        <v>4568.1621139801246</v>
      </c>
      <c r="AR925" s="23">
        <f t="array" aca="1" ref="AR925" ca="1">SUM(IF(lsc_start_date=AO925,lsc_amount,0))</f>
        <v>0</v>
      </c>
      <c r="AS925" s="24">
        <f t="shared" ca="1" si="735"/>
        <v>0</v>
      </c>
      <c r="AT925" s="24">
        <f t="shared" ca="1" si="736"/>
        <v>0</v>
      </c>
      <c r="AU925" s="24">
        <f t="shared" ca="1" si="737"/>
        <v>0</v>
      </c>
      <c r="AV925" s="25">
        <f t="shared" ca="1" si="738"/>
        <v>0</v>
      </c>
      <c r="AW925" s="23">
        <f t="array" aca="1" ref="AW925" ca="1">SUM(IF(rcs_start_date&lt;=AO925,1,0)*IF(rcs_end_date&gt;=AO925,1,0)*rcs_amount*(1+rcs_escalation/100)^(INT((AP925-rcs_months_since_start)/12))*IF(MOD((AP925-rcs_months_since_start),rcs_frequency)=0,1,0)*IF(rcs_frequency=13,0,1))+SUM(IF(rcs_start_date=AO925,rcs_amount,0)*IF(rcs_frequency=13,1,0))</f>
        <v>0</v>
      </c>
      <c r="AX925" s="24">
        <f t="shared" ca="1" si="739"/>
        <v>0</v>
      </c>
      <c r="AY925" s="24">
        <f t="shared" ca="1" si="740"/>
        <v>0</v>
      </c>
      <c r="AZ925" s="24">
        <f t="shared" ca="1" si="741"/>
        <v>0</v>
      </c>
      <c r="BA925" s="25">
        <f t="shared" ca="1" si="742"/>
        <v>0</v>
      </c>
      <c r="BB925" s="23">
        <f t="array" aca="1" ref="BB925" ca="1">SUM(IF(w_start_date&lt;=AO925,1,0)*IF(w_end_date&gt;=AO925,1,0)*w_amount*(1+w_escalation/100)^(INT((AP925-w_months_since_start)/12))*IF(MOD(AP925-w_months_since_start,w_frequency)=0,1,0)*IF(w_frequency=13,0,1))+SUM(IF(w_start_date=AO925,w_amount,0)*IF(w_frequency=13,1,0))</f>
        <v>0</v>
      </c>
      <c r="BC925" s="25">
        <f t="shared" ca="1" si="743"/>
        <v>0</v>
      </c>
      <c r="BD925" s="24" t="b">
        <f t="shared" ca="1" si="744"/>
        <v>1</v>
      </c>
      <c r="BE925" s="24" t="b">
        <f t="shared" ca="1" si="745"/>
        <v>1</v>
      </c>
      <c r="BF925" s="23">
        <f t="array" aca="1" ref="BF925" ca="1">SUM(IF(BD925,1,0)*IF(ap_start_date&lt;=AO925,1,0)*IF(ap_end_date&gt;=AO925,1,0)*ap_amount*(1+ap_escalation/100)^(INT((AP925-ap_months_since_start)/12))*IF(MOD(AP925-ap_months_since_start,ap_frequency)=0,1,0))</f>
        <v>447955.73263609374</v>
      </c>
      <c r="BG925" s="24">
        <f t="shared" ca="1" si="746"/>
        <v>5375468.7916331254</v>
      </c>
      <c r="BH925" s="24">
        <f t="shared" ca="1" si="747"/>
        <v>119.6735277071937</v>
      </c>
      <c r="BI925">
        <f t="shared" ca="1" si="748"/>
        <v>0</v>
      </c>
      <c r="BJ925" s="24">
        <f t="shared" ca="1" si="749"/>
        <v>837.71469395035581</v>
      </c>
      <c r="BK925">
        <f t="shared" ca="1" si="750"/>
        <v>1</v>
      </c>
      <c r="BL925" s="25">
        <f t="shared" ca="1" si="751"/>
        <v>69.809557829196308</v>
      </c>
      <c r="BM925" s="32">
        <f t="shared" ca="1" si="730"/>
        <v>4530.7736374130782</v>
      </c>
      <c r="BN925" s="23">
        <f t="shared" ca="1" si="752"/>
        <v>0</v>
      </c>
      <c r="BO925" s="24">
        <f t="shared" ca="1" si="753"/>
        <v>0</v>
      </c>
      <c r="BP925" s="25">
        <f t="shared" ca="1" si="754"/>
        <v>0</v>
      </c>
      <c r="BQ925" s="34">
        <f t="shared" ca="1" si="755"/>
        <v>73566</v>
      </c>
      <c r="BR925" s="23">
        <f t="shared" ca="1" si="756"/>
        <v>4530.7736374130782</v>
      </c>
      <c r="BS925" s="24">
        <f t="shared" ca="1" si="757"/>
        <v>0</v>
      </c>
      <c r="BT925" s="24">
        <f t="shared" ca="1" si="762"/>
        <v>0</v>
      </c>
      <c r="BU925" s="24">
        <f t="shared" ca="1" si="758"/>
        <v>0</v>
      </c>
      <c r="BV925" s="24">
        <f t="shared" ca="1" si="763"/>
        <v>0</v>
      </c>
      <c r="BW925" s="24">
        <f t="shared" ca="1" si="759"/>
        <v>-69.809557829196308</v>
      </c>
      <c r="BX925" s="25">
        <f t="shared" ca="1" si="764"/>
        <v>-873.68243736483191</v>
      </c>
      <c r="BY925" s="23">
        <f t="shared" ca="1" si="731"/>
        <v>225.48720766055129</v>
      </c>
      <c r="BZ925" s="24">
        <f t="shared" ca="1" si="732"/>
        <v>0</v>
      </c>
      <c r="CA925" s="24">
        <f t="shared" ca="1" si="765"/>
        <v>0</v>
      </c>
      <c r="CB925" s="24">
        <f t="shared" ca="1" si="733"/>
        <v>0</v>
      </c>
      <c r="CC925" s="24">
        <f t="shared" ca="1" si="766"/>
        <v>0</v>
      </c>
      <c r="CD925" s="24">
        <f t="shared" ca="1" si="734"/>
        <v>-3.4856507951826377</v>
      </c>
      <c r="CE925" s="25">
        <f t="shared" ca="1" si="767"/>
        <v>-44.438754333203569</v>
      </c>
      <c r="CF925" s="23">
        <f t="shared" ca="1" si="768"/>
        <v>5289323.4584338767</v>
      </c>
      <c r="CG925" s="25">
        <f t="array" aca="1" ref="CG925" ca="1">SUM(BF914:BF925/(1+inflation/100)^(AP914:AP925/12))</f>
        <v>267980.53702225396</v>
      </c>
      <c r="CH925" s="32">
        <f ca="1">IFERROR(IF(MOD(AP925-ap_months_since_start,12)=0,ap_drawdown/100*(AQ925+AV925+BA925-BC925),CH924),0)</f>
        <v>735.72470933507361</v>
      </c>
    </row>
    <row r="926" spans="40:86" x14ac:dyDescent="0.25">
      <c r="AN926" s="32">
        <f t="shared" ca="1" si="729"/>
        <v>131.41666666666666</v>
      </c>
      <c r="AO926" s="53">
        <f t="shared" ca="1" si="760"/>
        <v>73567</v>
      </c>
      <c r="AP926" s="22">
        <v>919</v>
      </c>
      <c r="AQ926" s="32">
        <f t="shared" ca="1" si="761"/>
        <v>4530.7736374130782</v>
      </c>
      <c r="AR926" s="23">
        <f t="array" aca="1" ref="AR926" ca="1">SUM(IF(lsc_start_date=AO926,lsc_amount,0))</f>
        <v>0</v>
      </c>
      <c r="AS926" s="24">
        <f t="shared" ca="1" si="735"/>
        <v>0</v>
      </c>
      <c r="AT926" s="24">
        <f t="shared" ca="1" si="736"/>
        <v>0</v>
      </c>
      <c r="AU926" s="24">
        <f t="shared" ca="1" si="737"/>
        <v>0</v>
      </c>
      <c r="AV926" s="25">
        <f t="shared" ca="1" si="738"/>
        <v>0</v>
      </c>
      <c r="AW926" s="23">
        <f t="array" aca="1" ref="AW926" ca="1">SUM(IF(rcs_start_date&lt;=AO926,1,0)*IF(rcs_end_date&gt;=AO926,1,0)*rcs_amount*(1+rcs_escalation/100)^(INT((AP926-rcs_months_since_start)/12))*IF(MOD((AP926-rcs_months_since_start),rcs_frequency)=0,1,0)*IF(rcs_frequency=13,0,1))+SUM(IF(rcs_start_date=AO926,rcs_amount,0)*IF(rcs_frequency=13,1,0))</f>
        <v>0</v>
      </c>
      <c r="AX926" s="24">
        <f t="shared" ca="1" si="739"/>
        <v>0</v>
      </c>
      <c r="AY926" s="24">
        <f t="shared" ca="1" si="740"/>
        <v>0</v>
      </c>
      <c r="AZ926" s="24">
        <f t="shared" ca="1" si="741"/>
        <v>0</v>
      </c>
      <c r="BA926" s="25">
        <f t="shared" ca="1" si="742"/>
        <v>0</v>
      </c>
      <c r="BB926" s="23">
        <f t="array" aca="1" ref="BB926" ca="1">SUM(IF(w_start_date&lt;=AO926,1,0)*IF(w_end_date&gt;=AO926,1,0)*w_amount*(1+w_escalation/100)^(INT((AP926-w_months_since_start)/12))*IF(MOD(AP926-w_months_since_start,w_frequency)=0,1,0)*IF(w_frequency=13,0,1))+SUM(IF(w_start_date=AO926,w_amount,0)*IF(w_frequency=13,1,0))</f>
        <v>0</v>
      </c>
      <c r="BC926" s="25">
        <f t="shared" ca="1" si="743"/>
        <v>0</v>
      </c>
      <c r="BD926" s="24" t="b">
        <f t="shared" ca="1" si="744"/>
        <v>1</v>
      </c>
      <c r="BE926" s="24" t="b">
        <f t="shared" ca="1" si="745"/>
        <v>1</v>
      </c>
      <c r="BF926" s="23">
        <f t="array" aca="1" ref="BF926" ca="1">SUM(IF(BD926,1,0)*IF(ap_start_date&lt;=AO926,1,0)*IF(ap_end_date&gt;=AO926,1,0)*ap_amount*(1+ap_escalation/100)^(INT((AP926-ap_months_since_start)/12))*IF(MOD(AP926-ap_months_since_start,ap_frequency)=0,1,0))</f>
        <v>447955.73263609374</v>
      </c>
      <c r="BG926" s="24">
        <f t="shared" ca="1" si="746"/>
        <v>5375468.7916331254</v>
      </c>
      <c r="BH926" s="24">
        <f t="shared" ca="1" si="747"/>
        <v>119.6735277071937</v>
      </c>
      <c r="BI926">
        <f t="shared" ca="1" si="748"/>
        <v>0</v>
      </c>
      <c r="BJ926" s="24">
        <f t="shared" ca="1" si="749"/>
        <v>837.71469395035581</v>
      </c>
      <c r="BK926">
        <f t="shared" ca="1" si="750"/>
        <v>1</v>
      </c>
      <c r="BL926" s="25">
        <f t="shared" ca="1" si="751"/>
        <v>69.809557829196308</v>
      </c>
      <c r="BM926" s="32">
        <f t="shared" ca="1" si="730"/>
        <v>4493.1156900071155</v>
      </c>
      <c r="BN926" s="23">
        <f t="shared" ca="1" si="752"/>
        <v>0</v>
      </c>
      <c r="BO926" s="24">
        <f t="shared" ca="1" si="753"/>
        <v>0</v>
      </c>
      <c r="BP926" s="25">
        <f t="shared" ca="1" si="754"/>
        <v>0</v>
      </c>
      <c r="BQ926" s="34">
        <f t="shared" ca="1" si="755"/>
        <v>73596</v>
      </c>
      <c r="BR926" s="23">
        <f t="shared" ca="1" si="756"/>
        <v>4493.1156900071155</v>
      </c>
      <c r="BS926" s="24">
        <f t="shared" ca="1" si="757"/>
        <v>0</v>
      </c>
      <c r="BT926" s="24">
        <f t="shared" ca="1" si="762"/>
        <v>0</v>
      </c>
      <c r="BU926" s="24">
        <f t="shared" ca="1" si="758"/>
        <v>0</v>
      </c>
      <c r="BV926" s="24">
        <f t="shared" ca="1" si="763"/>
        <v>0</v>
      </c>
      <c r="BW926" s="24">
        <f t="shared" ca="1" si="759"/>
        <v>-69.809557829196308</v>
      </c>
      <c r="BX926" s="25">
        <f t="shared" ca="1" si="764"/>
        <v>-866.48888868193671</v>
      </c>
      <c r="BY926" s="23">
        <f t="shared" ca="1" si="731"/>
        <v>222.88338750369746</v>
      </c>
      <c r="BZ926" s="24">
        <f t="shared" ca="1" si="732"/>
        <v>0</v>
      </c>
      <c r="CA926" s="24">
        <f t="shared" ca="1" si="765"/>
        <v>0</v>
      </c>
      <c r="CB926" s="24">
        <f t="shared" ca="1" si="733"/>
        <v>0</v>
      </c>
      <c r="CC926" s="24">
        <f t="shared" ca="1" si="766"/>
        <v>0</v>
      </c>
      <c r="CD926" s="24">
        <f t="shared" ca="1" si="734"/>
        <v>-3.4742769166263039</v>
      </c>
      <c r="CE926" s="25">
        <f t="shared" ca="1" si="767"/>
        <v>-43.927454937159808</v>
      </c>
      <c r="CF926" s="23">
        <f t="shared" ca="1" si="768"/>
        <v>5306552.5250737257</v>
      </c>
      <c r="CG926" s="25">
        <f t="array" aca="1" ref="CG926" ca="1">SUM(BF915:BF926/(1+inflation/100)^(AP915:AP926/12))</f>
        <v>267980.53702225391</v>
      </c>
      <c r="CH926" s="32">
        <f ca="1">IFERROR(IF(MOD(AP926-ap_months_since_start,12)=0,ap_drawdown/100*(AQ926+AV926+BA926-BC926),CH925),0)</f>
        <v>735.72470933507361</v>
      </c>
    </row>
    <row r="927" spans="40:86" x14ac:dyDescent="0.25">
      <c r="AN927" s="32">
        <f t="shared" ca="1" si="729"/>
        <v>131.5</v>
      </c>
      <c r="AO927" s="53">
        <f t="shared" ca="1" si="760"/>
        <v>73597</v>
      </c>
      <c r="AP927" s="22">
        <v>920</v>
      </c>
      <c r="AQ927" s="32">
        <f t="shared" ca="1" si="761"/>
        <v>4493.1156900071155</v>
      </c>
      <c r="AR927" s="23">
        <f t="array" aca="1" ref="AR927" ca="1">SUM(IF(lsc_start_date=AO927,lsc_amount,0))</f>
        <v>0</v>
      </c>
      <c r="AS927" s="24">
        <f t="shared" ca="1" si="735"/>
        <v>0</v>
      </c>
      <c r="AT927" s="24">
        <f t="shared" ca="1" si="736"/>
        <v>0</v>
      </c>
      <c r="AU927" s="24">
        <f t="shared" ca="1" si="737"/>
        <v>0</v>
      </c>
      <c r="AV927" s="25">
        <f t="shared" ca="1" si="738"/>
        <v>0</v>
      </c>
      <c r="AW927" s="23">
        <f t="array" aca="1" ref="AW927" ca="1">SUM(IF(rcs_start_date&lt;=AO927,1,0)*IF(rcs_end_date&gt;=AO927,1,0)*rcs_amount*(1+rcs_escalation/100)^(INT((AP927-rcs_months_since_start)/12))*IF(MOD((AP927-rcs_months_since_start),rcs_frequency)=0,1,0)*IF(rcs_frequency=13,0,1))+SUM(IF(rcs_start_date=AO927,rcs_amount,0)*IF(rcs_frequency=13,1,0))</f>
        <v>0</v>
      </c>
      <c r="AX927" s="24">
        <f t="shared" ca="1" si="739"/>
        <v>0</v>
      </c>
      <c r="AY927" s="24">
        <f t="shared" ca="1" si="740"/>
        <v>0</v>
      </c>
      <c r="AZ927" s="24">
        <f t="shared" ca="1" si="741"/>
        <v>0</v>
      </c>
      <c r="BA927" s="25">
        <f t="shared" ca="1" si="742"/>
        <v>0</v>
      </c>
      <c r="BB927" s="23">
        <f t="array" aca="1" ref="BB927" ca="1">SUM(IF(w_start_date&lt;=AO927,1,0)*IF(w_end_date&gt;=AO927,1,0)*w_amount*(1+w_escalation/100)^(INT((AP927-w_months_since_start)/12))*IF(MOD(AP927-w_months_since_start,w_frequency)=0,1,0)*IF(w_frequency=13,0,1))+SUM(IF(w_start_date=AO927,w_amount,0)*IF(w_frequency=13,1,0))</f>
        <v>0</v>
      </c>
      <c r="BC927" s="25">
        <f t="shared" ca="1" si="743"/>
        <v>0</v>
      </c>
      <c r="BD927" s="24" t="b">
        <f t="shared" ca="1" si="744"/>
        <v>1</v>
      </c>
      <c r="BE927" s="24" t="b">
        <f t="shared" ca="1" si="745"/>
        <v>1</v>
      </c>
      <c r="BF927" s="23">
        <f t="array" aca="1" ref="BF927" ca="1">SUM(IF(BD927,1,0)*IF(ap_start_date&lt;=AO927,1,0)*IF(ap_end_date&gt;=AO927,1,0)*ap_amount*(1+ap_escalation/100)^(INT((AP927-ap_months_since_start)/12))*IF(MOD(AP927-ap_months_since_start,ap_frequency)=0,1,0))</f>
        <v>447955.73263609374</v>
      </c>
      <c r="BG927" s="24">
        <f t="shared" ca="1" si="746"/>
        <v>5375468.7916331254</v>
      </c>
      <c r="BH927" s="24">
        <f t="shared" ca="1" si="747"/>
        <v>119.6735277071937</v>
      </c>
      <c r="BI927">
        <f t="shared" ca="1" si="748"/>
        <v>0</v>
      </c>
      <c r="BJ927" s="24">
        <f t="shared" ca="1" si="749"/>
        <v>837.71469395035581</v>
      </c>
      <c r="BK927">
        <f t="shared" ca="1" si="750"/>
        <v>1</v>
      </c>
      <c r="BL927" s="25">
        <f t="shared" ca="1" si="751"/>
        <v>69.809557829196308</v>
      </c>
      <c r="BM927" s="32">
        <f t="shared" ca="1" si="730"/>
        <v>4455.186329598776</v>
      </c>
      <c r="BN927" s="23">
        <f t="shared" ca="1" si="752"/>
        <v>0</v>
      </c>
      <c r="BO927" s="24">
        <f t="shared" ca="1" si="753"/>
        <v>0</v>
      </c>
      <c r="BP927" s="25">
        <f t="shared" ca="1" si="754"/>
        <v>0</v>
      </c>
      <c r="BQ927" s="34">
        <f t="shared" ca="1" si="755"/>
        <v>73627</v>
      </c>
      <c r="BR927" s="23">
        <f t="shared" ca="1" si="756"/>
        <v>4455.186329598776</v>
      </c>
      <c r="BS927" s="24">
        <f t="shared" ca="1" si="757"/>
        <v>0</v>
      </c>
      <c r="BT927" s="24">
        <f t="shared" ca="1" si="762"/>
        <v>0</v>
      </c>
      <c r="BU927" s="24">
        <f t="shared" ca="1" si="758"/>
        <v>0</v>
      </c>
      <c r="BV927" s="24">
        <f t="shared" ca="1" si="763"/>
        <v>0</v>
      </c>
      <c r="BW927" s="24">
        <f t="shared" ca="1" si="759"/>
        <v>-69.809557829196308</v>
      </c>
      <c r="BX927" s="25">
        <f t="shared" ca="1" si="764"/>
        <v>-859.29533999904152</v>
      </c>
      <c r="BY927" s="23">
        <f t="shared" ca="1" si="731"/>
        <v>220.28073963764243</v>
      </c>
      <c r="BZ927" s="24">
        <f t="shared" ca="1" si="732"/>
        <v>0</v>
      </c>
      <c r="CA927" s="24">
        <f t="shared" ca="1" si="765"/>
        <v>0</v>
      </c>
      <c r="CB927" s="24">
        <f t="shared" ca="1" si="733"/>
        <v>0</v>
      </c>
      <c r="CC927" s="24">
        <f t="shared" ca="1" si="766"/>
        <v>0</v>
      </c>
      <c r="CD927" s="24">
        <f t="shared" ca="1" si="734"/>
        <v>-3.4629401516883478</v>
      </c>
      <c r="CE927" s="25">
        <f t="shared" ca="1" si="767"/>
        <v>-43.417823940384451</v>
      </c>
      <c r="CF927" s="23">
        <f t="shared" ca="1" si="768"/>
        <v>5323781.5917135756</v>
      </c>
      <c r="CG927" s="25">
        <f t="array" aca="1" ref="CG927" ca="1">SUM(BF916:BF927/(1+inflation/100)^(AP916:AP927/12))</f>
        <v>267980.53702225391</v>
      </c>
      <c r="CH927" s="32">
        <f ca="1">IFERROR(IF(MOD(AP927-ap_months_since_start,12)=0,ap_drawdown/100*(AQ927+AV927+BA927-BC927),CH926),0)</f>
        <v>735.72470933507361</v>
      </c>
    </row>
    <row r="928" spans="40:86" x14ac:dyDescent="0.25">
      <c r="AN928" s="32">
        <f t="shared" ca="1" si="729"/>
        <v>131.58333333333334</v>
      </c>
      <c r="AO928" s="53">
        <f t="shared" ca="1" si="760"/>
        <v>73628</v>
      </c>
      <c r="AP928" s="22">
        <v>921</v>
      </c>
      <c r="AQ928" s="32">
        <f t="shared" ca="1" si="761"/>
        <v>4455.186329598776</v>
      </c>
      <c r="AR928" s="23">
        <f t="array" aca="1" ref="AR928" ca="1">SUM(IF(lsc_start_date=AO928,lsc_amount,0))</f>
        <v>0</v>
      </c>
      <c r="AS928" s="24">
        <f t="shared" ca="1" si="735"/>
        <v>0</v>
      </c>
      <c r="AT928" s="24">
        <f t="shared" ca="1" si="736"/>
        <v>0</v>
      </c>
      <c r="AU928" s="24">
        <f t="shared" ca="1" si="737"/>
        <v>0</v>
      </c>
      <c r="AV928" s="25">
        <f t="shared" ca="1" si="738"/>
        <v>0</v>
      </c>
      <c r="AW928" s="23">
        <f t="array" aca="1" ref="AW928" ca="1">SUM(IF(rcs_start_date&lt;=AO928,1,0)*IF(rcs_end_date&gt;=AO928,1,0)*rcs_amount*(1+rcs_escalation/100)^(INT((AP928-rcs_months_since_start)/12))*IF(MOD((AP928-rcs_months_since_start),rcs_frequency)=0,1,0)*IF(rcs_frequency=13,0,1))+SUM(IF(rcs_start_date=AO928,rcs_amount,0)*IF(rcs_frequency=13,1,0))</f>
        <v>0</v>
      </c>
      <c r="AX928" s="24">
        <f t="shared" ca="1" si="739"/>
        <v>0</v>
      </c>
      <c r="AY928" s="24">
        <f t="shared" ca="1" si="740"/>
        <v>0</v>
      </c>
      <c r="AZ928" s="24">
        <f t="shared" ca="1" si="741"/>
        <v>0</v>
      </c>
      <c r="BA928" s="25">
        <f t="shared" ca="1" si="742"/>
        <v>0</v>
      </c>
      <c r="BB928" s="23">
        <f t="array" aca="1" ref="BB928" ca="1">SUM(IF(w_start_date&lt;=AO928,1,0)*IF(w_end_date&gt;=AO928,1,0)*w_amount*(1+w_escalation/100)^(INT((AP928-w_months_since_start)/12))*IF(MOD(AP928-w_months_since_start,w_frequency)=0,1,0)*IF(w_frequency=13,0,1))+SUM(IF(w_start_date=AO928,w_amount,0)*IF(w_frequency=13,1,0))</f>
        <v>0</v>
      </c>
      <c r="BC928" s="25">
        <f t="shared" ca="1" si="743"/>
        <v>0</v>
      </c>
      <c r="BD928" s="24" t="b">
        <f t="shared" ca="1" si="744"/>
        <v>1</v>
      </c>
      <c r="BE928" s="24" t="b">
        <f t="shared" ca="1" si="745"/>
        <v>1</v>
      </c>
      <c r="BF928" s="23">
        <f t="array" aca="1" ref="BF928" ca="1">SUM(IF(BD928,1,0)*IF(ap_start_date&lt;=AO928,1,0)*IF(ap_end_date&gt;=AO928,1,0)*ap_amount*(1+ap_escalation/100)^(INT((AP928-ap_months_since_start)/12))*IF(MOD(AP928-ap_months_since_start,ap_frequency)=0,1,0))</f>
        <v>447955.73263609374</v>
      </c>
      <c r="BG928" s="24">
        <f t="shared" ca="1" si="746"/>
        <v>5375468.7916331254</v>
      </c>
      <c r="BH928" s="24">
        <f t="shared" ca="1" si="747"/>
        <v>119.6735277071937</v>
      </c>
      <c r="BI928">
        <f t="shared" ca="1" si="748"/>
        <v>0</v>
      </c>
      <c r="BJ928" s="24">
        <f t="shared" ca="1" si="749"/>
        <v>837.71469395035581</v>
      </c>
      <c r="BK928">
        <f t="shared" ca="1" si="750"/>
        <v>1</v>
      </c>
      <c r="BL928" s="25">
        <f t="shared" ca="1" si="751"/>
        <v>69.809557829196308</v>
      </c>
      <c r="BM928" s="32">
        <f t="shared" ca="1" si="730"/>
        <v>4416.9836000267996</v>
      </c>
      <c r="BN928" s="23">
        <f t="shared" ca="1" si="752"/>
        <v>0</v>
      </c>
      <c r="BO928" s="24">
        <f t="shared" ca="1" si="753"/>
        <v>0</v>
      </c>
      <c r="BP928" s="25">
        <f t="shared" ca="1" si="754"/>
        <v>0</v>
      </c>
      <c r="BQ928" s="34">
        <f t="shared" ca="1" si="755"/>
        <v>73658</v>
      </c>
      <c r="BR928" s="23">
        <f t="shared" ca="1" si="756"/>
        <v>4416.9836000267996</v>
      </c>
      <c r="BS928" s="24">
        <f t="shared" ca="1" si="757"/>
        <v>0</v>
      </c>
      <c r="BT928" s="24">
        <f t="shared" ca="1" si="762"/>
        <v>0</v>
      </c>
      <c r="BU928" s="24">
        <f t="shared" ca="1" si="758"/>
        <v>0</v>
      </c>
      <c r="BV928" s="24">
        <f t="shared" ca="1" si="763"/>
        <v>0</v>
      </c>
      <c r="BW928" s="24">
        <f t="shared" ca="1" si="759"/>
        <v>-69.809557829196308</v>
      </c>
      <c r="BX928" s="25">
        <f t="shared" ca="1" si="764"/>
        <v>-852.10179131614632</v>
      </c>
      <c r="BY928" s="23">
        <f t="shared" ca="1" si="731"/>
        <v>217.67923152109029</v>
      </c>
      <c r="BZ928" s="24">
        <f t="shared" ca="1" si="732"/>
        <v>0</v>
      </c>
      <c r="CA928" s="24">
        <f t="shared" ca="1" si="765"/>
        <v>0</v>
      </c>
      <c r="CB928" s="24">
        <f t="shared" ca="1" si="733"/>
        <v>0</v>
      </c>
      <c r="CC928" s="24">
        <f t="shared" ca="1" si="766"/>
        <v>0</v>
      </c>
      <c r="CD928" s="24">
        <f t="shared" ca="1" si="734"/>
        <v>-3.4516403792649042</v>
      </c>
      <c r="CE928" s="25">
        <f t="shared" ca="1" si="767"/>
        <v>-42.909855898794916</v>
      </c>
      <c r="CF928" s="23">
        <f t="shared" ca="1" si="768"/>
        <v>5341010.6583534256</v>
      </c>
      <c r="CG928" s="25">
        <f t="array" aca="1" ref="CG928" ca="1">SUM(BF917:BF928/(1+inflation/100)^(AP917:AP928/12))</f>
        <v>267980.53702225391</v>
      </c>
      <c r="CH928" s="32">
        <f ca="1">IFERROR(IF(MOD(AP928-ap_months_since_start,12)=0,ap_drawdown/100*(AQ928+AV928+BA928-BC928),CH927),0)</f>
        <v>735.72470933507361</v>
      </c>
    </row>
    <row r="929" spans="40:86" x14ac:dyDescent="0.25">
      <c r="AN929" s="32">
        <f t="shared" ca="1" si="729"/>
        <v>131.66666666666666</v>
      </c>
      <c r="AO929" s="53">
        <f t="shared" ca="1" si="760"/>
        <v>73659</v>
      </c>
      <c r="AP929" s="22">
        <v>922</v>
      </c>
      <c r="AQ929" s="32">
        <f t="shared" ca="1" si="761"/>
        <v>4416.9836000267996</v>
      </c>
      <c r="AR929" s="23">
        <f t="array" aca="1" ref="AR929" ca="1">SUM(IF(lsc_start_date=AO929,lsc_amount,0))</f>
        <v>0</v>
      </c>
      <c r="AS929" s="24">
        <f t="shared" ca="1" si="735"/>
        <v>0</v>
      </c>
      <c r="AT929" s="24">
        <f t="shared" ca="1" si="736"/>
        <v>0</v>
      </c>
      <c r="AU929" s="24">
        <f t="shared" ca="1" si="737"/>
        <v>0</v>
      </c>
      <c r="AV929" s="25">
        <f t="shared" ca="1" si="738"/>
        <v>0</v>
      </c>
      <c r="AW929" s="23">
        <f t="array" aca="1" ref="AW929" ca="1">SUM(IF(rcs_start_date&lt;=AO929,1,0)*IF(rcs_end_date&gt;=AO929,1,0)*rcs_amount*(1+rcs_escalation/100)^(INT((AP929-rcs_months_since_start)/12))*IF(MOD((AP929-rcs_months_since_start),rcs_frequency)=0,1,0)*IF(rcs_frequency=13,0,1))+SUM(IF(rcs_start_date=AO929,rcs_amount,0)*IF(rcs_frequency=13,1,0))</f>
        <v>0</v>
      </c>
      <c r="AX929" s="24">
        <f t="shared" ca="1" si="739"/>
        <v>0</v>
      </c>
      <c r="AY929" s="24">
        <f t="shared" ca="1" si="740"/>
        <v>0</v>
      </c>
      <c r="AZ929" s="24">
        <f t="shared" ca="1" si="741"/>
        <v>0</v>
      </c>
      <c r="BA929" s="25">
        <f t="shared" ca="1" si="742"/>
        <v>0</v>
      </c>
      <c r="BB929" s="23">
        <f t="array" aca="1" ref="BB929" ca="1">SUM(IF(w_start_date&lt;=AO929,1,0)*IF(w_end_date&gt;=AO929,1,0)*w_amount*(1+w_escalation/100)^(INT((AP929-w_months_since_start)/12))*IF(MOD(AP929-w_months_since_start,w_frequency)=0,1,0)*IF(w_frequency=13,0,1))+SUM(IF(w_start_date=AO929,w_amount,0)*IF(w_frequency=13,1,0))</f>
        <v>0</v>
      </c>
      <c r="BC929" s="25">
        <f t="shared" ca="1" si="743"/>
        <v>0</v>
      </c>
      <c r="BD929" s="24" t="b">
        <f t="shared" ca="1" si="744"/>
        <v>1</v>
      </c>
      <c r="BE929" s="24" t="b">
        <f t="shared" ca="1" si="745"/>
        <v>1</v>
      </c>
      <c r="BF929" s="23">
        <f t="array" aca="1" ref="BF929" ca="1">SUM(IF(BD929,1,0)*IF(ap_start_date&lt;=AO929,1,0)*IF(ap_end_date&gt;=AO929,1,0)*ap_amount*(1+ap_escalation/100)^(INT((AP929-ap_months_since_start)/12))*IF(MOD(AP929-ap_months_since_start,ap_frequency)=0,1,0))</f>
        <v>447955.73263609374</v>
      </c>
      <c r="BG929" s="24">
        <f t="shared" ca="1" si="746"/>
        <v>5375468.7916331254</v>
      </c>
      <c r="BH929" s="24">
        <f t="shared" ca="1" si="747"/>
        <v>119.6735277071937</v>
      </c>
      <c r="BI929">
        <f t="shared" ca="1" si="748"/>
        <v>0</v>
      </c>
      <c r="BJ929" s="24">
        <f t="shared" ca="1" si="749"/>
        <v>837.71469395035581</v>
      </c>
      <c r="BK929">
        <f t="shared" ca="1" si="750"/>
        <v>1</v>
      </c>
      <c r="BL929" s="25">
        <f t="shared" ca="1" si="751"/>
        <v>69.809557829196308</v>
      </c>
      <c r="BM929" s="32">
        <f t="shared" ca="1" si="730"/>
        <v>4378.5055310312391</v>
      </c>
      <c r="BN929" s="23">
        <f t="shared" ca="1" si="752"/>
        <v>0</v>
      </c>
      <c r="BO929" s="24">
        <f t="shared" ca="1" si="753"/>
        <v>0</v>
      </c>
      <c r="BP929" s="25">
        <f t="shared" ca="1" si="754"/>
        <v>0</v>
      </c>
      <c r="BQ929" s="34">
        <f t="shared" ca="1" si="755"/>
        <v>73688</v>
      </c>
      <c r="BR929" s="23">
        <f t="shared" ca="1" si="756"/>
        <v>4378.5055310312391</v>
      </c>
      <c r="BS929" s="24">
        <f t="shared" ca="1" si="757"/>
        <v>0</v>
      </c>
      <c r="BT929" s="24">
        <f t="shared" ca="1" si="762"/>
        <v>0</v>
      </c>
      <c r="BU929" s="24">
        <f t="shared" ca="1" si="758"/>
        <v>0</v>
      </c>
      <c r="BV929" s="24">
        <f t="shared" ca="1" si="763"/>
        <v>0</v>
      </c>
      <c r="BW929" s="24">
        <f t="shared" ca="1" si="759"/>
        <v>-69.809557829196308</v>
      </c>
      <c r="BX929" s="25">
        <f t="shared" ca="1" si="764"/>
        <v>-844.90824263325112</v>
      </c>
      <c r="BY929" s="23">
        <f t="shared" ca="1" si="731"/>
        <v>215.0788306063408</v>
      </c>
      <c r="BZ929" s="24">
        <f t="shared" ca="1" si="732"/>
        <v>0</v>
      </c>
      <c r="CA929" s="24">
        <f t="shared" ca="1" si="765"/>
        <v>0</v>
      </c>
      <c r="CB929" s="24">
        <f t="shared" ca="1" si="733"/>
        <v>0</v>
      </c>
      <c r="CC929" s="24">
        <f t="shared" ca="1" si="766"/>
        <v>0</v>
      </c>
      <c r="CD929" s="24">
        <f t="shared" ca="1" si="734"/>
        <v>-3.4403774786472749</v>
      </c>
      <c r="CE929" s="25">
        <f t="shared" ca="1" si="767"/>
        <v>-42.403545386073034</v>
      </c>
      <c r="CF929" s="23">
        <f t="shared" ca="1" si="768"/>
        <v>5358239.7249932755</v>
      </c>
      <c r="CG929" s="25">
        <f t="array" aca="1" ref="CG929" ca="1">SUM(BF918:BF929/(1+inflation/100)^(AP918:AP929/12))</f>
        <v>267980.53702225385</v>
      </c>
      <c r="CH929" s="32">
        <f ca="1">IFERROR(IF(MOD(AP929-ap_months_since_start,12)=0,ap_drawdown/100*(AQ929+AV929+BA929-BC929),CH928),0)</f>
        <v>735.72470933507361</v>
      </c>
    </row>
    <row r="930" spans="40:86" x14ac:dyDescent="0.25">
      <c r="AN930" s="32">
        <f t="shared" ca="1" si="729"/>
        <v>131.75</v>
      </c>
      <c r="AO930" s="53">
        <f t="shared" ca="1" si="760"/>
        <v>73689</v>
      </c>
      <c r="AP930" s="22">
        <v>923</v>
      </c>
      <c r="AQ930" s="32">
        <f t="shared" ca="1" si="761"/>
        <v>4378.5055310312391</v>
      </c>
      <c r="AR930" s="23">
        <f t="array" aca="1" ref="AR930" ca="1">SUM(IF(lsc_start_date=AO930,lsc_amount,0))</f>
        <v>0</v>
      </c>
      <c r="AS930" s="24">
        <f t="shared" ca="1" si="735"/>
        <v>0</v>
      </c>
      <c r="AT930" s="24">
        <f t="shared" ca="1" si="736"/>
        <v>0</v>
      </c>
      <c r="AU930" s="24">
        <f t="shared" ca="1" si="737"/>
        <v>0</v>
      </c>
      <c r="AV930" s="25">
        <f t="shared" ca="1" si="738"/>
        <v>0</v>
      </c>
      <c r="AW930" s="23">
        <f t="array" aca="1" ref="AW930" ca="1">SUM(IF(rcs_start_date&lt;=AO930,1,0)*IF(rcs_end_date&gt;=AO930,1,0)*rcs_amount*(1+rcs_escalation/100)^(INT((AP930-rcs_months_since_start)/12))*IF(MOD((AP930-rcs_months_since_start),rcs_frequency)=0,1,0)*IF(rcs_frequency=13,0,1))+SUM(IF(rcs_start_date=AO930,rcs_amount,0)*IF(rcs_frequency=13,1,0))</f>
        <v>0</v>
      </c>
      <c r="AX930" s="24">
        <f t="shared" ca="1" si="739"/>
        <v>0</v>
      </c>
      <c r="AY930" s="24">
        <f t="shared" ca="1" si="740"/>
        <v>0</v>
      </c>
      <c r="AZ930" s="24">
        <f t="shared" ca="1" si="741"/>
        <v>0</v>
      </c>
      <c r="BA930" s="25">
        <f t="shared" ca="1" si="742"/>
        <v>0</v>
      </c>
      <c r="BB930" s="23">
        <f t="array" aca="1" ref="BB930" ca="1">SUM(IF(w_start_date&lt;=AO930,1,0)*IF(w_end_date&gt;=AO930,1,0)*w_amount*(1+w_escalation/100)^(INT((AP930-w_months_since_start)/12))*IF(MOD(AP930-w_months_since_start,w_frequency)=0,1,0)*IF(w_frequency=13,0,1))+SUM(IF(w_start_date=AO930,w_amount,0)*IF(w_frequency=13,1,0))</f>
        <v>0</v>
      </c>
      <c r="BC930" s="25">
        <f t="shared" ca="1" si="743"/>
        <v>0</v>
      </c>
      <c r="BD930" s="24" t="b">
        <f t="shared" ca="1" si="744"/>
        <v>1</v>
      </c>
      <c r="BE930" s="24" t="b">
        <f t="shared" ca="1" si="745"/>
        <v>1</v>
      </c>
      <c r="BF930" s="23">
        <f t="array" aca="1" ref="BF930" ca="1">SUM(IF(BD930,1,0)*IF(ap_start_date&lt;=AO930,1,0)*IF(ap_end_date&gt;=AO930,1,0)*ap_amount*(1+ap_escalation/100)^(INT((AP930-ap_months_since_start)/12))*IF(MOD(AP930-ap_months_since_start,ap_frequency)=0,1,0))</f>
        <v>447955.73263609374</v>
      </c>
      <c r="BG930" s="24">
        <f t="shared" ca="1" si="746"/>
        <v>5375468.7916331254</v>
      </c>
      <c r="BH930" s="24">
        <f t="shared" ca="1" si="747"/>
        <v>119.6735277071937</v>
      </c>
      <c r="BI930">
        <f t="shared" ca="1" si="748"/>
        <v>0</v>
      </c>
      <c r="BJ930" s="24">
        <f t="shared" ca="1" si="749"/>
        <v>837.71469395035581</v>
      </c>
      <c r="BK930">
        <f t="shared" ca="1" si="750"/>
        <v>1</v>
      </c>
      <c r="BL930" s="25">
        <f t="shared" ca="1" si="751"/>
        <v>69.809557829196308</v>
      </c>
      <c r="BM930" s="32">
        <f t="shared" ca="1" si="730"/>
        <v>4339.7501381518468</v>
      </c>
      <c r="BN930" s="23">
        <f t="shared" ca="1" si="752"/>
        <v>0</v>
      </c>
      <c r="BO930" s="24">
        <f t="shared" ca="1" si="753"/>
        <v>0</v>
      </c>
      <c r="BP930" s="25">
        <f t="shared" ca="1" si="754"/>
        <v>0</v>
      </c>
      <c r="BQ930" s="34">
        <f t="shared" ca="1" si="755"/>
        <v>73719</v>
      </c>
      <c r="BR930" s="23">
        <f t="shared" ca="1" si="756"/>
        <v>4339.7501381518468</v>
      </c>
      <c r="BS930" s="24">
        <f t="shared" ca="1" si="757"/>
        <v>0</v>
      </c>
      <c r="BT930" s="24">
        <f t="shared" ca="1" si="762"/>
        <v>0</v>
      </c>
      <c r="BU930" s="24">
        <f t="shared" ca="1" si="758"/>
        <v>0</v>
      </c>
      <c r="BV930" s="24">
        <f t="shared" ca="1" si="763"/>
        <v>0</v>
      </c>
      <c r="BW930" s="24">
        <f t="shared" ca="1" si="759"/>
        <v>-69.809557829196308</v>
      </c>
      <c r="BX930" s="25">
        <f t="shared" ca="1" si="764"/>
        <v>-837.71469395035592</v>
      </c>
      <c r="BY930" s="23">
        <f t="shared" ca="1" si="731"/>
        <v>212.47950433886876</v>
      </c>
      <c r="BZ930" s="24">
        <f t="shared" ca="1" si="732"/>
        <v>0</v>
      </c>
      <c r="CA930" s="24">
        <f t="shared" ca="1" si="765"/>
        <v>0</v>
      </c>
      <c r="CB930" s="24">
        <f t="shared" ca="1" si="733"/>
        <v>0</v>
      </c>
      <c r="CC930" s="24">
        <f t="shared" ca="1" si="766"/>
        <v>0</v>
      </c>
      <c r="CD930" s="24">
        <f t="shared" ca="1" si="734"/>
        <v>-3.4291513295206433</v>
      </c>
      <c r="CE930" s="25">
        <f t="shared" ca="1" si="767"/>
        <v>-41.898886993606979</v>
      </c>
      <c r="CF930" s="23">
        <f t="shared" ca="1" si="768"/>
        <v>5375468.7916331254</v>
      </c>
      <c r="CG930" s="25">
        <f t="array" aca="1" ref="CG930" ca="1">SUM(BF919:BF930/(1+inflation/100)^(AP919:AP930/12))</f>
        <v>267980.53702225391</v>
      </c>
      <c r="CH930" s="32">
        <f ca="1">IFERROR(IF(MOD(AP930-ap_months_since_start,12)=0,ap_drawdown/100*(AQ930+AV930+BA930-BC930),CH929),0)</f>
        <v>735.72470933507361</v>
      </c>
    </row>
    <row r="931" spans="40:86" x14ac:dyDescent="0.25">
      <c r="AN931" s="32">
        <f t="shared" ca="1" si="729"/>
        <v>131.83333333333334</v>
      </c>
      <c r="AO931" s="53">
        <f t="shared" ca="1" si="760"/>
        <v>73720</v>
      </c>
      <c r="AP931" s="22">
        <v>924</v>
      </c>
      <c r="AQ931" s="32">
        <f t="shared" ca="1" si="761"/>
        <v>4339.7501381518468</v>
      </c>
      <c r="AR931" s="23">
        <f t="array" aca="1" ref="AR931" ca="1">SUM(IF(lsc_start_date=AO931,lsc_amount,0))</f>
        <v>0</v>
      </c>
      <c r="AS931" s="24">
        <f t="shared" ca="1" si="735"/>
        <v>0</v>
      </c>
      <c r="AT931" s="24">
        <f t="shared" ca="1" si="736"/>
        <v>0</v>
      </c>
      <c r="AU931" s="24">
        <f t="shared" ca="1" si="737"/>
        <v>0</v>
      </c>
      <c r="AV931" s="25">
        <f t="shared" ca="1" si="738"/>
        <v>0</v>
      </c>
      <c r="AW931" s="23">
        <f t="array" aca="1" ref="AW931" ca="1">SUM(IF(rcs_start_date&lt;=AO931,1,0)*IF(rcs_end_date&gt;=AO931,1,0)*rcs_amount*(1+rcs_escalation/100)^(INT((AP931-rcs_months_since_start)/12))*IF(MOD((AP931-rcs_months_since_start),rcs_frequency)=0,1,0)*IF(rcs_frequency=13,0,1))+SUM(IF(rcs_start_date=AO931,rcs_amount,0)*IF(rcs_frequency=13,1,0))</f>
        <v>0</v>
      </c>
      <c r="AX931" s="24">
        <f t="shared" ca="1" si="739"/>
        <v>0</v>
      </c>
      <c r="AY931" s="24">
        <f t="shared" ca="1" si="740"/>
        <v>0</v>
      </c>
      <c r="AZ931" s="24">
        <f t="shared" ca="1" si="741"/>
        <v>0</v>
      </c>
      <c r="BA931" s="25">
        <f t="shared" ca="1" si="742"/>
        <v>0</v>
      </c>
      <c r="BB931" s="23">
        <f t="array" aca="1" ref="BB931" ca="1">SUM(IF(w_start_date&lt;=AO931,1,0)*IF(w_end_date&gt;=AO931,1,0)*w_amount*(1+w_escalation/100)^(INT((AP931-w_months_since_start)/12))*IF(MOD(AP931-w_months_since_start,w_frequency)=0,1,0)*IF(w_frequency=13,0,1))+SUM(IF(w_start_date=AO931,w_amount,0)*IF(w_frequency=13,1,0))</f>
        <v>0</v>
      </c>
      <c r="BC931" s="25">
        <f t="shared" ca="1" si="743"/>
        <v>0</v>
      </c>
      <c r="BD931" s="24" t="b">
        <f t="shared" ca="1" si="744"/>
        <v>1</v>
      </c>
      <c r="BE931" s="24" t="b">
        <f t="shared" ca="1" si="745"/>
        <v>1</v>
      </c>
      <c r="BF931" s="23">
        <f t="array" aca="1" ref="BF931" ca="1">SUM(IF(BD931,1,0)*IF(ap_start_date&lt;=AO931,1,0)*IF(ap_end_date&gt;=AO931,1,0)*ap_amount*(1+ap_escalation/100)^(INT((AP931-ap_months_since_start)/12))*IF(MOD(AP931-ap_months_since_start,ap_frequency)=0,1,0))</f>
        <v>465873.96194153751</v>
      </c>
      <c r="BG931" s="24">
        <f t="shared" ca="1" si="746"/>
        <v>5590487.5432984503</v>
      </c>
      <c r="BH931" s="24">
        <f t="shared" ca="1" si="747"/>
        <v>108.49375345379617</v>
      </c>
      <c r="BI931">
        <f t="shared" ca="1" si="748"/>
        <v>0</v>
      </c>
      <c r="BJ931" s="24">
        <f t="shared" ca="1" si="749"/>
        <v>759.45627417657317</v>
      </c>
      <c r="BK931">
        <f t="shared" ca="1" si="750"/>
        <v>1</v>
      </c>
      <c r="BL931" s="25">
        <f t="shared" ca="1" si="751"/>
        <v>63.28802284804776</v>
      </c>
      <c r="BM931" s="32">
        <f t="shared" ca="1" si="730"/>
        <v>4307.2839604180035</v>
      </c>
      <c r="BN931" s="23">
        <f t="shared" ca="1" si="752"/>
        <v>0</v>
      </c>
      <c r="BO931" s="24">
        <f t="shared" ca="1" si="753"/>
        <v>0</v>
      </c>
      <c r="BP931" s="25">
        <f t="shared" ca="1" si="754"/>
        <v>0</v>
      </c>
      <c r="BQ931" s="34">
        <f t="shared" ca="1" si="755"/>
        <v>73749</v>
      </c>
      <c r="BR931" s="23">
        <f t="shared" ca="1" si="756"/>
        <v>4307.2839604180035</v>
      </c>
      <c r="BS931" s="24">
        <f t="shared" ca="1" si="757"/>
        <v>0</v>
      </c>
      <c r="BT931" s="24">
        <f t="shared" ca="1" si="762"/>
        <v>0</v>
      </c>
      <c r="BU931" s="24">
        <f t="shared" ca="1" si="758"/>
        <v>0</v>
      </c>
      <c r="BV931" s="24">
        <f t="shared" ca="1" si="763"/>
        <v>0</v>
      </c>
      <c r="BW931" s="24">
        <f t="shared" ca="1" si="759"/>
        <v>-63.28802284804776</v>
      </c>
      <c r="BX931" s="25">
        <f t="shared" ca="1" si="764"/>
        <v>-831.19315896920727</v>
      </c>
      <c r="BY931" s="23">
        <f t="shared" ca="1" si="731"/>
        <v>210.20177443474208</v>
      </c>
      <c r="BZ931" s="24">
        <f t="shared" ca="1" si="732"/>
        <v>0</v>
      </c>
      <c r="CA931" s="24">
        <f t="shared" ca="1" si="765"/>
        <v>0</v>
      </c>
      <c r="CB931" s="24">
        <f t="shared" ca="1" si="733"/>
        <v>0</v>
      </c>
      <c r="CC931" s="24">
        <f t="shared" ca="1" si="766"/>
        <v>0</v>
      </c>
      <c r="CD931" s="24">
        <f t="shared" ca="1" si="734"/>
        <v>-3.0986594382751691</v>
      </c>
      <c r="CE931" s="25">
        <f t="shared" ca="1" si="767"/>
        <v>-41.442866147440853</v>
      </c>
      <c r="CF931" s="23">
        <f t="shared" ca="1" si="768"/>
        <v>5393387.0209385687</v>
      </c>
      <c r="CG931" s="25">
        <f t="array" aca="1" ref="CG931" ca="1">SUM(BF920:BF931/(1+inflation/100)^(AP920:AP931/12))</f>
        <v>267980.53702225385</v>
      </c>
      <c r="CH931" s="32">
        <f ca="1">IFERROR(IF(MOD(AP931-ap_months_since_start,12)=0,ap_drawdown/100*(AQ931+AV931+BA931-BC931),CH930),0)</f>
        <v>666.99408594159104</v>
      </c>
    </row>
    <row r="932" spans="40:86" x14ac:dyDescent="0.25">
      <c r="AN932" s="32">
        <f t="shared" ca="1" si="729"/>
        <v>131.91666666666666</v>
      </c>
      <c r="AO932" s="53">
        <f t="shared" ca="1" si="760"/>
        <v>73750</v>
      </c>
      <c r="AP932" s="22">
        <v>925</v>
      </c>
      <c r="AQ932" s="32">
        <f t="shared" ca="1" si="761"/>
        <v>4307.2839604180035</v>
      </c>
      <c r="AR932" s="23">
        <f t="array" aca="1" ref="AR932" ca="1">SUM(IF(lsc_start_date=AO932,lsc_amount,0))</f>
        <v>0</v>
      </c>
      <c r="AS932" s="24">
        <f t="shared" ca="1" si="735"/>
        <v>0</v>
      </c>
      <c r="AT932" s="24">
        <f t="shared" ca="1" si="736"/>
        <v>0</v>
      </c>
      <c r="AU932" s="24">
        <f t="shared" ca="1" si="737"/>
        <v>0</v>
      </c>
      <c r="AV932" s="25">
        <f t="shared" ca="1" si="738"/>
        <v>0</v>
      </c>
      <c r="AW932" s="23">
        <f t="array" aca="1" ref="AW932" ca="1">SUM(IF(rcs_start_date&lt;=AO932,1,0)*IF(rcs_end_date&gt;=AO932,1,0)*rcs_amount*(1+rcs_escalation/100)^(INT((AP932-rcs_months_since_start)/12))*IF(MOD((AP932-rcs_months_since_start),rcs_frequency)=0,1,0)*IF(rcs_frequency=13,0,1))+SUM(IF(rcs_start_date=AO932,rcs_amount,0)*IF(rcs_frequency=13,1,0))</f>
        <v>0</v>
      </c>
      <c r="AX932" s="24">
        <f t="shared" ca="1" si="739"/>
        <v>0</v>
      </c>
      <c r="AY932" s="24">
        <f t="shared" ca="1" si="740"/>
        <v>0</v>
      </c>
      <c r="AZ932" s="24">
        <f t="shared" ca="1" si="741"/>
        <v>0</v>
      </c>
      <c r="BA932" s="25">
        <f t="shared" ca="1" si="742"/>
        <v>0</v>
      </c>
      <c r="BB932" s="23">
        <f t="array" aca="1" ref="BB932" ca="1">SUM(IF(w_start_date&lt;=AO932,1,0)*IF(w_end_date&gt;=AO932,1,0)*w_amount*(1+w_escalation/100)^(INT((AP932-w_months_since_start)/12))*IF(MOD(AP932-w_months_since_start,w_frequency)=0,1,0)*IF(w_frequency=13,0,1))+SUM(IF(w_start_date=AO932,w_amount,0)*IF(w_frequency=13,1,0))</f>
        <v>0</v>
      </c>
      <c r="BC932" s="25">
        <f t="shared" ca="1" si="743"/>
        <v>0</v>
      </c>
      <c r="BD932" s="24" t="b">
        <f t="shared" ca="1" si="744"/>
        <v>1</v>
      </c>
      <c r="BE932" s="24" t="b">
        <f t="shared" ca="1" si="745"/>
        <v>1</v>
      </c>
      <c r="BF932" s="23">
        <f t="array" aca="1" ref="BF932" ca="1">SUM(IF(BD932,1,0)*IF(ap_start_date&lt;=AO932,1,0)*IF(ap_end_date&gt;=AO932,1,0)*ap_amount*(1+ap_escalation/100)^(INT((AP932-ap_months_since_start)/12))*IF(MOD(AP932-ap_months_since_start,ap_frequency)=0,1,0))</f>
        <v>465873.96194153751</v>
      </c>
      <c r="BG932" s="24">
        <f t="shared" ca="1" si="746"/>
        <v>5590487.5432984503</v>
      </c>
      <c r="BH932" s="24">
        <f t="shared" ca="1" si="747"/>
        <v>108.49375345379617</v>
      </c>
      <c r="BI932">
        <f t="shared" ca="1" si="748"/>
        <v>0</v>
      </c>
      <c r="BJ932" s="24">
        <f t="shared" ca="1" si="749"/>
        <v>759.45627417657317</v>
      </c>
      <c r="BK932">
        <f t="shared" ca="1" si="750"/>
        <v>1</v>
      </c>
      <c r="BL932" s="25">
        <f t="shared" ca="1" si="751"/>
        <v>63.28802284804776</v>
      </c>
      <c r="BM932" s="32">
        <f t="shared" ca="1" si="730"/>
        <v>4274.5837884443927</v>
      </c>
      <c r="BN932" s="23">
        <f t="shared" ca="1" si="752"/>
        <v>0</v>
      </c>
      <c r="BO932" s="24">
        <f t="shared" ca="1" si="753"/>
        <v>0</v>
      </c>
      <c r="BP932" s="25">
        <f t="shared" ca="1" si="754"/>
        <v>0</v>
      </c>
      <c r="BQ932" s="34">
        <f t="shared" ca="1" si="755"/>
        <v>73780</v>
      </c>
      <c r="BR932" s="23">
        <f t="shared" ca="1" si="756"/>
        <v>4274.5837884443927</v>
      </c>
      <c r="BS932" s="24">
        <f t="shared" ca="1" si="757"/>
        <v>0</v>
      </c>
      <c r="BT932" s="24">
        <f t="shared" ca="1" si="762"/>
        <v>0</v>
      </c>
      <c r="BU932" s="24">
        <f t="shared" ca="1" si="758"/>
        <v>0</v>
      </c>
      <c r="BV932" s="24">
        <f t="shared" ca="1" si="763"/>
        <v>0</v>
      </c>
      <c r="BW932" s="24">
        <f t="shared" ca="1" si="759"/>
        <v>-63.28802284804776</v>
      </c>
      <c r="BX932" s="25">
        <f t="shared" ca="1" si="764"/>
        <v>-824.67162398805863</v>
      </c>
      <c r="BY932" s="23">
        <f t="shared" ca="1" si="731"/>
        <v>207.92526487223427</v>
      </c>
      <c r="BZ932" s="24">
        <f t="shared" ca="1" si="732"/>
        <v>0</v>
      </c>
      <c r="CA932" s="24">
        <f t="shared" ca="1" si="765"/>
        <v>0</v>
      </c>
      <c r="CB932" s="24">
        <f t="shared" ca="1" si="733"/>
        <v>0</v>
      </c>
      <c r="CC932" s="24">
        <f t="shared" ca="1" si="766"/>
        <v>0</v>
      </c>
      <c r="CD932" s="24">
        <f t="shared" ca="1" si="734"/>
        <v>-3.0885483347225415</v>
      </c>
      <c r="CE932" s="25">
        <f t="shared" ca="1" si="767"/>
        <v>-40.988333323462903</v>
      </c>
      <c r="CF932" s="23">
        <f t="shared" ca="1" si="768"/>
        <v>5411305.2502440121</v>
      </c>
      <c r="CG932" s="25">
        <f t="array" aca="1" ref="CG932" ca="1">SUM(BF921:BF932/(1+inflation/100)^(AP921:AP932/12))</f>
        <v>267980.53702225391</v>
      </c>
      <c r="CH932" s="32">
        <f ca="1">IFERROR(IF(MOD(AP932-ap_months_since_start,12)=0,ap_drawdown/100*(AQ932+AV932+BA932-BC932),CH931),0)</f>
        <v>666.99408594159104</v>
      </c>
    </row>
    <row r="933" spans="40:86" x14ac:dyDescent="0.25">
      <c r="AN933" s="32">
        <f t="shared" ca="1" si="729"/>
        <v>132</v>
      </c>
      <c r="AO933" s="53">
        <f t="shared" ca="1" si="760"/>
        <v>73781</v>
      </c>
      <c r="AP933" s="22">
        <v>926</v>
      </c>
      <c r="AQ933" s="32">
        <f t="shared" ca="1" si="761"/>
        <v>4274.5837884443927</v>
      </c>
      <c r="AR933" s="23">
        <f t="array" aca="1" ref="AR933" ca="1">SUM(IF(lsc_start_date=AO933,lsc_amount,0))</f>
        <v>0</v>
      </c>
      <c r="AS933" s="24">
        <f t="shared" ca="1" si="735"/>
        <v>0</v>
      </c>
      <c r="AT933" s="24">
        <f t="shared" ca="1" si="736"/>
        <v>0</v>
      </c>
      <c r="AU933" s="24">
        <f t="shared" ca="1" si="737"/>
        <v>0</v>
      </c>
      <c r="AV933" s="25">
        <f t="shared" ca="1" si="738"/>
        <v>0</v>
      </c>
      <c r="AW933" s="23">
        <f t="array" aca="1" ref="AW933" ca="1">SUM(IF(rcs_start_date&lt;=AO933,1,0)*IF(rcs_end_date&gt;=AO933,1,0)*rcs_amount*(1+rcs_escalation/100)^(INT((AP933-rcs_months_since_start)/12))*IF(MOD((AP933-rcs_months_since_start),rcs_frequency)=0,1,0)*IF(rcs_frequency=13,0,1))+SUM(IF(rcs_start_date=AO933,rcs_amount,0)*IF(rcs_frequency=13,1,0))</f>
        <v>0</v>
      </c>
      <c r="AX933" s="24">
        <f t="shared" ca="1" si="739"/>
        <v>0</v>
      </c>
      <c r="AY933" s="24">
        <f t="shared" ca="1" si="740"/>
        <v>0</v>
      </c>
      <c r="AZ933" s="24">
        <f t="shared" ca="1" si="741"/>
        <v>0</v>
      </c>
      <c r="BA933" s="25">
        <f t="shared" ca="1" si="742"/>
        <v>0</v>
      </c>
      <c r="BB933" s="23">
        <f t="array" aca="1" ref="BB933" ca="1">SUM(IF(w_start_date&lt;=AO933,1,0)*IF(w_end_date&gt;=AO933,1,0)*w_amount*(1+w_escalation/100)^(INT((AP933-w_months_since_start)/12))*IF(MOD(AP933-w_months_since_start,w_frequency)=0,1,0)*IF(w_frequency=13,0,1))+SUM(IF(w_start_date=AO933,w_amount,0)*IF(w_frequency=13,1,0))</f>
        <v>0</v>
      </c>
      <c r="BC933" s="25">
        <f t="shared" ca="1" si="743"/>
        <v>0</v>
      </c>
      <c r="BD933" s="24" t="b">
        <f t="shared" ca="1" si="744"/>
        <v>1</v>
      </c>
      <c r="BE933" s="24" t="b">
        <f t="shared" ca="1" si="745"/>
        <v>1</v>
      </c>
      <c r="BF933" s="23">
        <f t="array" aca="1" ref="BF933" ca="1">SUM(IF(BD933,1,0)*IF(ap_start_date&lt;=AO933,1,0)*IF(ap_end_date&gt;=AO933,1,0)*ap_amount*(1+ap_escalation/100)^(INT((AP933-ap_months_since_start)/12))*IF(MOD(AP933-ap_months_since_start,ap_frequency)=0,1,0))</f>
        <v>465873.96194153751</v>
      </c>
      <c r="BG933" s="24">
        <f t="shared" ca="1" si="746"/>
        <v>5590487.5432984503</v>
      </c>
      <c r="BH933" s="24">
        <f t="shared" ca="1" si="747"/>
        <v>108.49375345379617</v>
      </c>
      <c r="BI933">
        <f t="shared" ca="1" si="748"/>
        <v>0</v>
      </c>
      <c r="BJ933" s="24">
        <f t="shared" ca="1" si="749"/>
        <v>759.45627417657317</v>
      </c>
      <c r="BK933">
        <f t="shared" ca="1" si="750"/>
        <v>1</v>
      </c>
      <c r="BL933" s="25">
        <f t="shared" ca="1" si="751"/>
        <v>63.28802284804776</v>
      </c>
      <c r="BM933" s="32">
        <f t="shared" ca="1" si="730"/>
        <v>4241.6479357588751</v>
      </c>
      <c r="BN933" s="23">
        <f t="shared" ca="1" si="752"/>
        <v>0</v>
      </c>
      <c r="BO933" s="24">
        <f t="shared" ca="1" si="753"/>
        <v>0</v>
      </c>
      <c r="BP933" s="25">
        <f t="shared" ca="1" si="754"/>
        <v>0</v>
      </c>
      <c r="BQ933" s="34">
        <f t="shared" ca="1" si="755"/>
        <v>73811</v>
      </c>
      <c r="BR933" s="23">
        <f t="shared" ca="1" si="756"/>
        <v>4241.6479357588751</v>
      </c>
      <c r="BS933" s="24">
        <f t="shared" ca="1" si="757"/>
        <v>0</v>
      </c>
      <c r="BT933" s="24">
        <f t="shared" ca="1" si="762"/>
        <v>0</v>
      </c>
      <c r="BU933" s="24">
        <f t="shared" ca="1" si="758"/>
        <v>0</v>
      </c>
      <c r="BV933" s="24">
        <f t="shared" ca="1" si="763"/>
        <v>0</v>
      </c>
      <c r="BW933" s="24">
        <f t="shared" ca="1" si="759"/>
        <v>-63.28802284804776</v>
      </c>
      <c r="BX933" s="25">
        <f t="shared" ca="1" si="764"/>
        <v>-818.15008900690998</v>
      </c>
      <c r="BY933" s="23">
        <f t="shared" ca="1" si="731"/>
        <v>205.64994731352783</v>
      </c>
      <c r="BZ933" s="24">
        <f t="shared" ca="1" si="732"/>
        <v>0</v>
      </c>
      <c r="CA933" s="24">
        <f t="shared" ca="1" si="765"/>
        <v>0</v>
      </c>
      <c r="CB933" s="24">
        <f t="shared" ca="1" si="733"/>
        <v>0</v>
      </c>
      <c r="CC933" s="24">
        <f t="shared" ca="1" si="766"/>
        <v>0</v>
      </c>
      <c r="CD933" s="24">
        <f t="shared" ca="1" si="734"/>
        <v>-3.0784702242810016</v>
      </c>
      <c r="CE933" s="25">
        <f t="shared" ca="1" si="767"/>
        <v>-40.535283666171324</v>
      </c>
      <c r="CF933" s="23">
        <f t="shared" ca="1" si="768"/>
        <v>5429223.4795494555</v>
      </c>
      <c r="CG933" s="25">
        <f t="array" aca="1" ref="CG933" ca="1">SUM(BF922:BF933/(1+inflation/100)^(AP922:AP933/12))</f>
        <v>267980.53702225385</v>
      </c>
      <c r="CH933" s="32">
        <f ca="1">IFERROR(IF(MOD(AP933-ap_months_since_start,12)=0,ap_drawdown/100*(AQ933+AV933+BA933-BC933),CH932),0)</f>
        <v>666.99408594159104</v>
      </c>
    </row>
    <row r="934" spans="40:86" x14ac:dyDescent="0.25">
      <c r="AN934" s="32">
        <f t="shared" ca="1" si="729"/>
        <v>132.08333333333334</v>
      </c>
      <c r="AO934" s="53">
        <f t="shared" ca="1" si="760"/>
        <v>73812</v>
      </c>
      <c r="AP934" s="22">
        <v>927</v>
      </c>
      <c r="AQ934" s="32">
        <f t="shared" ca="1" si="761"/>
        <v>4241.6479357588751</v>
      </c>
      <c r="AR934" s="23">
        <f t="array" aca="1" ref="AR934" ca="1">SUM(IF(lsc_start_date=AO934,lsc_amount,0))</f>
        <v>0</v>
      </c>
      <c r="AS934" s="24">
        <f t="shared" ca="1" si="735"/>
        <v>0</v>
      </c>
      <c r="AT934" s="24">
        <f t="shared" ca="1" si="736"/>
        <v>0</v>
      </c>
      <c r="AU934" s="24">
        <f t="shared" ca="1" si="737"/>
        <v>0</v>
      </c>
      <c r="AV934" s="25">
        <f t="shared" ca="1" si="738"/>
        <v>0</v>
      </c>
      <c r="AW934" s="23">
        <f t="array" aca="1" ref="AW934" ca="1">SUM(IF(rcs_start_date&lt;=AO934,1,0)*IF(rcs_end_date&gt;=AO934,1,0)*rcs_amount*(1+rcs_escalation/100)^(INT((AP934-rcs_months_since_start)/12))*IF(MOD((AP934-rcs_months_since_start),rcs_frequency)=0,1,0)*IF(rcs_frequency=13,0,1))+SUM(IF(rcs_start_date=AO934,rcs_amount,0)*IF(rcs_frequency=13,1,0))</f>
        <v>0</v>
      </c>
      <c r="AX934" s="24">
        <f t="shared" ca="1" si="739"/>
        <v>0</v>
      </c>
      <c r="AY934" s="24">
        <f t="shared" ca="1" si="740"/>
        <v>0</v>
      </c>
      <c r="AZ934" s="24">
        <f t="shared" ca="1" si="741"/>
        <v>0</v>
      </c>
      <c r="BA934" s="25">
        <f t="shared" ca="1" si="742"/>
        <v>0</v>
      </c>
      <c r="BB934" s="23">
        <f t="array" aca="1" ref="BB934" ca="1">SUM(IF(w_start_date&lt;=AO934,1,0)*IF(w_end_date&gt;=AO934,1,0)*w_amount*(1+w_escalation/100)^(INT((AP934-w_months_since_start)/12))*IF(MOD(AP934-w_months_since_start,w_frequency)=0,1,0)*IF(w_frequency=13,0,1))+SUM(IF(w_start_date=AO934,w_amount,0)*IF(w_frequency=13,1,0))</f>
        <v>0</v>
      </c>
      <c r="BC934" s="25">
        <f t="shared" ca="1" si="743"/>
        <v>0</v>
      </c>
      <c r="BD934" s="24" t="b">
        <f t="shared" ca="1" si="744"/>
        <v>1</v>
      </c>
      <c r="BE934" s="24" t="b">
        <f t="shared" ca="1" si="745"/>
        <v>1</v>
      </c>
      <c r="BF934" s="23">
        <f t="array" aca="1" ref="BF934" ca="1">SUM(IF(BD934,1,0)*IF(ap_start_date&lt;=AO934,1,0)*IF(ap_end_date&gt;=AO934,1,0)*ap_amount*(1+ap_escalation/100)^(INT((AP934-ap_months_since_start)/12))*IF(MOD(AP934-ap_months_since_start,ap_frequency)=0,1,0))</f>
        <v>465873.96194153751</v>
      </c>
      <c r="BG934" s="24">
        <f t="shared" ca="1" si="746"/>
        <v>5590487.5432984503</v>
      </c>
      <c r="BH934" s="24">
        <f t="shared" ca="1" si="747"/>
        <v>108.49375345379617</v>
      </c>
      <c r="BI934">
        <f t="shared" ca="1" si="748"/>
        <v>0</v>
      </c>
      <c r="BJ934" s="24">
        <f t="shared" ca="1" si="749"/>
        <v>759.45627417657317</v>
      </c>
      <c r="BK934">
        <f t="shared" ca="1" si="750"/>
        <v>1</v>
      </c>
      <c r="BL934" s="25">
        <f t="shared" ca="1" si="751"/>
        <v>63.28802284804776</v>
      </c>
      <c r="BM934" s="32">
        <f t="shared" ca="1" si="730"/>
        <v>4208.4747037343604</v>
      </c>
      <c r="BN934" s="23">
        <f t="shared" ca="1" si="752"/>
        <v>0</v>
      </c>
      <c r="BO934" s="24">
        <f t="shared" ca="1" si="753"/>
        <v>0</v>
      </c>
      <c r="BP934" s="25">
        <f t="shared" ca="1" si="754"/>
        <v>0</v>
      </c>
      <c r="BQ934" s="34">
        <f t="shared" ca="1" si="755"/>
        <v>73839</v>
      </c>
      <c r="BR934" s="23">
        <f t="shared" ca="1" si="756"/>
        <v>4208.4747037343604</v>
      </c>
      <c r="BS934" s="24">
        <f t="shared" ca="1" si="757"/>
        <v>0</v>
      </c>
      <c r="BT934" s="24">
        <f t="shared" ca="1" si="762"/>
        <v>0</v>
      </c>
      <c r="BU934" s="24">
        <f t="shared" ca="1" si="758"/>
        <v>0</v>
      </c>
      <c r="BV934" s="24">
        <f t="shared" ca="1" si="763"/>
        <v>0</v>
      </c>
      <c r="BW934" s="24">
        <f t="shared" ca="1" si="759"/>
        <v>-63.28802284804776</v>
      </c>
      <c r="BX934" s="25">
        <f t="shared" ca="1" si="764"/>
        <v>-811.62855402576133</v>
      </c>
      <c r="BY934" s="23">
        <f t="shared" ca="1" si="731"/>
        <v>203.37579341778158</v>
      </c>
      <c r="BZ934" s="24">
        <f t="shared" ca="1" si="732"/>
        <v>0</v>
      </c>
      <c r="CA934" s="24">
        <f t="shared" ca="1" si="765"/>
        <v>0</v>
      </c>
      <c r="CB934" s="24">
        <f t="shared" ca="1" si="733"/>
        <v>0</v>
      </c>
      <c r="CC934" s="24">
        <f t="shared" ca="1" si="766"/>
        <v>0</v>
      </c>
      <c r="CD934" s="24">
        <f t="shared" ca="1" si="734"/>
        <v>-3.0684249992921244</v>
      </c>
      <c r="CE934" s="25">
        <f t="shared" ca="1" si="767"/>
        <v>-40.083712335908146</v>
      </c>
      <c r="CF934" s="23">
        <f t="shared" ca="1" si="768"/>
        <v>5447141.7088548997</v>
      </c>
      <c r="CG934" s="25">
        <f t="array" aca="1" ref="CG934" ca="1">SUM(BF923:BF934/(1+inflation/100)^(AP923:AP934/12))</f>
        <v>267980.53702225385</v>
      </c>
      <c r="CH934" s="32">
        <f ca="1">IFERROR(IF(MOD(AP934-ap_months_since_start,12)=0,ap_drawdown/100*(AQ934+AV934+BA934-BC934),CH933),0)</f>
        <v>666.99408594159104</v>
      </c>
    </row>
    <row r="935" spans="40:86" x14ac:dyDescent="0.25">
      <c r="AN935" s="32">
        <f t="shared" ca="1" si="729"/>
        <v>132.16666666666666</v>
      </c>
      <c r="AO935" s="53">
        <f t="shared" ca="1" si="760"/>
        <v>73840</v>
      </c>
      <c r="AP935" s="22">
        <v>928</v>
      </c>
      <c r="AQ935" s="32">
        <f t="shared" ca="1" si="761"/>
        <v>4208.4747037343604</v>
      </c>
      <c r="AR935" s="23">
        <f t="array" aca="1" ref="AR935" ca="1">SUM(IF(lsc_start_date=AO935,lsc_amount,0))</f>
        <v>0</v>
      </c>
      <c r="AS935" s="24">
        <f t="shared" ca="1" si="735"/>
        <v>0</v>
      </c>
      <c r="AT935" s="24">
        <f t="shared" ca="1" si="736"/>
        <v>0</v>
      </c>
      <c r="AU935" s="24">
        <f t="shared" ca="1" si="737"/>
        <v>0</v>
      </c>
      <c r="AV935" s="25">
        <f t="shared" ca="1" si="738"/>
        <v>0</v>
      </c>
      <c r="AW935" s="23">
        <f t="array" aca="1" ref="AW935" ca="1">SUM(IF(rcs_start_date&lt;=AO935,1,0)*IF(rcs_end_date&gt;=AO935,1,0)*rcs_amount*(1+rcs_escalation/100)^(INT((AP935-rcs_months_since_start)/12))*IF(MOD((AP935-rcs_months_since_start),rcs_frequency)=0,1,0)*IF(rcs_frequency=13,0,1))+SUM(IF(rcs_start_date=AO935,rcs_amount,0)*IF(rcs_frequency=13,1,0))</f>
        <v>0</v>
      </c>
      <c r="AX935" s="24">
        <f t="shared" ca="1" si="739"/>
        <v>0</v>
      </c>
      <c r="AY935" s="24">
        <f t="shared" ca="1" si="740"/>
        <v>0</v>
      </c>
      <c r="AZ935" s="24">
        <f t="shared" ca="1" si="741"/>
        <v>0</v>
      </c>
      <c r="BA935" s="25">
        <f t="shared" ca="1" si="742"/>
        <v>0</v>
      </c>
      <c r="BB935" s="23">
        <f t="array" aca="1" ref="BB935" ca="1">SUM(IF(w_start_date&lt;=AO935,1,0)*IF(w_end_date&gt;=AO935,1,0)*w_amount*(1+w_escalation/100)^(INT((AP935-w_months_since_start)/12))*IF(MOD(AP935-w_months_since_start,w_frequency)=0,1,0)*IF(w_frequency=13,0,1))+SUM(IF(w_start_date=AO935,w_amount,0)*IF(w_frequency=13,1,0))</f>
        <v>0</v>
      </c>
      <c r="BC935" s="25">
        <f t="shared" ca="1" si="743"/>
        <v>0</v>
      </c>
      <c r="BD935" s="24" t="b">
        <f t="shared" ca="1" si="744"/>
        <v>1</v>
      </c>
      <c r="BE935" s="24" t="b">
        <f t="shared" ca="1" si="745"/>
        <v>1</v>
      </c>
      <c r="BF935" s="23">
        <f t="array" aca="1" ref="BF935" ca="1">SUM(IF(BD935,1,0)*IF(ap_start_date&lt;=AO935,1,0)*IF(ap_end_date&gt;=AO935,1,0)*ap_amount*(1+ap_escalation/100)^(INT((AP935-ap_months_since_start)/12))*IF(MOD(AP935-ap_months_since_start,ap_frequency)=0,1,0))</f>
        <v>465873.96194153751</v>
      </c>
      <c r="BG935" s="24">
        <f t="shared" ca="1" si="746"/>
        <v>5590487.5432984503</v>
      </c>
      <c r="BH935" s="24">
        <f t="shared" ca="1" si="747"/>
        <v>108.49375345379617</v>
      </c>
      <c r="BI935">
        <f t="shared" ca="1" si="748"/>
        <v>0</v>
      </c>
      <c r="BJ935" s="24">
        <f t="shared" ca="1" si="749"/>
        <v>759.45627417657317</v>
      </c>
      <c r="BK935">
        <f t="shared" ca="1" si="750"/>
        <v>1</v>
      </c>
      <c r="BL935" s="25">
        <f t="shared" ca="1" si="751"/>
        <v>63.28802284804776</v>
      </c>
      <c r="BM935" s="32">
        <f t="shared" ca="1" si="730"/>
        <v>4175.0623815012041</v>
      </c>
      <c r="BN935" s="23">
        <f t="shared" ca="1" si="752"/>
        <v>0</v>
      </c>
      <c r="BO935" s="24">
        <f t="shared" ca="1" si="753"/>
        <v>0</v>
      </c>
      <c r="BP935" s="25">
        <f t="shared" ca="1" si="754"/>
        <v>0</v>
      </c>
      <c r="BQ935" s="34">
        <f t="shared" ca="1" si="755"/>
        <v>73870</v>
      </c>
      <c r="BR935" s="23">
        <f t="shared" ca="1" si="756"/>
        <v>4175.0623815012041</v>
      </c>
      <c r="BS935" s="24">
        <f t="shared" ca="1" si="757"/>
        <v>0</v>
      </c>
      <c r="BT935" s="24">
        <f t="shared" ca="1" si="762"/>
        <v>0</v>
      </c>
      <c r="BU935" s="24">
        <f t="shared" ca="1" si="758"/>
        <v>0</v>
      </c>
      <c r="BV935" s="24">
        <f t="shared" ca="1" si="763"/>
        <v>0</v>
      </c>
      <c r="BW935" s="24">
        <f t="shared" ca="1" si="759"/>
        <v>-63.28802284804776</v>
      </c>
      <c r="BX935" s="25">
        <f t="shared" ca="1" si="764"/>
        <v>-805.1070190446128</v>
      </c>
      <c r="BY935" s="23">
        <f t="shared" ca="1" si="731"/>
        <v>201.1027748407642</v>
      </c>
      <c r="BZ935" s="24">
        <f t="shared" ca="1" si="732"/>
        <v>0</v>
      </c>
      <c r="CA935" s="24">
        <f t="shared" ca="1" si="765"/>
        <v>0</v>
      </c>
      <c r="CB935" s="24">
        <f t="shared" ca="1" si="733"/>
        <v>0</v>
      </c>
      <c r="CC935" s="24">
        <f t="shared" ca="1" si="766"/>
        <v>0</v>
      </c>
      <c r="CD935" s="24">
        <f t="shared" ca="1" si="734"/>
        <v>-3.0584125524487971</v>
      </c>
      <c r="CE935" s="25">
        <f t="shared" ca="1" si="767"/>
        <v>-39.633614508807433</v>
      </c>
      <c r="CF935" s="23">
        <f t="shared" ca="1" si="768"/>
        <v>5465059.9381603431</v>
      </c>
      <c r="CG935" s="25">
        <f t="array" aca="1" ref="CG935" ca="1">SUM(BF924:BF935/(1+inflation/100)^(AP924:AP935/12))</f>
        <v>267980.53702225385</v>
      </c>
      <c r="CH935" s="32">
        <f ca="1">IFERROR(IF(MOD(AP935-ap_months_since_start,12)=0,ap_drawdown/100*(AQ935+AV935+BA935-BC935),CH934),0)</f>
        <v>666.99408594159104</v>
      </c>
    </row>
    <row r="936" spans="40:86" x14ac:dyDescent="0.25">
      <c r="AN936" s="32">
        <f t="shared" ca="1" si="729"/>
        <v>132.25</v>
      </c>
      <c r="AO936" s="53">
        <f t="shared" ca="1" si="760"/>
        <v>73871</v>
      </c>
      <c r="AP936" s="22">
        <v>929</v>
      </c>
      <c r="AQ936" s="32">
        <f t="shared" ca="1" si="761"/>
        <v>4175.0623815012041</v>
      </c>
      <c r="AR936" s="23">
        <f t="array" aca="1" ref="AR936" ca="1">SUM(IF(lsc_start_date=AO936,lsc_amount,0))</f>
        <v>0</v>
      </c>
      <c r="AS936" s="24">
        <f t="shared" ca="1" si="735"/>
        <v>0</v>
      </c>
      <c r="AT936" s="24">
        <f t="shared" ca="1" si="736"/>
        <v>0</v>
      </c>
      <c r="AU936" s="24">
        <f t="shared" ca="1" si="737"/>
        <v>0</v>
      </c>
      <c r="AV936" s="25">
        <f t="shared" ca="1" si="738"/>
        <v>0</v>
      </c>
      <c r="AW936" s="23">
        <f t="array" aca="1" ref="AW936" ca="1">SUM(IF(rcs_start_date&lt;=AO936,1,0)*IF(rcs_end_date&gt;=AO936,1,0)*rcs_amount*(1+rcs_escalation/100)^(INT((AP936-rcs_months_since_start)/12))*IF(MOD((AP936-rcs_months_since_start),rcs_frequency)=0,1,0)*IF(rcs_frequency=13,0,1))+SUM(IF(rcs_start_date=AO936,rcs_amount,0)*IF(rcs_frequency=13,1,0))</f>
        <v>0</v>
      </c>
      <c r="AX936" s="24">
        <f t="shared" ca="1" si="739"/>
        <v>0</v>
      </c>
      <c r="AY936" s="24">
        <f t="shared" ca="1" si="740"/>
        <v>0</v>
      </c>
      <c r="AZ936" s="24">
        <f t="shared" ca="1" si="741"/>
        <v>0</v>
      </c>
      <c r="BA936" s="25">
        <f t="shared" ca="1" si="742"/>
        <v>0</v>
      </c>
      <c r="BB936" s="23">
        <f t="array" aca="1" ref="BB936" ca="1">SUM(IF(w_start_date&lt;=AO936,1,0)*IF(w_end_date&gt;=AO936,1,0)*w_amount*(1+w_escalation/100)^(INT((AP936-w_months_since_start)/12))*IF(MOD(AP936-w_months_since_start,w_frequency)=0,1,0)*IF(w_frequency=13,0,1))+SUM(IF(w_start_date=AO936,w_amount,0)*IF(w_frequency=13,1,0))</f>
        <v>0</v>
      </c>
      <c r="BC936" s="25">
        <f t="shared" ca="1" si="743"/>
        <v>0</v>
      </c>
      <c r="BD936" s="24" t="b">
        <f t="shared" ca="1" si="744"/>
        <v>1</v>
      </c>
      <c r="BE936" s="24" t="b">
        <f t="shared" ca="1" si="745"/>
        <v>1</v>
      </c>
      <c r="BF936" s="23">
        <f t="array" aca="1" ref="BF936" ca="1">SUM(IF(BD936,1,0)*IF(ap_start_date&lt;=AO936,1,0)*IF(ap_end_date&gt;=AO936,1,0)*ap_amount*(1+ap_escalation/100)^(INT((AP936-ap_months_since_start)/12))*IF(MOD(AP936-ap_months_since_start,ap_frequency)=0,1,0))</f>
        <v>465873.96194153751</v>
      </c>
      <c r="BG936" s="24">
        <f t="shared" ca="1" si="746"/>
        <v>5590487.5432984503</v>
      </c>
      <c r="BH936" s="24">
        <f t="shared" ca="1" si="747"/>
        <v>108.49375345379617</v>
      </c>
      <c r="BI936">
        <f t="shared" ca="1" si="748"/>
        <v>0</v>
      </c>
      <c r="BJ936" s="24">
        <f t="shared" ca="1" si="749"/>
        <v>759.45627417657317</v>
      </c>
      <c r="BK936">
        <f t="shared" ca="1" si="750"/>
        <v>1</v>
      </c>
      <c r="BL936" s="25">
        <f t="shared" ca="1" si="751"/>
        <v>63.28802284804776</v>
      </c>
      <c r="BM936" s="32">
        <f t="shared" ca="1" si="730"/>
        <v>4141.4092458589703</v>
      </c>
      <c r="BN936" s="23">
        <f t="shared" ca="1" si="752"/>
        <v>0</v>
      </c>
      <c r="BO936" s="24">
        <f t="shared" ca="1" si="753"/>
        <v>0</v>
      </c>
      <c r="BP936" s="25">
        <f t="shared" ca="1" si="754"/>
        <v>0</v>
      </c>
      <c r="BQ936" s="34">
        <f t="shared" ca="1" si="755"/>
        <v>73900</v>
      </c>
      <c r="BR936" s="23">
        <f t="shared" ca="1" si="756"/>
        <v>4141.4092458589703</v>
      </c>
      <c r="BS936" s="24">
        <f t="shared" ca="1" si="757"/>
        <v>0</v>
      </c>
      <c r="BT936" s="24">
        <f t="shared" ca="1" si="762"/>
        <v>0</v>
      </c>
      <c r="BU936" s="24">
        <f t="shared" ca="1" si="758"/>
        <v>0</v>
      </c>
      <c r="BV936" s="24">
        <f t="shared" ca="1" si="763"/>
        <v>0</v>
      </c>
      <c r="BW936" s="24">
        <f t="shared" ca="1" si="759"/>
        <v>-63.28802284804776</v>
      </c>
      <c r="BX936" s="25">
        <f t="shared" ca="1" si="764"/>
        <v>-798.58548406346426</v>
      </c>
      <c r="BY936" s="23">
        <f t="shared" ca="1" si="731"/>
        <v>198.83086323449007</v>
      </c>
      <c r="BZ936" s="24">
        <f t="shared" ca="1" si="732"/>
        <v>0</v>
      </c>
      <c r="CA936" s="24">
        <f t="shared" ca="1" si="765"/>
        <v>0</v>
      </c>
      <c r="CB936" s="24">
        <f t="shared" ca="1" si="733"/>
        <v>0</v>
      </c>
      <c r="CC936" s="24">
        <f t="shared" ca="1" si="766"/>
        <v>0</v>
      </c>
      <c r="CD936" s="24">
        <f t="shared" ca="1" si="734"/>
        <v>-3.0484327767940482</v>
      </c>
      <c r="CE936" s="25">
        <f t="shared" ca="1" si="767"/>
        <v>-39.184985376743803</v>
      </c>
      <c r="CF936" s="23">
        <f t="shared" ca="1" si="768"/>
        <v>5482978.1674657874</v>
      </c>
      <c r="CG936" s="25">
        <f t="array" aca="1" ref="CG936" ca="1">SUM(BF925:BF936/(1+inflation/100)^(AP925:AP936/12))</f>
        <v>267980.53702225391</v>
      </c>
      <c r="CH936" s="32">
        <f ca="1">IFERROR(IF(MOD(AP936-ap_months_since_start,12)=0,ap_drawdown/100*(AQ936+AV936+BA936-BC936),CH935),0)</f>
        <v>666.99408594159104</v>
      </c>
    </row>
    <row r="937" spans="40:86" x14ac:dyDescent="0.25">
      <c r="AN937" s="32">
        <f t="shared" ca="1" si="729"/>
        <v>132.33333333333334</v>
      </c>
      <c r="AO937" s="53">
        <f t="shared" ca="1" si="760"/>
        <v>73901</v>
      </c>
      <c r="AP937" s="22">
        <v>930</v>
      </c>
      <c r="AQ937" s="32">
        <f t="shared" ca="1" si="761"/>
        <v>4141.4092458589703</v>
      </c>
      <c r="AR937" s="23">
        <f t="array" aca="1" ref="AR937" ca="1">SUM(IF(lsc_start_date=AO937,lsc_amount,0))</f>
        <v>0</v>
      </c>
      <c r="AS937" s="24">
        <f t="shared" ca="1" si="735"/>
        <v>0</v>
      </c>
      <c r="AT937" s="24">
        <f t="shared" ca="1" si="736"/>
        <v>0</v>
      </c>
      <c r="AU937" s="24">
        <f t="shared" ca="1" si="737"/>
        <v>0</v>
      </c>
      <c r="AV937" s="25">
        <f t="shared" ca="1" si="738"/>
        <v>0</v>
      </c>
      <c r="AW937" s="23">
        <f t="array" aca="1" ref="AW937" ca="1">SUM(IF(rcs_start_date&lt;=AO937,1,0)*IF(rcs_end_date&gt;=AO937,1,0)*rcs_amount*(1+rcs_escalation/100)^(INT((AP937-rcs_months_since_start)/12))*IF(MOD((AP937-rcs_months_since_start),rcs_frequency)=0,1,0)*IF(rcs_frequency=13,0,1))+SUM(IF(rcs_start_date=AO937,rcs_amount,0)*IF(rcs_frequency=13,1,0))</f>
        <v>0</v>
      </c>
      <c r="AX937" s="24">
        <f t="shared" ca="1" si="739"/>
        <v>0</v>
      </c>
      <c r="AY937" s="24">
        <f t="shared" ca="1" si="740"/>
        <v>0</v>
      </c>
      <c r="AZ937" s="24">
        <f t="shared" ca="1" si="741"/>
        <v>0</v>
      </c>
      <c r="BA937" s="25">
        <f t="shared" ca="1" si="742"/>
        <v>0</v>
      </c>
      <c r="BB937" s="23">
        <f t="array" aca="1" ref="BB937" ca="1">SUM(IF(w_start_date&lt;=AO937,1,0)*IF(w_end_date&gt;=AO937,1,0)*w_amount*(1+w_escalation/100)^(INT((AP937-w_months_since_start)/12))*IF(MOD(AP937-w_months_since_start,w_frequency)=0,1,0)*IF(w_frequency=13,0,1))+SUM(IF(w_start_date=AO937,w_amount,0)*IF(w_frequency=13,1,0))</f>
        <v>0</v>
      </c>
      <c r="BC937" s="25">
        <f t="shared" ca="1" si="743"/>
        <v>0</v>
      </c>
      <c r="BD937" s="24" t="b">
        <f t="shared" ca="1" si="744"/>
        <v>1</v>
      </c>
      <c r="BE937" s="24" t="b">
        <f t="shared" ca="1" si="745"/>
        <v>1</v>
      </c>
      <c r="BF937" s="23">
        <f t="array" aca="1" ref="BF937" ca="1">SUM(IF(BD937,1,0)*IF(ap_start_date&lt;=AO937,1,0)*IF(ap_end_date&gt;=AO937,1,0)*ap_amount*(1+ap_escalation/100)^(INT((AP937-ap_months_since_start)/12))*IF(MOD(AP937-ap_months_since_start,ap_frequency)=0,1,0))</f>
        <v>465873.96194153751</v>
      </c>
      <c r="BG937" s="24">
        <f t="shared" ca="1" si="746"/>
        <v>5590487.5432984503</v>
      </c>
      <c r="BH937" s="24">
        <f t="shared" ca="1" si="747"/>
        <v>108.49375345379617</v>
      </c>
      <c r="BI937">
        <f t="shared" ca="1" si="748"/>
        <v>0</v>
      </c>
      <c r="BJ937" s="24">
        <f t="shared" ca="1" si="749"/>
        <v>759.45627417657317</v>
      </c>
      <c r="BK937">
        <f t="shared" ca="1" si="750"/>
        <v>1</v>
      </c>
      <c r="BL937" s="25">
        <f t="shared" ca="1" si="751"/>
        <v>63.28802284804776</v>
      </c>
      <c r="BM937" s="32">
        <f t="shared" ca="1" si="730"/>
        <v>4107.5135611875612</v>
      </c>
      <c r="BN937" s="23">
        <f t="shared" ca="1" si="752"/>
        <v>0</v>
      </c>
      <c r="BO937" s="24">
        <f t="shared" ca="1" si="753"/>
        <v>0</v>
      </c>
      <c r="BP937" s="25">
        <f t="shared" ca="1" si="754"/>
        <v>0</v>
      </c>
      <c r="BQ937" s="34">
        <f t="shared" ca="1" si="755"/>
        <v>73931</v>
      </c>
      <c r="BR937" s="23">
        <f t="shared" ca="1" si="756"/>
        <v>4107.5135611875612</v>
      </c>
      <c r="BS937" s="24">
        <f t="shared" ca="1" si="757"/>
        <v>0</v>
      </c>
      <c r="BT937" s="24">
        <f t="shared" ca="1" si="762"/>
        <v>0</v>
      </c>
      <c r="BU937" s="24">
        <f t="shared" ca="1" si="758"/>
        <v>0</v>
      </c>
      <c r="BV937" s="24">
        <f t="shared" ca="1" si="763"/>
        <v>0</v>
      </c>
      <c r="BW937" s="24">
        <f t="shared" ca="1" si="759"/>
        <v>-63.28802284804776</v>
      </c>
      <c r="BX937" s="25">
        <f t="shared" ca="1" si="764"/>
        <v>-792.06394908231573</v>
      </c>
      <c r="BY937" s="23">
        <f t="shared" ca="1" si="731"/>
        <v>196.56003024685484</v>
      </c>
      <c r="BZ937" s="24">
        <f t="shared" ca="1" si="732"/>
        <v>0</v>
      </c>
      <c r="CA937" s="24">
        <f t="shared" ca="1" si="765"/>
        <v>0</v>
      </c>
      <c r="CB937" s="24">
        <f t="shared" ca="1" si="733"/>
        <v>0</v>
      </c>
      <c r="CC937" s="24">
        <f t="shared" ca="1" si="766"/>
        <v>0</v>
      </c>
      <c r="CD937" s="24">
        <f t="shared" ca="1" si="734"/>
        <v>-3.0384855657199119</v>
      </c>
      <c r="CE937" s="25">
        <f t="shared" ca="1" si="767"/>
        <v>-38.73782014728107</v>
      </c>
      <c r="CF937" s="23">
        <f t="shared" ca="1" si="768"/>
        <v>5500896.3967712307</v>
      </c>
      <c r="CG937" s="25">
        <f t="array" aca="1" ref="CG937" ca="1">SUM(BF926:BF937/(1+inflation/100)^(AP926:AP937/12))</f>
        <v>267980.53702225385</v>
      </c>
      <c r="CH937" s="32">
        <f ca="1">IFERROR(IF(MOD(AP937-ap_months_since_start,12)=0,ap_drawdown/100*(AQ937+AV937+BA937-BC937),CH936),0)</f>
        <v>666.99408594159104</v>
      </c>
    </row>
    <row r="938" spans="40:86" x14ac:dyDescent="0.25">
      <c r="AN938" s="32">
        <f t="shared" ca="1" si="729"/>
        <v>132.41666666666666</v>
      </c>
      <c r="AO938" s="53">
        <f t="shared" ca="1" si="760"/>
        <v>73932</v>
      </c>
      <c r="AP938" s="22">
        <v>931</v>
      </c>
      <c r="AQ938" s="32">
        <f t="shared" ca="1" si="761"/>
        <v>4107.5135611875612</v>
      </c>
      <c r="AR938" s="23">
        <f t="array" aca="1" ref="AR938" ca="1">SUM(IF(lsc_start_date=AO938,lsc_amount,0))</f>
        <v>0</v>
      </c>
      <c r="AS938" s="24">
        <f t="shared" ca="1" si="735"/>
        <v>0</v>
      </c>
      <c r="AT938" s="24">
        <f t="shared" ca="1" si="736"/>
        <v>0</v>
      </c>
      <c r="AU938" s="24">
        <f t="shared" ca="1" si="737"/>
        <v>0</v>
      </c>
      <c r="AV938" s="25">
        <f t="shared" ca="1" si="738"/>
        <v>0</v>
      </c>
      <c r="AW938" s="23">
        <f t="array" aca="1" ref="AW938" ca="1">SUM(IF(rcs_start_date&lt;=AO938,1,0)*IF(rcs_end_date&gt;=AO938,1,0)*rcs_amount*(1+rcs_escalation/100)^(INT((AP938-rcs_months_since_start)/12))*IF(MOD((AP938-rcs_months_since_start),rcs_frequency)=0,1,0)*IF(rcs_frequency=13,0,1))+SUM(IF(rcs_start_date=AO938,rcs_amount,0)*IF(rcs_frequency=13,1,0))</f>
        <v>0</v>
      </c>
      <c r="AX938" s="24">
        <f t="shared" ca="1" si="739"/>
        <v>0</v>
      </c>
      <c r="AY938" s="24">
        <f t="shared" ca="1" si="740"/>
        <v>0</v>
      </c>
      <c r="AZ938" s="24">
        <f t="shared" ca="1" si="741"/>
        <v>0</v>
      </c>
      <c r="BA938" s="25">
        <f t="shared" ca="1" si="742"/>
        <v>0</v>
      </c>
      <c r="BB938" s="23">
        <f t="array" aca="1" ref="BB938" ca="1">SUM(IF(w_start_date&lt;=AO938,1,0)*IF(w_end_date&gt;=AO938,1,0)*w_amount*(1+w_escalation/100)^(INT((AP938-w_months_since_start)/12))*IF(MOD(AP938-w_months_since_start,w_frequency)=0,1,0)*IF(w_frequency=13,0,1))+SUM(IF(w_start_date=AO938,w_amount,0)*IF(w_frequency=13,1,0))</f>
        <v>0</v>
      </c>
      <c r="BC938" s="25">
        <f t="shared" ca="1" si="743"/>
        <v>0</v>
      </c>
      <c r="BD938" s="24" t="b">
        <f t="shared" ca="1" si="744"/>
        <v>1</v>
      </c>
      <c r="BE938" s="24" t="b">
        <f t="shared" ca="1" si="745"/>
        <v>1</v>
      </c>
      <c r="BF938" s="23">
        <f t="array" aca="1" ref="BF938" ca="1">SUM(IF(BD938,1,0)*IF(ap_start_date&lt;=AO938,1,0)*IF(ap_end_date&gt;=AO938,1,0)*ap_amount*(1+ap_escalation/100)^(INT((AP938-ap_months_since_start)/12))*IF(MOD(AP938-ap_months_since_start,ap_frequency)=0,1,0))</f>
        <v>465873.96194153751</v>
      </c>
      <c r="BG938" s="24">
        <f t="shared" ca="1" si="746"/>
        <v>5590487.5432984503</v>
      </c>
      <c r="BH938" s="24">
        <f t="shared" ca="1" si="747"/>
        <v>108.49375345379617</v>
      </c>
      <c r="BI938">
        <f t="shared" ca="1" si="748"/>
        <v>0</v>
      </c>
      <c r="BJ938" s="24">
        <f t="shared" ca="1" si="749"/>
        <v>759.45627417657317</v>
      </c>
      <c r="BK938">
        <f t="shared" ca="1" si="750"/>
        <v>1</v>
      </c>
      <c r="BL938" s="25">
        <f t="shared" ca="1" si="751"/>
        <v>63.28802284804776</v>
      </c>
      <c r="BM938" s="32">
        <f t="shared" ca="1" si="730"/>
        <v>4073.3735793577034</v>
      </c>
      <c r="BN938" s="23">
        <f t="shared" ca="1" si="752"/>
        <v>0</v>
      </c>
      <c r="BO938" s="24">
        <f t="shared" ca="1" si="753"/>
        <v>0</v>
      </c>
      <c r="BP938" s="25">
        <f t="shared" ca="1" si="754"/>
        <v>0</v>
      </c>
      <c r="BQ938" s="34">
        <f t="shared" ca="1" si="755"/>
        <v>73961</v>
      </c>
      <c r="BR938" s="23">
        <f t="shared" ca="1" si="756"/>
        <v>4073.3735793577034</v>
      </c>
      <c r="BS938" s="24">
        <f t="shared" ca="1" si="757"/>
        <v>0</v>
      </c>
      <c r="BT938" s="24">
        <f t="shared" ca="1" si="762"/>
        <v>0</v>
      </c>
      <c r="BU938" s="24">
        <f t="shared" ca="1" si="758"/>
        <v>0</v>
      </c>
      <c r="BV938" s="24">
        <f t="shared" ca="1" si="763"/>
        <v>0</v>
      </c>
      <c r="BW938" s="24">
        <f t="shared" ca="1" si="759"/>
        <v>-63.28802284804776</v>
      </c>
      <c r="BX938" s="25">
        <f t="shared" ca="1" si="764"/>
        <v>-785.5424141011672</v>
      </c>
      <c r="BY938" s="23">
        <f t="shared" ca="1" si="731"/>
        <v>194.29024752126875</v>
      </c>
      <c r="BZ938" s="24">
        <f t="shared" ca="1" si="732"/>
        <v>0</v>
      </c>
      <c r="CA938" s="24">
        <f t="shared" ca="1" si="765"/>
        <v>0</v>
      </c>
      <c r="CB938" s="24">
        <f t="shared" ca="1" si="733"/>
        <v>0</v>
      </c>
      <c r="CC938" s="24">
        <f t="shared" ca="1" si="766"/>
        <v>0</v>
      </c>
      <c r="CD938" s="24">
        <f t="shared" ca="1" si="734"/>
        <v>-3.0285708129662985</v>
      </c>
      <c r="CE938" s="25">
        <f t="shared" ca="1" si="767"/>
        <v>-38.292114043621062</v>
      </c>
      <c r="CF938" s="23">
        <f t="shared" ca="1" si="768"/>
        <v>5518814.626076675</v>
      </c>
      <c r="CG938" s="25">
        <f t="array" aca="1" ref="CG938" ca="1">SUM(BF927:BF938/(1+inflation/100)^(AP927:AP938/12))</f>
        <v>267980.53702225391</v>
      </c>
      <c r="CH938" s="32">
        <f ca="1">IFERROR(IF(MOD(AP938-ap_months_since_start,12)=0,ap_drawdown/100*(AQ938+AV938+BA938-BC938),CH937),0)</f>
        <v>666.99408594159104</v>
      </c>
    </row>
    <row r="939" spans="40:86" x14ac:dyDescent="0.25">
      <c r="AN939" s="32">
        <f t="shared" ca="1" si="729"/>
        <v>132.5</v>
      </c>
      <c r="AO939" s="53">
        <f t="shared" ca="1" si="760"/>
        <v>73962</v>
      </c>
      <c r="AP939" s="22">
        <v>932</v>
      </c>
      <c r="AQ939" s="32">
        <f t="shared" ca="1" si="761"/>
        <v>4073.3735793577034</v>
      </c>
      <c r="AR939" s="23">
        <f t="array" aca="1" ref="AR939" ca="1">SUM(IF(lsc_start_date=AO939,lsc_amount,0))</f>
        <v>0</v>
      </c>
      <c r="AS939" s="24">
        <f t="shared" ca="1" si="735"/>
        <v>0</v>
      </c>
      <c r="AT939" s="24">
        <f t="shared" ca="1" si="736"/>
        <v>0</v>
      </c>
      <c r="AU939" s="24">
        <f t="shared" ca="1" si="737"/>
        <v>0</v>
      </c>
      <c r="AV939" s="25">
        <f t="shared" ca="1" si="738"/>
        <v>0</v>
      </c>
      <c r="AW939" s="23">
        <f t="array" aca="1" ref="AW939" ca="1">SUM(IF(rcs_start_date&lt;=AO939,1,0)*IF(rcs_end_date&gt;=AO939,1,0)*rcs_amount*(1+rcs_escalation/100)^(INT((AP939-rcs_months_since_start)/12))*IF(MOD((AP939-rcs_months_since_start),rcs_frequency)=0,1,0)*IF(rcs_frequency=13,0,1))+SUM(IF(rcs_start_date=AO939,rcs_amount,0)*IF(rcs_frequency=13,1,0))</f>
        <v>0</v>
      </c>
      <c r="AX939" s="24">
        <f t="shared" ca="1" si="739"/>
        <v>0</v>
      </c>
      <c r="AY939" s="24">
        <f t="shared" ca="1" si="740"/>
        <v>0</v>
      </c>
      <c r="AZ939" s="24">
        <f t="shared" ca="1" si="741"/>
        <v>0</v>
      </c>
      <c r="BA939" s="25">
        <f t="shared" ca="1" si="742"/>
        <v>0</v>
      </c>
      <c r="BB939" s="23">
        <f t="array" aca="1" ref="BB939" ca="1">SUM(IF(w_start_date&lt;=AO939,1,0)*IF(w_end_date&gt;=AO939,1,0)*w_amount*(1+w_escalation/100)^(INT((AP939-w_months_since_start)/12))*IF(MOD(AP939-w_months_since_start,w_frequency)=0,1,0)*IF(w_frequency=13,0,1))+SUM(IF(w_start_date=AO939,w_amount,0)*IF(w_frequency=13,1,0))</f>
        <v>0</v>
      </c>
      <c r="BC939" s="25">
        <f t="shared" ca="1" si="743"/>
        <v>0</v>
      </c>
      <c r="BD939" s="24" t="b">
        <f t="shared" ca="1" si="744"/>
        <v>1</v>
      </c>
      <c r="BE939" s="24" t="b">
        <f t="shared" ca="1" si="745"/>
        <v>1</v>
      </c>
      <c r="BF939" s="23">
        <f t="array" aca="1" ref="BF939" ca="1">SUM(IF(BD939,1,0)*IF(ap_start_date&lt;=AO939,1,0)*IF(ap_end_date&gt;=AO939,1,0)*ap_amount*(1+ap_escalation/100)^(INT((AP939-ap_months_since_start)/12))*IF(MOD(AP939-ap_months_since_start,ap_frequency)=0,1,0))</f>
        <v>465873.96194153751</v>
      </c>
      <c r="BG939" s="24">
        <f t="shared" ca="1" si="746"/>
        <v>5590487.5432984503</v>
      </c>
      <c r="BH939" s="24">
        <f t="shared" ca="1" si="747"/>
        <v>108.49375345379617</v>
      </c>
      <c r="BI939">
        <f t="shared" ca="1" si="748"/>
        <v>0</v>
      </c>
      <c r="BJ939" s="24">
        <f t="shared" ca="1" si="749"/>
        <v>759.45627417657317</v>
      </c>
      <c r="BK939">
        <f t="shared" ca="1" si="750"/>
        <v>1</v>
      </c>
      <c r="BL939" s="25">
        <f t="shared" ca="1" si="751"/>
        <v>63.28802284804776</v>
      </c>
      <c r="BM939" s="32">
        <f t="shared" ca="1" si="730"/>
        <v>4038.9875396407911</v>
      </c>
      <c r="BN939" s="23">
        <f t="shared" ca="1" si="752"/>
        <v>0</v>
      </c>
      <c r="BO939" s="24">
        <f t="shared" ca="1" si="753"/>
        <v>0</v>
      </c>
      <c r="BP939" s="25">
        <f t="shared" ca="1" si="754"/>
        <v>0</v>
      </c>
      <c r="BQ939" s="34">
        <f t="shared" ca="1" si="755"/>
        <v>73992</v>
      </c>
      <c r="BR939" s="23">
        <f t="shared" ca="1" si="756"/>
        <v>4038.9875396407911</v>
      </c>
      <c r="BS939" s="24">
        <f t="shared" ca="1" si="757"/>
        <v>0</v>
      </c>
      <c r="BT939" s="24">
        <f t="shared" ca="1" si="762"/>
        <v>0</v>
      </c>
      <c r="BU939" s="24">
        <f t="shared" ca="1" si="758"/>
        <v>0</v>
      </c>
      <c r="BV939" s="24">
        <f t="shared" ca="1" si="763"/>
        <v>0</v>
      </c>
      <c r="BW939" s="24">
        <f t="shared" ca="1" si="759"/>
        <v>-63.28802284804776</v>
      </c>
      <c r="BX939" s="25">
        <f t="shared" ca="1" si="764"/>
        <v>-779.02087912001866</v>
      </c>
      <c r="BY939" s="23">
        <f t="shared" ca="1" si="731"/>
        <v>192.02148669629184</v>
      </c>
      <c r="BZ939" s="24">
        <f t="shared" ca="1" si="732"/>
        <v>0</v>
      </c>
      <c r="CA939" s="24">
        <f t="shared" ca="1" si="765"/>
        <v>0</v>
      </c>
      <c r="CB939" s="24">
        <f t="shared" ca="1" si="733"/>
        <v>0</v>
      </c>
      <c r="CC939" s="24">
        <f t="shared" ca="1" si="766"/>
        <v>0</v>
      </c>
      <c r="CD939" s="24">
        <f t="shared" ca="1" si="734"/>
        <v>-3.0186884126198428</v>
      </c>
      <c r="CE939" s="25">
        <f t="shared" ca="1" si="767"/>
        <v>-37.847862304552557</v>
      </c>
      <c r="CF939" s="23">
        <f t="shared" ca="1" si="768"/>
        <v>5536732.8553821184</v>
      </c>
      <c r="CG939" s="25">
        <f t="array" aca="1" ref="CG939" ca="1">SUM(BF928:BF939/(1+inflation/100)^(AP928:AP939/12))</f>
        <v>267980.53702225385</v>
      </c>
      <c r="CH939" s="32">
        <f ca="1">IFERROR(IF(MOD(AP939-ap_months_since_start,12)=0,ap_drawdown/100*(AQ939+AV939+BA939-BC939),CH938),0)</f>
        <v>666.99408594159104</v>
      </c>
    </row>
    <row r="940" spans="40:86" x14ac:dyDescent="0.25">
      <c r="AN940" s="32">
        <f t="shared" ca="1" si="729"/>
        <v>132.58333333333334</v>
      </c>
      <c r="AO940" s="53">
        <f t="shared" ca="1" si="760"/>
        <v>73993</v>
      </c>
      <c r="AP940" s="22">
        <v>933</v>
      </c>
      <c r="AQ940" s="32">
        <f t="shared" ca="1" si="761"/>
        <v>4038.9875396407911</v>
      </c>
      <c r="AR940" s="23">
        <f t="array" aca="1" ref="AR940" ca="1">SUM(IF(lsc_start_date=AO940,lsc_amount,0))</f>
        <v>0</v>
      </c>
      <c r="AS940" s="24">
        <f t="shared" ca="1" si="735"/>
        <v>0</v>
      </c>
      <c r="AT940" s="24">
        <f t="shared" ca="1" si="736"/>
        <v>0</v>
      </c>
      <c r="AU940" s="24">
        <f t="shared" ca="1" si="737"/>
        <v>0</v>
      </c>
      <c r="AV940" s="25">
        <f t="shared" ca="1" si="738"/>
        <v>0</v>
      </c>
      <c r="AW940" s="23">
        <f t="array" aca="1" ref="AW940" ca="1">SUM(IF(rcs_start_date&lt;=AO940,1,0)*IF(rcs_end_date&gt;=AO940,1,0)*rcs_amount*(1+rcs_escalation/100)^(INT((AP940-rcs_months_since_start)/12))*IF(MOD((AP940-rcs_months_since_start),rcs_frequency)=0,1,0)*IF(rcs_frequency=13,0,1))+SUM(IF(rcs_start_date=AO940,rcs_amount,0)*IF(rcs_frequency=13,1,0))</f>
        <v>0</v>
      </c>
      <c r="AX940" s="24">
        <f t="shared" ca="1" si="739"/>
        <v>0</v>
      </c>
      <c r="AY940" s="24">
        <f t="shared" ca="1" si="740"/>
        <v>0</v>
      </c>
      <c r="AZ940" s="24">
        <f t="shared" ca="1" si="741"/>
        <v>0</v>
      </c>
      <c r="BA940" s="25">
        <f t="shared" ca="1" si="742"/>
        <v>0</v>
      </c>
      <c r="BB940" s="23">
        <f t="array" aca="1" ref="BB940" ca="1">SUM(IF(w_start_date&lt;=AO940,1,0)*IF(w_end_date&gt;=AO940,1,0)*w_amount*(1+w_escalation/100)^(INT((AP940-w_months_since_start)/12))*IF(MOD(AP940-w_months_since_start,w_frequency)=0,1,0)*IF(w_frequency=13,0,1))+SUM(IF(w_start_date=AO940,w_amount,0)*IF(w_frequency=13,1,0))</f>
        <v>0</v>
      </c>
      <c r="BC940" s="25">
        <f t="shared" ca="1" si="743"/>
        <v>0</v>
      </c>
      <c r="BD940" s="24" t="b">
        <f t="shared" ca="1" si="744"/>
        <v>1</v>
      </c>
      <c r="BE940" s="24" t="b">
        <f t="shared" ca="1" si="745"/>
        <v>1</v>
      </c>
      <c r="BF940" s="23">
        <f t="array" aca="1" ref="BF940" ca="1">SUM(IF(BD940,1,0)*IF(ap_start_date&lt;=AO940,1,0)*IF(ap_end_date&gt;=AO940,1,0)*ap_amount*(1+ap_escalation/100)^(INT((AP940-ap_months_since_start)/12))*IF(MOD(AP940-ap_months_since_start,ap_frequency)=0,1,0))</f>
        <v>465873.96194153751</v>
      </c>
      <c r="BG940" s="24">
        <f t="shared" ca="1" si="746"/>
        <v>5590487.5432984503</v>
      </c>
      <c r="BH940" s="24">
        <f t="shared" ca="1" si="747"/>
        <v>108.49375345379617</v>
      </c>
      <c r="BI940">
        <f t="shared" ca="1" si="748"/>
        <v>0</v>
      </c>
      <c r="BJ940" s="24">
        <f t="shared" ca="1" si="749"/>
        <v>759.45627417657317</v>
      </c>
      <c r="BK940">
        <f t="shared" ca="1" si="750"/>
        <v>1</v>
      </c>
      <c r="BL940" s="25">
        <f t="shared" ca="1" si="751"/>
        <v>63.28802284804776</v>
      </c>
      <c r="BM940" s="32">
        <f t="shared" ca="1" si="730"/>
        <v>4004.3536686180773</v>
      </c>
      <c r="BN940" s="23">
        <f t="shared" ca="1" si="752"/>
        <v>0</v>
      </c>
      <c r="BO940" s="24">
        <f t="shared" ca="1" si="753"/>
        <v>0</v>
      </c>
      <c r="BP940" s="25">
        <f t="shared" ca="1" si="754"/>
        <v>0</v>
      </c>
      <c r="BQ940" s="34">
        <f t="shared" ca="1" si="755"/>
        <v>74023</v>
      </c>
      <c r="BR940" s="23">
        <f t="shared" ca="1" si="756"/>
        <v>4004.3536686180773</v>
      </c>
      <c r="BS940" s="24">
        <f t="shared" ca="1" si="757"/>
        <v>0</v>
      </c>
      <c r="BT940" s="24">
        <f t="shared" ca="1" si="762"/>
        <v>0</v>
      </c>
      <c r="BU940" s="24">
        <f t="shared" ca="1" si="758"/>
        <v>0</v>
      </c>
      <c r="BV940" s="24">
        <f t="shared" ca="1" si="763"/>
        <v>0</v>
      </c>
      <c r="BW940" s="24">
        <f t="shared" ca="1" si="759"/>
        <v>-63.28802284804776</v>
      </c>
      <c r="BX940" s="25">
        <f t="shared" ca="1" si="764"/>
        <v>-772.49934413887013</v>
      </c>
      <c r="BY940" s="23">
        <f t="shared" ca="1" si="731"/>
        <v>189.75371940526796</v>
      </c>
      <c r="BZ940" s="24">
        <f t="shared" ca="1" si="732"/>
        <v>0</v>
      </c>
      <c r="CA940" s="24">
        <f t="shared" ca="1" si="765"/>
        <v>0</v>
      </c>
      <c r="CB940" s="24">
        <f t="shared" ca="1" si="733"/>
        <v>0</v>
      </c>
      <c r="CC940" s="24">
        <f t="shared" ca="1" si="766"/>
        <v>0</v>
      </c>
      <c r="CD940" s="24">
        <f t="shared" ca="1" si="734"/>
        <v>-3.0088382591127822</v>
      </c>
      <c r="CE940" s="25">
        <f t="shared" ca="1" si="767"/>
        <v>-37.40506018440044</v>
      </c>
      <c r="CF940" s="23">
        <f t="shared" ca="1" si="768"/>
        <v>5554651.0846875627</v>
      </c>
      <c r="CG940" s="25">
        <f t="array" aca="1" ref="CG940" ca="1">SUM(BF929:BF940/(1+inflation/100)^(AP929:AP940/12))</f>
        <v>267980.53702225385</v>
      </c>
      <c r="CH940" s="32">
        <f ca="1">IFERROR(IF(MOD(AP940-ap_months_since_start,12)=0,ap_drawdown/100*(AQ940+AV940+BA940-BC940),CH939),0)</f>
        <v>666.99408594159104</v>
      </c>
    </row>
    <row r="941" spans="40:86" x14ac:dyDescent="0.25">
      <c r="AN941" s="32">
        <f t="shared" ca="1" si="729"/>
        <v>132.66666666666666</v>
      </c>
      <c r="AO941" s="53">
        <f t="shared" ca="1" si="760"/>
        <v>74024</v>
      </c>
      <c r="AP941" s="22">
        <v>934</v>
      </c>
      <c r="AQ941" s="32">
        <f t="shared" ca="1" si="761"/>
        <v>4004.3536686180773</v>
      </c>
      <c r="AR941" s="23">
        <f t="array" aca="1" ref="AR941" ca="1">SUM(IF(lsc_start_date=AO941,lsc_amount,0))</f>
        <v>0</v>
      </c>
      <c r="AS941" s="24">
        <f t="shared" ca="1" si="735"/>
        <v>0</v>
      </c>
      <c r="AT941" s="24">
        <f t="shared" ca="1" si="736"/>
        <v>0</v>
      </c>
      <c r="AU941" s="24">
        <f t="shared" ca="1" si="737"/>
        <v>0</v>
      </c>
      <c r="AV941" s="25">
        <f t="shared" ca="1" si="738"/>
        <v>0</v>
      </c>
      <c r="AW941" s="23">
        <f t="array" aca="1" ref="AW941" ca="1">SUM(IF(rcs_start_date&lt;=AO941,1,0)*IF(rcs_end_date&gt;=AO941,1,0)*rcs_amount*(1+rcs_escalation/100)^(INT((AP941-rcs_months_since_start)/12))*IF(MOD((AP941-rcs_months_since_start),rcs_frequency)=0,1,0)*IF(rcs_frequency=13,0,1))+SUM(IF(rcs_start_date=AO941,rcs_amount,0)*IF(rcs_frequency=13,1,0))</f>
        <v>0</v>
      </c>
      <c r="AX941" s="24">
        <f t="shared" ca="1" si="739"/>
        <v>0</v>
      </c>
      <c r="AY941" s="24">
        <f t="shared" ca="1" si="740"/>
        <v>0</v>
      </c>
      <c r="AZ941" s="24">
        <f t="shared" ca="1" si="741"/>
        <v>0</v>
      </c>
      <c r="BA941" s="25">
        <f t="shared" ca="1" si="742"/>
        <v>0</v>
      </c>
      <c r="BB941" s="23">
        <f t="array" aca="1" ref="BB941" ca="1">SUM(IF(w_start_date&lt;=AO941,1,0)*IF(w_end_date&gt;=AO941,1,0)*w_amount*(1+w_escalation/100)^(INT((AP941-w_months_since_start)/12))*IF(MOD(AP941-w_months_since_start,w_frequency)=0,1,0)*IF(w_frequency=13,0,1))+SUM(IF(w_start_date=AO941,w_amount,0)*IF(w_frequency=13,1,0))</f>
        <v>0</v>
      </c>
      <c r="BC941" s="25">
        <f t="shared" ca="1" si="743"/>
        <v>0</v>
      </c>
      <c r="BD941" s="24" t="b">
        <f t="shared" ca="1" si="744"/>
        <v>1</v>
      </c>
      <c r="BE941" s="24" t="b">
        <f t="shared" ca="1" si="745"/>
        <v>1</v>
      </c>
      <c r="BF941" s="23">
        <f t="array" aca="1" ref="BF941" ca="1">SUM(IF(BD941,1,0)*IF(ap_start_date&lt;=AO941,1,0)*IF(ap_end_date&gt;=AO941,1,0)*ap_amount*(1+ap_escalation/100)^(INT((AP941-ap_months_since_start)/12))*IF(MOD(AP941-ap_months_since_start,ap_frequency)=0,1,0))</f>
        <v>465873.96194153751</v>
      </c>
      <c r="BG941" s="24">
        <f t="shared" ca="1" si="746"/>
        <v>5590487.5432984503</v>
      </c>
      <c r="BH941" s="24">
        <f t="shared" ca="1" si="747"/>
        <v>108.49375345379617</v>
      </c>
      <c r="BI941">
        <f t="shared" ca="1" si="748"/>
        <v>0</v>
      </c>
      <c r="BJ941" s="24">
        <f t="shared" ca="1" si="749"/>
        <v>759.45627417657317</v>
      </c>
      <c r="BK941">
        <f t="shared" ca="1" si="750"/>
        <v>1</v>
      </c>
      <c r="BL941" s="25">
        <f t="shared" ca="1" si="751"/>
        <v>63.28802284804776</v>
      </c>
      <c r="BM941" s="32">
        <f t="shared" ca="1" si="730"/>
        <v>3969.4701800892135</v>
      </c>
      <c r="BN941" s="23">
        <f t="shared" ca="1" si="752"/>
        <v>0</v>
      </c>
      <c r="BO941" s="24">
        <f t="shared" ca="1" si="753"/>
        <v>0</v>
      </c>
      <c r="BP941" s="25">
        <f t="shared" ca="1" si="754"/>
        <v>0</v>
      </c>
      <c r="BQ941" s="34">
        <f t="shared" ca="1" si="755"/>
        <v>74053</v>
      </c>
      <c r="BR941" s="23">
        <f t="shared" ca="1" si="756"/>
        <v>3969.4701800892135</v>
      </c>
      <c r="BS941" s="24">
        <f t="shared" ca="1" si="757"/>
        <v>0</v>
      </c>
      <c r="BT941" s="24">
        <f t="shared" ca="1" si="762"/>
        <v>0</v>
      </c>
      <c r="BU941" s="24">
        <f t="shared" ca="1" si="758"/>
        <v>0</v>
      </c>
      <c r="BV941" s="24">
        <f t="shared" ca="1" si="763"/>
        <v>0</v>
      </c>
      <c r="BW941" s="24">
        <f t="shared" ca="1" si="759"/>
        <v>-63.28802284804776</v>
      </c>
      <c r="BX941" s="25">
        <f t="shared" ca="1" si="764"/>
        <v>-765.97780915772159</v>
      </c>
      <c r="BY941" s="23">
        <f t="shared" ca="1" si="731"/>
        <v>187.48691727595792</v>
      </c>
      <c r="BZ941" s="24">
        <f t="shared" ca="1" si="732"/>
        <v>0</v>
      </c>
      <c r="CA941" s="24">
        <f t="shared" ca="1" si="765"/>
        <v>0</v>
      </c>
      <c r="CB941" s="24">
        <f t="shared" ca="1" si="733"/>
        <v>0</v>
      </c>
      <c r="CC941" s="24">
        <f t="shared" ca="1" si="766"/>
        <v>0</v>
      </c>
      <c r="CD941" s="24">
        <f t="shared" ca="1" si="734"/>
        <v>-2.9990202472218335</v>
      </c>
      <c r="CE941" s="25">
        <f t="shared" ca="1" si="767"/>
        <v>-36.963702952974998</v>
      </c>
      <c r="CF941" s="23">
        <f t="shared" ca="1" si="768"/>
        <v>5572569.313993006</v>
      </c>
      <c r="CG941" s="25">
        <f t="array" aca="1" ref="CG941" ca="1">SUM(BF930:BF941/(1+inflation/100)^(AP930:AP941/12))</f>
        <v>267980.53702225385</v>
      </c>
      <c r="CH941" s="32">
        <f ca="1">IFERROR(IF(MOD(AP941-ap_months_since_start,12)=0,ap_drawdown/100*(AQ941+AV941+BA941-BC941),CH940),0)</f>
        <v>666.99408594159104</v>
      </c>
    </row>
    <row r="942" spans="40:86" x14ac:dyDescent="0.25">
      <c r="AN942" s="32">
        <f t="shared" ca="1" si="729"/>
        <v>132.75</v>
      </c>
      <c r="AO942" s="53">
        <f t="shared" ca="1" si="760"/>
        <v>74054</v>
      </c>
      <c r="AP942" s="22">
        <v>935</v>
      </c>
      <c r="AQ942" s="32">
        <f t="shared" ca="1" si="761"/>
        <v>3969.4701800892135</v>
      </c>
      <c r="AR942" s="23">
        <f t="array" aca="1" ref="AR942" ca="1">SUM(IF(lsc_start_date=AO942,lsc_amount,0))</f>
        <v>0</v>
      </c>
      <c r="AS942" s="24">
        <f t="shared" ca="1" si="735"/>
        <v>0</v>
      </c>
      <c r="AT942" s="24">
        <f t="shared" ca="1" si="736"/>
        <v>0</v>
      </c>
      <c r="AU942" s="24">
        <f t="shared" ca="1" si="737"/>
        <v>0</v>
      </c>
      <c r="AV942" s="25">
        <f t="shared" ca="1" si="738"/>
        <v>0</v>
      </c>
      <c r="AW942" s="23">
        <f t="array" aca="1" ref="AW942" ca="1">SUM(IF(rcs_start_date&lt;=AO942,1,0)*IF(rcs_end_date&gt;=AO942,1,0)*rcs_amount*(1+rcs_escalation/100)^(INT((AP942-rcs_months_since_start)/12))*IF(MOD((AP942-rcs_months_since_start),rcs_frequency)=0,1,0)*IF(rcs_frequency=13,0,1))+SUM(IF(rcs_start_date=AO942,rcs_amount,0)*IF(rcs_frequency=13,1,0))</f>
        <v>0</v>
      </c>
      <c r="AX942" s="24">
        <f t="shared" ca="1" si="739"/>
        <v>0</v>
      </c>
      <c r="AY942" s="24">
        <f t="shared" ca="1" si="740"/>
        <v>0</v>
      </c>
      <c r="AZ942" s="24">
        <f t="shared" ca="1" si="741"/>
        <v>0</v>
      </c>
      <c r="BA942" s="25">
        <f t="shared" ca="1" si="742"/>
        <v>0</v>
      </c>
      <c r="BB942" s="23">
        <f t="array" aca="1" ref="BB942" ca="1">SUM(IF(w_start_date&lt;=AO942,1,0)*IF(w_end_date&gt;=AO942,1,0)*w_amount*(1+w_escalation/100)^(INT((AP942-w_months_since_start)/12))*IF(MOD(AP942-w_months_since_start,w_frequency)=0,1,0)*IF(w_frequency=13,0,1))+SUM(IF(w_start_date=AO942,w_amount,0)*IF(w_frequency=13,1,0))</f>
        <v>0</v>
      </c>
      <c r="BC942" s="25">
        <f t="shared" ca="1" si="743"/>
        <v>0</v>
      </c>
      <c r="BD942" s="24" t="b">
        <f t="shared" ca="1" si="744"/>
        <v>1</v>
      </c>
      <c r="BE942" s="24" t="b">
        <f t="shared" ca="1" si="745"/>
        <v>1</v>
      </c>
      <c r="BF942" s="23">
        <f t="array" aca="1" ref="BF942" ca="1">SUM(IF(BD942,1,0)*IF(ap_start_date&lt;=AO942,1,0)*IF(ap_end_date&gt;=AO942,1,0)*ap_amount*(1+ap_escalation/100)^(INT((AP942-ap_months_since_start)/12))*IF(MOD(AP942-ap_months_since_start,ap_frequency)=0,1,0))</f>
        <v>465873.96194153751</v>
      </c>
      <c r="BG942" s="24">
        <f t="shared" ca="1" si="746"/>
        <v>5590487.5432984503</v>
      </c>
      <c r="BH942" s="24">
        <f t="shared" ca="1" si="747"/>
        <v>108.49375345379617</v>
      </c>
      <c r="BI942">
        <f t="shared" ca="1" si="748"/>
        <v>0</v>
      </c>
      <c r="BJ942" s="24">
        <f t="shared" ca="1" si="749"/>
        <v>759.45627417657317</v>
      </c>
      <c r="BK942">
        <f t="shared" ca="1" si="750"/>
        <v>1</v>
      </c>
      <c r="BL942" s="25">
        <f t="shared" ca="1" si="751"/>
        <v>63.28802284804776</v>
      </c>
      <c r="BM942" s="32">
        <f t="shared" ca="1" si="730"/>
        <v>3934.3352749801275</v>
      </c>
      <c r="BN942" s="23">
        <f t="shared" ca="1" si="752"/>
        <v>0</v>
      </c>
      <c r="BO942" s="24">
        <f t="shared" ca="1" si="753"/>
        <v>0</v>
      </c>
      <c r="BP942" s="25">
        <f t="shared" ca="1" si="754"/>
        <v>0</v>
      </c>
      <c r="BQ942" s="34">
        <f t="shared" ca="1" si="755"/>
        <v>74084</v>
      </c>
      <c r="BR942" s="23">
        <f t="shared" ca="1" si="756"/>
        <v>3934.3352749801275</v>
      </c>
      <c r="BS942" s="24">
        <f t="shared" ca="1" si="757"/>
        <v>0</v>
      </c>
      <c r="BT942" s="24">
        <f t="shared" ca="1" si="762"/>
        <v>0</v>
      </c>
      <c r="BU942" s="24">
        <f t="shared" ca="1" si="758"/>
        <v>0</v>
      </c>
      <c r="BV942" s="24">
        <f t="shared" ca="1" si="763"/>
        <v>0</v>
      </c>
      <c r="BW942" s="24">
        <f t="shared" ca="1" si="759"/>
        <v>-63.28802284804776</v>
      </c>
      <c r="BX942" s="25">
        <f t="shared" ca="1" si="764"/>
        <v>-759.45627417657306</v>
      </c>
      <c r="BY942" s="23">
        <f t="shared" ca="1" si="731"/>
        <v>185.22105193017345</v>
      </c>
      <c r="BZ942" s="24">
        <f t="shared" ca="1" si="732"/>
        <v>0</v>
      </c>
      <c r="CA942" s="24">
        <f t="shared" ca="1" si="765"/>
        <v>0</v>
      </c>
      <c r="CB942" s="24">
        <f t="shared" ca="1" si="733"/>
        <v>0</v>
      </c>
      <c r="CC942" s="24">
        <f t="shared" ca="1" si="766"/>
        <v>0</v>
      </c>
      <c r="CD942" s="24">
        <f t="shared" ca="1" si="734"/>
        <v>-2.9892342720670557</v>
      </c>
      <c r="CE942" s="25">
        <f t="shared" ca="1" si="767"/>
        <v>-36.523785895521407</v>
      </c>
      <c r="CF942" s="23">
        <f t="shared" ca="1" si="768"/>
        <v>5590487.5432984503</v>
      </c>
      <c r="CG942" s="25">
        <f t="array" aca="1" ref="CG942" ca="1">SUM(BF931:BF942/(1+inflation/100)^(AP931:AP942/12))</f>
        <v>267980.53702225385</v>
      </c>
      <c r="CH942" s="32">
        <f ca="1">IFERROR(IF(MOD(AP942-ap_months_since_start,12)=0,ap_drawdown/100*(AQ942+AV942+BA942-BC942),CH941),0)</f>
        <v>666.99408594159104</v>
      </c>
    </row>
    <row r="943" spans="40:86" x14ac:dyDescent="0.25">
      <c r="AN943" s="32">
        <f t="shared" ca="1" si="729"/>
        <v>132.83333333333334</v>
      </c>
      <c r="AO943" s="53">
        <f t="shared" ca="1" si="760"/>
        <v>74085</v>
      </c>
      <c r="AP943" s="22">
        <v>936</v>
      </c>
      <c r="AQ943" s="32">
        <f t="shared" ca="1" si="761"/>
        <v>3934.3352749801275</v>
      </c>
      <c r="AR943" s="23">
        <f t="array" aca="1" ref="AR943" ca="1">SUM(IF(lsc_start_date=AO943,lsc_amount,0))</f>
        <v>0</v>
      </c>
      <c r="AS943" s="24">
        <f t="shared" ca="1" si="735"/>
        <v>0</v>
      </c>
      <c r="AT943" s="24">
        <f t="shared" ca="1" si="736"/>
        <v>0</v>
      </c>
      <c r="AU943" s="24">
        <f t="shared" ca="1" si="737"/>
        <v>0</v>
      </c>
      <c r="AV943" s="25">
        <f t="shared" ca="1" si="738"/>
        <v>0</v>
      </c>
      <c r="AW943" s="23">
        <f t="array" aca="1" ref="AW943" ca="1">SUM(IF(rcs_start_date&lt;=AO943,1,0)*IF(rcs_end_date&gt;=AO943,1,0)*rcs_amount*(1+rcs_escalation/100)^(INT((AP943-rcs_months_since_start)/12))*IF(MOD((AP943-rcs_months_since_start),rcs_frequency)=0,1,0)*IF(rcs_frequency=13,0,1))+SUM(IF(rcs_start_date=AO943,rcs_amount,0)*IF(rcs_frequency=13,1,0))</f>
        <v>0</v>
      </c>
      <c r="AX943" s="24">
        <f t="shared" ca="1" si="739"/>
        <v>0</v>
      </c>
      <c r="AY943" s="24">
        <f t="shared" ca="1" si="740"/>
        <v>0</v>
      </c>
      <c r="AZ943" s="24">
        <f t="shared" ca="1" si="741"/>
        <v>0</v>
      </c>
      <c r="BA943" s="25">
        <f t="shared" ca="1" si="742"/>
        <v>0</v>
      </c>
      <c r="BB943" s="23">
        <f t="array" aca="1" ref="BB943" ca="1">SUM(IF(w_start_date&lt;=AO943,1,0)*IF(w_end_date&gt;=AO943,1,0)*w_amount*(1+w_escalation/100)^(INT((AP943-w_months_since_start)/12))*IF(MOD(AP943-w_months_since_start,w_frequency)=0,1,0)*IF(w_frequency=13,0,1))+SUM(IF(w_start_date=AO943,w_amount,0)*IF(w_frequency=13,1,0))</f>
        <v>0</v>
      </c>
      <c r="BC943" s="25">
        <f t="shared" ca="1" si="743"/>
        <v>0</v>
      </c>
      <c r="BD943" s="24" t="b">
        <f t="shared" ca="1" si="744"/>
        <v>1</v>
      </c>
      <c r="BE943" s="24" t="b">
        <f t="shared" ca="1" si="745"/>
        <v>1</v>
      </c>
      <c r="BF943" s="23">
        <f t="array" aca="1" ref="BF943" ca="1">SUM(IF(BD943,1,0)*IF(ap_start_date&lt;=AO943,1,0)*IF(ap_end_date&gt;=AO943,1,0)*ap_amount*(1+ap_escalation/100)^(INT((AP943-ap_months_since_start)/12))*IF(MOD(AP943-ap_months_since_start,ap_frequency)=0,1,0))</f>
        <v>484508.92041919898</v>
      </c>
      <c r="BG943" s="24">
        <f t="shared" ca="1" si="746"/>
        <v>5814107.045030389</v>
      </c>
      <c r="BH943" s="24">
        <f t="shared" ca="1" si="747"/>
        <v>98.358381874503195</v>
      </c>
      <c r="BI943">
        <f t="shared" ca="1" si="748"/>
        <v>0</v>
      </c>
      <c r="BJ943" s="24">
        <f t="shared" ca="1" si="749"/>
        <v>688.50867312152229</v>
      </c>
      <c r="BK943">
        <f t="shared" ca="1" si="750"/>
        <v>1</v>
      </c>
      <c r="BL943" s="25">
        <f t="shared" ca="1" si="751"/>
        <v>57.375722760126848</v>
      </c>
      <c r="BM943" s="32">
        <f t="shared" ca="1" si="730"/>
        <v>3904.9020531964347</v>
      </c>
      <c r="BN943" s="23">
        <f t="shared" ca="1" si="752"/>
        <v>0</v>
      </c>
      <c r="BO943" s="24">
        <f t="shared" ca="1" si="753"/>
        <v>0</v>
      </c>
      <c r="BP943" s="25">
        <f t="shared" ca="1" si="754"/>
        <v>0</v>
      </c>
      <c r="BQ943" s="34">
        <f t="shared" ca="1" si="755"/>
        <v>74114</v>
      </c>
      <c r="BR943" s="23">
        <f t="shared" ca="1" si="756"/>
        <v>3904.9020531964347</v>
      </c>
      <c r="BS943" s="24">
        <f t="shared" ca="1" si="757"/>
        <v>0</v>
      </c>
      <c r="BT943" s="24">
        <f t="shared" ca="1" si="762"/>
        <v>0</v>
      </c>
      <c r="BU943" s="24">
        <f t="shared" ca="1" si="758"/>
        <v>0</v>
      </c>
      <c r="BV943" s="24">
        <f t="shared" ca="1" si="763"/>
        <v>0</v>
      </c>
      <c r="BW943" s="24">
        <f t="shared" ca="1" si="759"/>
        <v>-57.375722760126848</v>
      </c>
      <c r="BX943" s="25">
        <f t="shared" ca="1" si="764"/>
        <v>-753.54397408865225</v>
      </c>
      <c r="BY943" s="23">
        <f t="shared" ca="1" si="731"/>
        <v>183.23552617244042</v>
      </c>
      <c r="BZ943" s="24">
        <f t="shared" ca="1" si="732"/>
        <v>0</v>
      </c>
      <c r="CA943" s="24">
        <f t="shared" ca="1" si="765"/>
        <v>0</v>
      </c>
      <c r="CB943" s="24">
        <f t="shared" ca="1" si="733"/>
        <v>0</v>
      </c>
      <c r="CC943" s="24">
        <f t="shared" ca="1" si="766"/>
        <v>0</v>
      </c>
      <c r="CD943" s="24">
        <f t="shared" ca="1" si="734"/>
        <v>-2.7011403406483621</v>
      </c>
      <c r="CE943" s="25">
        <f t="shared" ca="1" si="767"/>
        <v>-36.126266797894601</v>
      </c>
      <c r="CF943" s="23">
        <f t="shared" ca="1" si="768"/>
        <v>5609122.5017761122</v>
      </c>
      <c r="CG943" s="25">
        <f t="array" aca="1" ref="CG943" ca="1">SUM(BF932:BF943/(1+inflation/100)^(AP932:AP943/12))</f>
        <v>267980.53702225385</v>
      </c>
      <c r="CH943" s="32">
        <f ca="1">IFERROR(IF(MOD(AP943-ap_months_since_start,12)=0,ap_drawdown/100*(AQ943+AV943+BA943-BC943),CH942),0)</f>
        <v>604.6842046165998</v>
      </c>
    </row>
    <row r="944" spans="40:86" x14ac:dyDescent="0.25">
      <c r="AN944" s="32">
        <f t="shared" ca="1" si="729"/>
        <v>132.91666666666666</v>
      </c>
      <c r="AO944" s="53">
        <f t="shared" ca="1" si="760"/>
        <v>74115</v>
      </c>
      <c r="AP944" s="22">
        <v>937</v>
      </c>
      <c r="AQ944" s="32">
        <f t="shared" ca="1" si="761"/>
        <v>3904.9020531964347</v>
      </c>
      <c r="AR944" s="23">
        <f t="array" aca="1" ref="AR944" ca="1">SUM(IF(lsc_start_date=AO944,lsc_amount,0))</f>
        <v>0</v>
      </c>
      <c r="AS944" s="24">
        <f t="shared" ca="1" si="735"/>
        <v>0</v>
      </c>
      <c r="AT944" s="24">
        <f t="shared" ca="1" si="736"/>
        <v>0</v>
      </c>
      <c r="AU944" s="24">
        <f t="shared" ca="1" si="737"/>
        <v>0</v>
      </c>
      <c r="AV944" s="25">
        <f t="shared" ca="1" si="738"/>
        <v>0</v>
      </c>
      <c r="AW944" s="23">
        <f t="array" aca="1" ref="AW944" ca="1">SUM(IF(rcs_start_date&lt;=AO944,1,0)*IF(rcs_end_date&gt;=AO944,1,0)*rcs_amount*(1+rcs_escalation/100)^(INT((AP944-rcs_months_since_start)/12))*IF(MOD((AP944-rcs_months_since_start),rcs_frequency)=0,1,0)*IF(rcs_frequency=13,0,1))+SUM(IF(rcs_start_date=AO944,rcs_amount,0)*IF(rcs_frequency=13,1,0))</f>
        <v>0</v>
      </c>
      <c r="AX944" s="24">
        <f t="shared" ca="1" si="739"/>
        <v>0</v>
      </c>
      <c r="AY944" s="24">
        <f t="shared" ca="1" si="740"/>
        <v>0</v>
      </c>
      <c r="AZ944" s="24">
        <f t="shared" ca="1" si="741"/>
        <v>0</v>
      </c>
      <c r="BA944" s="25">
        <f t="shared" ca="1" si="742"/>
        <v>0</v>
      </c>
      <c r="BB944" s="23">
        <f t="array" aca="1" ref="BB944" ca="1">SUM(IF(w_start_date&lt;=AO944,1,0)*IF(w_end_date&gt;=AO944,1,0)*w_amount*(1+w_escalation/100)^(INT((AP944-w_months_since_start)/12))*IF(MOD(AP944-w_months_since_start,w_frequency)=0,1,0)*IF(w_frequency=13,0,1))+SUM(IF(w_start_date=AO944,w_amount,0)*IF(w_frequency=13,1,0))</f>
        <v>0</v>
      </c>
      <c r="BC944" s="25">
        <f t="shared" ca="1" si="743"/>
        <v>0</v>
      </c>
      <c r="BD944" s="24" t="b">
        <f t="shared" ca="1" si="744"/>
        <v>1</v>
      </c>
      <c r="BE944" s="24" t="b">
        <f t="shared" ca="1" si="745"/>
        <v>1</v>
      </c>
      <c r="BF944" s="23">
        <f t="array" aca="1" ref="BF944" ca="1">SUM(IF(BD944,1,0)*IF(ap_start_date&lt;=AO944,1,0)*IF(ap_end_date&gt;=AO944,1,0)*ap_amount*(1+ap_escalation/100)^(INT((AP944-ap_months_since_start)/12))*IF(MOD(AP944-ap_months_since_start,ap_frequency)=0,1,0))</f>
        <v>484508.92041919898</v>
      </c>
      <c r="BG944" s="24">
        <f t="shared" ca="1" si="746"/>
        <v>5814107.045030389</v>
      </c>
      <c r="BH944" s="24">
        <f t="shared" ca="1" si="747"/>
        <v>98.358381874503195</v>
      </c>
      <c r="BI944">
        <f t="shared" ca="1" si="748"/>
        <v>0</v>
      </c>
      <c r="BJ944" s="24">
        <f t="shared" ca="1" si="749"/>
        <v>688.50867312152229</v>
      </c>
      <c r="BK944">
        <f t="shared" ca="1" si="750"/>
        <v>1</v>
      </c>
      <c r="BL944" s="25">
        <f t="shared" ca="1" si="751"/>
        <v>57.375722760126848</v>
      </c>
      <c r="BM944" s="32">
        <f t="shared" ca="1" si="730"/>
        <v>3875.2566966671116</v>
      </c>
      <c r="BN944" s="23">
        <f t="shared" ca="1" si="752"/>
        <v>0</v>
      </c>
      <c r="BO944" s="24">
        <f t="shared" ca="1" si="753"/>
        <v>0</v>
      </c>
      <c r="BP944" s="25">
        <f t="shared" ca="1" si="754"/>
        <v>0</v>
      </c>
      <c r="BQ944" s="34">
        <f t="shared" ca="1" si="755"/>
        <v>74145</v>
      </c>
      <c r="BR944" s="23">
        <f t="shared" ca="1" si="756"/>
        <v>3875.2566966671116</v>
      </c>
      <c r="BS944" s="24">
        <f t="shared" ca="1" si="757"/>
        <v>0</v>
      </c>
      <c r="BT944" s="24">
        <f t="shared" ca="1" si="762"/>
        <v>0</v>
      </c>
      <c r="BU944" s="24">
        <f t="shared" ca="1" si="758"/>
        <v>0</v>
      </c>
      <c r="BV944" s="24">
        <f t="shared" ca="1" si="763"/>
        <v>0</v>
      </c>
      <c r="BW944" s="24">
        <f t="shared" ca="1" si="759"/>
        <v>-57.375722760126848</v>
      </c>
      <c r="BX944" s="25">
        <f t="shared" ca="1" si="764"/>
        <v>-747.63167400073121</v>
      </c>
      <c r="BY944" s="23">
        <f t="shared" ca="1" si="731"/>
        <v>181.25106420181987</v>
      </c>
      <c r="BZ944" s="24">
        <f t="shared" ca="1" si="732"/>
        <v>0</v>
      </c>
      <c r="CA944" s="24">
        <f t="shared" ca="1" si="765"/>
        <v>0</v>
      </c>
      <c r="CB944" s="24">
        <f t="shared" ca="1" si="733"/>
        <v>0</v>
      </c>
      <c r="CC944" s="24">
        <f t="shared" ca="1" si="766"/>
        <v>0</v>
      </c>
      <c r="CD944" s="24">
        <f t="shared" ca="1" si="734"/>
        <v>-2.6923263647215077</v>
      </c>
      <c r="CE944" s="25">
        <f t="shared" ca="1" si="767"/>
        <v>-35.730044827893565</v>
      </c>
      <c r="CF944" s="23">
        <f t="shared" ca="1" si="768"/>
        <v>5627757.4602537742</v>
      </c>
      <c r="CG944" s="25">
        <f t="array" aca="1" ref="CG944" ca="1">SUM(BF933:BF944/(1+inflation/100)^(AP933:AP944/12))</f>
        <v>267980.53702225385</v>
      </c>
      <c r="CH944" s="32">
        <f ca="1">IFERROR(IF(MOD(AP944-ap_months_since_start,12)=0,ap_drawdown/100*(AQ944+AV944+BA944-BC944),CH943),0)</f>
        <v>604.6842046165998</v>
      </c>
    </row>
    <row r="945" spans="40:86" x14ac:dyDescent="0.25">
      <c r="AN945" s="32">
        <f t="shared" ca="1" si="729"/>
        <v>133</v>
      </c>
      <c r="AO945" s="53">
        <f t="shared" ca="1" si="760"/>
        <v>74146</v>
      </c>
      <c r="AP945" s="22">
        <v>938</v>
      </c>
      <c r="AQ945" s="32">
        <f t="shared" ca="1" si="761"/>
        <v>3875.2566966671116</v>
      </c>
      <c r="AR945" s="23">
        <f t="array" aca="1" ref="AR945" ca="1">SUM(IF(lsc_start_date=AO945,lsc_amount,0))</f>
        <v>0</v>
      </c>
      <c r="AS945" s="24">
        <f t="shared" ca="1" si="735"/>
        <v>0</v>
      </c>
      <c r="AT945" s="24">
        <f t="shared" ca="1" si="736"/>
        <v>0</v>
      </c>
      <c r="AU945" s="24">
        <f t="shared" ca="1" si="737"/>
        <v>0</v>
      </c>
      <c r="AV945" s="25">
        <f t="shared" ca="1" si="738"/>
        <v>0</v>
      </c>
      <c r="AW945" s="23">
        <f t="array" aca="1" ref="AW945" ca="1">SUM(IF(rcs_start_date&lt;=AO945,1,0)*IF(rcs_end_date&gt;=AO945,1,0)*rcs_amount*(1+rcs_escalation/100)^(INT((AP945-rcs_months_since_start)/12))*IF(MOD((AP945-rcs_months_since_start),rcs_frequency)=0,1,0)*IF(rcs_frequency=13,0,1))+SUM(IF(rcs_start_date=AO945,rcs_amount,0)*IF(rcs_frequency=13,1,0))</f>
        <v>0</v>
      </c>
      <c r="AX945" s="24">
        <f t="shared" ca="1" si="739"/>
        <v>0</v>
      </c>
      <c r="AY945" s="24">
        <f t="shared" ca="1" si="740"/>
        <v>0</v>
      </c>
      <c r="AZ945" s="24">
        <f t="shared" ca="1" si="741"/>
        <v>0</v>
      </c>
      <c r="BA945" s="25">
        <f t="shared" ca="1" si="742"/>
        <v>0</v>
      </c>
      <c r="BB945" s="23">
        <f t="array" aca="1" ref="BB945" ca="1">SUM(IF(w_start_date&lt;=AO945,1,0)*IF(w_end_date&gt;=AO945,1,0)*w_amount*(1+w_escalation/100)^(INT((AP945-w_months_since_start)/12))*IF(MOD(AP945-w_months_since_start,w_frequency)=0,1,0)*IF(w_frequency=13,0,1))+SUM(IF(w_start_date=AO945,w_amount,0)*IF(w_frequency=13,1,0))</f>
        <v>0</v>
      </c>
      <c r="BC945" s="25">
        <f t="shared" ca="1" si="743"/>
        <v>0</v>
      </c>
      <c r="BD945" s="24" t="b">
        <f t="shared" ca="1" si="744"/>
        <v>1</v>
      </c>
      <c r="BE945" s="24" t="b">
        <f t="shared" ca="1" si="745"/>
        <v>1</v>
      </c>
      <c r="BF945" s="23">
        <f t="array" aca="1" ref="BF945" ca="1">SUM(IF(BD945,1,0)*IF(ap_start_date&lt;=AO945,1,0)*IF(ap_end_date&gt;=AO945,1,0)*ap_amount*(1+ap_escalation/100)^(INT((AP945-ap_months_since_start)/12))*IF(MOD(AP945-ap_months_since_start,ap_frequency)=0,1,0))</f>
        <v>484508.92041919898</v>
      </c>
      <c r="BG945" s="24">
        <f t="shared" ca="1" si="746"/>
        <v>5814107.045030389</v>
      </c>
      <c r="BH945" s="24">
        <f t="shared" ca="1" si="747"/>
        <v>98.358381874503195</v>
      </c>
      <c r="BI945">
        <f t="shared" ca="1" si="748"/>
        <v>0</v>
      </c>
      <c r="BJ945" s="24">
        <f t="shared" ca="1" si="749"/>
        <v>688.50867312152229</v>
      </c>
      <c r="BK945">
        <f t="shared" ca="1" si="750"/>
        <v>1</v>
      </c>
      <c r="BL945" s="25">
        <f t="shared" ca="1" si="751"/>
        <v>57.375722760126848</v>
      </c>
      <c r="BM945" s="32">
        <f t="shared" ca="1" si="730"/>
        <v>3845.3976764684594</v>
      </c>
      <c r="BN945" s="23">
        <f t="shared" ca="1" si="752"/>
        <v>0</v>
      </c>
      <c r="BO945" s="24">
        <f t="shared" ca="1" si="753"/>
        <v>0</v>
      </c>
      <c r="BP945" s="25">
        <f t="shared" ca="1" si="754"/>
        <v>0</v>
      </c>
      <c r="BQ945" s="34">
        <f t="shared" ca="1" si="755"/>
        <v>74176</v>
      </c>
      <c r="BR945" s="23">
        <f t="shared" ca="1" si="756"/>
        <v>3845.3976764684594</v>
      </c>
      <c r="BS945" s="24">
        <f t="shared" ca="1" si="757"/>
        <v>0</v>
      </c>
      <c r="BT945" s="24">
        <f t="shared" ca="1" si="762"/>
        <v>0</v>
      </c>
      <c r="BU945" s="24">
        <f t="shared" ca="1" si="758"/>
        <v>0</v>
      </c>
      <c r="BV945" s="24">
        <f t="shared" ca="1" si="763"/>
        <v>0</v>
      </c>
      <c r="BW945" s="24">
        <f t="shared" ca="1" si="759"/>
        <v>-57.375722760126848</v>
      </c>
      <c r="BX945" s="25">
        <f t="shared" ca="1" si="764"/>
        <v>-741.7193739128104</v>
      </c>
      <c r="BY945" s="23">
        <f t="shared" ca="1" si="731"/>
        <v>179.26764131588033</v>
      </c>
      <c r="BZ945" s="24">
        <f t="shared" ca="1" si="732"/>
        <v>0</v>
      </c>
      <c r="CA945" s="24">
        <f t="shared" ca="1" si="765"/>
        <v>0</v>
      </c>
      <c r="CB945" s="24">
        <f t="shared" ca="1" si="733"/>
        <v>0</v>
      </c>
      <c r="CC945" s="24">
        <f t="shared" ca="1" si="766"/>
        <v>0</v>
      </c>
      <c r="CD945" s="24">
        <f t="shared" ca="1" si="734"/>
        <v>-2.6835411493038674</v>
      </c>
      <c r="CE945" s="25">
        <f t="shared" ca="1" si="767"/>
        <v>-35.33511575291643</v>
      </c>
      <c r="CF945" s="23">
        <f t="shared" ca="1" si="768"/>
        <v>5646392.4187314352</v>
      </c>
      <c r="CG945" s="25">
        <f t="array" aca="1" ref="CG945" ca="1">SUM(BF934:BF945/(1+inflation/100)^(AP934:AP945/12))</f>
        <v>267980.53702225385</v>
      </c>
      <c r="CH945" s="32">
        <f ca="1">IFERROR(IF(MOD(AP945-ap_months_since_start,12)=0,ap_drawdown/100*(AQ945+AV945+BA945-BC945),CH944),0)</f>
        <v>604.6842046165998</v>
      </c>
    </row>
    <row r="946" spans="40:86" x14ac:dyDescent="0.25">
      <c r="AN946" s="32">
        <f t="shared" ca="1" si="729"/>
        <v>133.08333333333334</v>
      </c>
      <c r="AO946" s="53">
        <f t="shared" ca="1" si="760"/>
        <v>74177</v>
      </c>
      <c r="AP946" s="22">
        <v>939</v>
      </c>
      <c r="AQ946" s="32">
        <f t="shared" ca="1" si="761"/>
        <v>3845.3976764684594</v>
      </c>
      <c r="AR946" s="23">
        <f t="array" aca="1" ref="AR946" ca="1">SUM(IF(lsc_start_date=AO946,lsc_amount,0))</f>
        <v>0</v>
      </c>
      <c r="AS946" s="24">
        <f t="shared" ca="1" si="735"/>
        <v>0</v>
      </c>
      <c r="AT946" s="24">
        <f t="shared" ca="1" si="736"/>
        <v>0</v>
      </c>
      <c r="AU946" s="24">
        <f t="shared" ca="1" si="737"/>
        <v>0</v>
      </c>
      <c r="AV946" s="25">
        <f t="shared" ca="1" si="738"/>
        <v>0</v>
      </c>
      <c r="AW946" s="23">
        <f t="array" aca="1" ref="AW946" ca="1">SUM(IF(rcs_start_date&lt;=AO946,1,0)*IF(rcs_end_date&gt;=AO946,1,0)*rcs_amount*(1+rcs_escalation/100)^(INT((AP946-rcs_months_since_start)/12))*IF(MOD((AP946-rcs_months_since_start),rcs_frequency)=0,1,0)*IF(rcs_frequency=13,0,1))+SUM(IF(rcs_start_date=AO946,rcs_amount,0)*IF(rcs_frequency=13,1,0))</f>
        <v>0</v>
      </c>
      <c r="AX946" s="24">
        <f t="shared" ca="1" si="739"/>
        <v>0</v>
      </c>
      <c r="AY946" s="24">
        <f t="shared" ca="1" si="740"/>
        <v>0</v>
      </c>
      <c r="AZ946" s="24">
        <f t="shared" ca="1" si="741"/>
        <v>0</v>
      </c>
      <c r="BA946" s="25">
        <f t="shared" ca="1" si="742"/>
        <v>0</v>
      </c>
      <c r="BB946" s="23">
        <f t="array" aca="1" ref="BB946" ca="1">SUM(IF(w_start_date&lt;=AO946,1,0)*IF(w_end_date&gt;=AO946,1,0)*w_amount*(1+w_escalation/100)^(INT((AP946-w_months_since_start)/12))*IF(MOD(AP946-w_months_since_start,w_frequency)=0,1,0)*IF(w_frequency=13,0,1))+SUM(IF(w_start_date=AO946,w_amount,0)*IF(w_frequency=13,1,0))</f>
        <v>0</v>
      </c>
      <c r="BC946" s="25">
        <f t="shared" ca="1" si="743"/>
        <v>0</v>
      </c>
      <c r="BD946" s="24" t="b">
        <f t="shared" ca="1" si="744"/>
        <v>1</v>
      </c>
      <c r="BE946" s="24" t="b">
        <f t="shared" ca="1" si="745"/>
        <v>1</v>
      </c>
      <c r="BF946" s="23">
        <f t="array" aca="1" ref="BF946" ca="1">SUM(IF(BD946,1,0)*IF(ap_start_date&lt;=AO946,1,0)*IF(ap_end_date&gt;=AO946,1,0)*ap_amount*(1+ap_escalation/100)^(INT((AP946-ap_months_since_start)/12))*IF(MOD(AP946-ap_months_since_start,ap_frequency)=0,1,0))</f>
        <v>484508.92041919898</v>
      </c>
      <c r="BG946" s="24">
        <f t="shared" ca="1" si="746"/>
        <v>5814107.045030389</v>
      </c>
      <c r="BH946" s="24">
        <f t="shared" ca="1" si="747"/>
        <v>98.358381874503195</v>
      </c>
      <c r="BI946">
        <f t="shared" ca="1" si="748"/>
        <v>0</v>
      </c>
      <c r="BJ946" s="24">
        <f t="shared" ca="1" si="749"/>
        <v>688.50867312152229</v>
      </c>
      <c r="BK946">
        <f t="shared" ca="1" si="750"/>
        <v>1</v>
      </c>
      <c r="BL946" s="25">
        <f t="shared" ca="1" si="751"/>
        <v>57.375722760126848</v>
      </c>
      <c r="BM946" s="32">
        <f t="shared" ca="1" si="730"/>
        <v>3815.3234526573324</v>
      </c>
      <c r="BN946" s="23">
        <f t="shared" ca="1" si="752"/>
        <v>0</v>
      </c>
      <c r="BO946" s="24">
        <f t="shared" ca="1" si="753"/>
        <v>0</v>
      </c>
      <c r="BP946" s="25">
        <f t="shared" ca="1" si="754"/>
        <v>0</v>
      </c>
      <c r="BQ946" s="34">
        <f t="shared" ca="1" si="755"/>
        <v>74204</v>
      </c>
      <c r="BR946" s="23">
        <f t="shared" ca="1" si="756"/>
        <v>3815.3234526573324</v>
      </c>
      <c r="BS946" s="24">
        <f t="shared" ca="1" si="757"/>
        <v>0</v>
      </c>
      <c r="BT946" s="24">
        <f t="shared" ca="1" si="762"/>
        <v>0</v>
      </c>
      <c r="BU946" s="24">
        <f t="shared" ca="1" si="758"/>
        <v>0</v>
      </c>
      <c r="BV946" s="24">
        <f t="shared" ca="1" si="763"/>
        <v>0</v>
      </c>
      <c r="BW946" s="24">
        <f t="shared" ca="1" si="759"/>
        <v>-57.375722760126848</v>
      </c>
      <c r="BX946" s="25">
        <f t="shared" ca="1" si="764"/>
        <v>-735.80707382488936</v>
      </c>
      <c r="BY946" s="23">
        <f t="shared" ca="1" si="731"/>
        <v>177.28523280955469</v>
      </c>
      <c r="BZ946" s="24">
        <f t="shared" ca="1" si="732"/>
        <v>0</v>
      </c>
      <c r="CA946" s="24">
        <f t="shared" ca="1" si="765"/>
        <v>0</v>
      </c>
      <c r="CB946" s="24">
        <f t="shared" ca="1" si="733"/>
        <v>0</v>
      </c>
      <c r="CC946" s="24">
        <f t="shared" ca="1" si="766"/>
        <v>0</v>
      </c>
      <c r="CD946" s="24">
        <f t="shared" ca="1" si="734"/>
        <v>-2.6747846005482381</v>
      </c>
      <c r="CE946" s="25">
        <f t="shared" ca="1" si="767"/>
        <v>-34.941475354172546</v>
      </c>
      <c r="CF946" s="23">
        <f t="shared" ca="1" si="768"/>
        <v>5665027.3772090971</v>
      </c>
      <c r="CG946" s="25">
        <f t="array" aca="1" ref="CG946" ca="1">SUM(BF935:BF946/(1+inflation/100)^(AP935:AP946/12))</f>
        <v>267980.53702225385</v>
      </c>
      <c r="CH946" s="32">
        <f ca="1">IFERROR(IF(MOD(AP946-ap_months_since_start,12)=0,ap_drawdown/100*(AQ946+AV946+BA946-BC946),CH945),0)</f>
        <v>604.6842046165998</v>
      </c>
    </row>
    <row r="947" spans="40:86" x14ac:dyDescent="0.25">
      <c r="AN947" s="32">
        <f t="shared" ca="1" si="729"/>
        <v>133.16666666666666</v>
      </c>
      <c r="AO947" s="53">
        <f t="shared" ca="1" si="760"/>
        <v>74205</v>
      </c>
      <c r="AP947" s="22">
        <v>940</v>
      </c>
      <c r="AQ947" s="32">
        <f t="shared" ca="1" si="761"/>
        <v>3815.3234526573324</v>
      </c>
      <c r="AR947" s="23">
        <f t="array" aca="1" ref="AR947" ca="1">SUM(IF(lsc_start_date=AO947,lsc_amount,0))</f>
        <v>0</v>
      </c>
      <c r="AS947" s="24">
        <f t="shared" ca="1" si="735"/>
        <v>0</v>
      </c>
      <c r="AT947" s="24">
        <f t="shared" ca="1" si="736"/>
        <v>0</v>
      </c>
      <c r="AU947" s="24">
        <f t="shared" ca="1" si="737"/>
        <v>0</v>
      </c>
      <c r="AV947" s="25">
        <f t="shared" ca="1" si="738"/>
        <v>0</v>
      </c>
      <c r="AW947" s="23">
        <f t="array" aca="1" ref="AW947" ca="1">SUM(IF(rcs_start_date&lt;=AO947,1,0)*IF(rcs_end_date&gt;=AO947,1,0)*rcs_amount*(1+rcs_escalation/100)^(INT((AP947-rcs_months_since_start)/12))*IF(MOD((AP947-rcs_months_since_start),rcs_frequency)=0,1,0)*IF(rcs_frequency=13,0,1))+SUM(IF(rcs_start_date=AO947,rcs_amount,0)*IF(rcs_frequency=13,1,0))</f>
        <v>0</v>
      </c>
      <c r="AX947" s="24">
        <f t="shared" ca="1" si="739"/>
        <v>0</v>
      </c>
      <c r="AY947" s="24">
        <f t="shared" ca="1" si="740"/>
        <v>0</v>
      </c>
      <c r="AZ947" s="24">
        <f t="shared" ca="1" si="741"/>
        <v>0</v>
      </c>
      <c r="BA947" s="25">
        <f t="shared" ca="1" si="742"/>
        <v>0</v>
      </c>
      <c r="BB947" s="23">
        <f t="array" aca="1" ref="BB947" ca="1">SUM(IF(w_start_date&lt;=AO947,1,0)*IF(w_end_date&gt;=AO947,1,0)*w_amount*(1+w_escalation/100)^(INT((AP947-w_months_since_start)/12))*IF(MOD(AP947-w_months_since_start,w_frequency)=0,1,0)*IF(w_frequency=13,0,1))+SUM(IF(w_start_date=AO947,w_amount,0)*IF(w_frequency=13,1,0))</f>
        <v>0</v>
      </c>
      <c r="BC947" s="25">
        <f t="shared" ca="1" si="743"/>
        <v>0</v>
      </c>
      <c r="BD947" s="24" t="b">
        <f t="shared" ca="1" si="744"/>
        <v>1</v>
      </c>
      <c r="BE947" s="24" t="b">
        <f t="shared" ca="1" si="745"/>
        <v>1</v>
      </c>
      <c r="BF947" s="23">
        <f t="array" aca="1" ref="BF947" ca="1">SUM(IF(BD947,1,0)*IF(ap_start_date&lt;=AO947,1,0)*IF(ap_end_date&gt;=AO947,1,0)*ap_amount*(1+ap_escalation/100)^(INT((AP947-ap_months_since_start)/12))*IF(MOD(AP947-ap_months_since_start,ap_frequency)=0,1,0))</f>
        <v>484508.92041919898</v>
      </c>
      <c r="BG947" s="24">
        <f t="shared" ca="1" si="746"/>
        <v>5814107.045030389</v>
      </c>
      <c r="BH947" s="24">
        <f t="shared" ca="1" si="747"/>
        <v>98.358381874503195</v>
      </c>
      <c r="BI947">
        <f t="shared" ca="1" si="748"/>
        <v>0</v>
      </c>
      <c r="BJ947" s="24">
        <f t="shared" ca="1" si="749"/>
        <v>688.50867312152229</v>
      </c>
      <c r="BK947">
        <f t="shared" ca="1" si="750"/>
        <v>1</v>
      </c>
      <c r="BL947" s="25">
        <f t="shared" ca="1" si="751"/>
        <v>57.375722760126848</v>
      </c>
      <c r="BM947" s="32">
        <f t="shared" ca="1" si="730"/>
        <v>3785.0324741917166</v>
      </c>
      <c r="BN947" s="23">
        <f t="shared" ca="1" si="752"/>
        <v>0</v>
      </c>
      <c r="BO947" s="24">
        <f t="shared" ca="1" si="753"/>
        <v>0</v>
      </c>
      <c r="BP947" s="25">
        <f t="shared" ca="1" si="754"/>
        <v>0</v>
      </c>
      <c r="BQ947" s="34">
        <f t="shared" ca="1" si="755"/>
        <v>74235</v>
      </c>
      <c r="BR947" s="23">
        <f t="shared" ca="1" si="756"/>
        <v>3785.0324741917166</v>
      </c>
      <c r="BS947" s="24">
        <f t="shared" ca="1" si="757"/>
        <v>0</v>
      </c>
      <c r="BT947" s="24">
        <f t="shared" ca="1" si="762"/>
        <v>0</v>
      </c>
      <c r="BU947" s="24">
        <f t="shared" ca="1" si="758"/>
        <v>0</v>
      </c>
      <c r="BV947" s="24">
        <f t="shared" ca="1" si="763"/>
        <v>0</v>
      </c>
      <c r="BW947" s="24">
        <f t="shared" ca="1" si="759"/>
        <v>-57.375722760126848</v>
      </c>
      <c r="BX947" s="25">
        <f t="shared" ca="1" si="764"/>
        <v>-729.89477373696855</v>
      </c>
      <c r="BY947" s="23">
        <f t="shared" ca="1" si="731"/>
        <v>175.30381397482066</v>
      </c>
      <c r="BZ947" s="24">
        <f t="shared" ca="1" si="732"/>
        <v>0</v>
      </c>
      <c r="CA947" s="24">
        <f t="shared" ca="1" si="765"/>
        <v>0</v>
      </c>
      <c r="CB947" s="24">
        <f t="shared" ca="1" si="733"/>
        <v>0</v>
      </c>
      <c r="CC947" s="24">
        <f t="shared" ca="1" si="766"/>
        <v>0</v>
      </c>
      <c r="CD947" s="24">
        <f t="shared" ca="1" si="734"/>
        <v>-2.6660566249136637</v>
      </c>
      <c r="CE947" s="25">
        <f t="shared" ca="1" si="767"/>
        <v>-34.549119426637411</v>
      </c>
      <c r="CF947" s="23">
        <f t="shared" ca="1" si="768"/>
        <v>5683662.3356867591</v>
      </c>
      <c r="CG947" s="25">
        <f t="array" aca="1" ref="CG947" ca="1">SUM(BF936:BF947/(1+inflation/100)^(AP936:AP947/12))</f>
        <v>267980.53702225385</v>
      </c>
      <c r="CH947" s="32">
        <f ca="1">IFERROR(IF(MOD(AP947-ap_months_since_start,12)=0,ap_drawdown/100*(AQ947+AV947+BA947-BC947),CH946),0)</f>
        <v>604.6842046165998</v>
      </c>
    </row>
    <row r="948" spans="40:86" x14ac:dyDescent="0.25">
      <c r="AN948" s="32">
        <f t="shared" ca="1" si="729"/>
        <v>133.25</v>
      </c>
      <c r="AO948" s="53">
        <f t="shared" ca="1" si="760"/>
        <v>74236</v>
      </c>
      <c r="AP948" s="22">
        <v>941</v>
      </c>
      <c r="AQ948" s="32">
        <f t="shared" ca="1" si="761"/>
        <v>3785.0324741917166</v>
      </c>
      <c r="AR948" s="23">
        <f t="array" aca="1" ref="AR948" ca="1">SUM(IF(lsc_start_date=AO948,lsc_amount,0))</f>
        <v>0</v>
      </c>
      <c r="AS948" s="24">
        <f t="shared" ca="1" si="735"/>
        <v>0</v>
      </c>
      <c r="AT948" s="24">
        <f t="shared" ca="1" si="736"/>
        <v>0</v>
      </c>
      <c r="AU948" s="24">
        <f t="shared" ca="1" si="737"/>
        <v>0</v>
      </c>
      <c r="AV948" s="25">
        <f t="shared" ca="1" si="738"/>
        <v>0</v>
      </c>
      <c r="AW948" s="23">
        <f t="array" aca="1" ref="AW948" ca="1">SUM(IF(rcs_start_date&lt;=AO948,1,0)*IF(rcs_end_date&gt;=AO948,1,0)*rcs_amount*(1+rcs_escalation/100)^(INT((AP948-rcs_months_since_start)/12))*IF(MOD((AP948-rcs_months_since_start),rcs_frequency)=0,1,0)*IF(rcs_frequency=13,0,1))+SUM(IF(rcs_start_date=AO948,rcs_amount,0)*IF(rcs_frequency=13,1,0))</f>
        <v>0</v>
      </c>
      <c r="AX948" s="24">
        <f t="shared" ca="1" si="739"/>
        <v>0</v>
      </c>
      <c r="AY948" s="24">
        <f t="shared" ca="1" si="740"/>
        <v>0</v>
      </c>
      <c r="AZ948" s="24">
        <f t="shared" ca="1" si="741"/>
        <v>0</v>
      </c>
      <c r="BA948" s="25">
        <f t="shared" ca="1" si="742"/>
        <v>0</v>
      </c>
      <c r="BB948" s="23">
        <f t="array" aca="1" ref="BB948" ca="1">SUM(IF(w_start_date&lt;=AO948,1,0)*IF(w_end_date&gt;=AO948,1,0)*w_amount*(1+w_escalation/100)^(INT((AP948-w_months_since_start)/12))*IF(MOD(AP948-w_months_since_start,w_frequency)=0,1,0)*IF(w_frequency=13,0,1))+SUM(IF(w_start_date=AO948,w_amount,0)*IF(w_frequency=13,1,0))</f>
        <v>0</v>
      </c>
      <c r="BC948" s="25">
        <f t="shared" ca="1" si="743"/>
        <v>0</v>
      </c>
      <c r="BD948" s="24" t="b">
        <f t="shared" ca="1" si="744"/>
        <v>1</v>
      </c>
      <c r="BE948" s="24" t="b">
        <f t="shared" ca="1" si="745"/>
        <v>1</v>
      </c>
      <c r="BF948" s="23">
        <f t="array" aca="1" ref="BF948" ca="1">SUM(IF(BD948,1,0)*IF(ap_start_date&lt;=AO948,1,0)*IF(ap_end_date&gt;=AO948,1,0)*ap_amount*(1+ap_escalation/100)^(INT((AP948-ap_months_since_start)/12))*IF(MOD(AP948-ap_months_since_start,ap_frequency)=0,1,0))</f>
        <v>484508.92041919898</v>
      </c>
      <c r="BG948" s="24">
        <f t="shared" ca="1" si="746"/>
        <v>5814107.045030389</v>
      </c>
      <c r="BH948" s="24">
        <f t="shared" ca="1" si="747"/>
        <v>98.358381874503195</v>
      </c>
      <c r="BI948">
        <f t="shared" ca="1" si="748"/>
        <v>0</v>
      </c>
      <c r="BJ948" s="24">
        <f t="shared" ca="1" si="749"/>
        <v>688.50867312152229</v>
      </c>
      <c r="BK948">
        <f t="shared" ca="1" si="750"/>
        <v>1</v>
      </c>
      <c r="BL948" s="25">
        <f t="shared" ca="1" si="751"/>
        <v>57.375722760126848</v>
      </c>
      <c r="BM948" s="32">
        <f t="shared" ca="1" si="730"/>
        <v>3754.5231788507372</v>
      </c>
      <c r="BN948" s="23">
        <f t="shared" ca="1" si="752"/>
        <v>0</v>
      </c>
      <c r="BO948" s="24">
        <f t="shared" ca="1" si="753"/>
        <v>0</v>
      </c>
      <c r="BP948" s="25">
        <f t="shared" ca="1" si="754"/>
        <v>0</v>
      </c>
      <c r="BQ948" s="34">
        <f t="shared" ca="1" si="755"/>
        <v>74265</v>
      </c>
      <c r="BR948" s="23">
        <f t="shared" ca="1" si="756"/>
        <v>3754.5231788507372</v>
      </c>
      <c r="BS948" s="24">
        <f t="shared" ca="1" si="757"/>
        <v>0</v>
      </c>
      <c r="BT948" s="24">
        <f t="shared" ca="1" si="762"/>
        <v>0</v>
      </c>
      <c r="BU948" s="24">
        <f t="shared" ca="1" si="758"/>
        <v>0</v>
      </c>
      <c r="BV948" s="24">
        <f t="shared" ca="1" si="763"/>
        <v>0</v>
      </c>
      <c r="BW948" s="24">
        <f t="shared" ca="1" si="759"/>
        <v>-57.375722760126848</v>
      </c>
      <c r="BX948" s="25">
        <f t="shared" ca="1" si="764"/>
        <v>-723.98247364904751</v>
      </c>
      <c r="BY948" s="23">
        <f t="shared" ca="1" si="731"/>
        <v>173.3233601003833</v>
      </c>
      <c r="BZ948" s="24">
        <f t="shared" ca="1" si="732"/>
        <v>0</v>
      </c>
      <c r="CA948" s="24">
        <f t="shared" ca="1" si="765"/>
        <v>0</v>
      </c>
      <c r="CB948" s="24">
        <f t="shared" ca="1" si="733"/>
        <v>0</v>
      </c>
      <c r="CC948" s="24">
        <f t="shared" ca="1" si="766"/>
        <v>0</v>
      </c>
      <c r="CD948" s="24">
        <f t="shared" ca="1" si="734"/>
        <v>-2.6573571291644091</v>
      </c>
      <c r="CE948" s="25">
        <f t="shared" ca="1" si="767"/>
        <v>-34.158043779007777</v>
      </c>
      <c r="CF948" s="23">
        <f t="shared" ca="1" si="768"/>
        <v>5702297.2941644201</v>
      </c>
      <c r="CG948" s="25">
        <f t="array" aca="1" ref="CG948" ca="1">SUM(BF937:BF948/(1+inflation/100)^(AP937:AP948/12))</f>
        <v>267980.53702225391</v>
      </c>
      <c r="CH948" s="32">
        <f ca="1">IFERROR(IF(MOD(AP948-ap_months_since_start,12)=0,ap_drawdown/100*(AQ948+AV948+BA948-BC948),CH947),0)</f>
        <v>604.6842046165998</v>
      </c>
    </row>
    <row r="949" spans="40:86" x14ac:dyDescent="0.25">
      <c r="AN949" s="32">
        <f t="shared" ca="1" si="729"/>
        <v>133.33333333333334</v>
      </c>
      <c r="AO949" s="53">
        <f t="shared" ca="1" si="760"/>
        <v>74266</v>
      </c>
      <c r="AP949" s="22">
        <v>942</v>
      </c>
      <c r="AQ949" s="32">
        <f t="shared" ca="1" si="761"/>
        <v>3754.5231788507372</v>
      </c>
      <c r="AR949" s="23">
        <f t="array" aca="1" ref="AR949" ca="1">SUM(IF(lsc_start_date=AO949,lsc_amount,0))</f>
        <v>0</v>
      </c>
      <c r="AS949" s="24">
        <f t="shared" ca="1" si="735"/>
        <v>0</v>
      </c>
      <c r="AT949" s="24">
        <f t="shared" ca="1" si="736"/>
        <v>0</v>
      </c>
      <c r="AU949" s="24">
        <f t="shared" ca="1" si="737"/>
        <v>0</v>
      </c>
      <c r="AV949" s="25">
        <f t="shared" ca="1" si="738"/>
        <v>0</v>
      </c>
      <c r="AW949" s="23">
        <f t="array" aca="1" ref="AW949" ca="1">SUM(IF(rcs_start_date&lt;=AO949,1,0)*IF(rcs_end_date&gt;=AO949,1,0)*rcs_amount*(1+rcs_escalation/100)^(INT((AP949-rcs_months_since_start)/12))*IF(MOD((AP949-rcs_months_since_start),rcs_frequency)=0,1,0)*IF(rcs_frequency=13,0,1))+SUM(IF(rcs_start_date=AO949,rcs_amount,0)*IF(rcs_frequency=13,1,0))</f>
        <v>0</v>
      </c>
      <c r="AX949" s="24">
        <f t="shared" ca="1" si="739"/>
        <v>0</v>
      </c>
      <c r="AY949" s="24">
        <f t="shared" ca="1" si="740"/>
        <v>0</v>
      </c>
      <c r="AZ949" s="24">
        <f t="shared" ca="1" si="741"/>
        <v>0</v>
      </c>
      <c r="BA949" s="25">
        <f t="shared" ca="1" si="742"/>
        <v>0</v>
      </c>
      <c r="BB949" s="23">
        <f t="array" aca="1" ref="BB949" ca="1">SUM(IF(w_start_date&lt;=AO949,1,0)*IF(w_end_date&gt;=AO949,1,0)*w_amount*(1+w_escalation/100)^(INT((AP949-w_months_since_start)/12))*IF(MOD(AP949-w_months_since_start,w_frequency)=0,1,0)*IF(w_frequency=13,0,1))+SUM(IF(w_start_date=AO949,w_amount,0)*IF(w_frequency=13,1,0))</f>
        <v>0</v>
      </c>
      <c r="BC949" s="25">
        <f t="shared" ca="1" si="743"/>
        <v>0</v>
      </c>
      <c r="BD949" s="24" t="b">
        <f t="shared" ca="1" si="744"/>
        <v>1</v>
      </c>
      <c r="BE949" s="24" t="b">
        <f t="shared" ca="1" si="745"/>
        <v>1</v>
      </c>
      <c r="BF949" s="23">
        <f t="array" aca="1" ref="BF949" ca="1">SUM(IF(BD949,1,0)*IF(ap_start_date&lt;=AO949,1,0)*IF(ap_end_date&gt;=AO949,1,0)*ap_amount*(1+ap_escalation/100)^(INT((AP949-ap_months_since_start)/12))*IF(MOD(AP949-ap_months_since_start,ap_frequency)=0,1,0))</f>
        <v>484508.92041919898</v>
      </c>
      <c r="BG949" s="24">
        <f t="shared" ca="1" si="746"/>
        <v>5814107.045030389</v>
      </c>
      <c r="BH949" s="24">
        <f t="shared" ca="1" si="747"/>
        <v>98.358381874503195</v>
      </c>
      <c r="BI949">
        <f t="shared" ca="1" si="748"/>
        <v>0</v>
      </c>
      <c r="BJ949" s="24">
        <f t="shared" ca="1" si="749"/>
        <v>688.50867312152229</v>
      </c>
      <c r="BK949">
        <f t="shared" ca="1" si="750"/>
        <v>1</v>
      </c>
      <c r="BL949" s="25">
        <f t="shared" ca="1" si="751"/>
        <v>57.375722760126848</v>
      </c>
      <c r="BM949" s="32">
        <f t="shared" ca="1" si="730"/>
        <v>3723.7939931540877</v>
      </c>
      <c r="BN949" s="23">
        <f t="shared" ca="1" si="752"/>
        <v>0</v>
      </c>
      <c r="BO949" s="24">
        <f t="shared" ca="1" si="753"/>
        <v>0</v>
      </c>
      <c r="BP949" s="25">
        <f t="shared" ca="1" si="754"/>
        <v>0</v>
      </c>
      <c r="BQ949" s="34">
        <f t="shared" ca="1" si="755"/>
        <v>74296</v>
      </c>
      <c r="BR949" s="23">
        <f t="shared" ca="1" si="756"/>
        <v>3723.7939931540877</v>
      </c>
      <c r="BS949" s="24">
        <f t="shared" ca="1" si="757"/>
        <v>0</v>
      </c>
      <c r="BT949" s="24">
        <f t="shared" ca="1" si="762"/>
        <v>0</v>
      </c>
      <c r="BU949" s="24">
        <f t="shared" ca="1" si="758"/>
        <v>0</v>
      </c>
      <c r="BV949" s="24">
        <f t="shared" ca="1" si="763"/>
        <v>0</v>
      </c>
      <c r="BW949" s="24">
        <f t="shared" ca="1" si="759"/>
        <v>-57.375722760126848</v>
      </c>
      <c r="BX949" s="25">
        <f t="shared" ca="1" si="764"/>
        <v>-718.07017356112669</v>
      </c>
      <c r="BY949" s="23">
        <f t="shared" ca="1" si="731"/>
        <v>171.34384647135704</v>
      </c>
      <c r="BZ949" s="24">
        <f t="shared" ca="1" si="732"/>
        <v>0</v>
      </c>
      <c r="CA949" s="24">
        <f t="shared" ca="1" si="765"/>
        <v>0</v>
      </c>
      <c r="CB949" s="24">
        <f t="shared" ca="1" si="733"/>
        <v>0</v>
      </c>
      <c r="CC949" s="24">
        <f t="shared" ca="1" si="766"/>
        <v>0</v>
      </c>
      <c r="CD949" s="24">
        <f t="shared" ca="1" si="734"/>
        <v>-2.6486860203689728</v>
      </c>
      <c r="CE949" s="25">
        <f t="shared" ca="1" si="767"/>
        <v>-33.768244233656837</v>
      </c>
      <c r="CF949" s="23">
        <f t="shared" ca="1" si="768"/>
        <v>5720932.2526420821</v>
      </c>
      <c r="CG949" s="25">
        <f t="array" aca="1" ref="CG949" ca="1">SUM(BF938:BF949/(1+inflation/100)^(AP938:AP949/12))</f>
        <v>267980.53702225385</v>
      </c>
      <c r="CH949" s="32">
        <f ca="1">IFERROR(IF(MOD(AP949-ap_months_since_start,12)=0,ap_drawdown/100*(AQ949+AV949+BA949-BC949),CH948),0)</f>
        <v>604.6842046165998</v>
      </c>
    </row>
    <row r="950" spans="40:86" x14ac:dyDescent="0.25">
      <c r="AN950" s="32">
        <f t="shared" ca="1" si="729"/>
        <v>133.41666666666666</v>
      </c>
      <c r="AO950" s="53">
        <f t="shared" ca="1" si="760"/>
        <v>74297</v>
      </c>
      <c r="AP950" s="22">
        <v>943</v>
      </c>
      <c r="AQ950" s="32">
        <f t="shared" ca="1" si="761"/>
        <v>3723.7939931540877</v>
      </c>
      <c r="AR950" s="23">
        <f t="array" aca="1" ref="AR950" ca="1">SUM(IF(lsc_start_date=AO950,lsc_amount,0))</f>
        <v>0</v>
      </c>
      <c r="AS950" s="24">
        <f t="shared" ca="1" si="735"/>
        <v>0</v>
      </c>
      <c r="AT950" s="24">
        <f t="shared" ca="1" si="736"/>
        <v>0</v>
      </c>
      <c r="AU950" s="24">
        <f t="shared" ca="1" si="737"/>
        <v>0</v>
      </c>
      <c r="AV950" s="25">
        <f t="shared" ca="1" si="738"/>
        <v>0</v>
      </c>
      <c r="AW950" s="23">
        <f t="array" aca="1" ref="AW950" ca="1">SUM(IF(rcs_start_date&lt;=AO950,1,0)*IF(rcs_end_date&gt;=AO950,1,0)*rcs_amount*(1+rcs_escalation/100)^(INT((AP950-rcs_months_since_start)/12))*IF(MOD((AP950-rcs_months_since_start),rcs_frequency)=0,1,0)*IF(rcs_frequency=13,0,1))+SUM(IF(rcs_start_date=AO950,rcs_amount,0)*IF(rcs_frequency=13,1,0))</f>
        <v>0</v>
      </c>
      <c r="AX950" s="24">
        <f t="shared" ca="1" si="739"/>
        <v>0</v>
      </c>
      <c r="AY950" s="24">
        <f t="shared" ca="1" si="740"/>
        <v>0</v>
      </c>
      <c r="AZ950" s="24">
        <f t="shared" ca="1" si="741"/>
        <v>0</v>
      </c>
      <c r="BA950" s="25">
        <f t="shared" ca="1" si="742"/>
        <v>0</v>
      </c>
      <c r="BB950" s="23">
        <f t="array" aca="1" ref="BB950" ca="1">SUM(IF(w_start_date&lt;=AO950,1,0)*IF(w_end_date&gt;=AO950,1,0)*w_amount*(1+w_escalation/100)^(INT((AP950-w_months_since_start)/12))*IF(MOD(AP950-w_months_since_start,w_frequency)=0,1,0)*IF(w_frequency=13,0,1))+SUM(IF(w_start_date=AO950,w_amount,0)*IF(w_frequency=13,1,0))</f>
        <v>0</v>
      </c>
      <c r="BC950" s="25">
        <f t="shared" ca="1" si="743"/>
        <v>0</v>
      </c>
      <c r="BD950" s="24" t="b">
        <f t="shared" ca="1" si="744"/>
        <v>1</v>
      </c>
      <c r="BE950" s="24" t="b">
        <f t="shared" ca="1" si="745"/>
        <v>1</v>
      </c>
      <c r="BF950" s="23">
        <f t="array" aca="1" ref="BF950" ca="1">SUM(IF(BD950,1,0)*IF(ap_start_date&lt;=AO950,1,0)*IF(ap_end_date&gt;=AO950,1,0)*ap_amount*(1+ap_escalation/100)^(INT((AP950-ap_months_since_start)/12))*IF(MOD(AP950-ap_months_since_start,ap_frequency)=0,1,0))</f>
        <v>484508.92041919898</v>
      </c>
      <c r="BG950" s="24">
        <f t="shared" ca="1" si="746"/>
        <v>5814107.045030389</v>
      </c>
      <c r="BH950" s="24">
        <f t="shared" ca="1" si="747"/>
        <v>98.358381874503195</v>
      </c>
      <c r="BI950">
        <f t="shared" ca="1" si="748"/>
        <v>0</v>
      </c>
      <c r="BJ950" s="24">
        <f t="shared" ca="1" si="749"/>
        <v>688.50867312152229</v>
      </c>
      <c r="BK950">
        <f t="shared" ca="1" si="750"/>
        <v>1</v>
      </c>
      <c r="BL950" s="25">
        <f t="shared" ca="1" si="751"/>
        <v>57.375722760126848</v>
      </c>
      <c r="BM950" s="32">
        <f t="shared" ca="1" si="730"/>
        <v>3692.843332280881</v>
      </c>
      <c r="BN950" s="23">
        <f t="shared" ca="1" si="752"/>
        <v>0</v>
      </c>
      <c r="BO950" s="24">
        <f t="shared" ca="1" si="753"/>
        <v>0</v>
      </c>
      <c r="BP950" s="25">
        <f t="shared" ca="1" si="754"/>
        <v>0</v>
      </c>
      <c r="BQ950" s="34">
        <f t="shared" ca="1" si="755"/>
        <v>74326</v>
      </c>
      <c r="BR950" s="23">
        <f t="shared" ca="1" si="756"/>
        <v>3692.843332280881</v>
      </c>
      <c r="BS950" s="24">
        <f t="shared" ca="1" si="757"/>
        <v>0</v>
      </c>
      <c r="BT950" s="24">
        <f t="shared" ca="1" si="762"/>
        <v>0</v>
      </c>
      <c r="BU950" s="24">
        <f t="shared" ca="1" si="758"/>
        <v>0</v>
      </c>
      <c r="BV950" s="24">
        <f t="shared" ca="1" si="763"/>
        <v>0</v>
      </c>
      <c r="BW950" s="24">
        <f t="shared" ca="1" si="759"/>
        <v>-57.375722760126848</v>
      </c>
      <c r="BX950" s="25">
        <f t="shared" ca="1" si="764"/>
        <v>-712.15787347320565</v>
      </c>
      <c r="BY950" s="23">
        <f t="shared" ca="1" si="731"/>
        <v>169.36524836894662</v>
      </c>
      <c r="BZ950" s="24">
        <f t="shared" ca="1" si="732"/>
        <v>0</v>
      </c>
      <c r="CA950" s="24">
        <f t="shared" ca="1" si="765"/>
        <v>0</v>
      </c>
      <c r="CB950" s="24">
        <f t="shared" ca="1" si="733"/>
        <v>0</v>
      </c>
      <c r="CC950" s="24">
        <f t="shared" ca="1" si="766"/>
        <v>0</v>
      </c>
      <c r="CD950" s="24">
        <f t="shared" ca="1" si="734"/>
        <v>-2.6400432058990977</v>
      </c>
      <c r="CE950" s="25">
        <f t="shared" ca="1" si="767"/>
        <v>-33.379716626589641</v>
      </c>
      <c r="CF950" s="23">
        <f t="shared" ca="1" si="768"/>
        <v>5739567.2111197431</v>
      </c>
      <c r="CG950" s="25">
        <f t="array" aca="1" ref="CG950" ca="1">SUM(BF939:BF950/(1+inflation/100)^(AP939:AP950/12))</f>
        <v>267980.53702225391</v>
      </c>
      <c r="CH950" s="32">
        <f ca="1">IFERROR(IF(MOD(AP950-ap_months_since_start,12)=0,ap_drawdown/100*(AQ950+AV950+BA950-BC950),CH949),0)</f>
        <v>604.6842046165998</v>
      </c>
    </row>
    <row r="951" spans="40:86" x14ac:dyDescent="0.25">
      <c r="AN951" s="32">
        <f t="shared" ca="1" si="729"/>
        <v>133.5</v>
      </c>
      <c r="AO951" s="53">
        <f t="shared" ca="1" si="760"/>
        <v>74327</v>
      </c>
      <c r="AP951" s="22">
        <v>944</v>
      </c>
      <c r="AQ951" s="32">
        <f t="shared" ca="1" si="761"/>
        <v>3692.843332280881</v>
      </c>
      <c r="AR951" s="23">
        <f t="array" aca="1" ref="AR951" ca="1">SUM(IF(lsc_start_date=AO951,lsc_amount,0))</f>
        <v>0</v>
      </c>
      <c r="AS951" s="24">
        <f t="shared" ca="1" si="735"/>
        <v>0</v>
      </c>
      <c r="AT951" s="24">
        <f t="shared" ca="1" si="736"/>
        <v>0</v>
      </c>
      <c r="AU951" s="24">
        <f t="shared" ca="1" si="737"/>
        <v>0</v>
      </c>
      <c r="AV951" s="25">
        <f t="shared" ca="1" si="738"/>
        <v>0</v>
      </c>
      <c r="AW951" s="23">
        <f t="array" aca="1" ref="AW951" ca="1">SUM(IF(rcs_start_date&lt;=AO951,1,0)*IF(rcs_end_date&gt;=AO951,1,0)*rcs_amount*(1+rcs_escalation/100)^(INT((AP951-rcs_months_since_start)/12))*IF(MOD((AP951-rcs_months_since_start),rcs_frequency)=0,1,0)*IF(rcs_frequency=13,0,1))+SUM(IF(rcs_start_date=AO951,rcs_amount,0)*IF(rcs_frequency=13,1,0))</f>
        <v>0</v>
      </c>
      <c r="AX951" s="24">
        <f t="shared" ca="1" si="739"/>
        <v>0</v>
      </c>
      <c r="AY951" s="24">
        <f t="shared" ca="1" si="740"/>
        <v>0</v>
      </c>
      <c r="AZ951" s="24">
        <f t="shared" ca="1" si="741"/>
        <v>0</v>
      </c>
      <c r="BA951" s="25">
        <f t="shared" ca="1" si="742"/>
        <v>0</v>
      </c>
      <c r="BB951" s="23">
        <f t="array" aca="1" ref="BB951" ca="1">SUM(IF(w_start_date&lt;=AO951,1,0)*IF(w_end_date&gt;=AO951,1,0)*w_amount*(1+w_escalation/100)^(INT((AP951-w_months_since_start)/12))*IF(MOD(AP951-w_months_since_start,w_frequency)=0,1,0)*IF(w_frequency=13,0,1))+SUM(IF(w_start_date=AO951,w_amount,0)*IF(w_frequency=13,1,0))</f>
        <v>0</v>
      </c>
      <c r="BC951" s="25">
        <f t="shared" ca="1" si="743"/>
        <v>0</v>
      </c>
      <c r="BD951" s="24" t="b">
        <f t="shared" ca="1" si="744"/>
        <v>1</v>
      </c>
      <c r="BE951" s="24" t="b">
        <f t="shared" ca="1" si="745"/>
        <v>1</v>
      </c>
      <c r="BF951" s="23">
        <f t="array" aca="1" ref="BF951" ca="1">SUM(IF(BD951,1,0)*IF(ap_start_date&lt;=AO951,1,0)*IF(ap_end_date&gt;=AO951,1,0)*ap_amount*(1+ap_escalation/100)^(INT((AP951-ap_months_since_start)/12))*IF(MOD(AP951-ap_months_since_start,ap_frequency)=0,1,0))</f>
        <v>484508.92041919898</v>
      </c>
      <c r="BG951" s="24">
        <f t="shared" ca="1" si="746"/>
        <v>5814107.045030389</v>
      </c>
      <c r="BH951" s="24">
        <f t="shared" ca="1" si="747"/>
        <v>98.358381874503195</v>
      </c>
      <c r="BI951">
        <f t="shared" ca="1" si="748"/>
        <v>0</v>
      </c>
      <c r="BJ951" s="24">
        <f t="shared" ca="1" si="749"/>
        <v>688.50867312152229</v>
      </c>
      <c r="BK951">
        <f t="shared" ca="1" si="750"/>
        <v>1</v>
      </c>
      <c r="BL951" s="25">
        <f t="shared" ca="1" si="751"/>
        <v>57.375722760126848</v>
      </c>
      <c r="BM951" s="32">
        <f t="shared" ca="1" si="730"/>
        <v>3661.669599987913</v>
      </c>
      <c r="BN951" s="23">
        <f t="shared" ca="1" si="752"/>
        <v>0</v>
      </c>
      <c r="BO951" s="24">
        <f t="shared" ca="1" si="753"/>
        <v>0</v>
      </c>
      <c r="BP951" s="25">
        <f t="shared" ca="1" si="754"/>
        <v>0</v>
      </c>
      <c r="BQ951" s="34">
        <f t="shared" ca="1" si="755"/>
        <v>74357</v>
      </c>
      <c r="BR951" s="23">
        <f t="shared" ca="1" si="756"/>
        <v>3661.669599987913</v>
      </c>
      <c r="BS951" s="24">
        <f t="shared" ca="1" si="757"/>
        <v>0</v>
      </c>
      <c r="BT951" s="24">
        <f t="shared" ca="1" si="762"/>
        <v>0</v>
      </c>
      <c r="BU951" s="24">
        <f t="shared" ca="1" si="758"/>
        <v>0</v>
      </c>
      <c r="BV951" s="24">
        <f t="shared" ca="1" si="763"/>
        <v>0</v>
      </c>
      <c r="BW951" s="24">
        <f t="shared" ca="1" si="759"/>
        <v>-57.375722760126848</v>
      </c>
      <c r="BX951" s="25">
        <f t="shared" ca="1" si="764"/>
        <v>-706.24557338528484</v>
      </c>
      <c r="BY951" s="23">
        <f t="shared" ca="1" si="731"/>
        <v>167.38754107012872</v>
      </c>
      <c r="BZ951" s="24">
        <f t="shared" ca="1" si="732"/>
        <v>0</v>
      </c>
      <c r="CA951" s="24">
        <f t="shared" ca="1" si="765"/>
        <v>0</v>
      </c>
      <c r="CB951" s="24">
        <f t="shared" ca="1" si="733"/>
        <v>0</v>
      </c>
      <c r="CC951" s="24">
        <f t="shared" ca="1" si="766"/>
        <v>0</v>
      </c>
      <c r="CD951" s="24">
        <f t="shared" ca="1" si="734"/>
        <v>-2.6314285934287742</v>
      </c>
      <c r="CE951" s="25">
        <f t="shared" ca="1" si="767"/>
        <v>-32.992456807398568</v>
      </c>
      <c r="CF951" s="23">
        <f t="shared" ca="1" si="768"/>
        <v>5758202.169597405</v>
      </c>
      <c r="CG951" s="25">
        <f t="array" aca="1" ref="CG951" ca="1">SUM(BF940:BF951/(1+inflation/100)^(AP940:AP951/12))</f>
        <v>267980.53702225391</v>
      </c>
      <c r="CH951" s="32">
        <f ca="1">IFERROR(IF(MOD(AP951-ap_months_since_start,12)=0,ap_drawdown/100*(AQ951+AV951+BA951-BC951),CH950),0)</f>
        <v>604.6842046165998</v>
      </c>
    </row>
    <row r="952" spans="40:86" x14ac:dyDescent="0.25">
      <c r="AN952" s="32">
        <f t="shared" ca="1" si="729"/>
        <v>133.58333333333334</v>
      </c>
      <c r="AO952" s="53">
        <f t="shared" ca="1" si="760"/>
        <v>74358</v>
      </c>
      <c r="AP952" s="22">
        <v>945</v>
      </c>
      <c r="AQ952" s="32">
        <f t="shared" ca="1" si="761"/>
        <v>3661.669599987913</v>
      </c>
      <c r="AR952" s="23">
        <f t="array" aca="1" ref="AR952" ca="1">SUM(IF(lsc_start_date=AO952,lsc_amount,0))</f>
        <v>0</v>
      </c>
      <c r="AS952" s="24">
        <f t="shared" ca="1" si="735"/>
        <v>0</v>
      </c>
      <c r="AT952" s="24">
        <f t="shared" ca="1" si="736"/>
        <v>0</v>
      </c>
      <c r="AU952" s="24">
        <f t="shared" ca="1" si="737"/>
        <v>0</v>
      </c>
      <c r="AV952" s="25">
        <f t="shared" ca="1" si="738"/>
        <v>0</v>
      </c>
      <c r="AW952" s="23">
        <f t="array" aca="1" ref="AW952" ca="1">SUM(IF(rcs_start_date&lt;=AO952,1,0)*IF(rcs_end_date&gt;=AO952,1,0)*rcs_amount*(1+rcs_escalation/100)^(INT((AP952-rcs_months_since_start)/12))*IF(MOD((AP952-rcs_months_since_start),rcs_frequency)=0,1,0)*IF(rcs_frequency=13,0,1))+SUM(IF(rcs_start_date=AO952,rcs_amount,0)*IF(rcs_frequency=13,1,0))</f>
        <v>0</v>
      </c>
      <c r="AX952" s="24">
        <f t="shared" ca="1" si="739"/>
        <v>0</v>
      </c>
      <c r="AY952" s="24">
        <f t="shared" ca="1" si="740"/>
        <v>0</v>
      </c>
      <c r="AZ952" s="24">
        <f t="shared" ca="1" si="741"/>
        <v>0</v>
      </c>
      <c r="BA952" s="25">
        <f t="shared" ca="1" si="742"/>
        <v>0</v>
      </c>
      <c r="BB952" s="23">
        <f t="array" aca="1" ref="BB952" ca="1">SUM(IF(w_start_date&lt;=AO952,1,0)*IF(w_end_date&gt;=AO952,1,0)*w_amount*(1+w_escalation/100)^(INT((AP952-w_months_since_start)/12))*IF(MOD(AP952-w_months_since_start,w_frequency)=0,1,0)*IF(w_frequency=13,0,1))+SUM(IF(w_start_date=AO952,w_amount,0)*IF(w_frequency=13,1,0))</f>
        <v>0</v>
      </c>
      <c r="BC952" s="25">
        <f t="shared" ca="1" si="743"/>
        <v>0</v>
      </c>
      <c r="BD952" s="24" t="b">
        <f t="shared" ca="1" si="744"/>
        <v>1</v>
      </c>
      <c r="BE952" s="24" t="b">
        <f t="shared" ca="1" si="745"/>
        <v>1</v>
      </c>
      <c r="BF952" s="23">
        <f t="array" aca="1" ref="BF952" ca="1">SUM(IF(BD952,1,0)*IF(ap_start_date&lt;=AO952,1,0)*IF(ap_end_date&gt;=AO952,1,0)*ap_amount*(1+ap_escalation/100)^(INT((AP952-ap_months_since_start)/12))*IF(MOD(AP952-ap_months_since_start,ap_frequency)=0,1,0))</f>
        <v>484508.92041919898</v>
      </c>
      <c r="BG952" s="24">
        <f t="shared" ca="1" si="746"/>
        <v>5814107.045030389</v>
      </c>
      <c r="BH952" s="24">
        <f t="shared" ca="1" si="747"/>
        <v>98.358381874503195</v>
      </c>
      <c r="BI952">
        <f t="shared" ca="1" si="748"/>
        <v>0</v>
      </c>
      <c r="BJ952" s="24">
        <f t="shared" ca="1" si="749"/>
        <v>688.50867312152229</v>
      </c>
      <c r="BK952">
        <f t="shared" ca="1" si="750"/>
        <v>1</v>
      </c>
      <c r="BL952" s="25">
        <f t="shared" ca="1" si="751"/>
        <v>57.375722760126848</v>
      </c>
      <c r="BM952" s="32">
        <f t="shared" ca="1" si="730"/>
        <v>3630.2711885273388</v>
      </c>
      <c r="BN952" s="23">
        <f t="shared" ca="1" si="752"/>
        <v>0</v>
      </c>
      <c r="BO952" s="24">
        <f t="shared" ca="1" si="753"/>
        <v>0</v>
      </c>
      <c r="BP952" s="25">
        <f t="shared" ca="1" si="754"/>
        <v>0</v>
      </c>
      <c r="BQ952" s="34">
        <f t="shared" ca="1" si="755"/>
        <v>74388</v>
      </c>
      <c r="BR952" s="23">
        <f t="shared" ca="1" si="756"/>
        <v>3630.2711885273388</v>
      </c>
      <c r="BS952" s="24">
        <f t="shared" ca="1" si="757"/>
        <v>0</v>
      </c>
      <c r="BT952" s="24">
        <f t="shared" ca="1" si="762"/>
        <v>0</v>
      </c>
      <c r="BU952" s="24">
        <f t="shared" ca="1" si="758"/>
        <v>0</v>
      </c>
      <c r="BV952" s="24">
        <f t="shared" ca="1" si="763"/>
        <v>0</v>
      </c>
      <c r="BW952" s="24">
        <f t="shared" ca="1" si="759"/>
        <v>-57.375722760126848</v>
      </c>
      <c r="BX952" s="25">
        <f t="shared" ca="1" si="764"/>
        <v>-700.3332732973638</v>
      </c>
      <c r="BY952" s="23">
        <f t="shared" ca="1" si="731"/>
        <v>165.41069984733295</v>
      </c>
      <c r="BZ952" s="24">
        <f t="shared" ca="1" si="732"/>
        <v>0</v>
      </c>
      <c r="CA952" s="24">
        <f t="shared" ca="1" si="765"/>
        <v>0</v>
      </c>
      <c r="CB952" s="24">
        <f t="shared" ca="1" si="733"/>
        <v>0</v>
      </c>
      <c r="CC952" s="24">
        <f t="shared" ca="1" si="766"/>
        <v>0</v>
      </c>
      <c r="CD952" s="24">
        <f t="shared" ca="1" si="734"/>
        <v>-2.6228420909332599</v>
      </c>
      <c r="CE952" s="25">
        <f t="shared" ca="1" si="767"/>
        <v>-32.606460639219044</v>
      </c>
      <c r="CF952" s="23">
        <f t="shared" ca="1" si="768"/>
        <v>5776837.128075066</v>
      </c>
      <c r="CG952" s="25">
        <f t="array" aca="1" ref="CG952" ca="1">SUM(BF941:BF952/(1+inflation/100)^(AP941:AP952/12))</f>
        <v>267980.53702225385</v>
      </c>
      <c r="CH952" s="32">
        <f ca="1">IFERROR(IF(MOD(AP952-ap_months_since_start,12)=0,ap_drawdown/100*(AQ952+AV952+BA952-BC952),CH951),0)</f>
        <v>604.6842046165998</v>
      </c>
    </row>
    <row r="953" spans="40:86" x14ac:dyDescent="0.25">
      <c r="AN953" s="32">
        <f t="shared" ca="1" si="729"/>
        <v>133.66666666666666</v>
      </c>
      <c r="AO953" s="53">
        <f t="shared" ca="1" si="760"/>
        <v>74389</v>
      </c>
      <c r="AP953" s="22">
        <v>946</v>
      </c>
      <c r="AQ953" s="32">
        <f t="shared" ca="1" si="761"/>
        <v>3630.2711885273388</v>
      </c>
      <c r="AR953" s="23">
        <f t="array" aca="1" ref="AR953" ca="1">SUM(IF(lsc_start_date=AO953,lsc_amount,0))</f>
        <v>0</v>
      </c>
      <c r="AS953" s="24">
        <f t="shared" ca="1" si="735"/>
        <v>0</v>
      </c>
      <c r="AT953" s="24">
        <f t="shared" ca="1" si="736"/>
        <v>0</v>
      </c>
      <c r="AU953" s="24">
        <f t="shared" ca="1" si="737"/>
        <v>0</v>
      </c>
      <c r="AV953" s="25">
        <f t="shared" ca="1" si="738"/>
        <v>0</v>
      </c>
      <c r="AW953" s="23">
        <f t="array" aca="1" ref="AW953" ca="1">SUM(IF(rcs_start_date&lt;=AO953,1,0)*IF(rcs_end_date&gt;=AO953,1,0)*rcs_amount*(1+rcs_escalation/100)^(INT((AP953-rcs_months_since_start)/12))*IF(MOD((AP953-rcs_months_since_start),rcs_frequency)=0,1,0)*IF(rcs_frequency=13,0,1))+SUM(IF(rcs_start_date=AO953,rcs_amount,0)*IF(rcs_frequency=13,1,0))</f>
        <v>0</v>
      </c>
      <c r="AX953" s="24">
        <f t="shared" ca="1" si="739"/>
        <v>0</v>
      </c>
      <c r="AY953" s="24">
        <f t="shared" ca="1" si="740"/>
        <v>0</v>
      </c>
      <c r="AZ953" s="24">
        <f t="shared" ca="1" si="741"/>
        <v>0</v>
      </c>
      <c r="BA953" s="25">
        <f t="shared" ca="1" si="742"/>
        <v>0</v>
      </c>
      <c r="BB953" s="23">
        <f t="array" aca="1" ref="BB953" ca="1">SUM(IF(w_start_date&lt;=AO953,1,0)*IF(w_end_date&gt;=AO953,1,0)*w_amount*(1+w_escalation/100)^(INT((AP953-w_months_since_start)/12))*IF(MOD(AP953-w_months_since_start,w_frequency)=0,1,0)*IF(w_frequency=13,0,1))+SUM(IF(w_start_date=AO953,w_amount,0)*IF(w_frequency=13,1,0))</f>
        <v>0</v>
      </c>
      <c r="BC953" s="25">
        <f t="shared" ca="1" si="743"/>
        <v>0</v>
      </c>
      <c r="BD953" s="24" t="b">
        <f t="shared" ca="1" si="744"/>
        <v>1</v>
      </c>
      <c r="BE953" s="24" t="b">
        <f t="shared" ca="1" si="745"/>
        <v>1</v>
      </c>
      <c r="BF953" s="23">
        <f t="array" aca="1" ref="BF953" ca="1">SUM(IF(BD953,1,0)*IF(ap_start_date&lt;=AO953,1,0)*IF(ap_end_date&gt;=AO953,1,0)*ap_amount*(1+ap_escalation/100)^(INT((AP953-ap_months_since_start)/12))*IF(MOD(AP953-ap_months_since_start,ap_frequency)=0,1,0))</f>
        <v>484508.92041919898</v>
      </c>
      <c r="BG953" s="24">
        <f t="shared" ca="1" si="746"/>
        <v>5814107.045030389</v>
      </c>
      <c r="BH953" s="24">
        <f t="shared" ca="1" si="747"/>
        <v>98.358381874503195</v>
      </c>
      <c r="BI953">
        <f t="shared" ca="1" si="748"/>
        <v>0</v>
      </c>
      <c r="BJ953" s="24">
        <f t="shared" ca="1" si="749"/>
        <v>688.50867312152229</v>
      </c>
      <c r="BK953">
        <f t="shared" ca="1" si="750"/>
        <v>1</v>
      </c>
      <c r="BL953" s="25">
        <f t="shared" ca="1" si="751"/>
        <v>57.375722760126848</v>
      </c>
      <c r="BM953" s="32">
        <f t="shared" ca="1" si="730"/>
        <v>3598.6464785637554</v>
      </c>
      <c r="BN953" s="23">
        <f t="shared" ca="1" si="752"/>
        <v>0</v>
      </c>
      <c r="BO953" s="24">
        <f t="shared" ca="1" si="753"/>
        <v>0</v>
      </c>
      <c r="BP953" s="25">
        <f t="shared" ca="1" si="754"/>
        <v>0</v>
      </c>
      <c r="BQ953" s="34">
        <f t="shared" ca="1" si="755"/>
        <v>74418</v>
      </c>
      <c r="BR953" s="23">
        <f t="shared" ca="1" si="756"/>
        <v>3598.6464785637554</v>
      </c>
      <c r="BS953" s="24">
        <f t="shared" ca="1" si="757"/>
        <v>0</v>
      </c>
      <c r="BT953" s="24">
        <f t="shared" ca="1" si="762"/>
        <v>0</v>
      </c>
      <c r="BU953" s="24">
        <f t="shared" ca="1" si="758"/>
        <v>0</v>
      </c>
      <c r="BV953" s="24">
        <f t="shared" ca="1" si="763"/>
        <v>0</v>
      </c>
      <c r="BW953" s="24">
        <f t="shared" ca="1" si="759"/>
        <v>-57.375722760126848</v>
      </c>
      <c r="BX953" s="25">
        <f t="shared" ca="1" si="764"/>
        <v>-694.42097320944299</v>
      </c>
      <c r="BY953" s="23">
        <f t="shared" ca="1" si="731"/>
        <v>163.4346999681222</v>
      </c>
      <c r="BZ953" s="24">
        <f t="shared" ca="1" si="732"/>
        <v>0</v>
      </c>
      <c r="CA953" s="24">
        <f t="shared" ca="1" si="765"/>
        <v>0</v>
      </c>
      <c r="CB953" s="24">
        <f t="shared" ca="1" si="733"/>
        <v>0</v>
      </c>
      <c r="CC953" s="24">
        <f t="shared" ca="1" si="766"/>
        <v>0</v>
      </c>
      <c r="CD953" s="24">
        <f t="shared" ca="1" si="734"/>
        <v>-2.6142836066880957</v>
      </c>
      <c r="CE953" s="25">
        <f t="shared" ca="1" si="767"/>
        <v>-32.221723998685306</v>
      </c>
      <c r="CF953" s="23">
        <f t="shared" ca="1" si="768"/>
        <v>5795472.086552728</v>
      </c>
      <c r="CG953" s="25">
        <f t="array" aca="1" ref="CG953" ca="1">SUM(BF942:BF953/(1+inflation/100)^(AP942:AP953/12))</f>
        <v>267980.53702225391</v>
      </c>
      <c r="CH953" s="32">
        <f ca="1">IFERROR(IF(MOD(AP953-ap_months_since_start,12)=0,ap_drawdown/100*(AQ953+AV953+BA953-BC953),CH952),0)</f>
        <v>604.6842046165998</v>
      </c>
    </row>
    <row r="954" spans="40:86" x14ac:dyDescent="0.25">
      <c r="AN954" s="32">
        <f t="shared" ca="1" si="729"/>
        <v>133.75</v>
      </c>
      <c r="AO954" s="53">
        <f t="shared" ca="1" si="760"/>
        <v>74419</v>
      </c>
      <c r="AP954" s="22">
        <v>947</v>
      </c>
      <c r="AQ954" s="32">
        <f t="shared" ca="1" si="761"/>
        <v>3598.6464785637554</v>
      </c>
      <c r="AR954" s="23">
        <f t="array" aca="1" ref="AR954" ca="1">SUM(IF(lsc_start_date=AO954,lsc_amount,0))</f>
        <v>0</v>
      </c>
      <c r="AS954" s="24">
        <f t="shared" ca="1" si="735"/>
        <v>0</v>
      </c>
      <c r="AT954" s="24">
        <f t="shared" ca="1" si="736"/>
        <v>0</v>
      </c>
      <c r="AU954" s="24">
        <f t="shared" ca="1" si="737"/>
        <v>0</v>
      </c>
      <c r="AV954" s="25">
        <f t="shared" ca="1" si="738"/>
        <v>0</v>
      </c>
      <c r="AW954" s="23">
        <f t="array" aca="1" ref="AW954" ca="1">SUM(IF(rcs_start_date&lt;=AO954,1,0)*IF(rcs_end_date&gt;=AO954,1,0)*rcs_amount*(1+rcs_escalation/100)^(INT((AP954-rcs_months_since_start)/12))*IF(MOD((AP954-rcs_months_since_start),rcs_frequency)=0,1,0)*IF(rcs_frequency=13,0,1))+SUM(IF(rcs_start_date=AO954,rcs_amount,0)*IF(rcs_frequency=13,1,0))</f>
        <v>0</v>
      </c>
      <c r="AX954" s="24">
        <f t="shared" ca="1" si="739"/>
        <v>0</v>
      </c>
      <c r="AY954" s="24">
        <f t="shared" ca="1" si="740"/>
        <v>0</v>
      </c>
      <c r="AZ954" s="24">
        <f t="shared" ca="1" si="741"/>
        <v>0</v>
      </c>
      <c r="BA954" s="25">
        <f t="shared" ca="1" si="742"/>
        <v>0</v>
      </c>
      <c r="BB954" s="23">
        <f t="array" aca="1" ref="BB954" ca="1">SUM(IF(w_start_date&lt;=AO954,1,0)*IF(w_end_date&gt;=AO954,1,0)*w_amount*(1+w_escalation/100)^(INT((AP954-w_months_since_start)/12))*IF(MOD(AP954-w_months_since_start,w_frequency)=0,1,0)*IF(w_frequency=13,0,1))+SUM(IF(w_start_date=AO954,w_amount,0)*IF(w_frequency=13,1,0))</f>
        <v>0</v>
      </c>
      <c r="BC954" s="25">
        <f t="shared" ca="1" si="743"/>
        <v>0</v>
      </c>
      <c r="BD954" s="24" t="b">
        <f t="shared" ca="1" si="744"/>
        <v>1</v>
      </c>
      <c r="BE954" s="24" t="b">
        <f t="shared" ca="1" si="745"/>
        <v>1</v>
      </c>
      <c r="BF954" s="23">
        <f t="array" aca="1" ref="BF954" ca="1">SUM(IF(BD954,1,0)*IF(ap_start_date&lt;=AO954,1,0)*IF(ap_end_date&gt;=AO954,1,0)*ap_amount*(1+ap_escalation/100)^(INT((AP954-ap_months_since_start)/12))*IF(MOD(AP954-ap_months_since_start,ap_frequency)=0,1,0))</f>
        <v>484508.92041919898</v>
      </c>
      <c r="BG954" s="24">
        <f t="shared" ca="1" si="746"/>
        <v>5814107.045030389</v>
      </c>
      <c r="BH954" s="24">
        <f t="shared" ca="1" si="747"/>
        <v>98.358381874503195</v>
      </c>
      <c r="BI954">
        <f t="shared" ca="1" si="748"/>
        <v>0</v>
      </c>
      <c r="BJ954" s="24">
        <f t="shared" ca="1" si="749"/>
        <v>688.50867312152229</v>
      </c>
      <c r="BK954">
        <f t="shared" ca="1" si="750"/>
        <v>1</v>
      </c>
      <c r="BL954" s="25">
        <f t="shared" ca="1" si="751"/>
        <v>57.375722760126848</v>
      </c>
      <c r="BM954" s="32">
        <f t="shared" ca="1" si="730"/>
        <v>3566.7938390906852</v>
      </c>
      <c r="BN954" s="23">
        <f t="shared" ca="1" si="752"/>
        <v>0</v>
      </c>
      <c r="BO954" s="24">
        <f t="shared" ca="1" si="753"/>
        <v>0</v>
      </c>
      <c r="BP954" s="25">
        <f t="shared" ca="1" si="754"/>
        <v>0</v>
      </c>
      <c r="BQ954" s="34">
        <f t="shared" ca="1" si="755"/>
        <v>74449</v>
      </c>
      <c r="BR954" s="23">
        <f t="shared" ca="1" si="756"/>
        <v>3566.7938390906852</v>
      </c>
      <c r="BS954" s="24">
        <f t="shared" ca="1" si="757"/>
        <v>0</v>
      </c>
      <c r="BT954" s="24">
        <f t="shared" ca="1" si="762"/>
        <v>0</v>
      </c>
      <c r="BU954" s="24">
        <f t="shared" ca="1" si="758"/>
        <v>0</v>
      </c>
      <c r="BV954" s="24">
        <f t="shared" ca="1" si="763"/>
        <v>0</v>
      </c>
      <c r="BW954" s="24">
        <f t="shared" ca="1" si="759"/>
        <v>-57.375722760126848</v>
      </c>
      <c r="BX954" s="25">
        <f t="shared" ca="1" si="764"/>
        <v>-688.50867312152195</v>
      </c>
      <c r="BY954" s="23">
        <f t="shared" ca="1" si="731"/>
        <v>161.45951669487332</v>
      </c>
      <c r="BZ954" s="24">
        <f t="shared" ca="1" si="732"/>
        <v>0</v>
      </c>
      <c r="CA954" s="24">
        <f t="shared" ca="1" si="765"/>
        <v>0</v>
      </c>
      <c r="CB954" s="24">
        <f t="shared" ca="1" si="733"/>
        <v>0</v>
      </c>
      <c r="CC954" s="24">
        <f t="shared" ca="1" si="766"/>
        <v>0</v>
      </c>
      <c r="CD954" s="24">
        <f t="shared" ca="1" si="734"/>
        <v>-2.6057530492681211</v>
      </c>
      <c r="CE954" s="25">
        <f t="shared" ca="1" si="767"/>
        <v>-31.838242775886368</v>
      </c>
      <c r="CF954" s="23">
        <f t="shared" ca="1" si="768"/>
        <v>5814107.045030389</v>
      </c>
      <c r="CG954" s="25">
        <f t="array" aca="1" ref="CG954" ca="1">SUM(BF943:BF954/(1+inflation/100)^(AP943:AP954/12))</f>
        <v>267980.53702225385</v>
      </c>
      <c r="CH954" s="32">
        <f ca="1">IFERROR(IF(MOD(AP954-ap_months_since_start,12)=0,ap_drawdown/100*(AQ954+AV954+BA954-BC954),CH953),0)</f>
        <v>604.6842046165998</v>
      </c>
    </row>
    <row r="955" spans="40:86" x14ac:dyDescent="0.25">
      <c r="AN955" s="32">
        <f t="shared" ca="1" si="729"/>
        <v>133.83333333333334</v>
      </c>
      <c r="AO955" s="53">
        <f t="shared" ca="1" si="760"/>
        <v>74450</v>
      </c>
      <c r="AP955" s="22">
        <v>948</v>
      </c>
      <c r="AQ955" s="32">
        <f t="shared" ca="1" si="761"/>
        <v>3566.7938390906852</v>
      </c>
      <c r="AR955" s="23">
        <f t="array" aca="1" ref="AR955" ca="1">SUM(IF(lsc_start_date=AO955,lsc_amount,0))</f>
        <v>0</v>
      </c>
      <c r="AS955" s="24">
        <f t="shared" ca="1" si="735"/>
        <v>0</v>
      </c>
      <c r="AT955" s="24">
        <f t="shared" ca="1" si="736"/>
        <v>0</v>
      </c>
      <c r="AU955" s="24">
        <f t="shared" ca="1" si="737"/>
        <v>0</v>
      </c>
      <c r="AV955" s="25">
        <f t="shared" ca="1" si="738"/>
        <v>0</v>
      </c>
      <c r="AW955" s="23">
        <f t="array" aca="1" ref="AW955" ca="1">SUM(IF(rcs_start_date&lt;=AO955,1,0)*IF(rcs_end_date&gt;=AO955,1,0)*rcs_amount*(1+rcs_escalation/100)^(INT((AP955-rcs_months_since_start)/12))*IF(MOD((AP955-rcs_months_since_start),rcs_frequency)=0,1,0)*IF(rcs_frequency=13,0,1))+SUM(IF(rcs_start_date=AO955,rcs_amount,0)*IF(rcs_frequency=13,1,0))</f>
        <v>0</v>
      </c>
      <c r="AX955" s="24">
        <f t="shared" ca="1" si="739"/>
        <v>0</v>
      </c>
      <c r="AY955" s="24">
        <f t="shared" ca="1" si="740"/>
        <v>0</v>
      </c>
      <c r="AZ955" s="24">
        <f t="shared" ca="1" si="741"/>
        <v>0</v>
      </c>
      <c r="BA955" s="25">
        <f t="shared" ca="1" si="742"/>
        <v>0</v>
      </c>
      <c r="BB955" s="23">
        <f t="array" aca="1" ref="BB955" ca="1">SUM(IF(w_start_date&lt;=AO955,1,0)*IF(w_end_date&gt;=AO955,1,0)*w_amount*(1+w_escalation/100)^(INT((AP955-w_months_since_start)/12))*IF(MOD(AP955-w_months_since_start,w_frequency)=0,1,0)*IF(w_frequency=13,0,1))+SUM(IF(w_start_date=AO955,w_amount,0)*IF(w_frequency=13,1,0))</f>
        <v>0</v>
      </c>
      <c r="BC955" s="25">
        <f t="shared" ca="1" si="743"/>
        <v>0</v>
      </c>
      <c r="BD955" s="24" t="b">
        <f t="shared" ca="1" si="744"/>
        <v>1</v>
      </c>
      <c r="BE955" s="24" t="b">
        <f t="shared" ca="1" si="745"/>
        <v>1</v>
      </c>
      <c r="BF955" s="23">
        <f t="array" aca="1" ref="BF955" ca="1">SUM(IF(BD955,1,0)*IF(ap_start_date&lt;=AO955,1,0)*IF(ap_end_date&gt;=AO955,1,0)*ap_amount*(1+ap_escalation/100)^(INT((AP955-ap_months_since_start)/12))*IF(MOD(AP955-ap_months_since_start,ap_frequency)=0,1,0))</f>
        <v>503889.27723596705</v>
      </c>
      <c r="BG955" s="24">
        <f t="shared" ca="1" si="746"/>
        <v>6046671.3268316044</v>
      </c>
      <c r="BH955" s="24">
        <f t="shared" ca="1" si="747"/>
        <v>89.16984597726713</v>
      </c>
      <c r="BI955">
        <f t="shared" ca="1" si="748"/>
        <v>0</v>
      </c>
      <c r="BJ955" s="24">
        <f t="shared" ca="1" si="749"/>
        <v>624.18892184086985</v>
      </c>
      <c r="BK955">
        <f t="shared" ca="1" si="750"/>
        <v>1</v>
      </c>
      <c r="BL955" s="25">
        <f t="shared" ca="1" si="751"/>
        <v>52.015743486739161</v>
      </c>
      <c r="BM955" s="32">
        <f t="shared" ca="1" si="730"/>
        <v>3540.1102377234388</v>
      </c>
      <c r="BN955" s="23">
        <f t="shared" ca="1" si="752"/>
        <v>0</v>
      </c>
      <c r="BO955" s="24">
        <f t="shared" ca="1" si="753"/>
        <v>0</v>
      </c>
      <c r="BP955" s="25">
        <f t="shared" ca="1" si="754"/>
        <v>0</v>
      </c>
      <c r="BQ955" s="34">
        <f t="shared" ca="1" si="755"/>
        <v>74479</v>
      </c>
      <c r="BR955" s="23">
        <f t="shared" ca="1" si="756"/>
        <v>3540.1102377234388</v>
      </c>
      <c r="BS955" s="24">
        <f t="shared" ca="1" si="757"/>
        <v>0</v>
      </c>
      <c r="BT955" s="24">
        <f t="shared" ca="1" si="762"/>
        <v>0</v>
      </c>
      <c r="BU955" s="24">
        <f t="shared" ca="1" si="758"/>
        <v>0</v>
      </c>
      <c r="BV955" s="24">
        <f t="shared" ca="1" si="763"/>
        <v>0</v>
      </c>
      <c r="BW955" s="24">
        <f t="shared" ca="1" si="759"/>
        <v>-52.015743486739161</v>
      </c>
      <c r="BX955" s="25">
        <f t="shared" ca="1" si="764"/>
        <v>-683.14869384813437</v>
      </c>
      <c r="BY955" s="23">
        <f t="shared" ca="1" si="731"/>
        <v>159.7287089606119</v>
      </c>
      <c r="BZ955" s="24">
        <f t="shared" ca="1" si="732"/>
        <v>0</v>
      </c>
      <c r="CA955" s="24">
        <f t="shared" ca="1" si="765"/>
        <v>0</v>
      </c>
      <c r="CB955" s="24">
        <f t="shared" ca="1" si="733"/>
        <v>0</v>
      </c>
      <c r="CC955" s="24">
        <f t="shared" ca="1" si="766"/>
        <v>0</v>
      </c>
      <c r="CD955" s="24">
        <f t="shared" ca="1" si="734"/>
        <v>-2.3546179518002361</v>
      </c>
      <c r="CE955" s="25">
        <f t="shared" ca="1" si="767"/>
        <v>-31.491720387038246</v>
      </c>
      <c r="CF955" s="23">
        <f t="shared" ca="1" si="768"/>
        <v>5833487.4018471567</v>
      </c>
      <c r="CG955" s="25">
        <f t="array" aca="1" ref="CG955" ca="1">SUM(BF944:BF955/(1+inflation/100)^(AP944:AP955/12))</f>
        <v>267980.53702225385</v>
      </c>
      <c r="CH955" s="32">
        <f ca="1">IFERROR(IF(MOD(AP955-ap_months_since_start,12)=0,ap_drawdown/100*(AQ955+AV955+BA955-BC955),CH954),0)</f>
        <v>548.19524643405828</v>
      </c>
    </row>
    <row r="956" spans="40:86" x14ac:dyDescent="0.25">
      <c r="AN956" s="32">
        <f t="shared" ca="1" si="729"/>
        <v>133.91666666666666</v>
      </c>
      <c r="AO956" s="53">
        <f t="shared" ca="1" si="760"/>
        <v>74480</v>
      </c>
      <c r="AP956" s="22">
        <v>949</v>
      </c>
      <c r="AQ956" s="32">
        <f t="shared" ca="1" si="761"/>
        <v>3540.1102377234388</v>
      </c>
      <c r="AR956" s="23">
        <f t="array" aca="1" ref="AR956" ca="1">SUM(IF(lsc_start_date=AO956,lsc_amount,0))</f>
        <v>0</v>
      </c>
      <c r="AS956" s="24">
        <f t="shared" ca="1" si="735"/>
        <v>0</v>
      </c>
      <c r="AT956" s="24">
        <f t="shared" ca="1" si="736"/>
        <v>0</v>
      </c>
      <c r="AU956" s="24">
        <f t="shared" ca="1" si="737"/>
        <v>0</v>
      </c>
      <c r="AV956" s="25">
        <f t="shared" ca="1" si="738"/>
        <v>0</v>
      </c>
      <c r="AW956" s="23">
        <f t="array" aca="1" ref="AW956" ca="1">SUM(IF(rcs_start_date&lt;=AO956,1,0)*IF(rcs_end_date&gt;=AO956,1,0)*rcs_amount*(1+rcs_escalation/100)^(INT((AP956-rcs_months_since_start)/12))*IF(MOD((AP956-rcs_months_since_start),rcs_frequency)=0,1,0)*IF(rcs_frequency=13,0,1))+SUM(IF(rcs_start_date=AO956,rcs_amount,0)*IF(rcs_frequency=13,1,0))</f>
        <v>0</v>
      </c>
      <c r="AX956" s="24">
        <f t="shared" ca="1" si="739"/>
        <v>0</v>
      </c>
      <c r="AY956" s="24">
        <f t="shared" ca="1" si="740"/>
        <v>0</v>
      </c>
      <c r="AZ956" s="24">
        <f t="shared" ca="1" si="741"/>
        <v>0</v>
      </c>
      <c r="BA956" s="25">
        <f t="shared" ca="1" si="742"/>
        <v>0</v>
      </c>
      <c r="BB956" s="23">
        <f t="array" aca="1" ref="BB956" ca="1">SUM(IF(w_start_date&lt;=AO956,1,0)*IF(w_end_date&gt;=AO956,1,0)*w_amount*(1+w_escalation/100)^(INT((AP956-w_months_since_start)/12))*IF(MOD(AP956-w_months_since_start,w_frequency)=0,1,0)*IF(w_frequency=13,0,1))+SUM(IF(w_start_date=AO956,w_amount,0)*IF(w_frequency=13,1,0))</f>
        <v>0</v>
      </c>
      <c r="BC956" s="25">
        <f t="shared" ca="1" si="743"/>
        <v>0</v>
      </c>
      <c r="BD956" s="24" t="b">
        <f t="shared" ca="1" si="744"/>
        <v>1</v>
      </c>
      <c r="BE956" s="24" t="b">
        <f t="shared" ca="1" si="745"/>
        <v>1</v>
      </c>
      <c r="BF956" s="23">
        <f t="array" aca="1" ref="BF956" ca="1">SUM(IF(BD956,1,0)*IF(ap_start_date&lt;=AO956,1,0)*IF(ap_end_date&gt;=AO956,1,0)*ap_amount*(1+ap_escalation/100)^(INT((AP956-ap_months_since_start)/12))*IF(MOD(AP956-ap_months_since_start,ap_frequency)=0,1,0))</f>
        <v>503889.27723596705</v>
      </c>
      <c r="BG956" s="24">
        <f t="shared" ca="1" si="746"/>
        <v>6046671.3268316044</v>
      </c>
      <c r="BH956" s="24">
        <f t="shared" ca="1" si="747"/>
        <v>89.16984597726713</v>
      </c>
      <c r="BI956">
        <f t="shared" ca="1" si="748"/>
        <v>0</v>
      </c>
      <c r="BJ956" s="24">
        <f t="shared" ca="1" si="749"/>
        <v>624.18892184086985</v>
      </c>
      <c r="BK956">
        <f t="shared" ca="1" si="750"/>
        <v>1</v>
      </c>
      <c r="BL956" s="25">
        <f t="shared" ca="1" si="751"/>
        <v>52.015743486739161</v>
      </c>
      <c r="BM956" s="32">
        <f t="shared" ca="1" si="730"/>
        <v>3513.2343190138999</v>
      </c>
      <c r="BN956" s="23">
        <f t="shared" ca="1" si="752"/>
        <v>0</v>
      </c>
      <c r="BO956" s="24">
        <f t="shared" ca="1" si="753"/>
        <v>0</v>
      </c>
      <c r="BP956" s="25">
        <f t="shared" ca="1" si="754"/>
        <v>0</v>
      </c>
      <c r="BQ956" s="34">
        <f t="shared" ca="1" si="755"/>
        <v>74510</v>
      </c>
      <c r="BR956" s="23">
        <f t="shared" ca="1" si="756"/>
        <v>3513.2343190138999</v>
      </c>
      <c r="BS956" s="24">
        <f t="shared" ca="1" si="757"/>
        <v>0</v>
      </c>
      <c r="BT956" s="24">
        <f t="shared" ca="1" si="762"/>
        <v>0</v>
      </c>
      <c r="BU956" s="24">
        <f t="shared" ca="1" si="758"/>
        <v>0</v>
      </c>
      <c r="BV956" s="24">
        <f t="shared" ca="1" si="763"/>
        <v>0</v>
      </c>
      <c r="BW956" s="24">
        <f t="shared" ca="1" si="759"/>
        <v>-52.015743486739161</v>
      </c>
      <c r="BX956" s="25">
        <f t="shared" ca="1" si="764"/>
        <v>-677.78871457474679</v>
      </c>
      <c r="BY956" s="23">
        <f t="shared" ca="1" si="731"/>
        <v>157.99882854293372</v>
      </c>
      <c r="BZ956" s="24">
        <f t="shared" ca="1" si="732"/>
        <v>0</v>
      </c>
      <c r="CA956" s="24">
        <f t="shared" ca="1" si="765"/>
        <v>0</v>
      </c>
      <c r="CB956" s="24">
        <f t="shared" ca="1" si="733"/>
        <v>0</v>
      </c>
      <c r="CC956" s="24">
        <f t="shared" ca="1" si="766"/>
        <v>0</v>
      </c>
      <c r="CD956" s="24">
        <f t="shared" ca="1" si="734"/>
        <v>-2.3469346983121473</v>
      </c>
      <c r="CE956" s="25">
        <f t="shared" ca="1" si="767"/>
        <v>-31.146328720628883</v>
      </c>
      <c r="CF956" s="23">
        <f t="shared" ca="1" si="768"/>
        <v>5852867.7586639244</v>
      </c>
      <c r="CG956" s="25">
        <f t="array" aca="1" ref="CG956" ca="1">SUM(BF945:BF956/(1+inflation/100)^(AP945:AP956/12))</f>
        <v>267980.53702225385</v>
      </c>
      <c r="CH956" s="32">
        <f ca="1">IFERROR(IF(MOD(AP956-ap_months_since_start,12)=0,ap_drawdown/100*(AQ956+AV956+BA956-BC956),CH955),0)</f>
        <v>548.19524643405828</v>
      </c>
    </row>
    <row r="957" spans="40:86" x14ac:dyDescent="0.25">
      <c r="AN957" s="32">
        <f t="shared" ca="1" si="729"/>
        <v>134</v>
      </c>
      <c r="AO957" s="53">
        <f t="shared" ca="1" si="760"/>
        <v>74511</v>
      </c>
      <c r="AP957" s="22">
        <v>950</v>
      </c>
      <c r="AQ957" s="32">
        <f t="shared" ca="1" si="761"/>
        <v>3513.2343190138999</v>
      </c>
      <c r="AR957" s="23">
        <f t="array" aca="1" ref="AR957" ca="1">SUM(IF(lsc_start_date=AO957,lsc_amount,0))</f>
        <v>0</v>
      </c>
      <c r="AS957" s="24">
        <f t="shared" ca="1" si="735"/>
        <v>0</v>
      </c>
      <c r="AT957" s="24">
        <f t="shared" ca="1" si="736"/>
        <v>0</v>
      </c>
      <c r="AU957" s="24">
        <f t="shared" ca="1" si="737"/>
        <v>0</v>
      </c>
      <c r="AV957" s="25">
        <f t="shared" ca="1" si="738"/>
        <v>0</v>
      </c>
      <c r="AW957" s="23">
        <f t="array" aca="1" ref="AW957" ca="1">SUM(IF(rcs_start_date&lt;=AO957,1,0)*IF(rcs_end_date&gt;=AO957,1,0)*rcs_amount*(1+rcs_escalation/100)^(INT((AP957-rcs_months_since_start)/12))*IF(MOD((AP957-rcs_months_since_start),rcs_frequency)=0,1,0)*IF(rcs_frequency=13,0,1))+SUM(IF(rcs_start_date=AO957,rcs_amount,0)*IF(rcs_frequency=13,1,0))</f>
        <v>0</v>
      </c>
      <c r="AX957" s="24">
        <f t="shared" ca="1" si="739"/>
        <v>0</v>
      </c>
      <c r="AY957" s="24">
        <f t="shared" ca="1" si="740"/>
        <v>0</v>
      </c>
      <c r="AZ957" s="24">
        <f t="shared" ca="1" si="741"/>
        <v>0</v>
      </c>
      <c r="BA957" s="25">
        <f t="shared" ca="1" si="742"/>
        <v>0</v>
      </c>
      <c r="BB957" s="23">
        <f t="array" aca="1" ref="BB957" ca="1">SUM(IF(w_start_date&lt;=AO957,1,0)*IF(w_end_date&gt;=AO957,1,0)*w_amount*(1+w_escalation/100)^(INT((AP957-w_months_since_start)/12))*IF(MOD(AP957-w_months_since_start,w_frequency)=0,1,0)*IF(w_frequency=13,0,1))+SUM(IF(w_start_date=AO957,w_amount,0)*IF(w_frequency=13,1,0))</f>
        <v>0</v>
      </c>
      <c r="BC957" s="25">
        <f t="shared" ca="1" si="743"/>
        <v>0</v>
      </c>
      <c r="BD957" s="24" t="b">
        <f t="shared" ca="1" si="744"/>
        <v>1</v>
      </c>
      <c r="BE957" s="24" t="b">
        <f t="shared" ca="1" si="745"/>
        <v>1</v>
      </c>
      <c r="BF957" s="23">
        <f t="array" aca="1" ref="BF957" ca="1">SUM(IF(BD957,1,0)*IF(ap_start_date&lt;=AO957,1,0)*IF(ap_end_date&gt;=AO957,1,0)*ap_amount*(1+ap_escalation/100)^(INT((AP957-ap_months_since_start)/12))*IF(MOD(AP957-ap_months_since_start,ap_frequency)=0,1,0))</f>
        <v>503889.27723596705</v>
      </c>
      <c r="BG957" s="24">
        <f t="shared" ca="1" si="746"/>
        <v>6046671.3268316044</v>
      </c>
      <c r="BH957" s="24">
        <f t="shared" ca="1" si="747"/>
        <v>89.16984597726713</v>
      </c>
      <c r="BI957">
        <f t="shared" ca="1" si="748"/>
        <v>0</v>
      </c>
      <c r="BJ957" s="24">
        <f t="shared" ca="1" si="749"/>
        <v>624.18892184086985</v>
      </c>
      <c r="BK957">
        <f t="shared" ca="1" si="750"/>
        <v>1</v>
      </c>
      <c r="BL957" s="25">
        <f t="shared" ca="1" si="751"/>
        <v>52.015743486739161</v>
      </c>
      <c r="BM957" s="32">
        <f t="shared" ca="1" si="730"/>
        <v>3486.1646968688033</v>
      </c>
      <c r="BN957" s="23">
        <f t="shared" ca="1" si="752"/>
        <v>0</v>
      </c>
      <c r="BO957" s="24">
        <f t="shared" ca="1" si="753"/>
        <v>0</v>
      </c>
      <c r="BP957" s="25">
        <f t="shared" ca="1" si="754"/>
        <v>0</v>
      </c>
      <c r="BQ957" s="34">
        <f t="shared" ca="1" si="755"/>
        <v>74541</v>
      </c>
      <c r="BR957" s="23">
        <f t="shared" ca="1" si="756"/>
        <v>3486.1646968688033</v>
      </c>
      <c r="BS957" s="24">
        <f t="shared" ca="1" si="757"/>
        <v>0</v>
      </c>
      <c r="BT957" s="24">
        <f t="shared" ca="1" si="762"/>
        <v>0</v>
      </c>
      <c r="BU957" s="24">
        <f t="shared" ca="1" si="758"/>
        <v>0</v>
      </c>
      <c r="BV957" s="24">
        <f t="shared" ca="1" si="763"/>
        <v>0</v>
      </c>
      <c r="BW957" s="24">
        <f t="shared" ca="1" si="759"/>
        <v>-52.015743486739161</v>
      </c>
      <c r="BX957" s="25">
        <f t="shared" ca="1" si="764"/>
        <v>-672.42873530135921</v>
      </c>
      <c r="BY957" s="23">
        <f t="shared" ca="1" si="731"/>
        <v>156.26985390841935</v>
      </c>
      <c r="BZ957" s="24">
        <f t="shared" ca="1" si="732"/>
        <v>0</v>
      </c>
      <c r="CA957" s="24">
        <f t="shared" ca="1" si="765"/>
        <v>0</v>
      </c>
      <c r="CB957" s="24">
        <f t="shared" ca="1" si="733"/>
        <v>0</v>
      </c>
      <c r="CC957" s="24">
        <f t="shared" ca="1" si="766"/>
        <v>0</v>
      </c>
      <c r="CD957" s="24">
        <f t="shared" ca="1" si="734"/>
        <v>-2.3392765157210702</v>
      </c>
      <c r="CE957" s="25">
        <f t="shared" ca="1" si="767"/>
        <v>-30.802064087046084</v>
      </c>
      <c r="CF957" s="23">
        <f t="shared" ca="1" si="768"/>
        <v>5872248.1154806921</v>
      </c>
      <c r="CG957" s="25">
        <f t="array" aca="1" ref="CG957" ca="1">SUM(BF946:BF957/(1+inflation/100)^(AP946:AP957/12))</f>
        <v>267980.53702225391</v>
      </c>
      <c r="CH957" s="32">
        <f ca="1">IFERROR(IF(MOD(AP957-ap_months_since_start,12)=0,ap_drawdown/100*(AQ957+AV957+BA957-BC957),CH956),0)</f>
        <v>548.19524643405828</v>
      </c>
    </row>
    <row r="958" spans="40:86" x14ac:dyDescent="0.25">
      <c r="AN958" s="32">
        <f t="shared" ca="1" si="729"/>
        <v>134.08333333333334</v>
      </c>
      <c r="AO958" s="53">
        <f t="shared" ca="1" si="760"/>
        <v>74542</v>
      </c>
      <c r="AP958" s="22">
        <v>951</v>
      </c>
      <c r="AQ958" s="32">
        <f t="shared" ca="1" si="761"/>
        <v>3486.1646968688033</v>
      </c>
      <c r="AR958" s="23">
        <f t="array" aca="1" ref="AR958" ca="1">SUM(IF(lsc_start_date=AO958,lsc_amount,0))</f>
        <v>0</v>
      </c>
      <c r="AS958" s="24">
        <f t="shared" ca="1" si="735"/>
        <v>0</v>
      </c>
      <c r="AT958" s="24">
        <f t="shared" ca="1" si="736"/>
        <v>0</v>
      </c>
      <c r="AU958" s="24">
        <f t="shared" ca="1" si="737"/>
        <v>0</v>
      </c>
      <c r="AV958" s="25">
        <f t="shared" ca="1" si="738"/>
        <v>0</v>
      </c>
      <c r="AW958" s="23">
        <f t="array" aca="1" ref="AW958" ca="1">SUM(IF(rcs_start_date&lt;=AO958,1,0)*IF(rcs_end_date&gt;=AO958,1,0)*rcs_amount*(1+rcs_escalation/100)^(INT((AP958-rcs_months_since_start)/12))*IF(MOD((AP958-rcs_months_since_start),rcs_frequency)=0,1,0)*IF(rcs_frequency=13,0,1))+SUM(IF(rcs_start_date=AO958,rcs_amount,0)*IF(rcs_frequency=13,1,0))</f>
        <v>0</v>
      </c>
      <c r="AX958" s="24">
        <f t="shared" ca="1" si="739"/>
        <v>0</v>
      </c>
      <c r="AY958" s="24">
        <f t="shared" ca="1" si="740"/>
        <v>0</v>
      </c>
      <c r="AZ958" s="24">
        <f t="shared" ca="1" si="741"/>
        <v>0</v>
      </c>
      <c r="BA958" s="25">
        <f t="shared" ca="1" si="742"/>
        <v>0</v>
      </c>
      <c r="BB958" s="23">
        <f t="array" aca="1" ref="BB958" ca="1">SUM(IF(w_start_date&lt;=AO958,1,0)*IF(w_end_date&gt;=AO958,1,0)*w_amount*(1+w_escalation/100)^(INT((AP958-w_months_since_start)/12))*IF(MOD(AP958-w_months_since_start,w_frequency)=0,1,0)*IF(w_frequency=13,0,1))+SUM(IF(w_start_date=AO958,w_amount,0)*IF(w_frequency=13,1,0))</f>
        <v>0</v>
      </c>
      <c r="BC958" s="25">
        <f t="shared" ca="1" si="743"/>
        <v>0</v>
      </c>
      <c r="BD958" s="24" t="b">
        <f t="shared" ca="1" si="744"/>
        <v>1</v>
      </c>
      <c r="BE958" s="24" t="b">
        <f t="shared" ca="1" si="745"/>
        <v>1</v>
      </c>
      <c r="BF958" s="23">
        <f t="array" aca="1" ref="BF958" ca="1">SUM(IF(BD958,1,0)*IF(ap_start_date&lt;=AO958,1,0)*IF(ap_end_date&gt;=AO958,1,0)*ap_amount*(1+ap_escalation/100)^(INT((AP958-ap_months_since_start)/12))*IF(MOD(AP958-ap_months_since_start,ap_frequency)=0,1,0))</f>
        <v>503889.27723596705</v>
      </c>
      <c r="BG958" s="24">
        <f t="shared" ca="1" si="746"/>
        <v>6046671.3268316044</v>
      </c>
      <c r="BH958" s="24">
        <f t="shared" ca="1" si="747"/>
        <v>89.16984597726713</v>
      </c>
      <c r="BI958">
        <f t="shared" ca="1" si="748"/>
        <v>0</v>
      </c>
      <c r="BJ958" s="24">
        <f t="shared" ca="1" si="749"/>
        <v>624.18892184086985</v>
      </c>
      <c r="BK958">
        <f t="shared" ca="1" si="750"/>
        <v>1</v>
      </c>
      <c r="BL958" s="25">
        <f t="shared" ca="1" si="751"/>
        <v>52.015743486739161</v>
      </c>
      <c r="BM958" s="32">
        <f t="shared" ca="1" si="730"/>
        <v>3458.8999752048612</v>
      </c>
      <c r="BN958" s="23">
        <f t="shared" ca="1" si="752"/>
        <v>0</v>
      </c>
      <c r="BO958" s="24">
        <f t="shared" ca="1" si="753"/>
        <v>0</v>
      </c>
      <c r="BP958" s="25">
        <f t="shared" ca="1" si="754"/>
        <v>0</v>
      </c>
      <c r="BQ958" s="34">
        <f t="shared" ca="1" si="755"/>
        <v>74570</v>
      </c>
      <c r="BR958" s="23">
        <f t="shared" ca="1" si="756"/>
        <v>3458.8999752048612</v>
      </c>
      <c r="BS958" s="24">
        <f t="shared" ca="1" si="757"/>
        <v>0</v>
      </c>
      <c r="BT958" s="24">
        <f t="shared" ca="1" si="762"/>
        <v>0</v>
      </c>
      <c r="BU958" s="24">
        <f t="shared" ca="1" si="758"/>
        <v>0</v>
      </c>
      <c r="BV958" s="24">
        <f t="shared" ca="1" si="763"/>
        <v>0</v>
      </c>
      <c r="BW958" s="24">
        <f t="shared" ca="1" si="759"/>
        <v>-52.015743486739161</v>
      </c>
      <c r="BX958" s="25">
        <f t="shared" ca="1" si="764"/>
        <v>-667.06875602797152</v>
      </c>
      <c r="BY958" s="23">
        <f t="shared" ca="1" si="731"/>
        <v>154.54176352135144</v>
      </c>
      <c r="BZ958" s="24">
        <f t="shared" ca="1" si="732"/>
        <v>0</v>
      </c>
      <c r="CA958" s="24">
        <f t="shared" ca="1" si="765"/>
        <v>0</v>
      </c>
      <c r="CB958" s="24">
        <f t="shared" ca="1" si="733"/>
        <v>0</v>
      </c>
      <c r="CC958" s="24">
        <f t="shared" ca="1" si="766"/>
        <v>0</v>
      </c>
      <c r="CD958" s="24">
        <f t="shared" ca="1" si="734"/>
        <v>-2.3316433222192221</v>
      </c>
      <c r="CE958" s="25">
        <f t="shared" ca="1" si="767"/>
        <v>-30.45892280871707</v>
      </c>
      <c r="CF958" s="23">
        <f t="shared" ca="1" si="768"/>
        <v>5891628.4722974598</v>
      </c>
      <c r="CG958" s="25">
        <f t="array" aca="1" ref="CG958" ca="1">SUM(BF947:BF958/(1+inflation/100)^(AP947:AP958/12))</f>
        <v>267980.53702225391</v>
      </c>
      <c r="CH958" s="32">
        <f ca="1">IFERROR(IF(MOD(AP958-ap_months_since_start,12)=0,ap_drawdown/100*(AQ958+AV958+BA958-BC958),CH957),0)</f>
        <v>548.19524643405828</v>
      </c>
    </row>
    <row r="959" spans="40:86" x14ac:dyDescent="0.25">
      <c r="AN959" s="32">
        <f t="shared" ca="1" si="729"/>
        <v>134.16666666666666</v>
      </c>
      <c r="AO959" s="53">
        <f t="shared" ca="1" si="760"/>
        <v>74571</v>
      </c>
      <c r="AP959" s="22">
        <v>952</v>
      </c>
      <c r="AQ959" s="32">
        <f t="shared" ca="1" si="761"/>
        <v>3458.8999752048612</v>
      </c>
      <c r="AR959" s="23">
        <f t="array" aca="1" ref="AR959" ca="1">SUM(IF(lsc_start_date=AO959,lsc_amount,0))</f>
        <v>0</v>
      </c>
      <c r="AS959" s="24">
        <f t="shared" ca="1" si="735"/>
        <v>0</v>
      </c>
      <c r="AT959" s="24">
        <f t="shared" ca="1" si="736"/>
        <v>0</v>
      </c>
      <c r="AU959" s="24">
        <f t="shared" ca="1" si="737"/>
        <v>0</v>
      </c>
      <c r="AV959" s="25">
        <f t="shared" ca="1" si="738"/>
        <v>0</v>
      </c>
      <c r="AW959" s="23">
        <f t="array" aca="1" ref="AW959" ca="1">SUM(IF(rcs_start_date&lt;=AO959,1,0)*IF(rcs_end_date&gt;=AO959,1,0)*rcs_amount*(1+rcs_escalation/100)^(INT((AP959-rcs_months_since_start)/12))*IF(MOD((AP959-rcs_months_since_start),rcs_frequency)=0,1,0)*IF(rcs_frequency=13,0,1))+SUM(IF(rcs_start_date=AO959,rcs_amount,0)*IF(rcs_frequency=13,1,0))</f>
        <v>0</v>
      </c>
      <c r="AX959" s="24">
        <f t="shared" ca="1" si="739"/>
        <v>0</v>
      </c>
      <c r="AY959" s="24">
        <f t="shared" ca="1" si="740"/>
        <v>0</v>
      </c>
      <c r="AZ959" s="24">
        <f t="shared" ca="1" si="741"/>
        <v>0</v>
      </c>
      <c r="BA959" s="25">
        <f t="shared" ca="1" si="742"/>
        <v>0</v>
      </c>
      <c r="BB959" s="23">
        <f t="array" aca="1" ref="BB959" ca="1">SUM(IF(w_start_date&lt;=AO959,1,0)*IF(w_end_date&gt;=AO959,1,0)*w_amount*(1+w_escalation/100)^(INT((AP959-w_months_since_start)/12))*IF(MOD(AP959-w_months_since_start,w_frequency)=0,1,0)*IF(w_frequency=13,0,1))+SUM(IF(w_start_date=AO959,w_amount,0)*IF(w_frequency=13,1,0))</f>
        <v>0</v>
      </c>
      <c r="BC959" s="25">
        <f t="shared" ca="1" si="743"/>
        <v>0</v>
      </c>
      <c r="BD959" s="24" t="b">
        <f t="shared" ca="1" si="744"/>
        <v>1</v>
      </c>
      <c r="BE959" s="24" t="b">
        <f t="shared" ca="1" si="745"/>
        <v>1</v>
      </c>
      <c r="BF959" s="23">
        <f t="array" aca="1" ref="BF959" ca="1">SUM(IF(BD959,1,0)*IF(ap_start_date&lt;=AO959,1,0)*IF(ap_end_date&gt;=AO959,1,0)*ap_amount*(1+ap_escalation/100)^(INT((AP959-ap_months_since_start)/12))*IF(MOD(AP959-ap_months_since_start,ap_frequency)=0,1,0))</f>
        <v>503889.27723596705</v>
      </c>
      <c r="BG959" s="24">
        <f t="shared" ca="1" si="746"/>
        <v>6046671.3268316044</v>
      </c>
      <c r="BH959" s="24">
        <f t="shared" ca="1" si="747"/>
        <v>89.16984597726713</v>
      </c>
      <c r="BI959">
        <f t="shared" ca="1" si="748"/>
        <v>0</v>
      </c>
      <c r="BJ959" s="24">
        <f t="shared" ca="1" si="749"/>
        <v>624.18892184086985</v>
      </c>
      <c r="BK959">
        <f t="shared" ca="1" si="750"/>
        <v>1</v>
      </c>
      <c r="BL959" s="25">
        <f t="shared" ca="1" si="751"/>
        <v>52.015743486739161</v>
      </c>
      <c r="BM959" s="32">
        <f t="shared" ca="1" si="730"/>
        <v>3431.4387478767626</v>
      </c>
      <c r="BN959" s="23">
        <f t="shared" ca="1" si="752"/>
        <v>0</v>
      </c>
      <c r="BO959" s="24">
        <f t="shared" ca="1" si="753"/>
        <v>0</v>
      </c>
      <c r="BP959" s="25">
        <f t="shared" ca="1" si="754"/>
        <v>0</v>
      </c>
      <c r="BQ959" s="34">
        <f t="shared" ca="1" si="755"/>
        <v>74601</v>
      </c>
      <c r="BR959" s="23">
        <f t="shared" ca="1" si="756"/>
        <v>3431.4387478767626</v>
      </c>
      <c r="BS959" s="24">
        <f t="shared" ca="1" si="757"/>
        <v>0</v>
      </c>
      <c r="BT959" s="24">
        <f t="shared" ca="1" si="762"/>
        <v>0</v>
      </c>
      <c r="BU959" s="24">
        <f t="shared" ca="1" si="758"/>
        <v>0</v>
      </c>
      <c r="BV959" s="24">
        <f t="shared" ca="1" si="763"/>
        <v>0</v>
      </c>
      <c r="BW959" s="24">
        <f t="shared" ca="1" si="759"/>
        <v>-52.015743486739161</v>
      </c>
      <c r="BX959" s="25">
        <f t="shared" ca="1" si="764"/>
        <v>-661.70877675458382</v>
      </c>
      <c r="BY959" s="23">
        <f t="shared" ca="1" si="731"/>
        <v>152.81453584343669</v>
      </c>
      <c r="BZ959" s="24">
        <f t="shared" ca="1" si="732"/>
        <v>0</v>
      </c>
      <c r="CA959" s="24">
        <f t="shared" ca="1" si="765"/>
        <v>0</v>
      </c>
      <c r="CB959" s="24">
        <f t="shared" ca="1" si="733"/>
        <v>0</v>
      </c>
      <c r="CC959" s="24">
        <f t="shared" ca="1" si="766"/>
        <v>0</v>
      </c>
      <c r="CD959" s="24">
        <f t="shared" ca="1" si="734"/>
        <v>-2.3240350362657756</v>
      </c>
      <c r="CE959" s="25">
        <f t="shared" ca="1" si="767"/>
        <v>-30.116901220069181</v>
      </c>
      <c r="CF959" s="23">
        <f t="shared" ca="1" si="768"/>
        <v>5911008.8291142285</v>
      </c>
      <c r="CG959" s="25">
        <f t="array" aca="1" ref="CG959" ca="1">SUM(BF948:BF959/(1+inflation/100)^(AP948:AP959/12))</f>
        <v>267980.53702225391</v>
      </c>
      <c r="CH959" s="32">
        <f ca="1">IFERROR(IF(MOD(AP959-ap_months_since_start,12)=0,ap_drawdown/100*(AQ959+AV959+BA959-BC959),CH958),0)</f>
        <v>548.19524643405828</v>
      </c>
    </row>
    <row r="960" spans="40:86" x14ac:dyDescent="0.25">
      <c r="AN960" s="32">
        <f t="shared" ca="1" si="729"/>
        <v>134.25</v>
      </c>
      <c r="AO960" s="53">
        <f t="shared" ca="1" si="760"/>
        <v>74602</v>
      </c>
      <c r="AP960" s="22">
        <v>953</v>
      </c>
      <c r="AQ960" s="32">
        <f t="shared" ca="1" si="761"/>
        <v>3431.4387478767626</v>
      </c>
      <c r="AR960" s="23">
        <f t="array" aca="1" ref="AR960" ca="1">SUM(IF(lsc_start_date=AO960,lsc_amount,0))</f>
        <v>0</v>
      </c>
      <c r="AS960" s="24">
        <f t="shared" ca="1" si="735"/>
        <v>0</v>
      </c>
      <c r="AT960" s="24">
        <f t="shared" ca="1" si="736"/>
        <v>0</v>
      </c>
      <c r="AU960" s="24">
        <f t="shared" ca="1" si="737"/>
        <v>0</v>
      </c>
      <c r="AV960" s="25">
        <f t="shared" ca="1" si="738"/>
        <v>0</v>
      </c>
      <c r="AW960" s="23">
        <f t="array" aca="1" ref="AW960" ca="1">SUM(IF(rcs_start_date&lt;=AO960,1,0)*IF(rcs_end_date&gt;=AO960,1,0)*rcs_amount*(1+rcs_escalation/100)^(INT((AP960-rcs_months_since_start)/12))*IF(MOD((AP960-rcs_months_since_start),rcs_frequency)=0,1,0)*IF(rcs_frequency=13,0,1))+SUM(IF(rcs_start_date=AO960,rcs_amount,0)*IF(rcs_frequency=13,1,0))</f>
        <v>0</v>
      </c>
      <c r="AX960" s="24">
        <f t="shared" ca="1" si="739"/>
        <v>0</v>
      </c>
      <c r="AY960" s="24">
        <f t="shared" ca="1" si="740"/>
        <v>0</v>
      </c>
      <c r="AZ960" s="24">
        <f t="shared" ca="1" si="741"/>
        <v>0</v>
      </c>
      <c r="BA960" s="25">
        <f t="shared" ca="1" si="742"/>
        <v>0</v>
      </c>
      <c r="BB960" s="23">
        <f t="array" aca="1" ref="BB960" ca="1">SUM(IF(w_start_date&lt;=AO960,1,0)*IF(w_end_date&gt;=AO960,1,0)*w_amount*(1+w_escalation/100)^(INT((AP960-w_months_since_start)/12))*IF(MOD(AP960-w_months_since_start,w_frequency)=0,1,0)*IF(w_frequency=13,0,1))+SUM(IF(w_start_date=AO960,w_amount,0)*IF(w_frequency=13,1,0))</f>
        <v>0</v>
      </c>
      <c r="BC960" s="25">
        <f t="shared" ca="1" si="743"/>
        <v>0</v>
      </c>
      <c r="BD960" s="24" t="b">
        <f t="shared" ca="1" si="744"/>
        <v>1</v>
      </c>
      <c r="BE960" s="24" t="b">
        <f t="shared" ca="1" si="745"/>
        <v>1</v>
      </c>
      <c r="BF960" s="23">
        <f t="array" aca="1" ref="BF960" ca="1">SUM(IF(BD960,1,0)*IF(ap_start_date&lt;=AO960,1,0)*IF(ap_end_date&gt;=AO960,1,0)*ap_amount*(1+ap_escalation/100)^(INT((AP960-ap_months_since_start)/12))*IF(MOD(AP960-ap_months_since_start,ap_frequency)=0,1,0))</f>
        <v>503889.27723596705</v>
      </c>
      <c r="BG960" s="24">
        <f t="shared" ca="1" si="746"/>
        <v>6046671.3268316044</v>
      </c>
      <c r="BH960" s="24">
        <f t="shared" ca="1" si="747"/>
        <v>89.16984597726713</v>
      </c>
      <c r="BI960">
        <f t="shared" ca="1" si="748"/>
        <v>0</v>
      </c>
      <c r="BJ960" s="24">
        <f t="shared" ca="1" si="749"/>
        <v>624.18892184086985</v>
      </c>
      <c r="BK960">
        <f t="shared" ca="1" si="750"/>
        <v>1</v>
      </c>
      <c r="BL960" s="25">
        <f t="shared" ca="1" si="751"/>
        <v>52.015743486739161</v>
      </c>
      <c r="BM960" s="32">
        <f t="shared" ca="1" si="730"/>
        <v>3403.7795986046522</v>
      </c>
      <c r="BN960" s="23">
        <f t="shared" ca="1" si="752"/>
        <v>0</v>
      </c>
      <c r="BO960" s="24">
        <f t="shared" ca="1" si="753"/>
        <v>0</v>
      </c>
      <c r="BP960" s="25">
        <f t="shared" ca="1" si="754"/>
        <v>0</v>
      </c>
      <c r="BQ960" s="34">
        <f t="shared" ca="1" si="755"/>
        <v>74631</v>
      </c>
      <c r="BR960" s="23">
        <f t="shared" ca="1" si="756"/>
        <v>3403.7795986046522</v>
      </c>
      <c r="BS960" s="24">
        <f t="shared" ca="1" si="757"/>
        <v>0</v>
      </c>
      <c r="BT960" s="24">
        <f t="shared" ca="1" si="762"/>
        <v>0</v>
      </c>
      <c r="BU960" s="24">
        <f t="shared" ca="1" si="758"/>
        <v>0</v>
      </c>
      <c r="BV960" s="24">
        <f t="shared" ca="1" si="763"/>
        <v>0</v>
      </c>
      <c r="BW960" s="24">
        <f t="shared" ca="1" si="759"/>
        <v>-52.015743486739161</v>
      </c>
      <c r="BX960" s="25">
        <f t="shared" ca="1" si="764"/>
        <v>-656.34879748119613</v>
      </c>
      <c r="BY960" s="23">
        <f t="shared" ca="1" si="731"/>
        <v>151.08814933352909</v>
      </c>
      <c r="BZ960" s="24">
        <f t="shared" ca="1" si="732"/>
        <v>0</v>
      </c>
      <c r="CA960" s="24">
        <f t="shared" ca="1" si="765"/>
        <v>0</v>
      </c>
      <c r="CB960" s="24">
        <f t="shared" ca="1" si="733"/>
        <v>0</v>
      </c>
      <c r="CC960" s="24">
        <f t="shared" ca="1" si="766"/>
        <v>0</v>
      </c>
      <c r="CD960" s="24">
        <f t="shared" ca="1" si="734"/>
        <v>-2.316451576585969</v>
      </c>
      <c r="CE960" s="25">
        <f t="shared" ca="1" si="767"/>
        <v>-29.775995667490744</v>
      </c>
      <c r="CF960" s="23">
        <f t="shared" ca="1" si="768"/>
        <v>5930389.1859309962</v>
      </c>
      <c r="CG960" s="25">
        <f t="array" aca="1" ref="CG960" ca="1">SUM(BF949:BF960/(1+inflation/100)^(AP949:AP960/12))</f>
        <v>267980.53702225391</v>
      </c>
      <c r="CH960" s="32">
        <f ca="1">IFERROR(IF(MOD(AP960-ap_months_since_start,12)=0,ap_drawdown/100*(AQ960+AV960+BA960-BC960),CH959),0)</f>
        <v>548.19524643405828</v>
      </c>
    </row>
    <row r="961" spans="40:86" x14ac:dyDescent="0.25">
      <c r="AN961" s="32">
        <f t="shared" ca="1" si="729"/>
        <v>134.33333333333334</v>
      </c>
      <c r="AO961" s="53">
        <f t="shared" ca="1" si="760"/>
        <v>74632</v>
      </c>
      <c r="AP961" s="22">
        <v>954</v>
      </c>
      <c r="AQ961" s="32">
        <f t="shared" ca="1" si="761"/>
        <v>3403.7795986046522</v>
      </c>
      <c r="AR961" s="23">
        <f t="array" aca="1" ref="AR961" ca="1">SUM(IF(lsc_start_date=AO961,lsc_amount,0))</f>
        <v>0</v>
      </c>
      <c r="AS961" s="24">
        <f t="shared" ca="1" si="735"/>
        <v>0</v>
      </c>
      <c r="AT961" s="24">
        <f t="shared" ca="1" si="736"/>
        <v>0</v>
      </c>
      <c r="AU961" s="24">
        <f t="shared" ca="1" si="737"/>
        <v>0</v>
      </c>
      <c r="AV961" s="25">
        <f t="shared" ca="1" si="738"/>
        <v>0</v>
      </c>
      <c r="AW961" s="23">
        <f t="array" aca="1" ref="AW961" ca="1">SUM(IF(rcs_start_date&lt;=AO961,1,0)*IF(rcs_end_date&gt;=AO961,1,0)*rcs_amount*(1+rcs_escalation/100)^(INT((AP961-rcs_months_since_start)/12))*IF(MOD((AP961-rcs_months_since_start),rcs_frequency)=0,1,0)*IF(rcs_frequency=13,0,1))+SUM(IF(rcs_start_date=AO961,rcs_amount,0)*IF(rcs_frequency=13,1,0))</f>
        <v>0</v>
      </c>
      <c r="AX961" s="24">
        <f t="shared" ca="1" si="739"/>
        <v>0</v>
      </c>
      <c r="AY961" s="24">
        <f t="shared" ca="1" si="740"/>
        <v>0</v>
      </c>
      <c r="AZ961" s="24">
        <f t="shared" ca="1" si="741"/>
        <v>0</v>
      </c>
      <c r="BA961" s="25">
        <f t="shared" ca="1" si="742"/>
        <v>0</v>
      </c>
      <c r="BB961" s="23">
        <f t="array" aca="1" ref="BB961" ca="1">SUM(IF(w_start_date&lt;=AO961,1,0)*IF(w_end_date&gt;=AO961,1,0)*w_amount*(1+w_escalation/100)^(INT((AP961-w_months_since_start)/12))*IF(MOD(AP961-w_months_since_start,w_frequency)=0,1,0)*IF(w_frequency=13,0,1))+SUM(IF(w_start_date=AO961,w_amount,0)*IF(w_frequency=13,1,0))</f>
        <v>0</v>
      </c>
      <c r="BC961" s="25">
        <f t="shared" ca="1" si="743"/>
        <v>0</v>
      </c>
      <c r="BD961" s="24" t="b">
        <f t="shared" ca="1" si="744"/>
        <v>1</v>
      </c>
      <c r="BE961" s="24" t="b">
        <f t="shared" ca="1" si="745"/>
        <v>1</v>
      </c>
      <c r="BF961" s="23">
        <f t="array" aca="1" ref="BF961" ca="1">SUM(IF(BD961,1,0)*IF(ap_start_date&lt;=AO961,1,0)*IF(ap_end_date&gt;=AO961,1,0)*ap_amount*(1+ap_escalation/100)^(INT((AP961-ap_months_since_start)/12))*IF(MOD(AP961-ap_months_since_start,ap_frequency)=0,1,0))</f>
        <v>503889.27723596705</v>
      </c>
      <c r="BG961" s="24">
        <f t="shared" ca="1" si="746"/>
        <v>6046671.3268316044</v>
      </c>
      <c r="BH961" s="24">
        <f t="shared" ca="1" si="747"/>
        <v>89.16984597726713</v>
      </c>
      <c r="BI961">
        <f t="shared" ca="1" si="748"/>
        <v>0</v>
      </c>
      <c r="BJ961" s="24">
        <f t="shared" ca="1" si="749"/>
        <v>624.18892184086985</v>
      </c>
      <c r="BK961">
        <f t="shared" ca="1" si="750"/>
        <v>1</v>
      </c>
      <c r="BL961" s="25">
        <f t="shared" ca="1" si="751"/>
        <v>52.015743486739161</v>
      </c>
      <c r="BM961" s="32">
        <f t="shared" ca="1" si="730"/>
        <v>3375.9211009010887</v>
      </c>
      <c r="BN961" s="23">
        <f t="shared" ca="1" si="752"/>
        <v>0</v>
      </c>
      <c r="BO961" s="24">
        <f t="shared" ca="1" si="753"/>
        <v>0</v>
      </c>
      <c r="BP961" s="25">
        <f t="shared" ca="1" si="754"/>
        <v>0</v>
      </c>
      <c r="BQ961" s="34">
        <f t="shared" ca="1" si="755"/>
        <v>74662</v>
      </c>
      <c r="BR961" s="23">
        <f t="shared" ca="1" si="756"/>
        <v>3375.9211009010887</v>
      </c>
      <c r="BS961" s="24">
        <f t="shared" ca="1" si="757"/>
        <v>0</v>
      </c>
      <c r="BT961" s="24">
        <f t="shared" ca="1" si="762"/>
        <v>0</v>
      </c>
      <c r="BU961" s="24">
        <f t="shared" ca="1" si="758"/>
        <v>0</v>
      </c>
      <c r="BV961" s="24">
        <f t="shared" ca="1" si="763"/>
        <v>0</v>
      </c>
      <c r="BW961" s="24">
        <f t="shared" ca="1" si="759"/>
        <v>-52.015743486739161</v>
      </c>
      <c r="BX961" s="25">
        <f t="shared" ca="1" si="764"/>
        <v>-650.98881820780844</v>
      </c>
      <c r="BY961" s="23">
        <f t="shared" ca="1" si="731"/>
        <v>149.36258244735245</v>
      </c>
      <c r="BZ961" s="24">
        <f t="shared" ca="1" si="732"/>
        <v>0</v>
      </c>
      <c r="CA961" s="24">
        <f t="shared" ca="1" si="765"/>
        <v>0</v>
      </c>
      <c r="CB961" s="24">
        <f t="shared" ca="1" si="733"/>
        <v>0</v>
      </c>
      <c r="CC961" s="24">
        <f t="shared" ca="1" si="766"/>
        <v>0</v>
      </c>
      <c r="CD961" s="24">
        <f t="shared" ca="1" si="734"/>
        <v>-2.3088928621702469</v>
      </c>
      <c r="CE961" s="25">
        <f t="shared" ca="1" si="767"/>
        <v>-29.436202509292016</v>
      </c>
      <c r="CF961" s="23">
        <f t="shared" ca="1" si="768"/>
        <v>5949769.5427477648</v>
      </c>
      <c r="CG961" s="25">
        <f t="array" aca="1" ref="CG961" ca="1">SUM(BF950:BF961/(1+inflation/100)^(AP950:AP961/12))</f>
        <v>267980.53702225391</v>
      </c>
      <c r="CH961" s="32">
        <f ca="1">IFERROR(IF(MOD(AP961-ap_months_since_start,12)=0,ap_drawdown/100*(AQ961+AV961+BA961-BC961),CH960),0)</f>
        <v>548.19524643405828</v>
      </c>
    </row>
    <row r="962" spans="40:86" x14ac:dyDescent="0.25">
      <c r="AN962" s="32">
        <f t="shared" ca="1" si="729"/>
        <v>134.41666666666666</v>
      </c>
      <c r="AO962" s="53">
        <f t="shared" ca="1" si="760"/>
        <v>74663</v>
      </c>
      <c r="AP962" s="22">
        <v>955</v>
      </c>
      <c r="AQ962" s="32">
        <f t="shared" ca="1" si="761"/>
        <v>3375.9211009010887</v>
      </c>
      <c r="AR962" s="23">
        <f t="array" aca="1" ref="AR962" ca="1">SUM(IF(lsc_start_date=AO962,lsc_amount,0))</f>
        <v>0</v>
      </c>
      <c r="AS962" s="24">
        <f t="shared" ca="1" si="735"/>
        <v>0</v>
      </c>
      <c r="AT962" s="24">
        <f t="shared" ca="1" si="736"/>
        <v>0</v>
      </c>
      <c r="AU962" s="24">
        <f t="shared" ca="1" si="737"/>
        <v>0</v>
      </c>
      <c r="AV962" s="25">
        <f t="shared" ca="1" si="738"/>
        <v>0</v>
      </c>
      <c r="AW962" s="23">
        <f t="array" aca="1" ref="AW962" ca="1">SUM(IF(rcs_start_date&lt;=AO962,1,0)*IF(rcs_end_date&gt;=AO962,1,0)*rcs_amount*(1+rcs_escalation/100)^(INT((AP962-rcs_months_since_start)/12))*IF(MOD((AP962-rcs_months_since_start),rcs_frequency)=0,1,0)*IF(rcs_frequency=13,0,1))+SUM(IF(rcs_start_date=AO962,rcs_amount,0)*IF(rcs_frequency=13,1,0))</f>
        <v>0</v>
      </c>
      <c r="AX962" s="24">
        <f t="shared" ca="1" si="739"/>
        <v>0</v>
      </c>
      <c r="AY962" s="24">
        <f t="shared" ca="1" si="740"/>
        <v>0</v>
      </c>
      <c r="AZ962" s="24">
        <f t="shared" ca="1" si="741"/>
        <v>0</v>
      </c>
      <c r="BA962" s="25">
        <f t="shared" ca="1" si="742"/>
        <v>0</v>
      </c>
      <c r="BB962" s="23">
        <f t="array" aca="1" ref="BB962" ca="1">SUM(IF(w_start_date&lt;=AO962,1,0)*IF(w_end_date&gt;=AO962,1,0)*w_amount*(1+w_escalation/100)^(INT((AP962-w_months_since_start)/12))*IF(MOD(AP962-w_months_since_start,w_frequency)=0,1,0)*IF(w_frequency=13,0,1))+SUM(IF(w_start_date=AO962,w_amount,0)*IF(w_frequency=13,1,0))</f>
        <v>0</v>
      </c>
      <c r="BC962" s="25">
        <f t="shared" ca="1" si="743"/>
        <v>0</v>
      </c>
      <c r="BD962" s="24" t="b">
        <f t="shared" ca="1" si="744"/>
        <v>1</v>
      </c>
      <c r="BE962" s="24" t="b">
        <f t="shared" ca="1" si="745"/>
        <v>1</v>
      </c>
      <c r="BF962" s="23">
        <f t="array" aca="1" ref="BF962" ca="1">SUM(IF(BD962,1,0)*IF(ap_start_date&lt;=AO962,1,0)*IF(ap_end_date&gt;=AO962,1,0)*ap_amount*(1+ap_escalation/100)^(INT((AP962-ap_months_since_start)/12))*IF(MOD(AP962-ap_months_since_start,ap_frequency)=0,1,0))</f>
        <v>503889.27723596705</v>
      </c>
      <c r="BG962" s="24">
        <f t="shared" ca="1" si="746"/>
        <v>6046671.3268316044</v>
      </c>
      <c r="BH962" s="24">
        <f t="shared" ca="1" si="747"/>
        <v>89.16984597726713</v>
      </c>
      <c r="BI962">
        <f t="shared" ca="1" si="748"/>
        <v>0</v>
      </c>
      <c r="BJ962" s="24">
        <f t="shared" ca="1" si="749"/>
        <v>624.18892184086985</v>
      </c>
      <c r="BK962">
        <f t="shared" ca="1" si="750"/>
        <v>1</v>
      </c>
      <c r="BL962" s="25">
        <f t="shared" ca="1" si="751"/>
        <v>52.015743486739161</v>
      </c>
      <c r="BM962" s="32">
        <f t="shared" ca="1" si="730"/>
        <v>3347.8618179974737</v>
      </c>
      <c r="BN962" s="23">
        <f t="shared" ca="1" si="752"/>
        <v>0</v>
      </c>
      <c r="BO962" s="24">
        <f t="shared" ca="1" si="753"/>
        <v>0</v>
      </c>
      <c r="BP962" s="25">
        <f t="shared" ca="1" si="754"/>
        <v>0</v>
      </c>
      <c r="BQ962" s="34">
        <f t="shared" ca="1" si="755"/>
        <v>74692</v>
      </c>
      <c r="BR962" s="23">
        <f t="shared" ca="1" si="756"/>
        <v>3347.8618179974737</v>
      </c>
      <c r="BS962" s="24">
        <f t="shared" ca="1" si="757"/>
        <v>0</v>
      </c>
      <c r="BT962" s="24">
        <f t="shared" ca="1" si="762"/>
        <v>0</v>
      </c>
      <c r="BU962" s="24">
        <f t="shared" ca="1" si="758"/>
        <v>0</v>
      </c>
      <c r="BV962" s="24">
        <f t="shared" ca="1" si="763"/>
        <v>0</v>
      </c>
      <c r="BW962" s="24">
        <f t="shared" ca="1" si="759"/>
        <v>-52.015743486739161</v>
      </c>
      <c r="BX962" s="25">
        <f t="shared" ca="1" si="764"/>
        <v>-645.62883893442074</v>
      </c>
      <c r="BY962" s="23">
        <f t="shared" ca="1" si="731"/>
        <v>147.63781363722273</v>
      </c>
      <c r="BZ962" s="24">
        <f t="shared" ca="1" si="732"/>
        <v>0</v>
      </c>
      <c r="CA962" s="24">
        <f t="shared" ca="1" si="765"/>
        <v>0</v>
      </c>
      <c r="CB962" s="24">
        <f t="shared" ca="1" si="733"/>
        <v>0</v>
      </c>
      <c r="CC962" s="24">
        <f t="shared" ca="1" si="766"/>
        <v>0</v>
      </c>
      <c r="CD962" s="24">
        <f t="shared" ca="1" si="734"/>
        <v>-2.301358812273393</v>
      </c>
      <c r="CE962" s="25">
        <f t="shared" ca="1" si="767"/>
        <v>-29.097518115666311</v>
      </c>
      <c r="CF962" s="23">
        <f t="shared" ca="1" si="768"/>
        <v>5969149.8995645326</v>
      </c>
      <c r="CG962" s="25">
        <f t="array" aca="1" ref="CG962" ca="1">SUM(BF951:BF962/(1+inflation/100)^(AP951:AP962/12))</f>
        <v>267980.53702225391</v>
      </c>
      <c r="CH962" s="32">
        <f ca="1">IFERROR(IF(MOD(AP962-ap_months_since_start,12)=0,ap_drawdown/100*(AQ962+AV962+BA962-BC962),CH961),0)</f>
        <v>548.19524643405828</v>
      </c>
    </row>
    <row r="963" spans="40:86" x14ac:dyDescent="0.25">
      <c r="AN963" s="32">
        <f t="shared" ca="1" si="729"/>
        <v>134.5</v>
      </c>
      <c r="AO963" s="53">
        <f t="shared" ca="1" si="760"/>
        <v>74693</v>
      </c>
      <c r="AP963" s="22">
        <v>956</v>
      </c>
      <c r="AQ963" s="32">
        <f t="shared" ca="1" si="761"/>
        <v>3347.8618179974737</v>
      </c>
      <c r="AR963" s="23">
        <f t="array" aca="1" ref="AR963" ca="1">SUM(IF(lsc_start_date=AO963,lsc_amount,0))</f>
        <v>0</v>
      </c>
      <c r="AS963" s="24">
        <f t="shared" ca="1" si="735"/>
        <v>0</v>
      </c>
      <c r="AT963" s="24">
        <f t="shared" ca="1" si="736"/>
        <v>0</v>
      </c>
      <c r="AU963" s="24">
        <f t="shared" ca="1" si="737"/>
        <v>0</v>
      </c>
      <c r="AV963" s="25">
        <f t="shared" ca="1" si="738"/>
        <v>0</v>
      </c>
      <c r="AW963" s="23">
        <f t="array" aca="1" ref="AW963" ca="1">SUM(IF(rcs_start_date&lt;=AO963,1,0)*IF(rcs_end_date&gt;=AO963,1,0)*rcs_amount*(1+rcs_escalation/100)^(INT((AP963-rcs_months_since_start)/12))*IF(MOD((AP963-rcs_months_since_start),rcs_frequency)=0,1,0)*IF(rcs_frequency=13,0,1))+SUM(IF(rcs_start_date=AO963,rcs_amount,0)*IF(rcs_frequency=13,1,0))</f>
        <v>0</v>
      </c>
      <c r="AX963" s="24">
        <f t="shared" ca="1" si="739"/>
        <v>0</v>
      </c>
      <c r="AY963" s="24">
        <f t="shared" ca="1" si="740"/>
        <v>0</v>
      </c>
      <c r="AZ963" s="24">
        <f t="shared" ca="1" si="741"/>
        <v>0</v>
      </c>
      <c r="BA963" s="25">
        <f t="shared" ca="1" si="742"/>
        <v>0</v>
      </c>
      <c r="BB963" s="23">
        <f t="array" aca="1" ref="BB963" ca="1">SUM(IF(w_start_date&lt;=AO963,1,0)*IF(w_end_date&gt;=AO963,1,0)*w_amount*(1+w_escalation/100)^(INT((AP963-w_months_since_start)/12))*IF(MOD(AP963-w_months_since_start,w_frequency)=0,1,0)*IF(w_frequency=13,0,1))+SUM(IF(w_start_date=AO963,w_amount,0)*IF(w_frequency=13,1,0))</f>
        <v>0</v>
      </c>
      <c r="BC963" s="25">
        <f t="shared" ca="1" si="743"/>
        <v>0</v>
      </c>
      <c r="BD963" s="24" t="b">
        <f t="shared" ca="1" si="744"/>
        <v>1</v>
      </c>
      <c r="BE963" s="24" t="b">
        <f t="shared" ca="1" si="745"/>
        <v>1</v>
      </c>
      <c r="BF963" s="23">
        <f t="array" aca="1" ref="BF963" ca="1">SUM(IF(BD963,1,0)*IF(ap_start_date&lt;=AO963,1,0)*IF(ap_end_date&gt;=AO963,1,0)*ap_amount*(1+ap_escalation/100)^(INT((AP963-ap_months_since_start)/12))*IF(MOD(AP963-ap_months_since_start,ap_frequency)=0,1,0))</f>
        <v>503889.27723596705</v>
      </c>
      <c r="BG963" s="24">
        <f t="shared" ca="1" si="746"/>
        <v>6046671.3268316044</v>
      </c>
      <c r="BH963" s="24">
        <f t="shared" ca="1" si="747"/>
        <v>89.16984597726713</v>
      </c>
      <c r="BI963">
        <f t="shared" ca="1" si="748"/>
        <v>0</v>
      </c>
      <c r="BJ963" s="24">
        <f t="shared" ca="1" si="749"/>
        <v>624.18892184086985</v>
      </c>
      <c r="BK963">
        <f t="shared" ca="1" si="750"/>
        <v>1</v>
      </c>
      <c r="BL963" s="25">
        <f t="shared" ca="1" si="751"/>
        <v>52.015743486739161</v>
      </c>
      <c r="BM963" s="32">
        <f t="shared" ca="1" si="730"/>
        <v>3319.6003027699535</v>
      </c>
      <c r="BN963" s="23">
        <f t="shared" ca="1" si="752"/>
        <v>0</v>
      </c>
      <c r="BO963" s="24">
        <f t="shared" ca="1" si="753"/>
        <v>0</v>
      </c>
      <c r="BP963" s="25">
        <f t="shared" ca="1" si="754"/>
        <v>0</v>
      </c>
      <c r="BQ963" s="34">
        <f t="shared" ca="1" si="755"/>
        <v>74723</v>
      </c>
      <c r="BR963" s="23">
        <f t="shared" ca="1" si="756"/>
        <v>3319.6003027699535</v>
      </c>
      <c r="BS963" s="24">
        <f t="shared" ca="1" si="757"/>
        <v>0</v>
      </c>
      <c r="BT963" s="24">
        <f t="shared" ca="1" si="762"/>
        <v>0</v>
      </c>
      <c r="BU963" s="24">
        <f t="shared" ca="1" si="758"/>
        <v>0</v>
      </c>
      <c r="BV963" s="24">
        <f t="shared" ca="1" si="763"/>
        <v>0</v>
      </c>
      <c r="BW963" s="24">
        <f t="shared" ca="1" si="759"/>
        <v>-52.015743486739161</v>
      </c>
      <c r="BX963" s="25">
        <f t="shared" ca="1" si="764"/>
        <v>-640.26885966103305</v>
      </c>
      <c r="BY963" s="23">
        <f t="shared" ca="1" si="731"/>
        <v>145.91382135177</v>
      </c>
      <c r="BZ963" s="24">
        <f t="shared" ca="1" si="732"/>
        <v>0</v>
      </c>
      <c r="CA963" s="24">
        <f t="shared" ca="1" si="765"/>
        <v>0</v>
      </c>
      <c r="CB963" s="24">
        <f t="shared" ca="1" si="733"/>
        <v>0</v>
      </c>
      <c r="CC963" s="24">
        <f t="shared" ca="1" si="766"/>
        <v>0</v>
      </c>
      <c r="CD963" s="24">
        <f t="shared" ca="1" si="734"/>
        <v>-2.2938493464136678</v>
      </c>
      <c r="CE963" s="25">
        <f t="shared" ca="1" si="767"/>
        <v>-28.759938868651204</v>
      </c>
      <c r="CF963" s="23">
        <f t="shared" ca="1" si="768"/>
        <v>5988530.2563813003</v>
      </c>
      <c r="CG963" s="25">
        <f t="array" aca="1" ref="CG963" ca="1">SUM(BF952:BF963/(1+inflation/100)^(AP952:AP963/12))</f>
        <v>267980.53702225391</v>
      </c>
      <c r="CH963" s="32">
        <f ca="1">IFERROR(IF(MOD(AP963-ap_months_since_start,12)=0,ap_drawdown/100*(AQ963+AV963+BA963-BC963),CH962),0)</f>
        <v>548.19524643405828</v>
      </c>
    </row>
    <row r="964" spans="40:86" x14ac:dyDescent="0.25">
      <c r="AN964" s="32">
        <f t="shared" ca="1" si="729"/>
        <v>134.58333333333334</v>
      </c>
      <c r="AO964" s="53">
        <f t="shared" ca="1" si="760"/>
        <v>74724</v>
      </c>
      <c r="AP964" s="22">
        <v>957</v>
      </c>
      <c r="AQ964" s="32">
        <f t="shared" ca="1" si="761"/>
        <v>3319.6003027699535</v>
      </c>
      <c r="AR964" s="23">
        <f t="array" aca="1" ref="AR964" ca="1">SUM(IF(lsc_start_date=AO964,lsc_amount,0))</f>
        <v>0</v>
      </c>
      <c r="AS964" s="24">
        <f t="shared" ca="1" si="735"/>
        <v>0</v>
      </c>
      <c r="AT964" s="24">
        <f t="shared" ca="1" si="736"/>
        <v>0</v>
      </c>
      <c r="AU964" s="24">
        <f t="shared" ca="1" si="737"/>
        <v>0</v>
      </c>
      <c r="AV964" s="25">
        <f t="shared" ca="1" si="738"/>
        <v>0</v>
      </c>
      <c r="AW964" s="23">
        <f t="array" aca="1" ref="AW964" ca="1">SUM(IF(rcs_start_date&lt;=AO964,1,0)*IF(rcs_end_date&gt;=AO964,1,0)*rcs_amount*(1+rcs_escalation/100)^(INT((AP964-rcs_months_since_start)/12))*IF(MOD((AP964-rcs_months_since_start),rcs_frequency)=0,1,0)*IF(rcs_frequency=13,0,1))+SUM(IF(rcs_start_date=AO964,rcs_amount,0)*IF(rcs_frequency=13,1,0))</f>
        <v>0</v>
      </c>
      <c r="AX964" s="24">
        <f t="shared" ca="1" si="739"/>
        <v>0</v>
      </c>
      <c r="AY964" s="24">
        <f t="shared" ca="1" si="740"/>
        <v>0</v>
      </c>
      <c r="AZ964" s="24">
        <f t="shared" ca="1" si="741"/>
        <v>0</v>
      </c>
      <c r="BA964" s="25">
        <f t="shared" ca="1" si="742"/>
        <v>0</v>
      </c>
      <c r="BB964" s="23">
        <f t="array" aca="1" ref="BB964" ca="1">SUM(IF(w_start_date&lt;=AO964,1,0)*IF(w_end_date&gt;=AO964,1,0)*w_amount*(1+w_escalation/100)^(INT((AP964-w_months_since_start)/12))*IF(MOD(AP964-w_months_since_start,w_frequency)=0,1,0)*IF(w_frequency=13,0,1))+SUM(IF(w_start_date=AO964,w_amount,0)*IF(w_frequency=13,1,0))</f>
        <v>0</v>
      </c>
      <c r="BC964" s="25">
        <f t="shared" ca="1" si="743"/>
        <v>0</v>
      </c>
      <c r="BD964" s="24" t="b">
        <f t="shared" ca="1" si="744"/>
        <v>1</v>
      </c>
      <c r="BE964" s="24" t="b">
        <f t="shared" ca="1" si="745"/>
        <v>1</v>
      </c>
      <c r="BF964" s="23">
        <f t="array" aca="1" ref="BF964" ca="1">SUM(IF(BD964,1,0)*IF(ap_start_date&lt;=AO964,1,0)*IF(ap_end_date&gt;=AO964,1,0)*ap_amount*(1+ap_escalation/100)^(INT((AP964-ap_months_since_start)/12))*IF(MOD(AP964-ap_months_since_start,ap_frequency)=0,1,0))</f>
        <v>503889.27723596705</v>
      </c>
      <c r="BG964" s="24">
        <f t="shared" ca="1" si="746"/>
        <v>6046671.3268316044</v>
      </c>
      <c r="BH964" s="24">
        <f t="shared" ca="1" si="747"/>
        <v>89.16984597726713</v>
      </c>
      <c r="BI964">
        <f t="shared" ca="1" si="748"/>
        <v>0</v>
      </c>
      <c r="BJ964" s="24">
        <f t="shared" ca="1" si="749"/>
        <v>624.18892184086985</v>
      </c>
      <c r="BK964">
        <f t="shared" ca="1" si="750"/>
        <v>1</v>
      </c>
      <c r="BL964" s="25">
        <f t="shared" ca="1" si="751"/>
        <v>52.015743486739161</v>
      </c>
      <c r="BM964" s="32">
        <f t="shared" ca="1" si="730"/>
        <v>3291.1350976647846</v>
      </c>
      <c r="BN964" s="23">
        <f t="shared" ca="1" si="752"/>
        <v>0</v>
      </c>
      <c r="BO964" s="24">
        <f t="shared" ca="1" si="753"/>
        <v>0</v>
      </c>
      <c r="BP964" s="25">
        <f t="shared" ca="1" si="754"/>
        <v>0</v>
      </c>
      <c r="BQ964" s="34">
        <f t="shared" ca="1" si="755"/>
        <v>74754</v>
      </c>
      <c r="BR964" s="23">
        <f t="shared" ca="1" si="756"/>
        <v>3291.1350976647846</v>
      </c>
      <c r="BS964" s="24">
        <f t="shared" ca="1" si="757"/>
        <v>0</v>
      </c>
      <c r="BT964" s="24">
        <f t="shared" ca="1" si="762"/>
        <v>0</v>
      </c>
      <c r="BU964" s="24">
        <f t="shared" ca="1" si="758"/>
        <v>0</v>
      </c>
      <c r="BV964" s="24">
        <f t="shared" ca="1" si="763"/>
        <v>0</v>
      </c>
      <c r="BW964" s="24">
        <f t="shared" ca="1" si="759"/>
        <v>-52.015743486739161</v>
      </c>
      <c r="BX964" s="25">
        <f t="shared" ca="1" si="764"/>
        <v>-634.90888038764535</v>
      </c>
      <c r="BY964" s="23">
        <f t="shared" ca="1" si="731"/>
        <v>144.19058403566061</v>
      </c>
      <c r="BZ964" s="24">
        <f t="shared" ca="1" si="732"/>
        <v>0</v>
      </c>
      <c r="CA964" s="24">
        <f t="shared" ca="1" si="765"/>
        <v>0</v>
      </c>
      <c r="CB964" s="24">
        <f t="shared" ca="1" si="733"/>
        <v>0</v>
      </c>
      <c r="CC964" s="24">
        <f t="shared" ca="1" si="766"/>
        <v>0</v>
      </c>
      <c r="CD964" s="24">
        <f t="shared" ca="1" si="734"/>
        <v>-2.2863643843719461</v>
      </c>
      <c r="CE964" s="25">
        <f t="shared" ca="1" si="767"/>
        <v>-28.423461162089893</v>
      </c>
      <c r="CF964" s="23">
        <f t="shared" ca="1" si="768"/>
        <v>6007910.6131980689</v>
      </c>
      <c r="CG964" s="25">
        <f t="array" aca="1" ref="CG964" ca="1">SUM(BF953:BF964/(1+inflation/100)^(AP953:AP964/12))</f>
        <v>267980.53702225391</v>
      </c>
      <c r="CH964" s="32">
        <f ca="1">IFERROR(IF(MOD(AP964-ap_months_since_start,12)=0,ap_drawdown/100*(AQ964+AV964+BA964-BC964),CH963),0)</f>
        <v>548.19524643405828</v>
      </c>
    </row>
    <row r="965" spans="40:86" x14ac:dyDescent="0.25">
      <c r="AN965" s="32">
        <f t="shared" ca="1" si="729"/>
        <v>134.66666666666666</v>
      </c>
      <c r="AO965" s="53">
        <f t="shared" ca="1" si="760"/>
        <v>74755</v>
      </c>
      <c r="AP965" s="22">
        <v>958</v>
      </c>
      <c r="AQ965" s="32">
        <f t="shared" ca="1" si="761"/>
        <v>3291.1350976647846</v>
      </c>
      <c r="AR965" s="23">
        <f t="array" aca="1" ref="AR965" ca="1">SUM(IF(lsc_start_date=AO965,lsc_amount,0))</f>
        <v>0</v>
      </c>
      <c r="AS965" s="24">
        <f t="shared" ca="1" si="735"/>
        <v>0</v>
      </c>
      <c r="AT965" s="24">
        <f t="shared" ca="1" si="736"/>
        <v>0</v>
      </c>
      <c r="AU965" s="24">
        <f t="shared" ca="1" si="737"/>
        <v>0</v>
      </c>
      <c r="AV965" s="25">
        <f t="shared" ca="1" si="738"/>
        <v>0</v>
      </c>
      <c r="AW965" s="23">
        <f t="array" aca="1" ref="AW965" ca="1">SUM(IF(rcs_start_date&lt;=AO965,1,0)*IF(rcs_end_date&gt;=AO965,1,0)*rcs_amount*(1+rcs_escalation/100)^(INT((AP965-rcs_months_since_start)/12))*IF(MOD((AP965-rcs_months_since_start),rcs_frequency)=0,1,0)*IF(rcs_frequency=13,0,1))+SUM(IF(rcs_start_date=AO965,rcs_amount,0)*IF(rcs_frequency=13,1,0))</f>
        <v>0</v>
      </c>
      <c r="AX965" s="24">
        <f t="shared" ca="1" si="739"/>
        <v>0</v>
      </c>
      <c r="AY965" s="24">
        <f t="shared" ca="1" si="740"/>
        <v>0</v>
      </c>
      <c r="AZ965" s="24">
        <f t="shared" ca="1" si="741"/>
        <v>0</v>
      </c>
      <c r="BA965" s="25">
        <f t="shared" ca="1" si="742"/>
        <v>0</v>
      </c>
      <c r="BB965" s="23">
        <f t="array" aca="1" ref="BB965" ca="1">SUM(IF(w_start_date&lt;=AO965,1,0)*IF(w_end_date&gt;=AO965,1,0)*w_amount*(1+w_escalation/100)^(INT((AP965-w_months_since_start)/12))*IF(MOD(AP965-w_months_since_start,w_frequency)=0,1,0)*IF(w_frequency=13,0,1))+SUM(IF(w_start_date=AO965,w_amount,0)*IF(w_frequency=13,1,0))</f>
        <v>0</v>
      </c>
      <c r="BC965" s="25">
        <f t="shared" ca="1" si="743"/>
        <v>0</v>
      </c>
      <c r="BD965" s="24" t="b">
        <f t="shared" ca="1" si="744"/>
        <v>1</v>
      </c>
      <c r="BE965" s="24" t="b">
        <f t="shared" ca="1" si="745"/>
        <v>1</v>
      </c>
      <c r="BF965" s="23">
        <f t="array" aca="1" ref="BF965" ca="1">SUM(IF(BD965,1,0)*IF(ap_start_date&lt;=AO965,1,0)*IF(ap_end_date&gt;=AO965,1,0)*ap_amount*(1+ap_escalation/100)^(INT((AP965-ap_months_since_start)/12))*IF(MOD(AP965-ap_months_since_start,ap_frequency)=0,1,0))</f>
        <v>503889.27723596705</v>
      </c>
      <c r="BG965" s="24">
        <f t="shared" ca="1" si="746"/>
        <v>6046671.3268316044</v>
      </c>
      <c r="BH965" s="24">
        <f t="shared" ca="1" si="747"/>
        <v>89.16984597726713</v>
      </c>
      <c r="BI965">
        <f t="shared" ca="1" si="748"/>
        <v>0</v>
      </c>
      <c r="BJ965" s="24">
        <f t="shared" ca="1" si="749"/>
        <v>624.18892184086985</v>
      </c>
      <c r="BK965">
        <f t="shared" ca="1" si="750"/>
        <v>1</v>
      </c>
      <c r="BL965" s="25">
        <f t="shared" ca="1" si="751"/>
        <v>52.015743486739161</v>
      </c>
      <c r="BM965" s="32">
        <f t="shared" ca="1" si="730"/>
        <v>3262.4647346231623</v>
      </c>
      <c r="BN965" s="23">
        <f t="shared" ca="1" si="752"/>
        <v>0</v>
      </c>
      <c r="BO965" s="24">
        <f t="shared" ca="1" si="753"/>
        <v>0</v>
      </c>
      <c r="BP965" s="25">
        <f t="shared" ca="1" si="754"/>
        <v>0</v>
      </c>
      <c r="BQ965" s="34">
        <f t="shared" ca="1" si="755"/>
        <v>74784</v>
      </c>
      <c r="BR965" s="23">
        <f t="shared" ca="1" si="756"/>
        <v>3262.4647346231623</v>
      </c>
      <c r="BS965" s="24">
        <f t="shared" ca="1" si="757"/>
        <v>0</v>
      </c>
      <c r="BT965" s="24">
        <f t="shared" ca="1" si="762"/>
        <v>0</v>
      </c>
      <c r="BU965" s="24">
        <f t="shared" ca="1" si="758"/>
        <v>0</v>
      </c>
      <c r="BV965" s="24">
        <f t="shared" ca="1" si="763"/>
        <v>0</v>
      </c>
      <c r="BW965" s="24">
        <f t="shared" ca="1" si="759"/>
        <v>-52.015743486739161</v>
      </c>
      <c r="BX965" s="25">
        <f t="shared" ca="1" si="764"/>
        <v>-629.54890111425766</v>
      </c>
      <c r="BY965" s="23">
        <f t="shared" ca="1" si="731"/>
        <v>142.46808012931859</v>
      </c>
      <c r="BZ965" s="24">
        <f t="shared" ca="1" si="732"/>
        <v>0</v>
      </c>
      <c r="CA965" s="24">
        <f t="shared" ca="1" si="765"/>
        <v>0</v>
      </c>
      <c r="CB965" s="24">
        <f t="shared" ca="1" si="733"/>
        <v>0</v>
      </c>
      <c r="CC965" s="24">
        <f t="shared" ca="1" si="766"/>
        <v>0</v>
      </c>
      <c r="CD965" s="24">
        <f t="shared" ca="1" si="734"/>
        <v>-2.2789038461908659</v>
      </c>
      <c r="CE965" s="25">
        <f t="shared" ca="1" si="767"/>
        <v>-28.08808140159266</v>
      </c>
      <c r="CF965" s="23">
        <f t="shared" ca="1" si="768"/>
        <v>6027290.9700148366</v>
      </c>
      <c r="CG965" s="25">
        <f t="array" aca="1" ref="CG965" ca="1">SUM(BF954:BF965/(1+inflation/100)^(AP954:AP965/12))</f>
        <v>267980.53702225391</v>
      </c>
      <c r="CH965" s="32">
        <f ca="1">IFERROR(IF(MOD(AP965-ap_months_since_start,12)=0,ap_drawdown/100*(AQ965+AV965+BA965-BC965),CH964),0)</f>
        <v>548.19524643405828</v>
      </c>
    </row>
    <row r="966" spans="40:86" x14ac:dyDescent="0.25">
      <c r="AN966" s="32">
        <f t="shared" ca="1" si="729"/>
        <v>134.75</v>
      </c>
      <c r="AO966" s="53">
        <f t="shared" ca="1" si="760"/>
        <v>74785</v>
      </c>
      <c r="AP966" s="22">
        <v>959</v>
      </c>
      <c r="AQ966" s="32">
        <f t="shared" ca="1" si="761"/>
        <v>3262.4647346231623</v>
      </c>
      <c r="AR966" s="23">
        <f t="array" aca="1" ref="AR966" ca="1">SUM(IF(lsc_start_date=AO966,lsc_amount,0))</f>
        <v>0</v>
      </c>
      <c r="AS966" s="24">
        <f t="shared" ca="1" si="735"/>
        <v>0</v>
      </c>
      <c r="AT966" s="24">
        <f t="shared" ca="1" si="736"/>
        <v>0</v>
      </c>
      <c r="AU966" s="24">
        <f t="shared" ca="1" si="737"/>
        <v>0</v>
      </c>
      <c r="AV966" s="25">
        <f t="shared" ca="1" si="738"/>
        <v>0</v>
      </c>
      <c r="AW966" s="23">
        <f t="array" aca="1" ref="AW966" ca="1">SUM(IF(rcs_start_date&lt;=AO966,1,0)*IF(rcs_end_date&gt;=AO966,1,0)*rcs_amount*(1+rcs_escalation/100)^(INT((AP966-rcs_months_since_start)/12))*IF(MOD((AP966-rcs_months_since_start),rcs_frequency)=0,1,0)*IF(rcs_frequency=13,0,1))+SUM(IF(rcs_start_date=AO966,rcs_amount,0)*IF(rcs_frequency=13,1,0))</f>
        <v>0</v>
      </c>
      <c r="AX966" s="24">
        <f t="shared" ca="1" si="739"/>
        <v>0</v>
      </c>
      <c r="AY966" s="24">
        <f t="shared" ca="1" si="740"/>
        <v>0</v>
      </c>
      <c r="AZ966" s="24">
        <f t="shared" ca="1" si="741"/>
        <v>0</v>
      </c>
      <c r="BA966" s="25">
        <f t="shared" ca="1" si="742"/>
        <v>0</v>
      </c>
      <c r="BB966" s="23">
        <f t="array" aca="1" ref="BB966" ca="1">SUM(IF(w_start_date&lt;=AO966,1,0)*IF(w_end_date&gt;=AO966,1,0)*w_amount*(1+w_escalation/100)^(INT((AP966-w_months_since_start)/12))*IF(MOD(AP966-w_months_since_start,w_frequency)=0,1,0)*IF(w_frequency=13,0,1))+SUM(IF(w_start_date=AO966,w_amount,0)*IF(w_frequency=13,1,0))</f>
        <v>0</v>
      </c>
      <c r="BC966" s="25">
        <f t="shared" ca="1" si="743"/>
        <v>0</v>
      </c>
      <c r="BD966" s="24" t="b">
        <f t="shared" ca="1" si="744"/>
        <v>1</v>
      </c>
      <c r="BE966" s="24" t="b">
        <f t="shared" ca="1" si="745"/>
        <v>1</v>
      </c>
      <c r="BF966" s="23">
        <f t="array" aca="1" ref="BF966" ca="1">SUM(IF(BD966,1,0)*IF(ap_start_date&lt;=AO966,1,0)*IF(ap_end_date&gt;=AO966,1,0)*ap_amount*(1+ap_escalation/100)^(INT((AP966-ap_months_since_start)/12))*IF(MOD(AP966-ap_months_since_start,ap_frequency)=0,1,0))</f>
        <v>503889.27723596705</v>
      </c>
      <c r="BG966" s="24">
        <f t="shared" ca="1" si="746"/>
        <v>6046671.3268316044</v>
      </c>
      <c r="BH966" s="24">
        <f t="shared" ca="1" si="747"/>
        <v>89.16984597726713</v>
      </c>
      <c r="BI966">
        <f t="shared" ca="1" si="748"/>
        <v>0</v>
      </c>
      <c r="BJ966" s="24">
        <f t="shared" ca="1" si="749"/>
        <v>624.18892184086985</v>
      </c>
      <c r="BK966">
        <f t="shared" ca="1" si="750"/>
        <v>1</v>
      </c>
      <c r="BL966" s="25">
        <f t="shared" ca="1" si="751"/>
        <v>52.015743486739161</v>
      </c>
      <c r="BM966" s="32">
        <f t="shared" ca="1" si="730"/>
        <v>3233.587735005508</v>
      </c>
      <c r="BN966" s="23">
        <f t="shared" ca="1" si="752"/>
        <v>0</v>
      </c>
      <c r="BO966" s="24">
        <f t="shared" ca="1" si="753"/>
        <v>0</v>
      </c>
      <c r="BP966" s="25">
        <f t="shared" ca="1" si="754"/>
        <v>0</v>
      </c>
      <c r="BQ966" s="34">
        <f t="shared" ca="1" si="755"/>
        <v>74815</v>
      </c>
      <c r="BR966" s="23">
        <f t="shared" ca="1" si="756"/>
        <v>3233.587735005508</v>
      </c>
      <c r="BS966" s="24">
        <f t="shared" ca="1" si="757"/>
        <v>0</v>
      </c>
      <c r="BT966" s="24">
        <f t="shared" ca="1" si="762"/>
        <v>0</v>
      </c>
      <c r="BU966" s="24">
        <f t="shared" ca="1" si="758"/>
        <v>0</v>
      </c>
      <c r="BV966" s="24">
        <f t="shared" ca="1" si="763"/>
        <v>0</v>
      </c>
      <c r="BW966" s="24">
        <f t="shared" ca="1" si="759"/>
        <v>-52.015743486739161</v>
      </c>
      <c r="BX966" s="25">
        <f t="shared" ca="1" si="764"/>
        <v>-624.18892184087008</v>
      </c>
      <c r="BY966" s="23">
        <f t="shared" ca="1" si="731"/>
        <v>140.74628806864735</v>
      </c>
      <c r="BZ966" s="24">
        <f t="shared" ca="1" si="732"/>
        <v>0</v>
      </c>
      <c r="CA966" s="24">
        <f t="shared" ca="1" si="765"/>
        <v>0</v>
      </c>
      <c r="CB966" s="24">
        <f t="shared" ca="1" si="733"/>
        <v>0</v>
      </c>
      <c r="CC966" s="24">
        <f t="shared" ca="1" si="766"/>
        <v>0</v>
      </c>
      <c r="CD966" s="24">
        <f t="shared" ca="1" si="734"/>
        <v>-2.2714676521739663</v>
      </c>
      <c r="CE966" s="25">
        <f t="shared" ca="1" si="767"/>
        <v>-27.753796004498508</v>
      </c>
      <c r="CF966" s="23">
        <f t="shared" ca="1" si="768"/>
        <v>6046671.3268316044</v>
      </c>
      <c r="CG966" s="25">
        <f t="array" aca="1" ref="CG966" ca="1">SUM(BF955:BF966/(1+inflation/100)^(AP955:AP966/12))</f>
        <v>267980.53702225391</v>
      </c>
      <c r="CH966" s="32">
        <f ca="1">IFERROR(IF(MOD(AP966-ap_months_since_start,12)=0,ap_drawdown/100*(AQ966+AV966+BA966-BC966),CH965),0)</f>
        <v>548.19524643405828</v>
      </c>
    </row>
    <row r="967" spans="40:86" x14ac:dyDescent="0.25">
      <c r="AN967" s="32">
        <f t="shared" ca="1" si="729"/>
        <v>134.83333333333334</v>
      </c>
      <c r="AO967" s="53">
        <f t="shared" ca="1" si="760"/>
        <v>74816</v>
      </c>
      <c r="AP967" s="22">
        <v>960</v>
      </c>
      <c r="AQ967" s="32">
        <f t="shared" ca="1" si="761"/>
        <v>3233.587735005508</v>
      </c>
      <c r="AR967" s="23">
        <f t="array" aca="1" ref="AR967" ca="1">SUM(IF(lsc_start_date=AO967,lsc_amount,0))</f>
        <v>0</v>
      </c>
      <c r="AS967" s="24">
        <f t="shared" ca="1" si="735"/>
        <v>0</v>
      </c>
      <c r="AT967" s="24">
        <f t="shared" ca="1" si="736"/>
        <v>0</v>
      </c>
      <c r="AU967" s="24">
        <f t="shared" ca="1" si="737"/>
        <v>0</v>
      </c>
      <c r="AV967" s="25">
        <f t="shared" ca="1" si="738"/>
        <v>0</v>
      </c>
      <c r="AW967" s="23">
        <f t="array" aca="1" ref="AW967" ca="1">SUM(IF(rcs_start_date&lt;=AO967,1,0)*IF(rcs_end_date&gt;=AO967,1,0)*rcs_amount*(1+rcs_escalation/100)^(INT((AP967-rcs_months_since_start)/12))*IF(MOD((AP967-rcs_months_since_start),rcs_frequency)=0,1,0)*IF(rcs_frequency=13,0,1))+SUM(IF(rcs_start_date=AO967,rcs_amount,0)*IF(rcs_frequency=13,1,0))</f>
        <v>0</v>
      </c>
      <c r="AX967" s="24">
        <f t="shared" ca="1" si="739"/>
        <v>0</v>
      </c>
      <c r="AY967" s="24">
        <f t="shared" ca="1" si="740"/>
        <v>0</v>
      </c>
      <c r="AZ967" s="24">
        <f t="shared" ca="1" si="741"/>
        <v>0</v>
      </c>
      <c r="BA967" s="25">
        <f t="shared" ca="1" si="742"/>
        <v>0</v>
      </c>
      <c r="BB967" s="23">
        <f t="array" aca="1" ref="BB967" ca="1">SUM(IF(w_start_date&lt;=AO967,1,0)*IF(w_end_date&gt;=AO967,1,0)*w_amount*(1+w_escalation/100)^(INT((AP967-w_months_since_start)/12))*IF(MOD(AP967-w_months_since_start,w_frequency)=0,1,0)*IF(w_frequency=13,0,1))+SUM(IF(w_start_date=AO967,w_amount,0)*IF(w_frequency=13,1,0))</f>
        <v>0</v>
      </c>
      <c r="BC967" s="25">
        <f t="shared" ca="1" si="743"/>
        <v>0</v>
      </c>
      <c r="BD967" s="24" t="b">
        <f t="shared" ca="1" si="744"/>
        <v>1</v>
      </c>
      <c r="BE967" s="24" t="b">
        <f t="shared" ca="1" si="745"/>
        <v>1</v>
      </c>
      <c r="BF967" s="23">
        <f t="array" aca="1" ref="BF967" ca="1">SUM(IF(BD967,1,0)*IF(ap_start_date&lt;=AO967,1,0)*IF(ap_end_date&gt;=AO967,1,0)*ap_amount*(1+ap_escalation/100)^(INT((AP967-ap_months_since_start)/12))*IF(MOD(AP967-ap_months_since_start,ap_frequency)=0,1,0))</f>
        <v>524044.84832540574</v>
      </c>
      <c r="BG967" s="24">
        <f t="shared" ca="1" si="746"/>
        <v>6288538.179904867</v>
      </c>
      <c r="BH967" s="24">
        <f t="shared" ca="1" si="747"/>
        <v>80.839693375137699</v>
      </c>
      <c r="BI967">
        <f t="shared" ca="1" si="748"/>
        <v>0</v>
      </c>
      <c r="BJ967" s="24">
        <f t="shared" ca="1" si="749"/>
        <v>565.87785362596389</v>
      </c>
      <c r="BK967">
        <f t="shared" ca="1" si="750"/>
        <v>1</v>
      </c>
      <c r="BL967" s="25">
        <f t="shared" ca="1" si="751"/>
        <v>47.156487802163674</v>
      </c>
      <c r="BM967" s="32">
        <f t="shared" ca="1" si="730"/>
        <v>3209.3968874265797</v>
      </c>
      <c r="BN967" s="23">
        <f t="shared" ca="1" si="752"/>
        <v>0</v>
      </c>
      <c r="BO967" s="24">
        <f t="shared" ca="1" si="753"/>
        <v>0</v>
      </c>
      <c r="BP967" s="25">
        <f t="shared" ca="1" si="754"/>
        <v>0</v>
      </c>
      <c r="BQ967" s="34">
        <f t="shared" ca="1" si="755"/>
        <v>74845</v>
      </c>
      <c r="BR967" s="23">
        <f t="shared" ca="1" si="756"/>
        <v>3209.3968874265797</v>
      </c>
      <c r="BS967" s="24">
        <f t="shared" ca="1" si="757"/>
        <v>0</v>
      </c>
      <c r="BT967" s="24">
        <f t="shared" ca="1" si="762"/>
        <v>0</v>
      </c>
      <c r="BU967" s="24">
        <f t="shared" ca="1" si="758"/>
        <v>0</v>
      </c>
      <c r="BV967" s="24">
        <f t="shared" ca="1" si="763"/>
        <v>0</v>
      </c>
      <c r="BW967" s="24">
        <f t="shared" ca="1" si="759"/>
        <v>-47.156487802163674</v>
      </c>
      <c r="BX967" s="25">
        <f t="shared" ca="1" si="764"/>
        <v>-619.32966615629459</v>
      </c>
      <c r="BY967" s="23">
        <f t="shared" ca="1" si="731"/>
        <v>139.23752123381175</v>
      </c>
      <c r="BZ967" s="24">
        <f t="shared" ca="1" si="732"/>
        <v>0</v>
      </c>
      <c r="CA967" s="24">
        <f t="shared" ca="1" si="765"/>
        <v>0</v>
      </c>
      <c r="CB967" s="24">
        <f t="shared" ca="1" si="733"/>
        <v>0</v>
      </c>
      <c r="CC967" s="24">
        <f t="shared" ca="1" si="766"/>
        <v>0</v>
      </c>
      <c r="CD967" s="24">
        <f t="shared" ca="1" si="734"/>
        <v>-2.0525500343344412</v>
      </c>
      <c r="CE967" s="25">
        <f t="shared" ca="1" si="767"/>
        <v>-27.451728087032713</v>
      </c>
      <c r="CF967" s="23">
        <f t="shared" ca="1" si="768"/>
        <v>6066826.8979210425</v>
      </c>
      <c r="CG967" s="25">
        <f t="array" aca="1" ref="CG967" ca="1">SUM(BF956:BF967/(1+inflation/100)^(AP956:AP967/12))</f>
        <v>267980.53702225385</v>
      </c>
      <c r="CH967" s="32">
        <f ca="1">IFERROR(IF(MOD(AP967-ap_months_since_start,12)=0,ap_drawdown/100*(AQ967+AV967+BA967-BC967),CH966),0)</f>
        <v>496.98342691693307</v>
      </c>
    </row>
    <row r="968" spans="40:86" x14ac:dyDescent="0.25">
      <c r="AN968" s="32">
        <f t="shared" ref="AN968:AN1031" ca="1" si="769">IF(AND(Date_of_birth&lt;&gt;"",Date_of_birth&lt;&gt;"Please enter date of birth"),YEARFRAC(Date_of_birth,AO968),AP968/12)</f>
        <v>134.91666666666666</v>
      </c>
      <c r="AO968" s="53">
        <f t="shared" ca="1" si="760"/>
        <v>74846</v>
      </c>
      <c r="AP968" s="22">
        <v>961</v>
      </c>
      <c r="AQ968" s="32">
        <f t="shared" ca="1" si="761"/>
        <v>3209.3968874265797</v>
      </c>
      <c r="AR968" s="23">
        <f t="array" aca="1" ref="AR968" ca="1">SUM(IF(lsc_start_date=AO968,lsc_amount,0))</f>
        <v>0</v>
      </c>
      <c r="AS968" s="24">
        <f t="shared" ca="1" si="735"/>
        <v>0</v>
      </c>
      <c r="AT968" s="24">
        <f t="shared" ca="1" si="736"/>
        <v>0</v>
      </c>
      <c r="AU968" s="24">
        <f t="shared" ca="1" si="737"/>
        <v>0</v>
      </c>
      <c r="AV968" s="25">
        <f t="shared" ca="1" si="738"/>
        <v>0</v>
      </c>
      <c r="AW968" s="23">
        <f t="array" aca="1" ref="AW968" ca="1">SUM(IF(rcs_start_date&lt;=AO968,1,0)*IF(rcs_end_date&gt;=AO968,1,0)*rcs_amount*(1+rcs_escalation/100)^(INT((AP968-rcs_months_since_start)/12))*IF(MOD((AP968-rcs_months_since_start),rcs_frequency)=0,1,0)*IF(rcs_frequency=13,0,1))+SUM(IF(rcs_start_date=AO968,rcs_amount,0)*IF(rcs_frequency=13,1,0))</f>
        <v>0</v>
      </c>
      <c r="AX968" s="24">
        <f t="shared" ca="1" si="739"/>
        <v>0</v>
      </c>
      <c r="AY968" s="24">
        <f t="shared" ca="1" si="740"/>
        <v>0</v>
      </c>
      <c r="AZ968" s="24">
        <f t="shared" ca="1" si="741"/>
        <v>0</v>
      </c>
      <c r="BA968" s="25">
        <f t="shared" ca="1" si="742"/>
        <v>0</v>
      </c>
      <c r="BB968" s="23">
        <f t="array" aca="1" ref="BB968" ca="1">SUM(IF(w_start_date&lt;=AO968,1,0)*IF(w_end_date&gt;=AO968,1,0)*w_amount*(1+w_escalation/100)^(INT((AP968-w_months_since_start)/12))*IF(MOD(AP968-w_months_since_start,w_frequency)=0,1,0)*IF(w_frequency=13,0,1))+SUM(IF(w_start_date=AO968,w_amount,0)*IF(w_frequency=13,1,0))</f>
        <v>0</v>
      </c>
      <c r="BC968" s="25">
        <f t="shared" ca="1" si="743"/>
        <v>0</v>
      </c>
      <c r="BD968" s="24" t="b">
        <f t="shared" ca="1" si="744"/>
        <v>1</v>
      </c>
      <c r="BE968" s="24" t="b">
        <f t="shared" ca="1" si="745"/>
        <v>1</v>
      </c>
      <c r="BF968" s="23">
        <f t="array" aca="1" ref="BF968" ca="1">SUM(IF(BD968,1,0)*IF(ap_start_date&lt;=AO968,1,0)*IF(ap_end_date&gt;=AO968,1,0)*ap_amount*(1+ap_escalation/100)^(INT((AP968-ap_months_since_start)/12))*IF(MOD(AP968-ap_months_since_start,ap_frequency)=0,1,0))</f>
        <v>524044.84832540574</v>
      </c>
      <c r="BG968" s="24">
        <f t="shared" ca="1" si="746"/>
        <v>6288538.179904867</v>
      </c>
      <c r="BH968" s="24">
        <f t="shared" ca="1" si="747"/>
        <v>80.839693375137699</v>
      </c>
      <c r="BI968">
        <f t="shared" ca="1" si="748"/>
        <v>0</v>
      </c>
      <c r="BJ968" s="24">
        <f t="shared" ca="1" si="749"/>
        <v>565.87785362596389</v>
      </c>
      <c r="BK968">
        <f t="shared" ca="1" si="750"/>
        <v>1</v>
      </c>
      <c r="BL968" s="25">
        <f t="shared" ca="1" si="751"/>
        <v>47.156487802163674</v>
      </c>
      <c r="BM968" s="32">
        <f t="shared" ref="BM968:BM1031" ca="1" si="770">(AQ968+AV968+BA968-BC968-BL968)*(1+NomRetn/100)^(1/12)</f>
        <v>3185.0316885878588</v>
      </c>
      <c r="BN968" s="23">
        <f t="shared" ca="1" si="752"/>
        <v>0</v>
      </c>
      <c r="BO968" s="24">
        <f t="shared" ca="1" si="753"/>
        <v>0</v>
      </c>
      <c r="BP968" s="25">
        <f t="shared" ca="1" si="754"/>
        <v>0</v>
      </c>
      <c r="BQ968" s="34">
        <f t="shared" ca="1" si="755"/>
        <v>74876</v>
      </c>
      <c r="BR968" s="23">
        <f t="shared" ca="1" si="756"/>
        <v>3185.0316885878588</v>
      </c>
      <c r="BS968" s="24">
        <f t="shared" ca="1" si="757"/>
        <v>0</v>
      </c>
      <c r="BT968" s="24">
        <f t="shared" ca="1" si="762"/>
        <v>0</v>
      </c>
      <c r="BU968" s="24">
        <f t="shared" ca="1" si="758"/>
        <v>0</v>
      </c>
      <c r="BV968" s="24">
        <f t="shared" ca="1" si="763"/>
        <v>0</v>
      </c>
      <c r="BW968" s="24">
        <f t="shared" ca="1" si="759"/>
        <v>-47.156487802163674</v>
      </c>
      <c r="BX968" s="25">
        <f t="shared" ca="1" si="764"/>
        <v>-614.47041047171911</v>
      </c>
      <c r="BY968" s="23">
        <f t="shared" ref="BY968:BY1031" ca="1" si="771">BR968*(1+inflation/100)^(-$AP968/12)</f>
        <v>137.72956275248572</v>
      </c>
      <c r="BZ968" s="24">
        <f t="shared" ref="BZ968:BZ1031" ca="1" si="772">BS968*(1+inflation/100)^(-(AP968-1)/12)</f>
        <v>0</v>
      </c>
      <c r="CA968" s="24">
        <f t="shared" ca="1" si="765"/>
        <v>0</v>
      </c>
      <c r="CB968" s="24">
        <f t="shared" ref="CB968:CB1031" ca="1" si="773">BU968*(1+inflation/100)^(-($AP968-1)/12)</f>
        <v>0</v>
      </c>
      <c r="CC968" s="24">
        <f t="shared" ca="1" si="766"/>
        <v>0</v>
      </c>
      <c r="CD968" s="24">
        <f t="shared" ref="CD968:CD1031" ca="1" si="774">BW968*(1+inflation/100)^(-($AP968-1)/12)</f>
        <v>-2.0458524457941341</v>
      </c>
      <c r="CE968" s="25">
        <f t="shared" ca="1" si="767"/>
        <v>-27.150645834514698</v>
      </c>
      <c r="CF968" s="23">
        <f t="shared" ca="1" si="768"/>
        <v>6086982.4690104816</v>
      </c>
      <c r="CG968" s="25">
        <f t="array" aca="1" ref="CG968" ca="1">SUM(BF957:BF968/(1+inflation/100)^(AP957:AP968/12))</f>
        <v>267980.53702225391</v>
      </c>
      <c r="CH968" s="32">
        <f ca="1">IFERROR(IF(MOD(AP968-ap_months_since_start,12)=0,ap_drawdown/100*(AQ968+AV968+BA968-BC968),CH967),0)</f>
        <v>496.98342691693307</v>
      </c>
    </row>
    <row r="969" spans="40:86" x14ac:dyDescent="0.25">
      <c r="AN969" s="32">
        <f t="shared" ca="1" si="769"/>
        <v>135</v>
      </c>
      <c r="AO969" s="53">
        <f t="shared" ca="1" si="760"/>
        <v>74877</v>
      </c>
      <c r="AP969" s="22">
        <v>962</v>
      </c>
      <c r="AQ969" s="32">
        <f t="shared" ca="1" si="761"/>
        <v>3185.0316885878588</v>
      </c>
      <c r="AR969" s="23">
        <f t="array" aca="1" ref="AR969" ca="1">SUM(IF(lsc_start_date=AO969,lsc_amount,0))</f>
        <v>0</v>
      </c>
      <c r="AS969" s="24">
        <f t="shared" ref="AS969:AS1032" ca="1" si="775">AR969*$D$34/100</f>
        <v>0</v>
      </c>
      <c r="AT969" s="24">
        <f t="shared" ref="AT969:AT1032" ca="1" si="776">AR969*$D$33/100</f>
        <v>0</v>
      </c>
      <c r="AU969" s="24">
        <f t="shared" ref="AU969:AU1032" ca="1" si="777">AR969*$D$35/100</f>
        <v>0</v>
      </c>
      <c r="AV969" s="25">
        <f t="shared" ref="AV969:AV1032" ca="1" si="778">AR969-AS969-AT969-AU969</f>
        <v>0</v>
      </c>
      <c r="AW969" s="23">
        <f t="array" aca="1" ref="AW969" ca="1">SUM(IF(rcs_start_date&lt;=AO969,1,0)*IF(rcs_end_date&gt;=AO969,1,0)*rcs_amount*(1+rcs_escalation/100)^(INT((AP969-rcs_months_since_start)/12))*IF(MOD((AP969-rcs_months_since_start),rcs_frequency)=0,1,0)*IF(rcs_frequency=13,0,1))+SUM(IF(rcs_start_date=AO969,rcs_amount,0)*IF(rcs_frequency=13,1,0))</f>
        <v>0</v>
      </c>
      <c r="AX969" s="24">
        <f t="shared" ref="AX969:AX1032" ca="1" si="779">AW969*$D$34/100</f>
        <v>0</v>
      </c>
      <c r="AY969" s="24">
        <f t="shared" ref="AY969:AY1032" ca="1" si="780">AW969*$D$33/100</f>
        <v>0</v>
      </c>
      <c r="AZ969" s="24">
        <f t="shared" ref="AZ969:AZ1032" ca="1" si="781">AW969*$D$35/100</f>
        <v>0</v>
      </c>
      <c r="BA969" s="25">
        <f t="shared" ref="BA969:BA1032" ca="1" si="782">AW969-AX969-AY969-AZ969</f>
        <v>0</v>
      </c>
      <c r="BB969" s="23">
        <f t="array" aca="1" ref="BB969" ca="1">SUM(IF(w_start_date&lt;=AO969,1,0)*IF(w_end_date&gt;=AO969,1,0)*w_amount*(1+w_escalation/100)^(INT((AP969-w_months_since_start)/12))*IF(MOD(AP969-w_months_since_start,w_frequency)=0,1,0)*IF(w_frequency=13,0,1))+SUM(IF(w_start_date=AO969,w_amount,0)*IF(w_frequency=13,1,0))</f>
        <v>0</v>
      </c>
      <c r="BC969" s="25">
        <f t="shared" ref="BC969:BC1032" ca="1" si="783">IF(BB969&gt;AQ969+AV969+BA969,AQ969+AV969+BA969,BB969)</f>
        <v>0</v>
      </c>
      <c r="BD969" s="24" t="b">
        <f t="shared" ref="BD969:BD1032" ca="1" si="784">AND($DV$11&lt;=AO969,$DV$11&lt;&gt;0)</f>
        <v>1</v>
      </c>
      <c r="BE969" s="24" t="b">
        <f t="shared" ref="BE969:BE1032" ca="1" si="785">$DW$11&lt;&gt;""</f>
        <v>1</v>
      </c>
      <c r="BF969" s="23">
        <f t="array" aca="1" ref="BF969" ca="1">SUM(IF(BD969,1,0)*IF(ap_start_date&lt;=AO969,1,0)*IF(ap_end_date&gt;=AO969,1,0)*ap_amount*(1+ap_escalation/100)^(INT((AP969-ap_months_since_start)/12))*IF(MOD(AP969-ap_months_since_start,ap_frequency)=0,1,0))</f>
        <v>524044.84832540574</v>
      </c>
      <c r="BG969" s="24">
        <f t="shared" ref="BG969:BG1032" ca="1" si="786">IF(MOD(YEAR(AO969)*12+MONTH(AO969)-YEAR(Earliest_annuity_payment)*12-MONTH(Earliest_annuity_payment),12)=0,SUM(BF969:BF980),BG968)</f>
        <v>6288538.179904867</v>
      </c>
      <c r="BH969" s="24">
        <f t="shared" ref="BH969:BH1032" ca="1" si="787">IF(AO969&gt;=Earliest_annuity_payment,IF(MOD(YEAR(AO969)*12+MONTH(AO969)-YEAR(Earliest_annuity_payment)*12-MONTH(Earliest_annuity_payment),12)=0,(AQ969+AV969+BA969-BC969)*Annuity_min,BH968),0)</f>
        <v>80.839693375137699</v>
      </c>
      <c r="BI969">
        <f t="shared" ref="BI969:BI1032" ca="1" si="788">IF(AND(BH969&gt;BG969,BD969),1,0)</f>
        <v>0</v>
      </c>
      <c r="BJ969" s="24">
        <f t="shared" ref="BJ969:BJ1032" ca="1" si="789">IF(AO969&gt;=Earliest_annuity_payment,IF(MOD(YEAR(AO969)*12+MONTH(AO969)-YEAR(Earliest_annuity_payment)*12-MONTH(Earliest_annuity_payment),12)=0,(AQ969+AV969+BA969-BC969)*Annuity_cap,BJ968),0)</f>
        <v>565.87785362596389</v>
      </c>
      <c r="BK969">
        <f t="shared" ref="BK969:BK1032" ca="1" si="790">IF(BJ969&lt;BG969,1,0)</f>
        <v>1</v>
      </c>
      <c r="BL969" s="25">
        <f t="shared" ref="BL969:BL1032" ca="1" si="791">IF(BJ969&lt;BG969,BF969/BG969*BJ969,IF(AND(BH969&gt;BG969,BG969&lt;&gt;0),BF969/BG969*BH969,BF969))</f>
        <v>47.156487802163674</v>
      </c>
      <c r="BM969" s="32">
        <f t="shared" ca="1" si="770"/>
        <v>3160.4908818834451</v>
      </c>
      <c r="BN969" s="23">
        <f t="shared" ref="BN969:BN1032" ca="1" si="792">BM969*$E$34/1200</f>
        <v>0</v>
      </c>
      <c r="BO969" s="24">
        <f t="shared" ref="BO969:BO1032" ca="1" si="793">BM969*$E$33/1200</f>
        <v>0</v>
      </c>
      <c r="BP969" s="25">
        <f t="shared" ref="BP969:BP1032" ca="1" si="794">BM969*$E$35/1200</f>
        <v>0</v>
      </c>
      <c r="BQ969" s="34">
        <f t="shared" ref="BQ969:BQ1032" ca="1" si="795">EOMONTH(AO969,0)</f>
        <v>74907</v>
      </c>
      <c r="BR969" s="23">
        <f t="shared" ref="BR969:BR1032" ca="1" si="796">BM969-BN969-BO969-BP969</f>
        <v>3160.4908818834451</v>
      </c>
      <c r="BS969" s="24">
        <f t="shared" ref="BS969:BS1032" ca="1" si="797">AV969+BA969</f>
        <v>0</v>
      </c>
      <c r="BT969" s="24">
        <f t="shared" ca="1" si="762"/>
        <v>0</v>
      </c>
      <c r="BU969" s="24">
        <f t="shared" ref="BU969:BU1032" ca="1" si="798">-BC969</f>
        <v>0</v>
      </c>
      <c r="BV969" s="24">
        <f t="shared" ca="1" si="763"/>
        <v>0</v>
      </c>
      <c r="BW969" s="24">
        <f t="shared" ref="BW969:BW1032" ca="1" si="799">-BL969</f>
        <v>-47.156487802163674</v>
      </c>
      <c r="BX969" s="25">
        <f t="shared" ca="1" si="764"/>
        <v>-609.61115478714362</v>
      </c>
      <c r="BY969" s="23">
        <f t="shared" ca="1" si="771"/>
        <v>136.22239385371691</v>
      </c>
      <c r="BZ969" s="24">
        <f t="shared" ca="1" si="772"/>
        <v>0</v>
      </c>
      <c r="CA969" s="24">
        <f t="shared" ca="1" si="765"/>
        <v>0</v>
      </c>
      <c r="CB969" s="24">
        <f t="shared" ca="1" si="773"/>
        <v>0</v>
      </c>
      <c r="CC969" s="24">
        <f t="shared" ca="1" si="766"/>
        <v>0</v>
      </c>
      <c r="CD969" s="24">
        <f t="shared" ca="1" si="774"/>
        <v>-2.0391767118695561</v>
      </c>
      <c r="CE969" s="25">
        <f t="shared" ca="1" si="767"/>
        <v>-26.850546030663178</v>
      </c>
      <c r="CF969" s="23">
        <f t="shared" ca="1" si="768"/>
        <v>6107138.0400999188</v>
      </c>
      <c r="CG969" s="25">
        <f t="array" aca="1" ref="CG969" ca="1">SUM(BF958:BF969/(1+inflation/100)^(AP958:AP969/12))</f>
        <v>267980.53702225385</v>
      </c>
      <c r="CH969" s="32">
        <f ca="1">IFERROR(IF(MOD(AP969-ap_months_since_start,12)=0,ap_drawdown/100*(AQ969+AV969+BA969-BC969),CH968),0)</f>
        <v>496.98342691693307</v>
      </c>
    </row>
    <row r="970" spans="40:86" x14ac:dyDescent="0.25">
      <c r="AN970" s="32">
        <f t="shared" ca="1" si="769"/>
        <v>135.08333333333334</v>
      </c>
      <c r="AO970" s="53">
        <f t="shared" ref="AO970:AO1033" ca="1" si="800">DATE(YEAR(AO969),MONTH(AO969)+1,1)</f>
        <v>74908</v>
      </c>
      <c r="AP970" s="22">
        <v>963</v>
      </c>
      <c r="AQ970" s="32">
        <f t="shared" ref="AQ970:AQ1033" ca="1" si="801">IF(BR969&lt;0,0,BR969)</f>
        <v>3160.4908818834451</v>
      </c>
      <c r="AR970" s="23">
        <f t="array" aca="1" ref="AR970" ca="1">SUM(IF(lsc_start_date=AO970,lsc_amount,0))</f>
        <v>0</v>
      </c>
      <c r="AS970" s="24">
        <f t="shared" ca="1" si="775"/>
        <v>0</v>
      </c>
      <c r="AT970" s="24">
        <f t="shared" ca="1" si="776"/>
        <v>0</v>
      </c>
      <c r="AU970" s="24">
        <f t="shared" ca="1" si="777"/>
        <v>0</v>
      </c>
      <c r="AV970" s="25">
        <f t="shared" ca="1" si="778"/>
        <v>0</v>
      </c>
      <c r="AW970" s="23">
        <f t="array" aca="1" ref="AW970" ca="1">SUM(IF(rcs_start_date&lt;=AO970,1,0)*IF(rcs_end_date&gt;=AO970,1,0)*rcs_amount*(1+rcs_escalation/100)^(INT((AP970-rcs_months_since_start)/12))*IF(MOD((AP970-rcs_months_since_start),rcs_frequency)=0,1,0)*IF(rcs_frequency=13,0,1))+SUM(IF(rcs_start_date=AO970,rcs_amount,0)*IF(rcs_frequency=13,1,0))</f>
        <v>0</v>
      </c>
      <c r="AX970" s="24">
        <f t="shared" ca="1" si="779"/>
        <v>0</v>
      </c>
      <c r="AY970" s="24">
        <f t="shared" ca="1" si="780"/>
        <v>0</v>
      </c>
      <c r="AZ970" s="24">
        <f t="shared" ca="1" si="781"/>
        <v>0</v>
      </c>
      <c r="BA970" s="25">
        <f t="shared" ca="1" si="782"/>
        <v>0</v>
      </c>
      <c r="BB970" s="23">
        <f t="array" aca="1" ref="BB970" ca="1">SUM(IF(w_start_date&lt;=AO970,1,0)*IF(w_end_date&gt;=AO970,1,0)*w_amount*(1+w_escalation/100)^(INT((AP970-w_months_since_start)/12))*IF(MOD(AP970-w_months_since_start,w_frequency)=0,1,0)*IF(w_frequency=13,0,1))+SUM(IF(w_start_date=AO970,w_amount,0)*IF(w_frequency=13,1,0))</f>
        <v>0</v>
      </c>
      <c r="BC970" s="25">
        <f t="shared" ca="1" si="783"/>
        <v>0</v>
      </c>
      <c r="BD970" s="24" t="b">
        <f t="shared" ca="1" si="784"/>
        <v>1</v>
      </c>
      <c r="BE970" s="24" t="b">
        <f t="shared" ca="1" si="785"/>
        <v>1</v>
      </c>
      <c r="BF970" s="23">
        <f t="array" aca="1" ref="BF970" ca="1">SUM(IF(BD970,1,0)*IF(ap_start_date&lt;=AO970,1,0)*IF(ap_end_date&gt;=AO970,1,0)*ap_amount*(1+ap_escalation/100)^(INT((AP970-ap_months_since_start)/12))*IF(MOD(AP970-ap_months_since_start,ap_frequency)=0,1,0))</f>
        <v>524044.84832540574</v>
      </c>
      <c r="BG970" s="24">
        <f t="shared" ca="1" si="786"/>
        <v>6288538.179904867</v>
      </c>
      <c r="BH970" s="24">
        <f t="shared" ca="1" si="787"/>
        <v>80.839693375137699</v>
      </c>
      <c r="BI970">
        <f t="shared" ca="1" si="788"/>
        <v>0</v>
      </c>
      <c r="BJ970" s="24">
        <f t="shared" ca="1" si="789"/>
        <v>565.87785362596389</v>
      </c>
      <c r="BK970">
        <f t="shared" ca="1" si="790"/>
        <v>1</v>
      </c>
      <c r="BL970" s="25">
        <f t="shared" ca="1" si="791"/>
        <v>47.156487802163674</v>
      </c>
      <c r="BM970" s="32">
        <f t="shared" ca="1" si="770"/>
        <v>3135.7732016506739</v>
      </c>
      <c r="BN970" s="23">
        <f t="shared" ca="1" si="792"/>
        <v>0</v>
      </c>
      <c r="BO970" s="24">
        <f t="shared" ca="1" si="793"/>
        <v>0</v>
      </c>
      <c r="BP970" s="25">
        <f t="shared" ca="1" si="794"/>
        <v>0</v>
      </c>
      <c r="BQ970" s="34">
        <f t="shared" ca="1" si="795"/>
        <v>74935</v>
      </c>
      <c r="BR970" s="23">
        <f t="shared" ca="1" si="796"/>
        <v>3135.7732016506739</v>
      </c>
      <c r="BS970" s="24">
        <f t="shared" ca="1" si="797"/>
        <v>0</v>
      </c>
      <c r="BT970" s="24">
        <f t="shared" ca="1" si="762"/>
        <v>0</v>
      </c>
      <c r="BU970" s="24">
        <f t="shared" ca="1" si="798"/>
        <v>0</v>
      </c>
      <c r="BV970" s="24">
        <f t="shared" ca="1" si="763"/>
        <v>0</v>
      </c>
      <c r="BW970" s="24">
        <f t="shared" ca="1" si="799"/>
        <v>-47.156487802163674</v>
      </c>
      <c r="BX970" s="25">
        <f t="shared" ca="1" si="764"/>
        <v>-604.75189910256802</v>
      </c>
      <c r="BY970" s="23">
        <f t="shared" ca="1" si="771"/>
        <v>134.71599576455034</v>
      </c>
      <c r="BZ970" s="24">
        <f t="shared" ca="1" si="772"/>
        <v>0</v>
      </c>
      <c r="CA970" s="24">
        <f t="shared" ca="1" si="765"/>
        <v>0</v>
      </c>
      <c r="CB970" s="24">
        <f t="shared" ca="1" si="773"/>
        <v>0</v>
      </c>
      <c r="CC970" s="24">
        <f t="shared" ca="1" si="766"/>
        <v>0</v>
      </c>
      <c r="CD970" s="24">
        <f t="shared" ca="1" si="774"/>
        <v>-2.0325227612478325</v>
      </c>
      <c r="CE970" s="25">
        <f t="shared" ca="1" si="767"/>
        <v>-26.551425469691797</v>
      </c>
      <c r="CF970" s="23">
        <f t="shared" ca="1" si="768"/>
        <v>6127293.6111893579</v>
      </c>
      <c r="CG970" s="25">
        <f t="array" aca="1" ref="CG970" ca="1">SUM(BF959:BF970/(1+inflation/100)^(AP959:AP970/12))</f>
        <v>267980.53702225385</v>
      </c>
      <c r="CH970" s="32">
        <f ca="1">IFERROR(IF(MOD(AP970-ap_months_since_start,12)=0,ap_drawdown/100*(AQ970+AV970+BA970-BC970),CH969),0)</f>
        <v>496.98342691693307</v>
      </c>
    </row>
    <row r="971" spans="40:86" x14ac:dyDescent="0.25">
      <c r="AN971" s="32">
        <f t="shared" ca="1" si="769"/>
        <v>135.16666666666666</v>
      </c>
      <c r="AO971" s="53">
        <f t="shared" ca="1" si="800"/>
        <v>74936</v>
      </c>
      <c r="AP971" s="22">
        <v>964</v>
      </c>
      <c r="AQ971" s="32">
        <f t="shared" ca="1" si="801"/>
        <v>3135.7732016506739</v>
      </c>
      <c r="AR971" s="23">
        <f t="array" aca="1" ref="AR971" ca="1">SUM(IF(lsc_start_date=AO971,lsc_amount,0))</f>
        <v>0</v>
      </c>
      <c r="AS971" s="24">
        <f t="shared" ca="1" si="775"/>
        <v>0</v>
      </c>
      <c r="AT971" s="24">
        <f t="shared" ca="1" si="776"/>
        <v>0</v>
      </c>
      <c r="AU971" s="24">
        <f t="shared" ca="1" si="777"/>
        <v>0</v>
      </c>
      <c r="AV971" s="25">
        <f t="shared" ca="1" si="778"/>
        <v>0</v>
      </c>
      <c r="AW971" s="23">
        <f t="array" aca="1" ref="AW971" ca="1">SUM(IF(rcs_start_date&lt;=AO971,1,0)*IF(rcs_end_date&gt;=AO971,1,0)*rcs_amount*(1+rcs_escalation/100)^(INT((AP971-rcs_months_since_start)/12))*IF(MOD((AP971-rcs_months_since_start),rcs_frequency)=0,1,0)*IF(rcs_frequency=13,0,1))+SUM(IF(rcs_start_date=AO971,rcs_amount,0)*IF(rcs_frequency=13,1,0))</f>
        <v>0</v>
      </c>
      <c r="AX971" s="24">
        <f t="shared" ca="1" si="779"/>
        <v>0</v>
      </c>
      <c r="AY971" s="24">
        <f t="shared" ca="1" si="780"/>
        <v>0</v>
      </c>
      <c r="AZ971" s="24">
        <f t="shared" ca="1" si="781"/>
        <v>0</v>
      </c>
      <c r="BA971" s="25">
        <f t="shared" ca="1" si="782"/>
        <v>0</v>
      </c>
      <c r="BB971" s="23">
        <f t="array" aca="1" ref="BB971" ca="1">SUM(IF(w_start_date&lt;=AO971,1,0)*IF(w_end_date&gt;=AO971,1,0)*w_amount*(1+w_escalation/100)^(INT((AP971-w_months_since_start)/12))*IF(MOD(AP971-w_months_since_start,w_frequency)=0,1,0)*IF(w_frequency=13,0,1))+SUM(IF(w_start_date=AO971,w_amount,0)*IF(w_frequency=13,1,0))</f>
        <v>0</v>
      </c>
      <c r="BC971" s="25">
        <f t="shared" ca="1" si="783"/>
        <v>0</v>
      </c>
      <c r="BD971" s="24" t="b">
        <f t="shared" ca="1" si="784"/>
        <v>1</v>
      </c>
      <c r="BE971" s="24" t="b">
        <f t="shared" ca="1" si="785"/>
        <v>1</v>
      </c>
      <c r="BF971" s="23">
        <f t="array" aca="1" ref="BF971" ca="1">SUM(IF(BD971,1,0)*IF(ap_start_date&lt;=AO971,1,0)*IF(ap_end_date&gt;=AO971,1,0)*ap_amount*(1+ap_escalation/100)^(INT((AP971-ap_months_since_start)/12))*IF(MOD(AP971-ap_months_since_start,ap_frequency)=0,1,0))</f>
        <v>524044.84832540574</v>
      </c>
      <c r="BG971" s="24">
        <f t="shared" ca="1" si="786"/>
        <v>6288538.179904867</v>
      </c>
      <c r="BH971" s="24">
        <f t="shared" ca="1" si="787"/>
        <v>80.839693375137699</v>
      </c>
      <c r="BI971">
        <f t="shared" ca="1" si="788"/>
        <v>0</v>
      </c>
      <c r="BJ971" s="24">
        <f t="shared" ca="1" si="789"/>
        <v>565.87785362596389</v>
      </c>
      <c r="BK971">
        <f t="shared" ca="1" si="790"/>
        <v>1</v>
      </c>
      <c r="BL971" s="25">
        <f t="shared" ca="1" si="791"/>
        <v>47.156487802163674</v>
      </c>
      <c r="BM971" s="32">
        <f t="shared" ca="1" si="770"/>
        <v>3110.87737310484</v>
      </c>
      <c r="BN971" s="23">
        <f t="shared" ca="1" si="792"/>
        <v>0</v>
      </c>
      <c r="BO971" s="24">
        <f t="shared" ca="1" si="793"/>
        <v>0</v>
      </c>
      <c r="BP971" s="25">
        <f t="shared" ca="1" si="794"/>
        <v>0</v>
      </c>
      <c r="BQ971" s="34">
        <f t="shared" ca="1" si="795"/>
        <v>74966</v>
      </c>
      <c r="BR971" s="23">
        <f t="shared" ca="1" si="796"/>
        <v>3110.87737310484</v>
      </c>
      <c r="BS971" s="24">
        <f t="shared" ca="1" si="797"/>
        <v>0</v>
      </c>
      <c r="BT971" s="24">
        <f t="shared" ca="1" si="762"/>
        <v>0</v>
      </c>
      <c r="BU971" s="24">
        <f t="shared" ca="1" si="798"/>
        <v>0</v>
      </c>
      <c r="BV971" s="24">
        <f t="shared" ca="1" si="763"/>
        <v>0</v>
      </c>
      <c r="BW971" s="24">
        <f t="shared" ca="1" si="799"/>
        <v>-47.156487802163674</v>
      </c>
      <c r="BX971" s="25">
        <f t="shared" ca="1" si="764"/>
        <v>-599.89264341799253</v>
      </c>
      <c r="BY971" s="23">
        <f t="shared" ca="1" si="771"/>
        <v>133.21034970978513</v>
      </c>
      <c r="BZ971" s="24">
        <f t="shared" ca="1" si="772"/>
        <v>0</v>
      </c>
      <c r="CA971" s="24">
        <f t="shared" ca="1" si="765"/>
        <v>0</v>
      </c>
      <c r="CB971" s="24">
        <f t="shared" ca="1" si="773"/>
        <v>0</v>
      </c>
      <c r="CC971" s="24">
        <f t="shared" ca="1" si="766"/>
        <v>0</v>
      </c>
      <c r="CD971" s="24">
        <f t="shared" ca="1" si="774"/>
        <v>-2.0258905228488038</v>
      </c>
      <c r="CE971" s="25">
        <f t="shared" ca="1" si="767"/>
        <v>-26.253280956274825</v>
      </c>
      <c r="CF971" s="23">
        <f t="shared" ca="1" si="768"/>
        <v>6147449.182278797</v>
      </c>
      <c r="CG971" s="25">
        <f t="array" aca="1" ref="CG971" ca="1">SUM(BF960:BF971/(1+inflation/100)^(AP960:AP971/12))</f>
        <v>267980.53702225391</v>
      </c>
      <c r="CH971" s="32">
        <f ca="1">IFERROR(IF(MOD(AP971-ap_months_since_start,12)=0,ap_drawdown/100*(AQ971+AV971+BA971-BC971),CH970),0)</f>
        <v>496.98342691693307</v>
      </c>
    </row>
    <row r="972" spans="40:86" x14ac:dyDescent="0.25">
      <c r="AN972" s="32">
        <f t="shared" ca="1" si="769"/>
        <v>135.25</v>
      </c>
      <c r="AO972" s="53">
        <f t="shared" ca="1" si="800"/>
        <v>74967</v>
      </c>
      <c r="AP972" s="22">
        <v>965</v>
      </c>
      <c r="AQ972" s="32">
        <f t="shared" ca="1" si="801"/>
        <v>3110.87737310484</v>
      </c>
      <c r="AR972" s="23">
        <f t="array" aca="1" ref="AR972" ca="1">SUM(IF(lsc_start_date=AO972,lsc_amount,0))</f>
        <v>0</v>
      </c>
      <c r="AS972" s="24">
        <f t="shared" ca="1" si="775"/>
        <v>0</v>
      </c>
      <c r="AT972" s="24">
        <f t="shared" ca="1" si="776"/>
        <v>0</v>
      </c>
      <c r="AU972" s="24">
        <f t="shared" ca="1" si="777"/>
        <v>0</v>
      </c>
      <c r="AV972" s="25">
        <f t="shared" ca="1" si="778"/>
        <v>0</v>
      </c>
      <c r="AW972" s="23">
        <f t="array" aca="1" ref="AW972" ca="1">SUM(IF(rcs_start_date&lt;=AO972,1,0)*IF(rcs_end_date&gt;=AO972,1,0)*rcs_amount*(1+rcs_escalation/100)^(INT((AP972-rcs_months_since_start)/12))*IF(MOD((AP972-rcs_months_since_start),rcs_frequency)=0,1,0)*IF(rcs_frequency=13,0,1))+SUM(IF(rcs_start_date=AO972,rcs_amount,0)*IF(rcs_frequency=13,1,0))</f>
        <v>0</v>
      </c>
      <c r="AX972" s="24">
        <f t="shared" ca="1" si="779"/>
        <v>0</v>
      </c>
      <c r="AY972" s="24">
        <f t="shared" ca="1" si="780"/>
        <v>0</v>
      </c>
      <c r="AZ972" s="24">
        <f t="shared" ca="1" si="781"/>
        <v>0</v>
      </c>
      <c r="BA972" s="25">
        <f t="shared" ca="1" si="782"/>
        <v>0</v>
      </c>
      <c r="BB972" s="23">
        <f t="array" aca="1" ref="BB972" ca="1">SUM(IF(w_start_date&lt;=AO972,1,0)*IF(w_end_date&gt;=AO972,1,0)*w_amount*(1+w_escalation/100)^(INT((AP972-w_months_since_start)/12))*IF(MOD(AP972-w_months_since_start,w_frequency)=0,1,0)*IF(w_frequency=13,0,1))+SUM(IF(w_start_date=AO972,w_amount,0)*IF(w_frequency=13,1,0))</f>
        <v>0</v>
      </c>
      <c r="BC972" s="25">
        <f t="shared" ca="1" si="783"/>
        <v>0</v>
      </c>
      <c r="BD972" s="24" t="b">
        <f t="shared" ca="1" si="784"/>
        <v>1</v>
      </c>
      <c r="BE972" s="24" t="b">
        <f t="shared" ca="1" si="785"/>
        <v>1</v>
      </c>
      <c r="BF972" s="23">
        <f t="array" aca="1" ref="BF972" ca="1">SUM(IF(BD972,1,0)*IF(ap_start_date&lt;=AO972,1,0)*IF(ap_end_date&gt;=AO972,1,0)*ap_amount*(1+ap_escalation/100)^(INT((AP972-ap_months_since_start)/12))*IF(MOD(AP972-ap_months_since_start,ap_frequency)=0,1,0))</f>
        <v>524044.84832540574</v>
      </c>
      <c r="BG972" s="24">
        <f t="shared" ca="1" si="786"/>
        <v>6288538.179904867</v>
      </c>
      <c r="BH972" s="24">
        <f t="shared" ca="1" si="787"/>
        <v>80.839693375137699</v>
      </c>
      <c r="BI972">
        <f t="shared" ca="1" si="788"/>
        <v>0</v>
      </c>
      <c r="BJ972" s="24">
        <f t="shared" ca="1" si="789"/>
        <v>565.87785362596389</v>
      </c>
      <c r="BK972">
        <f t="shared" ca="1" si="790"/>
        <v>1</v>
      </c>
      <c r="BL972" s="25">
        <f t="shared" ca="1" si="791"/>
        <v>47.156487802163674</v>
      </c>
      <c r="BM972" s="32">
        <f t="shared" ca="1" si="770"/>
        <v>3085.8021122734535</v>
      </c>
      <c r="BN972" s="23">
        <f t="shared" ca="1" si="792"/>
        <v>0</v>
      </c>
      <c r="BO972" s="24">
        <f t="shared" ca="1" si="793"/>
        <v>0</v>
      </c>
      <c r="BP972" s="25">
        <f t="shared" ca="1" si="794"/>
        <v>0</v>
      </c>
      <c r="BQ972" s="34">
        <f t="shared" ca="1" si="795"/>
        <v>74996</v>
      </c>
      <c r="BR972" s="23">
        <f t="shared" ca="1" si="796"/>
        <v>3085.8021122734535</v>
      </c>
      <c r="BS972" s="24">
        <f t="shared" ca="1" si="797"/>
        <v>0</v>
      </c>
      <c r="BT972" s="24">
        <f t="shared" ca="1" si="762"/>
        <v>0</v>
      </c>
      <c r="BU972" s="24">
        <f t="shared" ca="1" si="798"/>
        <v>0</v>
      </c>
      <c r="BV972" s="24">
        <f t="shared" ca="1" si="763"/>
        <v>0</v>
      </c>
      <c r="BW972" s="24">
        <f t="shared" ca="1" si="799"/>
        <v>-47.156487802163674</v>
      </c>
      <c r="BX972" s="25">
        <f t="shared" ca="1" si="764"/>
        <v>-595.03338773341704</v>
      </c>
      <c r="BY972" s="23">
        <f t="shared" ca="1" si="771"/>
        <v>131.7054369117339</v>
      </c>
      <c r="BZ972" s="24">
        <f t="shared" ca="1" si="772"/>
        <v>0</v>
      </c>
      <c r="CA972" s="24">
        <f t="shared" ca="1" si="765"/>
        <v>0</v>
      </c>
      <c r="CB972" s="24">
        <f t="shared" ca="1" si="773"/>
        <v>0</v>
      </c>
      <c r="CC972" s="24">
        <f t="shared" ca="1" si="766"/>
        <v>0</v>
      </c>
      <c r="CD972" s="24">
        <f t="shared" ca="1" si="774"/>
        <v>-2.0192799258242378</v>
      </c>
      <c r="CE972" s="25">
        <f t="shared" ca="1" si="767"/>
        <v>-25.956109305513095</v>
      </c>
      <c r="CF972" s="23">
        <f t="shared" ca="1" si="768"/>
        <v>6167604.7533682361</v>
      </c>
      <c r="CG972" s="25">
        <f t="array" aca="1" ref="CG972" ca="1">SUM(BF961:BF972/(1+inflation/100)^(AP961:AP972/12))</f>
        <v>267980.53702225391</v>
      </c>
      <c r="CH972" s="32">
        <f ca="1">IFERROR(IF(MOD(AP972-ap_months_since_start,12)=0,ap_drawdown/100*(AQ972+AV972+BA972-BC972),CH971),0)</f>
        <v>496.98342691693307</v>
      </c>
    </row>
    <row r="973" spans="40:86" x14ac:dyDescent="0.25">
      <c r="AN973" s="32">
        <f t="shared" ca="1" si="769"/>
        <v>135.33333333333334</v>
      </c>
      <c r="AO973" s="53">
        <f t="shared" ca="1" si="800"/>
        <v>74997</v>
      </c>
      <c r="AP973" s="22">
        <v>966</v>
      </c>
      <c r="AQ973" s="32">
        <f t="shared" ca="1" si="801"/>
        <v>3085.8021122734535</v>
      </c>
      <c r="AR973" s="23">
        <f t="array" aca="1" ref="AR973" ca="1">SUM(IF(lsc_start_date=AO973,lsc_amount,0))</f>
        <v>0</v>
      </c>
      <c r="AS973" s="24">
        <f t="shared" ca="1" si="775"/>
        <v>0</v>
      </c>
      <c r="AT973" s="24">
        <f t="shared" ca="1" si="776"/>
        <v>0</v>
      </c>
      <c r="AU973" s="24">
        <f t="shared" ca="1" si="777"/>
        <v>0</v>
      </c>
      <c r="AV973" s="25">
        <f t="shared" ca="1" si="778"/>
        <v>0</v>
      </c>
      <c r="AW973" s="23">
        <f t="array" aca="1" ref="AW973" ca="1">SUM(IF(rcs_start_date&lt;=AO973,1,0)*IF(rcs_end_date&gt;=AO973,1,0)*rcs_amount*(1+rcs_escalation/100)^(INT((AP973-rcs_months_since_start)/12))*IF(MOD((AP973-rcs_months_since_start),rcs_frequency)=0,1,0)*IF(rcs_frequency=13,0,1))+SUM(IF(rcs_start_date=AO973,rcs_amount,0)*IF(rcs_frequency=13,1,0))</f>
        <v>0</v>
      </c>
      <c r="AX973" s="24">
        <f t="shared" ca="1" si="779"/>
        <v>0</v>
      </c>
      <c r="AY973" s="24">
        <f t="shared" ca="1" si="780"/>
        <v>0</v>
      </c>
      <c r="AZ973" s="24">
        <f t="shared" ca="1" si="781"/>
        <v>0</v>
      </c>
      <c r="BA973" s="25">
        <f t="shared" ca="1" si="782"/>
        <v>0</v>
      </c>
      <c r="BB973" s="23">
        <f t="array" aca="1" ref="BB973" ca="1">SUM(IF(w_start_date&lt;=AO973,1,0)*IF(w_end_date&gt;=AO973,1,0)*w_amount*(1+w_escalation/100)^(INT((AP973-w_months_since_start)/12))*IF(MOD(AP973-w_months_since_start,w_frequency)=0,1,0)*IF(w_frequency=13,0,1))+SUM(IF(w_start_date=AO973,w_amount,0)*IF(w_frequency=13,1,0))</f>
        <v>0</v>
      </c>
      <c r="BC973" s="25">
        <f t="shared" ca="1" si="783"/>
        <v>0</v>
      </c>
      <c r="BD973" s="24" t="b">
        <f t="shared" ca="1" si="784"/>
        <v>1</v>
      </c>
      <c r="BE973" s="24" t="b">
        <f t="shared" ca="1" si="785"/>
        <v>1</v>
      </c>
      <c r="BF973" s="23">
        <f t="array" aca="1" ref="BF973" ca="1">SUM(IF(BD973,1,0)*IF(ap_start_date&lt;=AO973,1,0)*IF(ap_end_date&gt;=AO973,1,0)*ap_amount*(1+ap_escalation/100)^(INT((AP973-ap_months_since_start)/12))*IF(MOD(AP973-ap_months_since_start,ap_frequency)=0,1,0))</f>
        <v>524044.84832540574</v>
      </c>
      <c r="BG973" s="24">
        <f t="shared" ca="1" si="786"/>
        <v>6288538.179904867</v>
      </c>
      <c r="BH973" s="24">
        <f t="shared" ca="1" si="787"/>
        <v>80.839693375137699</v>
      </c>
      <c r="BI973">
        <f t="shared" ca="1" si="788"/>
        <v>0</v>
      </c>
      <c r="BJ973" s="24">
        <f t="shared" ca="1" si="789"/>
        <v>565.87785362596389</v>
      </c>
      <c r="BK973">
        <f t="shared" ca="1" si="790"/>
        <v>1</v>
      </c>
      <c r="BL973" s="25">
        <f t="shared" ca="1" si="791"/>
        <v>47.156487802163674</v>
      </c>
      <c r="BM973" s="32">
        <f t="shared" ca="1" si="770"/>
        <v>3060.5461259300187</v>
      </c>
      <c r="BN973" s="23">
        <f t="shared" ca="1" si="792"/>
        <v>0</v>
      </c>
      <c r="BO973" s="24">
        <f t="shared" ca="1" si="793"/>
        <v>0</v>
      </c>
      <c r="BP973" s="25">
        <f t="shared" ca="1" si="794"/>
        <v>0</v>
      </c>
      <c r="BQ973" s="34">
        <f t="shared" ca="1" si="795"/>
        <v>75027</v>
      </c>
      <c r="BR973" s="23">
        <f t="shared" ca="1" si="796"/>
        <v>3060.5461259300187</v>
      </c>
      <c r="BS973" s="24">
        <f t="shared" ca="1" si="797"/>
        <v>0</v>
      </c>
      <c r="BT973" s="24">
        <f t="shared" ca="1" si="762"/>
        <v>0</v>
      </c>
      <c r="BU973" s="24">
        <f t="shared" ca="1" si="798"/>
        <v>0</v>
      </c>
      <c r="BV973" s="24">
        <f t="shared" ca="1" si="763"/>
        <v>0</v>
      </c>
      <c r="BW973" s="24">
        <f t="shared" ca="1" si="799"/>
        <v>-47.156487802163674</v>
      </c>
      <c r="BX973" s="25">
        <f t="shared" ca="1" si="764"/>
        <v>-590.17413204884156</v>
      </c>
      <c r="BY973" s="23">
        <f t="shared" ca="1" si="771"/>
        <v>130.20123858998062</v>
      </c>
      <c r="BZ973" s="24">
        <f t="shared" ca="1" si="772"/>
        <v>0</v>
      </c>
      <c r="CA973" s="24">
        <f t="shared" ca="1" si="765"/>
        <v>0</v>
      </c>
      <c r="CB973" s="24">
        <f t="shared" ca="1" si="773"/>
        <v>0</v>
      </c>
      <c r="CC973" s="24">
        <f t="shared" ca="1" si="766"/>
        <v>0</v>
      </c>
      <c r="CD973" s="24">
        <f t="shared" ca="1" si="774"/>
        <v>-2.0126908995570871</v>
      </c>
      <c r="CE973" s="25">
        <f t="shared" ca="1" si="767"/>
        <v>-25.659907342899935</v>
      </c>
      <c r="CF973" s="23">
        <f t="shared" ca="1" si="768"/>
        <v>6187760.3244576734</v>
      </c>
      <c r="CG973" s="25">
        <f t="array" aca="1" ref="CG973" ca="1">SUM(BF962:BF973/(1+inflation/100)^(AP962:AP973/12))</f>
        <v>267980.53702225391</v>
      </c>
      <c r="CH973" s="32">
        <f ca="1">IFERROR(IF(MOD(AP973-ap_months_since_start,12)=0,ap_drawdown/100*(AQ973+AV973+BA973-BC973),CH972),0)</f>
        <v>496.98342691693307</v>
      </c>
    </row>
    <row r="974" spans="40:86" x14ac:dyDescent="0.25">
      <c r="AN974" s="32">
        <f t="shared" ca="1" si="769"/>
        <v>135.41666666666666</v>
      </c>
      <c r="AO974" s="53">
        <f t="shared" ca="1" si="800"/>
        <v>75028</v>
      </c>
      <c r="AP974" s="22">
        <v>967</v>
      </c>
      <c r="AQ974" s="32">
        <f t="shared" ca="1" si="801"/>
        <v>3060.5461259300187</v>
      </c>
      <c r="AR974" s="23">
        <f t="array" aca="1" ref="AR974" ca="1">SUM(IF(lsc_start_date=AO974,lsc_amount,0))</f>
        <v>0</v>
      </c>
      <c r="AS974" s="24">
        <f t="shared" ca="1" si="775"/>
        <v>0</v>
      </c>
      <c r="AT974" s="24">
        <f t="shared" ca="1" si="776"/>
        <v>0</v>
      </c>
      <c r="AU974" s="24">
        <f t="shared" ca="1" si="777"/>
        <v>0</v>
      </c>
      <c r="AV974" s="25">
        <f t="shared" ca="1" si="778"/>
        <v>0</v>
      </c>
      <c r="AW974" s="23">
        <f t="array" aca="1" ref="AW974" ca="1">SUM(IF(rcs_start_date&lt;=AO974,1,0)*IF(rcs_end_date&gt;=AO974,1,0)*rcs_amount*(1+rcs_escalation/100)^(INT((AP974-rcs_months_since_start)/12))*IF(MOD((AP974-rcs_months_since_start),rcs_frequency)=0,1,0)*IF(rcs_frequency=13,0,1))+SUM(IF(rcs_start_date=AO974,rcs_amount,0)*IF(rcs_frequency=13,1,0))</f>
        <v>0</v>
      </c>
      <c r="AX974" s="24">
        <f t="shared" ca="1" si="779"/>
        <v>0</v>
      </c>
      <c r="AY974" s="24">
        <f t="shared" ca="1" si="780"/>
        <v>0</v>
      </c>
      <c r="AZ974" s="24">
        <f t="shared" ca="1" si="781"/>
        <v>0</v>
      </c>
      <c r="BA974" s="25">
        <f t="shared" ca="1" si="782"/>
        <v>0</v>
      </c>
      <c r="BB974" s="23">
        <f t="array" aca="1" ref="BB974" ca="1">SUM(IF(w_start_date&lt;=AO974,1,0)*IF(w_end_date&gt;=AO974,1,0)*w_amount*(1+w_escalation/100)^(INT((AP974-w_months_since_start)/12))*IF(MOD(AP974-w_months_since_start,w_frequency)=0,1,0)*IF(w_frequency=13,0,1))+SUM(IF(w_start_date=AO974,w_amount,0)*IF(w_frequency=13,1,0))</f>
        <v>0</v>
      </c>
      <c r="BC974" s="25">
        <f t="shared" ca="1" si="783"/>
        <v>0</v>
      </c>
      <c r="BD974" s="24" t="b">
        <f t="shared" ca="1" si="784"/>
        <v>1</v>
      </c>
      <c r="BE974" s="24" t="b">
        <f t="shared" ca="1" si="785"/>
        <v>1</v>
      </c>
      <c r="BF974" s="23">
        <f t="array" aca="1" ref="BF974" ca="1">SUM(IF(BD974,1,0)*IF(ap_start_date&lt;=AO974,1,0)*IF(ap_end_date&gt;=AO974,1,0)*ap_amount*(1+ap_escalation/100)^(INT((AP974-ap_months_since_start)/12))*IF(MOD(AP974-ap_months_since_start,ap_frequency)=0,1,0))</f>
        <v>524044.84832540574</v>
      </c>
      <c r="BG974" s="24">
        <f t="shared" ca="1" si="786"/>
        <v>6288538.179904867</v>
      </c>
      <c r="BH974" s="24">
        <f t="shared" ca="1" si="787"/>
        <v>80.839693375137699</v>
      </c>
      <c r="BI974">
        <f t="shared" ca="1" si="788"/>
        <v>0</v>
      </c>
      <c r="BJ974" s="24">
        <f t="shared" ca="1" si="789"/>
        <v>565.87785362596389</v>
      </c>
      <c r="BK974">
        <f t="shared" ca="1" si="790"/>
        <v>1</v>
      </c>
      <c r="BL974" s="25">
        <f t="shared" ca="1" si="791"/>
        <v>47.156487802163674</v>
      </c>
      <c r="BM974" s="32">
        <f t="shared" ca="1" si="770"/>
        <v>3035.1081115273387</v>
      </c>
      <c r="BN974" s="23">
        <f t="shared" ca="1" si="792"/>
        <v>0</v>
      </c>
      <c r="BO974" s="24">
        <f t="shared" ca="1" si="793"/>
        <v>0</v>
      </c>
      <c r="BP974" s="25">
        <f t="shared" ca="1" si="794"/>
        <v>0</v>
      </c>
      <c r="BQ974" s="34">
        <f t="shared" ca="1" si="795"/>
        <v>75057</v>
      </c>
      <c r="BR974" s="23">
        <f t="shared" ca="1" si="796"/>
        <v>3035.1081115273387</v>
      </c>
      <c r="BS974" s="24">
        <f t="shared" ca="1" si="797"/>
        <v>0</v>
      </c>
      <c r="BT974" s="24">
        <f t="shared" ca="1" si="762"/>
        <v>0</v>
      </c>
      <c r="BU974" s="24">
        <f t="shared" ca="1" si="798"/>
        <v>0</v>
      </c>
      <c r="BV974" s="24">
        <f t="shared" ca="1" si="763"/>
        <v>0</v>
      </c>
      <c r="BW974" s="24">
        <f t="shared" ca="1" si="799"/>
        <v>-47.156487802163674</v>
      </c>
      <c r="BX974" s="25">
        <f t="shared" ca="1" si="764"/>
        <v>-585.31487636426607</v>
      </c>
      <c r="BY974" s="23">
        <f t="shared" ca="1" si="771"/>
        <v>128.69773596113845</v>
      </c>
      <c r="BZ974" s="24">
        <f t="shared" ca="1" si="772"/>
        <v>0</v>
      </c>
      <c r="CA974" s="24">
        <f t="shared" ca="1" si="765"/>
        <v>0</v>
      </c>
      <c r="CB974" s="24">
        <f t="shared" ca="1" si="773"/>
        <v>0</v>
      </c>
      <c r="CC974" s="24">
        <f t="shared" ca="1" si="766"/>
        <v>0</v>
      </c>
      <c r="CD974" s="24">
        <f t="shared" ca="1" si="774"/>
        <v>-2.0061233736607358</v>
      </c>
      <c r="CE974" s="25">
        <f t="shared" ca="1" si="767"/>
        <v>-25.36467190428727</v>
      </c>
      <c r="CF974" s="23">
        <f t="shared" ca="1" si="768"/>
        <v>6207915.8955471125</v>
      </c>
      <c r="CG974" s="25">
        <f t="array" aca="1" ref="CG974" ca="1">SUM(BF963:BF974/(1+inflation/100)^(AP963:AP974/12))</f>
        <v>267980.53702225391</v>
      </c>
      <c r="CH974" s="32">
        <f ca="1">IFERROR(IF(MOD(AP974-ap_months_since_start,12)=0,ap_drawdown/100*(AQ974+AV974+BA974-BC974),CH973),0)</f>
        <v>496.98342691693307</v>
      </c>
    </row>
    <row r="975" spans="40:86" x14ac:dyDescent="0.25">
      <c r="AN975" s="32">
        <f t="shared" ca="1" si="769"/>
        <v>135.5</v>
      </c>
      <c r="AO975" s="53">
        <f t="shared" ca="1" si="800"/>
        <v>75058</v>
      </c>
      <c r="AP975" s="22">
        <v>968</v>
      </c>
      <c r="AQ975" s="32">
        <f t="shared" ca="1" si="801"/>
        <v>3035.1081115273387</v>
      </c>
      <c r="AR975" s="23">
        <f t="array" aca="1" ref="AR975" ca="1">SUM(IF(lsc_start_date=AO975,lsc_amount,0))</f>
        <v>0</v>
      </c>
      <c r="AS975" s="24">
        <f t="shared" ca="1" si="775"/>
        <v>0</v>
      </c>
      <c r="AT975" s="24">
        <f t="shared" ca="1" si="776"/>
        <v>0</v>
      </c>
      <c r="AU975" s="24">
        <f t="shared" ca="1" si="777"/>
        <v>0</v>
      </c>
      <c r="AV975" s="25">
        <f t="shared" ca="1" si="778"/>
        <v>0</v>
      </c>
      <c r="AW975" s="23">
        <f t="array" aca="1" ref="AW975" ca="1">SUM(IF(rcs_start_date&lt;=AO975,1,0)*IF(rcs_end_date&gt;=AO975,1,0)*rcs_amount*(1+rcs_escalation/100)^(INT((AP975-rcs_months_since_start)/12))*IF(MOD((AP975-rcs_months_since_start),rcs_frequency)=0,1,0)*IF(rcs_frequency=13,0,1))+SUM(IF(rcs_start_date=AO975,rcs_amount,0)*IF(rcs_frequency=13,1,0))</f>
        <v>0</v>
      </c>
      <c r="AX975" s="24">
        <f t="shared" ca="1" si="779"/>
        <v>0</v>
      </c>
      <c r="AY975" s="24">
        <f t="shared" ca="1" si="780"/>
        <v>0</v>
      </c>
      <c r="AZ975" s="24">
        <f t="shared" ca="1" si="781"/>
        <v>0</v>
      </c>
      <c r="BA975" s="25">
        <f t="shared" ca="1" si="782"/>
        <v>0</v>
      </c>
      <c r="BB975" s="23">
        <f t="array" aca="1" ref="BB975" ca="1">SUM(IF(w_start_date&lt;=AO975,1,0)*IF(w_end_date&gt;=AO975,1,0)*w_amount*(1+w_escalation/100)^(INT((AP975-w_months_since_start)/12))*IF(MOD(AP975-w_months_since_start,w_frequency)=0,1,0)*IF(w_frequency=13,0,1))+SUM(IF(w_start_date=AO975,w_amount,0)*IF(w_frequency=13,1,0))</f>
        <v>0</v>
      </c>
      <c r="BC975" s="25">
        <f t="shared" ca="1" si="783"/>
        <v>0</v>
      </c>
      <c r="BD975" s="24" t="b">
        <f t="shared" ca="1" si="784"/>
        <v>1</v>
      </c>
      <c r="BE975" s="24" t="b">
        <f t="shared" ca="1" si="785"/>
        <v>1</v>
      </c>
      <c r="BF975" s="23">
        <f t="array" aca="1" ref="BF975" ca="1">SUM(IF(BD975,1,0)*IF(ap_start_date&lt;=AO975,1,0)*IF(ap_end_date&gt;=AO975,1,0)*ap_amount*(1+ap_escalation/100)^(INT((AP975-ap_months_since_start)/12))*IF(MOD(AP975-ap_months_since_start,ap_frequency)=0,1,0))</f>
        <v>524044.84832540574</v>
      </c>
      <c r="BG975" s="24">
        <f t="shared" ca="1" si="786"/>
        <v>6288538.179904867</v>
      </c>
      <c r="BH975" s="24">
        <f t="shared" ca="1" si="787"/>
        <v>80.839693375137699</v>
      </c>
      <c r="BI975">
        <f t="shared" ca="1" si="788"/>
        <v>0</v>
      </c>
      <c r="BJ975" s="24">
        <f t="shared" ca="1" si="789"/>
        <v>565.87785362596389</v>
      </c>
      <c r="BK975">
        <f t="shared" ca="1" si="790"/>
        <v>1</v>
      </c>
      <c r="BL975" s="25">
        <f t="shared" ca="1" si="791"/>
        <v>47.156487802163674</v>
      </c>
      <c r="BM975" s="32">
        <f t="shared" ca="1" si="770"/>
        <v>3009.486757130338</v>
      </c>
      <c r="BN975" s="23">
        <f t="shared" ca="1" si="792"/>
        <v>0</v>
      </c>
      <c r="BO975" s="24">
        <f t="shared" ca="1" si="793"/>
        <v>0</v>
      </c>
      <c r="BP975" s="25">
        <f t="shared" ca="1" si="794"/>
        <v>0</v>
      </c>
      <c r="BQ975" s="34">
        <f t="shared" ca="1" si="795"/>
        <v>75088</v>
      </c>
      <c r="BR975" s="23">
        <f t="shared" ca="1" si="796"/>
        <v>3009.486757130338</v>
      </c>
      <c r="BS975" s="24">
        <f t="shared" ca="1" si="797"/>
        <v>0</v>
      </c>
      <c r="BT975" s="24">
        <f t="shared" ca="1" si="762"/>
        <v>0</v>
      </c>
      <c r="BU975" s="24">
        <f t="shared" ca="1" si="798"/>
        <v>0</v>
      </c>
      <c r="BV975" s="24">
        <f t="shared" ca="1" si="763"/>
        <v>0</v>
      </c>
      <c r="BW975" s="24">
        <f t="shared" ca="1" si="799"/>
        <v>-47.156487802163674</v>
      </c>
      <c r="BX975" s="25">
        <f t="shared" ca="1" si="764"/>
        <v>-580.45562067969058</v>
      </c>
      <c r="BY975" s="23">
        <f t="shared" ca="1" si="771"/>
        <v>127.19491023860755</v>
      </c>
      <c r="BZ975" s="24">
        <f t="shared" ca="1" si="772"/>
        <v>0</v>
      </c>
      <c r="CA975" s="24">
        <f t="shared" ca="1" si="765"/>
        <v>0</v>
      </c>
      <c r="CB975" s="24">
        <f t="shared" ca="1" si="773"/>
        <v>0</v>
      </c>
      <c r="CC975" s="24">
        <f t="shared" ca="1" si="766"/>
        <v>0</v>
      </c>
      <c r="CD975" s="24">
        <f t="shared" ca="1" si="774"/>
        <v>-1.9995772779782379</v>
      </c>
      <c r="CE975" s="25">
        <f t="shared" ca="1" si="767"/>
        <v>-25.070399835851841</v>
      </c>
      <c r="CF975" s="23">
        <f t="shared" ca="1" si="768"/>
        <v>6228071.4666365515</v>
      </c>
      <c r="CG975" s="25">
        <f t="array" aca="1" ref="CG975" ca="1">SUM(BF964:BF975/(1+inflation/100)^(AP964:AP975/12))</f>
        <v>267980.53702225391</v>
      </c>
      <c r="CH975" s="32">
        <f ca="1">IFERROR(IF(MOD(AP975-ap_months_since_start,12)=0,ap_drawdown/100*(AQ975+AV975+BA975-BC975),CH974),0)</f>
        <v>496.98342691693307</v>
      </c>
    </row>
    <row r="976" spans="40:86" x14ac:dyDescent="0.25">
      <c r="AN976" s="32">
        <f t="shared" ca="1" si="769"/>
        <v>135.58333333333334</v>
      </c>
      <c r="AO976" s="53">
        <f t="shared" ca="1" si="800"/>
        <v>75089</v>
      </c>
      <c r="AP976" s="22">
        <v>969</v>
      </c>
      <c r="AQ976" s="32">
        <f t="shared" ca="1" si="801"/>
        <v>3009.486757130338</v>
      </c>
      <c r="AR976" s="23">
        <f t="array" aca="1" ref="AR976" ca="1">SUM(IF(lsc_start_date=AO976,lsc_amount,0))</f>
        <v>0</v>
      </c>
      <c r="AS976" s="24">
        <f t="shared" ca="1" si="775"/>
        <v>0</v>
      </c>
      <c r="AT976" s="24">
        <f t="shared" ca="1" si="776"/>
        <v>0</v>
      </c>
      <c r="AU976" s="24">
        <f t="shared" ca="1" si="777"/>
        <v>0</v>
      </c>
      <c r="AV976" s="25">
        <f t="shared" ca="1" si="778"/>
        <v>0</v>
      </c>
      <c r="AW976" s="23">
        <f t="array" aca="1" ref="AW976" ca="1">SUM(IF(rcs_start_date&lt;=AO976,1,0)*IF(rcs_end_date&gt;=AO976,1,0)*rcs_amount*(1+rcs_escalation/100)^(INT((AP976-rcs_months_since_start)/12))*IF(MOD((AP976-rcs_months_since_start),rcs_frequency)=0,1,0)*IF(rcs_frequency=13,0,1))+SUM(IF(rcs_start_date=AO976,rcs_amount,0)*IF(rcs_frequency=13,1,0))</f>
        <v>0</v>
      </c>
      <c r="AX976" s="24">
        <f t="shared" ca="1" si="779"/>
        <v>0</v>
      </c>
      <c r="AY976" s="24">
        <f t="shared" ca="1" si="780"/>
        <v>0</v>
      </c>
      <c r="AZ976" s="24">
        <f t="shared" ca="1" si="781"/>
        <v>0</v>
      </c>
      <c r="BA976" s="25">
        <f t="shared" ca="1" si="782"/>
        <v>0</v>
      </c>
      <c r="BB976" s="23">
        <f t="array" aca="1" ref="BB976" ca="1">SUM(IF(w_start_date&lt;=AO976,1,0)*IF(w_end_date&gt;=AO976,1,0)*w_amount*(1+w_escalation/100)^(INT((AP976-w_months_since_start)/12))*IF(MOD(AP976-w_months_since_start,w_frequency)=0,1,0)*IF(w_frequency=13,0,1))+SUM(IF(w_start_date=AO976,w_amount,0)*IF(w_frequency=13,1,0))</f>
        <v>0</v>
      </c>
      <c r="BC976" s="25">
        <f t="shared" ca="1" si="783"/>
        <v>0</v>
      </c>
      <c r="BD976" s="24" t="b">
        <f t="shared" ca="1" si="784"/>
        <v>1</v>
      </c>
      <c r="BE976" s="24" t="b">
        <f t="shared" ca="1" si="785"/>
        <v>1</v>
      </c>
      <c r="BF976" s="23">
        <f t="array" aca="1" ref="BF976" ca="1">SUM(IF(BD976,1,0)*IF(ap_start_date&lt;=AO976,1,0)*IF(ap_end_date&gt;=AO976,1,0)*ap_amount*(1+ap_escalation/100)^(INT((AP976-ap_months_since_start)/12))*IF(MOD(AP976-ap_months_since_start,ap_frequency)=0,1,0))</f>
        <v>524044.84832540574</v>
      </c>
      <c r="BG976" s="24">
        <f t="shared" ca="1" si="786"/>
        <v>6288538.179904867</v>
      </c>
      <c r="BH976" s="24">
        <f t="shared" ca="1" si="787"/>
        <v>80.839693375137699</v>
      </c>
      <c r="BI976">
        <f t="shared" ca="1" si="788"/>
        <v>0</v>
      </c>
      <c r="BJ976" s="24">
        <f t="shared" ca="1" si="789"/>
        <v>565.87785362596389</v>
      </c>
      <c r="BK976">
        <f t="shared" ca="1" si="790"/>
        <v>1</v>
      </c>
      <c r="BL976" s="25">
        <f t="shared" ca="1" si="791"/>
        <v>47.156487802163674</v>
      </c>
      <c r="BM976" s="32">
        <f t="shared" ca="1" si="770"/>
        <v>2983.6807413484007</v>
      </c>
      <c r="BN976" s="23">
        <f t="shared" ca="1" si="792"/>
        <v>0</v>
      </c>
      <c r="BO976" s="24">
        <f t="shared" ca="1" si="793"/>
        <v>0</v>
      </c>
      <c r="BP976" s="25">
        <f t="shared" ca="1" si="794"/>
        <v>0</v>
      </c>
      <c r="BQ976" s="34">
        <f t="shared" ca="1" si="795"/>
        <v>75119</v>
      </c>
      <c r="BR976" s="23">
        <f t="shared" ca="1" si="796"/>
        <v>2983.6807413484007</v>
      </c>
      <c r="BS976" s="24">
        <f t="shared" ca="1" si="797"/>
        <v>0</v>
      </c>
      <c r="BT976" s="24">
        <f t="shared" ca="1" si="762"/>
        <v>0</v>
      </c>
      <c r="BU976" s="24">
        <f t="shared" ca="1" si="798"/>
        <v>0</v>
      </c>
      <c r="BV976" s="24">
        <f t="shared" ca="1" si="763"/>
        <v>0</v>
      </c>
      <c r="BW976" s="24">
        <f t="shared" ca="1" si="799"/>
        <v>-47.156487802163674</v>
      </c>
      <c r="BX976" s="25">
        <f t="shared" ca="1" si="764"/>
        <v>-575.5963649951151</v>
      </c>
      <c r="BY976" s="23">
        <f t="shared" ca="1" si="771"/>
        <v>125.69274263233304</v>
      </c>
      <c r="BZ976" s="24">
        <f t="shared" ca="1" si="772"/>
        <v>0</v>
      </c>
      <c r="CA976" s="24">
        <f t="shared" ca="1" si="765"/>
        <v>0</v>
      </c>
      <c r="CB976" s="24">
        <f t="shared" ca="1" si="773"/>
        <v>0</v>
      </c>
      <c r="CC976" s="24">
        <f t="shared" ca="1" si="766"/>
        <v>0</v>
      </c>
      <c r="CD976" s="24">
        <f t="shared" ca="1" si="774"/>
        <v>-1.9930525425815755</v>
      </c>
      <c r="CE976" s="25">
        <f t="shared" ca="1" si="767"/>
        <v>-24.777087994061475</v>
      </c>
      <c r="CF976" s="23">
        <f t="shared" ca="1" si="768"/>
        <v>6248227.0377259906</v>
      </c>
      <c r="CG976" s="25">
        <f t="array" aca="1" ref="CG976" ca="1">SUM(BF965:BF976/(1+inflation/100)^(AP965:AP976/12))</f>
        <v>267980.53702225391</v>
      </c>
      <c r="CH976" s="32">
        <f ca="1">IFERROR(IF(MOD(AP976-ap_months_since_start,12)=0,ap_drawdown/100*(AQ976+AV976+BA976-BC976),CH975),0)</f>
        <v>496.98342691693307</v>
      </c>
    </row>
    <row r="977" spans="40:86" x14ac:dyDescent="0.25">
      <c r="AN977" s="32">
        <f t="shared" ca="1" si="769"/>
        <v>135.66666666666666</v>
      </c>
      <c r="AO977" s="53">
        <f t="shared" ca="1" si="800"/>
        <v>75120</v>
      </c>
      <c r="AP977" s="22">
        <v>970</v>
      </c>
      <c r="AQ977" s="32">
        <f t="shared" ca="1" si="801"/>
        <v>2983.6807413484007</v>
      </c>
      <c r="AR977" s="23">
        <f t="array" aca="1" ref="AR977" ca="1">SUM(IF(lsc_start_date=AO977,lsc_amount,0))</f>
        <v>0</v>
      </c>
      <c r="AS977" s="24">
        <f t="shared" ca="1" si="775"/>
        <v>0</v>
      </c>
      <c r="AT977" s="24">
        <f t="shared" ca="1" si="776"/>
        <v>0</v>
      </c>
      <c r="AU977" s="24">
        <f t="shared" ca="1" si="777"/>
        <v>0</v>
      </c>
      <c r="AV977" s="25">
        <f t="shared" ca="1" si="778"/>
        <v>0</v>
      </c>
      <c r="AW977" s="23">
        <f t="array" aca="1" ref="AW977" ca="1">SUM(IF(rcs_start_date&lt;=AO977,1,0)*IF(rcs_end_date&gt;=AO977,1,0)*rcs_amount*(1+rcs_escalation/100)^(INT((AP977-rcs_months_since_start)/12))*IF(MOD((AP977-rcs_months_since_start),rcs_frequency)=0,1,0)*IF(rcs_frequency=13,0,1))+SUM(IF(rcs_start_date=AO977,rcs_amount,0)*IF(rcs_frequency=13,1,0))</f>
        <v>0</v>
      </c>
      <c r="AX977" s="24">
        <f t="shared" ca="1" si="779"/>
        <v>0</v>
      </c>
      <c r="AY977" s="24">
        <f t="shared" ca="1" si="780"/>
        <v>0</v>
      </c>
      <c r="AZ977" s="24">
        <f t="shared" ca="1" si="781"/>
        <v>0</v>
      </c>
      <c r="BA977" s="25">
        <f t="shared" ca="1" si="782"/>
        <v>0</v>
      </c>
      <c r="BB977" s="23">
        <f t="array" aca="1" ref="BB977" ca="1">SUM(IF(w_start_date&lt;=AO977,1,0)*IF(w_end_date&gt;=AO977,1,0)*w_amount*(1+w_escalation/100)^(INT((AP977-w_months_since_start)/12))*IF(MOD(AP977-w_months_since_start,w_frequency)=0,1,0)*IF(w_frequency=13,0,1))+SUM(IF(w_start_date=AO977,w_amount,0)*IF(w_frequency=13,1,0))</f>
        <v>0</v>
      </c>
      <c r="BC977" s="25">
        <f t="shared" ca="1" si="783"/>
        <v>0</v>
      </c>
      <c r="BD977" s="24" t="b">
        <f t="shared" ca="1" si="784"/>
        <v>1</v>
      </c>
      <c r="BE977" s="24" t="b">
        <f t="shared" ca="1" si="785"/>
        <v>1</v>
      </c>
      <c r="BF977" s="23">
        <f t="array" aca="1" ref="BF977" ca="1">SUM(IF(BD977,1,0)*IF(ap_start_date&lt;=AO977,1,0)*IF(ap_end_date&gt;=AO977,1,0)*ap_amount*(1+ap_escalation/100)^(INT((AP977-ap_months_since_start)/12))*IF(MOD(AP977-ap_months_since_start,ap_frequency)=0,1,0))</f>
        <v>524044.84832540574</v>
      </c>
      <c r="BG977" s="24">
        <f t="shared" ca="1" si="786"/>
        <v>6288538.179904867</v>
      </c>
      <c r="BH977" s="24">
        <f t="shared" ca="1" si="787"/>
        <v>80.839693375137699</v>
      </c>
      <c r="BI977">
        <f t="shared" ca="1" si="788"/>
        <v>0</v>
      </c>
      <c r="BJ977" s="24">
        <f t="shared" ca="1" si="789"/>
        <v>565.87785362596389</v>
      </c>
      <c r="BK977">
        <f t="shared" ca="1" si="790"/>
        <v>1</v>
      </c>
      <c r="BL977" s="25">
        <f t="shared" ca="1" si="791"/>
        <v>47.156487802163674</v>
      </c>
      <c r="BM977" s="32">
        <f t="shared" ca="1" si="770"/>
        <v>2957.6887332672218</v>
      </c>
      <c r="BN977" s="23">
        <f t="shared" ca="1" si="792"/>
        <v>0</v>
      </c>
      <c r="BO977" s="24">
        <f t="shared" ca="1" si="793"/>
        <v>0</v>
      </c>
      <c r="BP977" s="25">
        <f t="shared" ca="1" si="794"/>
        <v>0</v>
      </c>
      <c r="BQ977" s="34">
        <f t="shared" ca="1" si="795"/>
        <v>75149</v>
      </c>
      <c r="BR977" s="23">
        <f t="shared" ca="1" si="796"/>
        <v>2957.6887332672218</v>
      </c>
      <c r="BS977" s="24">
        <f t="shared" ca="1" si="797"/>
        <v>0</v>
      </c>
      <c r="BT977" s="24">
        <f t="shared" ca="1" si="762"/>
        <v>0</v>
      </c>
      <c r="BU977" s="24">
        <f t="shared" ca="1" si="798"/>
        <v>0</v>
      </c>
      <c r="BV977" s="24">
        <f t="shared" ca="1" si="763"/>
        <v>0</v>
      </c>
      <c r="BW977" s="24">
        <f t="shared" ca="1" si="799"/>
        <v>-47.156487802163674</v>
      </c>
      <c r="BX977" s="25">
        <f t="shared" ca="1" si="764"/>
        <v>-570.73710931053961</v>
      </c>
      <c r="BY977" s="23">
        <f t="shared" ca="1" si="771"/>
        <v>124.19121434856184</v>
      </c>
      <c r="BZ977" s="24">
        <f t="shared" ca="1" si="772"/>
        <v>0</v>
      </c>
      <c r="CA977" s="24">
        <f t="shared" ca="1" si="765"/>
        <v>0</v>
      </c>
      <c r="CB977" s="24">
        <f t="shared" ca="1" si="773"/>
        <v>0</v>
      </c>
      <c r="CC977" s="24">
        <f t="shared" ca="1" si="766"/>
        <v>0</v>
      </c>
      <c r="CD977" s="24">
        <f t="shared" ca="1" si="774"/>
        <v>-1.9865490977709119</v>
      </c>
      <c r="CE977" s="25">
        <f t="shared" ca="1" si="767"/>
        <v>-24.484733245641518</v>
      </c>
      <c r="CF977" s="23">
        <f t="shared" ca="1" si="768"/>
        <v>6268382.6088154297</v>
      </c>
      <c r="CG977" s="25">
        <f t="array" aca="1" ref="CG977" ca="1">SUM(BF966:BF977/(1+inflation/100)^(AP966:AP977/12))</f>
        <v>267980.53702225391</v>
      </c>
      <c r="CH977" s="32">
        <f ca="1">IFERROR(IF(MOD(AP977-ap_months_since_start,12)=0,ap_drawdown/100*(AQ977+AV977+BA977-BC977),CH976),0)</f>
        <v>496.98342691693307</v>
      </c>
    </row>
    <row r="978" spans="40:86" x14ac:dyDescent="0.25">
      <c r="AN978" s="32">
        <f t="shared" ca="1" si="769"/>
        <v>135.75</v>
      </c>
      <c r="AO978" s="53">
        <f t="shared" ca="1" si="800"/>
        <v>75150</v>
      </c>
      <c r="AP978" s="22">
        <v>971</v>
      </c>
      <c r="AQ978" s="32">
        <f t="shared" ca="1" si="801"/>
        <v>2957.6887332672218</v>
      </c>
      <c r="AR978" s="23">
        <f t="array" aca="1" ref="AR978" ca="1">SUM(IF(lsc_start_date=AO978,lsc_amount,0))</f>
        <v>0</v>
      </c>
      <c r="AS978" s="24">
        <f t="shared" ca="1" si="775"/>
        <v>0</v>
      </c>
      <c r="AT978" s="24">
        <f t="shared" ca="1" si="776"/>
        <v>0</v>
      </c>
      <c r="AU978" s="24">
        <f t="shared" ca="1" si="777"/>
        <v>0</v>
      </c>
      <c r="AV978" s="25">
        <f t="shared" ca="1" si="778"/>
        <v>0</v>
      </c>
      <c r="AW978" s="23">
        <f t="array" aca="1" ref="AW978" ca="1">SUM(IF(rcs_start_date&lt;=AO978,1,0)*IF(rcs_end_date&gt;=AO978,1,0)*rcs_amount*(1+rcs_escalation/100)^(INT((AP978-rcs_months_since_start)/12))*IF(MOD((AP978-rcs_months_since_start),rcs_frequency)=0,1,0)*IF(rcs_frequency=13,0,1))+SUM(IF(rcs_start_date=AO978,rcs_amount,0)*IF(rcs_frequency=13,1,0))</f>
        <v>0</v>
      </c>
      <c r="AX978" s="24">
        <f t="shared" ca="1" si="779"/>
        <v>0</v>
      </c>
      <c r="AY978" s="24">
        <f t="shared" ca="1" si="780"/>
        <v>0</v>
      </c>
      <c r="AZ978" s="24">
        <f t="shared" ca="1" si="781"/>
        <v>0</v>
      </c>
      <c r="BA978" s="25">
        <f t="shared" ca="1" si="782"/>
        <v>0</v>
      </c>
      <c r="BB978" s="23">
        <f t="array" aca="1" ref="BB978" ca="1">SUM(IF(w_start_date&lt;=AO978,1,0)*IF(w_end_date&gt;=AO978,1,0)*w_amount*(1+w_escalation/100)^(INT((AP978-w_months_since_start)/12))*IF(MOD(AP978-w_months_since_start,w_frequency)=0,1,0)*IF(w_frequency=13,0,1))+SUM(IF(w_start_date=AO978,w_amount,0)*IF(w_frequency=13,1,0))</f>
        <v>0</v>
      </c>
      <c r="BC978" s="25">
        <f t="shared" ca="1" si="783"/>
        <v>0</v>
      </c>
      <c r="BD978" s="24" t="b">
        <f t="shared" ca="1" si="784"/>
        <v>1</v>
      </c>
      <c r="BE978" s="24" t="b">
        <f t="shared" ca="1" si="785"/>
        <v>1</v>
      </c>
      <c r="BF978" s="23">
        <f t="array" aca="1" ref="BF978" ca="1">SUM(IF(BD978,1,0)*IF(ap_start_date&lt;=AO978,1,0)*IF(ap_end_date&gt;=AO978,1,0)*ap_amount*(1+ap_escalation/100)^(INT((AP978-ap_months_since_start)/12))*IF(MOD(AP978-ap_months_since_start,ap_frequency)=0,1,0))</f>
        <v>524044.84832540574</v>
      </c>
      <c r="BG978" s="24">
        <f t="shared" ca="1" si="786"/>
        <v>6288538.179904867</v>
      </c>
      <c r="BH978" s="24">
        <f t="shared" ca="1" si="787"/>
        <v>80.839693375137699</v>
      </c>
      <c r="BI978">
        <f t="shared" ca="1" si="788"/>
        <v>0</v>
      </c>
      <c r="BJ978" s="24">
        <f t="shared" ca="1" si="789"/>
        <v>565.87785362596389</v>
      </c>
      <c r="BK978">
        <f t="shared" ca="1" si="790"/>
        <v>1</v>
      </c>
      <c r="BL978" s="25">
        <f t="shared" ca="1" si="791"/>
        <v>47.156487802163674</v>
      </c>
      <c r="BM978" s="32">
        <f t="shared" ca="1" si="770"/>
        <v>2931.5093923801664</v>
      </c>
      <c r="BN978" s="23">
        <f t="shared" ca="1" si="792"/>
        <v>0</v>
      </c>
      <c r="BO978" s="24">
        <f t="shared" ca="1" si="793"/>
        <v>0</v>
      </c>
      <c r="BP978" s="25">
        <f t="shared" ca="1" si="794"/>
        <v>0</v>
      </c>
      <c r="BQ978" s="34">
        <f t="shared" ca="1" si="795"/>
        <v>75180</v>
      </c>
      <c r="BR978" s="23">
        <f t="shared" ca="1" si="796"/>
        <v>2931.5093923801664</v>
      </c>
      <c r="BS978" s="24">
        <f t="shared" ca="1" si="797"/>
        <v>0</v>
      </c>
      <c r="BT978" s="24">
        <f t="shared" ca="1" si="762"/>
        <v>0</v>
      </c>
      <c r="BU978" s="24">
        <f t="shared" ca="1" si="798"/>
        <v>0</v>
      </c>
      <c r="BV978" s="24">
        <f t="shared" ca="1" si="763"/>
        <v>0</v>
      </c>
      <c r="BW978" s="24">
        <f t="shared" ca="1" si="799"/>
        <v>-47.156487802163674</v>
      </c>
      <c r="BX978" s="25">
        <f t="shared" ca="1" si="764"/>
        <v>-565.87785362596412</v>
      </c>
      <c r="BY978" s="23">
        <f t="shared" ca="1" si="771"/>
        <v>122.69030658960008</v>
      </c>
      <c r="BZ978" s="24">
        <f t="shared" ca="1" si="772"/>
        <v>0</v>
      </c>
      <c r="CA978" s="24">
        <f t="shared" ca="1" si="765"/>
        <v>0</v>
      </c>
      <c r="CB978" s="24">
        <f t="shared" ca="1" si="773"/>
        <v>0</v>
      </c>
      <c r="CC978" s="24">
        <f t="shared" ca="1" si="766"/>
        <v>0</v>
      </c>
      <c r="CD978" s="24">
        <f t="shared" ca="1" si="774"/>
        <v>-1.9800668740738425</v>
      </c>
      <c r="CE978" s="25">
        <f t="shared" ca="1" si="767"/>
        <v>-24.193332467541396</v>
      </c>
      <c r="CF978" s="23">
        <f t="shared" ca="1" si="768"/>
        <v>6288538.179904867</v>
      </c>
      <c r="CG978" s="25">
        <f t="array" aca="1" ref="CG978" ca="1">SUM(BF967:BF978/(1+inflation/100)^(AP967:AP978/12))</f>
        <v>267980.53702225391</v>
      </c>
      <c r="CH978" s="32">
        <f ca="1">IFERROR(IF(MOD(AP978-ap_months_since_start,12)=0,ap_drawdown/100*(AQ978+AV978+BA978-BC978),CH977),0)</f>
        <v>496.98342691693307</v>
      </c>
    </row>
    <row r="979" spans="40:86" x14ac:dyDescent="0.25">
      <c r="AN979" s="32">
        <f t="shared" ca="1" si="769"/>
        <v>135.83333333333334</v>
      </c>
      <c r="AO979" s="53">
        <f t="shared" ca="1" si="800"/>
        <v>75181</v>
      </c>
      <c r="AP979" s="22">
        <v>972</v>
      </c>
      <c r="AQ979" s="32">
        <f t="shared" ca="1" si="801"/>
        <v>2931.5093923801664</v>
      </c>
      <c r="AR979" s="23">
        <f t="array" aca="1" ref="AR979" ca="1">SUM(IF(lsc_start_date=AO979,lsc_amount,0))</f>
        <v>0</v>
      </c>
      <c r="AS979" s="24">
        <f t="shared" ca="1" si="775"/>
        <v>0</v>
      </c>
      <c r="AT979" s="24">
        <f t="shared" ca="1" si="776"/>
        <v>0</v>
      </c>
      <c r="AU979" s="24">
        <f t="shared" ca="1" si="777"/>
        <v>0</v>
      </c>
      <c r="AV979" s="25">
        <f t="shared" ca="1" si="778"/>
        <v>0</v>
      </c>
      <c r="AW979" s="23">
        <f t="array" aca="1" ref="AW979" ca="1">SUM(IF(rcs_start_date&lt;=AO979,1,0)*IF(rcs_end_date&gt;=AO979,1,0)*rcs_amount*(1+rcs_escalation/100)^(INT((AP979-rcs_months_since_start)/12))*IF(MOD((AP979-rcs_months_since_start),rcs_frequency)=0,1,0)*IF(rcs_frequency=13,0,1))+SUM(IF(rcs_start_date=AO979,rcs_amount,0)*IF(rcs_frequency=13,1,0))</f>
        <v>0</v>
      </c>
      <c r="AX979" s="24">
        <f t="shared" ca="1" si="779"/>
        <v>0</v>
      </c>
      <c r="AY979" s="24">
        <f t="shared" ca="1" si="780"/>
        <v>0</v>
      </c>
      <c r="AZ979" s="24">
        <f t="shared" ca="1" si="781"/>
        <v>0</v>
      </c>
      <c r="BA979" s="25">
        <f t="shared" ca="1" si="782"/>
        <v>0</v>
      </c>
      <c r="BB979" s="23">
        <f t="array" aca="1" ref="BB979" ca="1">SUM(IF(w_start_date&lt;=AO979,1,0)*IF(w_end_date&gt;=AO979,1,0)*w_amount*(1+w_escalation/100)^(INT((AP979-w_months_since_start)/12))*IF(MOD(AP979-w_months_since_start,w_frequency)=0,1,0)*IF(w_frequency=13,0,1))+SUM(IF(w_start_date=AO979,w_amount,0)*IF(w_frequency=13,1,0))</f>
        <v>0</v>
      </c>
      <c r="BC979" s="25">
        <f t="shared" ca="1" si="783"/>
        <v>0</v>
      </c>
      <c r="BD979" s="24" t="b">
        <f t="shared" ca="1" si="784"/>
        <v>1</v>
      </c>
      <c r="BE979" s="24" t="b">
        <f t="shared" ca="1" si="785"/>
        <v>1</v>
      </c>
      <c r="BF979" s="23">
        <f t="array" aca="1" ref="BF979" ca="1">SUM(IF(BD979,1,0)*IF(ap_start_date&lt;=AO979,1,0)*IF(ap_end_date&gt;=AO979,1,0)*ap_amount*(1+ap_escalation/100)^(INT((AP979-ap_months_since_start)/12))*IF(MOD(AP979-ap_months_since_start,ap_frequency)=0,1,0))</f>
        <v>545006.64225842198</v>
      </c>
      <c r="BG979" s="24">
        <f t="shared" ca="1" si="786"/>
        <v>6540079.7071010657</v>
      </c>
      <c r="BH979" s="24">
        <f t="shared" ca="1" si="787"/>
        <v>73.287734809504158</v>
      </c>
      <c r="BI979">
        <f t="shared" ca="1" si="788"/>
        <v>0</v>
      </c>
      <c r="BJ979" s="24">
        <f t="shared" ca="1" si="789"/>
        <v>513.01414366652909</v>
      </c>
      <c r="BK979">
        <f t="shared" ca="1" si="790"/>
        <v>1</v>
      </c>
      <c r="BL979" s="25">
        <f t="shared" ca="1" si="791"/>
        <v>42.751178638877413</v>
      </c>
      <c r="BM979" s="32">
        <f t="shared" ca="1" si="770"/>
        <v>2909.5784281698684</v>
      </c>
      <c r="BN979" s="23">
        <f t="shared" ca="1" si="792"/>
        <v>0</v>
      </c>
      <c r="BO979" s="24">
        <f t="shared" ca="1" si="793"/>
        <v>0</v>
      </c>
      <c r="BP979" s="25">
        <f t="shared" ca="1" si="794"/>
        <v>0</v>
      </c>
      <c r="BQ979" s="34">
        <f t="shared" ca="1" si="795"/>
        <v>75210</v>
      </c>
      <c r="BR979" s="23">
        <f t="shared" ca="1" si="796"/>
        <v>2909.5784281698684</v>
      </c>
      <c r="BS979" s="24">
        <f t="shared" ca="1" si="797"/>
        <v>0</v>
      </c>
      <c r="BT979" s="24">
        <f t="shared" ca="1" si="762"/>
        <v>0</v>
      </c>
      <c r="BU979" s="24">
        <f t="shared" ca="1" si="798"/>
        <v>0</v>
      </c>
      <c r="BV979" s="24">
        <f t="shared" ca="1" si="763"/>
        <v>0</v>
      </c>
      <c r="BW979" s="24">
        <f t="shared" ca="1" si="799"/>
        <v>-42.751178638877413</v>
      </c>
      <c r="BX979" s="25">
        <f t="shared" ca="1" si="764"/>
        <v>-561.47254446267777</v>
      </c>
      <c r="BY979" s="23">
        <f t="shared" ca="1" si="771"/>
        <v>121.37509559484968</v>
      </c>
      <c r="BZ979" s="24">
        <f t="shared" ca="1" si="772"/>
        <v>0</v>
      </c>
      <c r="CA979" s="24">
        <f t="shared" ca="1" si="765"/>
        <v>0</v>
      </c>
      <c r="CB979" s="24">
        <f t="shared" ca="1" si="773"/>
        <v>0</v>
      </c>
      <c r="CC979" s="24">
        <f t="shared" ca="1" si="766"/>
        <v>0</v>
      </c>
      <c r="CD979" s="24">
        <f t="shared" ca="1" si="774"/>
        <v>-1.7892336377650007</v>
      </c>
      <c r="CE979" s="25">
        <f t="shared" ca="1" si="767"/>
        <v>-23.930016070971956</v>
      </c>
      <c r="CF979" s="23">
        <f t="shared" ca="1" si="768"/>
        <v>6309499.9738378841</v>
      </c>
      <c r="CG979" s="25">
        <f t="array" aca="1" ref="CG979" ca="1">SUM(BF968:BF979/(1+inflation/100)^(AP968:AP979/12))</f>
        <v>267980.53702225391</v>
      </c>
      <c r="CH979" s="32">
        <f ca="1">IFERROR(IF(MOD(AP979-ap_months_since_start,12)=0,ap_drawdown/100*(AQ979+AV979+BA979-BC979),CH978),0)</f>
        <v>450.5557613583012</v>
      </c>
    </row>
    <row r="980" spans="40:86" x14ac:dyDescent="0.25">
      <c r="AN980" s="32">
        <f t="shared" ca="1" si="769"/>
        <v>135.91666666666666</v>
      </c>
      <c r="AO980" s="53">
        <f t="shared" ca="1" si="800"/>
        <v>75211</v>
      </c>
      <c r="AP980" s="22">
        <v>973</v>
      </c>
      <c r="AQ980" s="32">
        <f t="shared" ca="1" si="801"/>
        <v>2909.5784281698684</v>
      </c>
      <c r="AR980" s="23">
        <f t="array" aca="1" ref="AR980" ca="1">SUM(IF(lsc_start_date=AO980,lsc_amount,0))</f>
        <v>0</v>
      </c>
      <c r="AS980" s="24">
        <f t="shared" ca="1" si="775"/>
        <v>0</v>
      </c>
      <c r="AT980" s="24">
        <f t="shared" ca="1" si="776"/>
        <v>0</v>
      </c>
      <c r="AU980" s="24">
        <f t="shared" ca="1" si="777"/>
        <v>0</v>
      </c>
      <c r="AV980" s="25">
        <f t="shared" ca="1" si="778"/>
        <v>0</v>
      </c>
      <c r="AW980" s="23">
        <f t="array" aca="1" ref="AW980" ca="1">SUM(IF(rcs_start_date&lt;=AO980,1,0)*IF(rcs_end_date&gt;=AO980,1,0)*rcs_amount*(1+rcs_escalation/100)^(INT((AP980-rcs_months_since_start)/12))*IF(MOD((AP980-rcs_months_since_start),rcs_frequency)=0,1,0)*IF(rcs_frequency=13,0,1))+SUM(IF(rcs_start_date=AO980,rcs_amount,0)*IF(rcs_frequency=13,1,0))</f>
        <v>0</v>
      </c>
      <c r="AX980" s="24">
        <f t="shared" ca="1" si="779"/>
        <v>0</v>
      </c>
      <c r="AY980" s="24">
        <f t="shared" ca="1" si="780"/>
        <v>0</v>
      </c>
      <c r="AZ980" s="24">
        <f t="shared" ca="1" si="781"/>
        <v>0</v>
      </c>
      <c r="BA980" s="25">
        <f t="shared" ca="1" si="782"/>
        <v>0</v>
      </c>
      <c r="BB980" s="23">
        <f t="array" aca="1" ref="BB980" ca="1">SUM(IF(w_start_date&lt;=AO980,1,0)*IF(w_end_date&gt;=AO980,1,0)*w_amount*(1+w_escalation/100)^(INT((AP980-w_months_since_start)/12))*IF(MOD(AP980-w_months_since_start,w_frequency)=0,1,0)*IF(w_frequency=13,0,1))+SUM(IF(w_start_date=AO980,w_amount,0)*IF(w_frequency=13,1,0))</f>
        <v>0</v>
      </c>
      <c r="BC980" s="25">
        <f t="shared" ca="1" si="783"/>
        <v>0</v>
      </c>
      <c r="BD980" s="24" t="b">
        <f t="shared" ca="1" si="784"/>
        <v>1</v>
      </c>
      <c r="BE980" s="24" t="b">
        <f t="shared" ca="1" si="785"/>
        <v>1</v>
      </c>
      <c r="BF980" s="23">
        <f t="array" aca="1" ref="BF980" ca="1">SUM(IF(BD980,1,0)*IF(ap_start_date&lt;=AO980,1,0)*IF(ap_end_date&gt;=AO980,1,0)*ap_amount*(1+ap_escalation/100)^(INT((AP980-ap_months_since_start)/12))*IF(MOD(AP980-ap_months_since_start,ap_frequency)=0,1,0))</f>
        <v>545006.64225842198</v>
      </c>
      <c r="BG980" s="24">
        <f t="shared" ca="1" si="786"/>
        <v>6540079.7071010657</v>
      </c>
      <c r="BH980" s="24">
        <f t="shared" ca="1" si="787"/>
        <v>73.287734809504158</v>
      </c>
      <c r="BI980">
        <f t="shared" ca="1" si="788"/>
        <v>0</v>
      </c>
      <c r="BJ980" s="24">
        <f t="shared" ca="1" si="789"/>
        <v>513.01414366652909</v>
      </c>
      <c r="BK980">
        <f t="shared" ca="1" si="790"/>
        <v>1</v>
      </c>
      <c r="BL980" s="25">
        <f t="shared" ca="1" si="791"/>
        <v>42.751178638877413</v>
      </c>
      <c r="BM980" s="32">
        <f t="shared" ca="1" si="770"/>
        <v>2887.4894004098719</v>
      </c>
      <c r="BN980" s="23">
        <f t="shared" ca="1" si="792"/>
        <v>0</v>
      </c>
      <c r="BO980" s="24">
        <f t="shared" ca="1" si="793"/>
        <v>0</v>
      </c>
      <c r="BP980" s="25">
        <f t="shared" ca="1" si="794"/>
        <v>0</v>
      </c>
      <c r="BQ980" s="34">
        <f t="shared" ca="1" si="795"/>
        <v>75241</v>
      </c>
      <c r="BR980" s="23">
        <f t="shared" ca="1" si="796"/>
        <v>2887.4894004098719</v>
      </c>
      <c r="BS980" s="24">
        <f t="shared" ca="1" si="797"/>
        <v>0</v>
      </c>
      <c r="BT980" s="24">
        <f t="shared" ref="BT980:BT1043" ca="1" si="802">SUM(BS969:BS980)</f>
        <v>0</v>
      </c>
      <c r="BU980" s="24">
        <f t="shared" ca="1" si="798"/>
        <v>0</v>
      </c>
      <c r="BV980" s="24">
        <f t="shared" ref="BV980:BV1043" ca="1" si="803">SUM(BU969:BU980)</f>
        <v>0</v>
      </c>
      <c r="BW980" s="24">
        <f t="shared" ca="1" si="799"/>
        <v>-42.751178638877413</v>
      </c>
      <c r="BX980" s="25">
        <f t="shared" ref="BX980:BX1043" ca="1" si="804">SUM(BW969:BW980)</f>
        <v>-557.06723529939154</v>
      </c>
      <c r="BY980" s="23">
        <f t="shared" ca="1" si="771"/>
        <v>120.06058925200355</v>
      </c>
      <c r="BZ980" s="24">
        <f t="shared" ca="1" si="772"/>
        <v>0</v>
      </c>
      <c r="CA980" s="24">
        <f t="shared" ref="CA980:CA1043" ca="1" si="805">SUM(BZ969:BZ980)</f>
        <v>0</v>
      </c>
      <c r="CB980" s="24">
        <f t="shared" ca="1" si="773"/>
        <v>0</v>
      </c>
      <c r="CC980" s="24">
        <f t="shared" ref="CC980:CC1043" ca="1" si="806">SUM(CB969:CB980)</f>
        <v>0</v>
      </c>
      <c r="CD980" s="24">
        <f t="shared" ca="1" si="774"/>
        <v>-1.783395265736174</v>
      </c>
      <c r="CE980" s="25">
        <f t="shared" ref="CE980:CE1043" ca="1" si="807">SUM(CD969:CD980)</f>
        <v>-23.667558890913995</v>
      </c>
      <c r="CF980" s="23">
        <f t="shared" ref="CF980:CF1043" ca="1" si="808">SUM(BF969:BF980)</f>
        <v>6330461.7677709013</v>
      </c>
      <c r="CG980" s="25">
        <f t="array" aca="1" ref="CG980" ca="1">SUM(BF969:BF980/(1+inflation/100)^(AP969:AP980/12))</f>
        <v>267980.53702225391</v>
      </c>
      <c r="CH980" s="32">
        <f ca="1">IFERROR(IF(MOD(AP980-ap_months_since_start,12)=0,ap_drawdown/100*(AQ980+AV980+BA980-BC980),CH979),0)</f>
        <v>450.5557613583012</v>
      </c>
    </row>
    <row r="981" spans="40:86" x14ac:dyDescent="0.25">
      <c r="AN981" s="32">
        <f t="shared" ca="1" si="769"/>
        <v>136</v>
      </c>
      <c r="AO981" s="53">
        <f t="shared" ca="1" si="800"/>
        <v>75242</v>
      </c>
      <c r="AP981" s="22">
        <v>974</v>
      </c>
      <c r="AQ981" s="32">
        <f t="shared" ca="1" si="801"/>
        <v>2887.4894004098719</v>
      </c>
      <c r="AR981" s="23">
        <f t="array" aca="1" ref="AR981" ca="1">SUM(IF(lsc_start_date=AO981,lsc_amount,0))</f>
        <v>0</v>
      </c>
      <c r="AS981" s="24">
        <f t="shared" ca="1" si="775"/>
        <v>0</v>
      </c>
      <c r="AT981" s="24">
        <f t="shared" ca="1" si="776"/>
        <v>0</v>
      </c>
      <c r="AU981" s="24">
        <f t="shared" ca="1" si="777"/>
        <v>0</v>
      </c>
      <c r="AV981" s="25">
        <f t="shared" ca="1" si="778"/>
        <v>0</v>
      </c>
      <c r="AW981" s="23">
        <f t="array" aca="1" ref="AW981" ca="1">SUM(IF(rcs_start_date&lt;=AO981,1,0)*IF(rcs_end_date&gt;=AO981,1,0)*rcs_amount*(1+rcs_escalation/100)^(INT((AP981-rcs_months_since_start)/12))*IF(MOD((AP981-rcs_months_since_start),rcs_frequency)=0,1,0)*IF(rcs_frequency=13,0,1))+SUM(IF(rcs_start_date=AO981,rcs_amount,0)*IF(rcs_frequency=13,1,0))</f>
        <v>0</v>
      </c>
      <c r="AX981" s="24">
        <f t="shared" ca="1" si="779"/>
        <v>0</v>
      </c>
      <c r="AY981" s="24">
        <f t="shared" ca="1" si="780"/>
        <v>0</v>
      </c>
      <c r="AZ981" s="24">
        <f t="shared" ca="1" si="781"/>
        <v>0</v>
      </c>
      <c r="BA981" s="25">
        <f t="shared" ca="1" si="782"/>
        <v>0</v>
      </c>
      <c r="BB981" s="23">
        <f t="array" aca="1" ref="BB981" ca="1">SUM(IF(w_start_date&lt;=AO981,1,0)*IF(w_end_date&gt;=AO981,1,0)*w_amount*(1+w_escalation/100)^(INT((AP981-w_months_since_start)/12))*IF(MOD(AP981-w_months_since_start,w_frequency)=0,1,0)*IF(w_frequency=13,0,1))+SUM(IF(w_start_date=AO981,w_amount,0)*IF(w_frequency=13,1,0))</f>
        <v>0</v>
      </c>
      <c r="BC981" s="25">
        <f t="shared" ca="1" si="783"/>
        <v>0</v>
      </c>
      <c r="BD981" s="24" t="b">
        <f t="shared" ca="1" si="784"/>
        <v>1</v>
      </c>
      <c r="BE981" s="24" t="b">
        <f t="shared" ca="1" si="785"/>
        <v>1</v>
      </c>
      <c r="BF981" s="23">
        <f t="array" aca="1" ref="BF981" ca="1">SUM(IF(BD981,1,0)*IF(ap_start_date&lt;=AO981,1,0)*IF(ap_end_date&gt;=AO981,1,0)*ap_amount*(1+ap_escalation/100)^(INT((AP981-ap_months_since_start)/12))*IF(MOD(AP981-ap_months_since_start,ap_frequency)=0,1,0))</f>
        <v>545006.64225842198</v>
      </c>
      <c r="BG981" s="24">
        <f t="shared" ca="1" si="786"/>
        <v>6540079.7071010657</v>
      </c>
      <c r="BH981" s="24">
        <f t="shared" ca="1" si="787"/>
        <v>73.287734809504158</v>
      </c>
      <c r="BI981">
        <f t="shared" ca="1" si="788"/>
        <v>0</v>
      </c>
      <c r="BJ981" s="24">
        <f t="shared" ca="1" si="789"/>
        <v>513.01414366652909</v>
      </c>
      <c r="BK981">
        <f t="shared" ca="1" si="790"/>
        <v>1</v>
      </c>
      <c r="BL981" s="25">
        <f t="shared" ca="1" si="791"/>
        <v>42.751178638877413</v>
      </c>
      <c r="BM981" s="32">
        <f t="shared" ca="1" si="770"/>
        <v>2865.2411698850701</v>
      </c>
      <c r="BN981" s="23">
        <f t="shared" ca="1" si="792"/>
        <v>0</v>
      </c>
      <c r="BO981" s="24">
        <f t="shared" ca="1" si="793"/>
        <v>0</v>
      </c>
      <c r="BP981" s="25">
        <f t="shared" ca="1" si="794"/>
        <v>0</v>
      </c>
      <c r="BQ981" s="34">
        <f t="shared" ca="1" si="795"/>
        <v>75272</v>
      </c>
      <c r="BR981" s="23">
        <f t="shared" ca="1" si="796"/>
        <v>2865.2411698850701</v>
      </c>
      <c r="BS981" s="24">
        <f t="shared" ca="1" si="797"/>
        <v>0</v>
      </c>
      <c r="BT981" s="24">
        <f t="shared" ca="1" si="802"/>
        <v>0</v>
      </c>
      <c r="BU981" s="24">
        <f t="shared" ca="1" si="798"/>
        <v>0</v>
      </c>
      <c r="BV981" s="24">
        <f t="shared" ca="1" si="803"/>
        <v>0</v>
      </c>
      <c r="BW981" s="24">
        <f t="shared" ca="1" si="799"/>
        <v>-42.751178638877413</v>
      </c>
      <c r="BX981" s="25">
        <f t="shared" ca="1" si="804"/>
        <v>-552.66192613610531</v>
      </c>
      <c r="BY981" s="23">
        <f t="shared" ca="1" si="771"/>
        <v>118.74677119818709</v>
      </c>
      <c r="BZ981" s="24">
        <f t="shared" ca="1" si="772"/>
        <v>0</v>
      </c>
      <c r="CA981" s="24">
        <f t="shared" ca="1" si="805"/>
        <v>0</v>
      </c>
      <c r="CB981" s="24">
        <f t="shared" ca="1" si="773"/>
        <v>0</v>
      </c>
      <c r="CC981" s="24">
        <f t="shared" ca="1" si="806"/>
        <v>0</v>
      </c>
      <c r="CD981" s="24">
        <f t="shared" ca="1" si="774"/>
        <v>-1.7775759446502941</v>
      </c>
      <c r="CE981" s="25">
        <f t="shared" ca="1" si="807"/>
        <v>-23.405958123694734</v>
      </c>
      <c r="CF981" s="23">
        <f t="shared" ca="1" si="808"/>
        <v>6351423.5617039185</v>
      </c>
      <c r="CG981" s="25">
        <f t="array" aca="1" ref="CG981" ca="1">SUM(BF970:BF981/(1+inflation/100)^(AP970:AP981/12))</f>
        <v>267980.53702225391</v>
      </c>
      <c r="CH981" s="32">
        <f ca="1">IFERROR(IF(MOD(AP981-ap_months_since_start,12)=0,ap_drawdown/100*(AQ981+AV981+BA981-BC981),CH980),0)</f>
        <v>450.5557613583012</v>
      </c>
    </row>
    <row r="982" spans="40:86" x14ac:dyDescent="0.25">
      <c r="AN982" s="32">
        <f t="shared" ca="1" si="769"/>
        <v>136.08333333333334</v>
      </c>
      <c r="AO982" s="53">
        <f t="shared" ca="1" si="800"/>
        <v>75273</v>
      </c>
      <c r="AP982" s="22">
        <v>975</v>
      </c>
      <c r="AQ982" s="32">
        <f t="shared" ca="1" si="801"/>
        <v>2865.2411698850701</v>
      </c>
      <c r="AR982" s="23">
        <f t="array" aca="1" ref="AR982" ca="1">SUM(IF(lsc_start_date=AO982,lsc_amount,0))</f>
        <v>0</v>
      </c>
      <c r="AS982" s="24">
        <f t="shared" ca="1" si="775"/>
        <v>0</v>
      </c>
      <c r="AT982" s="24">
        <f t="shared" ca="1" si="776"/>
        <v>0</v>
      </c>
      <c r="AU982" s="24">
        <f t="shared" ca="1" si="777"/>
        <v>0</v>
      </c>
      <c r="AV982" s="25">
        <f t="shared" ca="1" si="778"/>
        <v>0</v>
      </c>
      <c r="AW982" s="23">
        <f t="array" aca="1" ref="AW982" ca="1">SUM(IF(rcs_start_date&lt;=AO982,1,0)*IF(rcs_end_date&gt;=AO982,1,0)*rcs_amount*(1+rcs_escalation/100)^(INT((AP982-rcs_months_since_start)/12))*IF(MOD((AP982-rcs_months_since_start),rcs_frequency)=0,1,0)*IF(rcs_frequency=13,0,1))+SUM(IF(rcs_start_date=AO982,rcs_amount,0)*IF(rcs_frequency=13,1,0))</f>
        <v>0</v>
      </c>
      <c r="AX982" s="24">
        <f t="shared" ca="1" si="779"/>
        <v>0</v>
      </c>
      <c r="AY982" s="24">
        <f t="shared" ca="1" si="780"/>
        <v>0</v>
      </c>
      <c r="AZ982" s="24">
        <f t="shared" ca="1" si="781"/>
        <v>0</v>
      </c>
      <c r="BA982" s="25">
        <f t="shared" ca="1" si="782"/>
        <v>0</v>
      </c>
      <c r="BB982" s="23">
        <f t="array" aca="1" ref="BB982" ca="1">SUM(IF(w_start_date&lt;=AO982,1,0)*IF(w_end_date&gt;=AO982,1,0)*w_amount*(1+w_escalation/100)^(INT((AP982-w_months_since_start)/12))*IF(MOD(AP982-w_months_since_start,w_frequency)=0,1,0)*IF(w_frequency=13,0,1))+SUM(IF(w_start_date=AO982,w_amount,0)*IF(w_frequency=13,1,0))</f>
        <v>0</v>
      </c>
      <c r="BC982" s="25">
        <f t="shared" ca="1" si="783"/>
        <v>0</v>
      </c>
      <c r="BD982" s="24" t="b">
        <f t="shared" ca="1" si="784"/>
        <v>1</v>
      </c>
      <c r="BE982" s="24" t="b">
        <f t="shared" ca="1" si="785"/>
        <v>1</v>
      </c>
      <c r="BF982" s="23">
        <f t="array" aca="1" ref="BF982" ca="1">SUM(IF(BD982,1,0)*IF(ap_start_date&lt;=AO982,1,0)*IF(ap_end_date&gt;=AO982,1,0)*ap_amount*(1+ap_escalation/100)^(INT((AP982-ap_months_since_start)/12))*IF(MOD(AP982-ap_months_since_start,ap_frequency)=0,1,0))</f>
        <v>545006.64225842198</v>
      </c>
      <c r="BG982" s="24">
        <f t="shared" ca="1" si="786"/>
        <v>6540079.7071010657</v>
      </c>
      <c r="BH982" s="24">
        <f t="shared" ca="1" si="787"/>
        <v>73.287734809504158</v>
      </c>
      <c r="BI982">
        <f t="shared" ca="1" si="788"/>
        <v>0</v>
      </c>
      <c r="BJ982" s="24">
        <f t="shared" ca="1" si="789"/>
        <v>513.01414366652909</v>
      </c>
      <c r="BK982">
        <f t="shared" ca="1" si="790"/>
        <v>1</v>
      </c>
      <c r="BL982" s="25">
        <f t="shared" ca="1" si="791"/>
        <v>42.751178638877413</v>
      </c>
      <c r="BM982" s="32">
        <f t="shared" ca="1" si="770"/>
        <v>2842.8325891696641</v>
      </c>
      <c r="BN982" s="23">
        <f t="shared" ca="1" si="792"/>
        <v>0</v>
      </c>
      <c r="BO982" s="24">
        <f t="shared" ca="1" si="793"/>
        <v>0</v>
      </c>
      <c r="BP982" s="25">
        <f t="shared" ca="1" si="794"/>
        <v>0</v>
      </c>
      <c r="BQ982" s="34">
        <f t="shared" ca="1" si="795"/>
        <v>75300</v>
      </c>
      <c r="BR982" s="23">
        <f t="shared" ca="1" si="796"/>
        <v>2842.8325891696641</v>
      </c>
      <c r="BS982" s="24">
        <f t="shared" ca="1" si="797"/>
        <v>0</v>
      </c>
      <c r="BT982" s="24">
        <f t="shared" ca="1" si="802"/>
        <v>0</v>
      </c>
      <c r="BU982" s="24">
        <f t="shared" ca="1" si="798"/>
        <v>0</v>
      </c>
      <c r="BV982" s="24">
        <f t="shared" ca="1" si="803"/>
        <v>0</v>
      </c>
      <c r="BW982" s="24">
        <f t="shared" ca="1" si="799"/>
        <v>-42.751178638877413</v>
      </c>
      <c r="BX982" s="25">
        <f t="shared" ca="1" si="804"/>
        <v>-548.25661697281907</v>
      </c>
      <c r="BY982" s="23">
        <f t="shared" ca="1" si="771"/>
        <v>117.43362506877941</v>
      </c>
      <c r="BZ982" s="24">
        <f t="shared" ca="1" si="772"/>
        <v>0</v>
      </c>
      <c r="CA982" s="24">
        <f t="shared" ca="1" si="805"/>
        <v>0</v>
      </c>
      <c r="CB982" s="24">
        <f t="shared" ca="1" si="773"/>
        <v>0</v>
      </c>
      <c r="CC982" s="24">
        <f t="shared" ca="1" si="806"/>
        <v>0</v>
      </c>
      <c r="CD982" s="24">
        <f t="shared" ca="1" si="774"/>
        <v>-1.7717756123430368</v>
      </c>
      <c r="CE982" s="25">
        <f t="shared" ca="1" si="807"/>
        <v>-23.14521097478994</v>
      </c>
      <c r="CF982" s="23">
        <f t="shared" ca="1" si="808"/>
        <v>6372385.3556369357</v>
      </c>
      <c r="CG982" s="25">
        <f t="array" aca="1" ref="CG982" ca="1">SUM(BF971:BF982/(1+inflation/100)^(AP971:AP982/12))</f>
        <v>267980.53702225385</v>
      </c>
      <c r="CH982" s="32">
        <f ca="1">IFERROR(IF(MOD(AP982-ap_months_since_start,12)=0,ap_drawdown/100*(AQ982+AV982+BA982-BC982),CH981),0)</f>
        <v>450.5557613583012</v>
      </c>
    </row>
    <row r="983" spans="40:86" x14ac:dyDescent="0.25">
      <c r="AN983" s="32">
        <f t="shared" ca="1" si="769"/>
        <v>136.16666666666666</v>
      </c>
      <c r="AO983" s="53">
        <f t="shared" ca="1" si="800"/>
        <v>75301</v>
      </c>
      <c r="AP983" s="22">
        <v>976</v>
      </c>
      <c r="AQ983" s="32">
        <f t="shared" ca="1" si="801"/>
        <v>2842.8325891696641</v>
      </c>
      <c r="AR983" s="23">
        <f t="array" aca="1" ref="AR983" ca="1">SUM(IF(lsc_start_date=AO983,lsc_amount,0))</f>
        <v>0</v>
      </c>
      <c r="AS983" s="24">
        <f t="shared" ca="1" si="775"/>
        <v>0</v>
      </c>
      <c r="AT983" s="24">
        <f t="shared" ca="1" si="776"/>
        <v>0</v>
      </c>
      <c r="AU983" s="24">
        <f t="shared" ca="1" si="777"/>
        <v>0</v>
      </c>
      <c r="AV983" s="25">
        <f t="shared" ca="1" si="778"/>
        <v>0</v>
      </c>
      <c r="AW983" s="23">
        <f t="array" aca="1" ref="AW983" ca="1">SUM(IF(rcs_start_date&lt;=AO983,1,0)*IF(rcs_end_date&gt;=AO983,1,0)*rcs_amount*(1+rcs_escalation/100)^(INT((AP983-rcs_months_since_start)/12))*IF(MOD((AP983-rcs_months_since_start),rcs_frequency)=0,1,0)*IF(rcs_frequency=13,0,1))+SUM(IF(rcs_start_date=AO983,rcs_amount,0)*IF(rcs_frequency=13,1,0))</f>
        <v>0</v>
      </c>
      <c r="AX983" s="24">
        <f t="shared" ca="1" si="779"/>
        <v>0</v>
      </c>
      <c r="AY983" s="24">
        <f t="shared" ca="1" si="780"/>
        <v>0</v>
      </c>
      <c r="AZ983" s="24">
        <f t="shared" ca="1" si="781"/>
        <v>0</v>
      </c>
      <c r="BA983" s="25">
        <f t="shared" ca="1" si="782"/>
        <v>0</v>
      </c>
      <c r="BB983" s="23">
        <f t="array" aca="1" ref="BB983" ca="1">SUM(IF(w_start_date&lt;=AO983,1,0)*IF(w_end_date&gt;=AO983,1,0)*w_amount*(1+w_escalation/100)^(INT((AP983-w_months_since_start)/12))*IF(MOD(AP983-w_months_since_start,w_frequency)=0,1,0)*IF(w_frequency=13,0,1))+SUM(IF(w_start_date=AO983,w_amount,0)*IF(w_frequency=13,1,0))</f>
        <v>0</v>
      </c>
      <c r="BC983" s="25">
        <f t="shared" ca="1" si="783"/>
        <v>0</v>
      </c>
      <c r="BD983" s="24" t="b">
        <f t="shared" ca="1" si="784"/>
        <v>1</v>
      </c>
      <c r="BE983" s="24" t="b">
        <f t="shared" ca="1" si="785"/>
        <v>1</v>
      </c>
      <c r="BF983" s="23">
        <f t="array" aca="1" ref="BF983" ca="1">SUM(IF(BD983,1,0)*IF(ap_start_date&lt;=AO983,1,0)*IF(ap_end_date&gt;=AO983,1,0)*ap_amount*(1+ap_escalation/100)^(INT((AP983-ap_months_since_start)/12))*IF(MOD(AP983-ap_months_since_start,ap_frequency)=0,1,0))</f>
        <v>545006.64225842198</v>
      </c>
      <c r="BG983" s="24">
        <f t="shared" ca="1" si="786"/>
        <v>6540079.7071010657</v>
      </c>
      <c r="BH983" s="24">
        <f t="shared" ca="1" si="787"/>
        <v>73.287734809504158</v>
      </c>
      <c r="BI983">
        <f t="shared" ca="1" si="788"/>
        <v>0</v>
      </c>
      <c r="BJ983" s="24">
        <f t="shared" ca="1" si="789"/>
        <v>513.01414366652909</v>
      </c>
      <c r="BK983">
        <f t="shared" ca="1" si="790"/>
        <v>1</v>
      </c>
      <c r="BL983" s="25">
        <f t="shared" ca="1" si="791"/>
        <v>42.751178638877413</v>
      </c>
      <c r="BM983" s="32">
        <f t="shared" ca="1" si="770"/>
        <v>2820.2625025679863</v>
      </c>
      <c r="BN983" s="23">
        <f t="shared" ca="1" si="792"/>
        <v>0</v>
      </c>
      <c r="BO983" s="24">
        <f t="shared" ca="1" si="793"/>
        <v>0</v>
      </c>
      <c r="BP983" s="25">
        <f t="shared" ca="1" si="794"/>
        <v>0</v>
      </c>
      <c r="BQ983" s="34">
        <f t="shared" ca="1" si="795"/>
        <v>75331</v>
      </c>
      <c r="BR983" s="23">
        <f t="shared" ca="1" si="796"/>
        <v>2820.2625025679863</v>
      </c>
      <c r="BS983" s="24">
        <f t="shared" ca="1" si="797"/>
        <v>0</v>
      </c>
      <c r="BT983" s="24">
        <f t="shared" ca="1" si="802"/>
        <v>0</v>
      </c>
      <c r="BU983" s="24">
        <f t="shared" ca="1" si="798"/>
        <v>0</v>
      </c>
      <c r="BV983" s="24">
        <f t="shared" ca="1" si="803"/>
        <v>0</v>
      </c>
      <c r="BW983" s="24">
        <f t="shared" ca="1" si="799"/>
        <v>-42.751178638877413</v>
      </c>
      <c r="BX983" s="25">
        <f t="shared" ca="1" si="804"/>
        <v>-543.85130780953284</v>
      </c>
      <c r="BY983" s="23">
        <f t="shared" ca="1" si="771"/>
        <v>116.12113449720242</v>
      </c>
      <c r="BZ983" s="24">
        <f t="shared" ca="1" si="772"/>
        <v>0</v>
      </c>
      <c r="CA983" s="24">
        <f t="shared" ca="1" si="805"/>
        <v>0</v>
      </c>
      <c r="CB983" s="24">
        <f t="shared" ca="1" si="773"/>
        <v>0</v>
      </c>
      <c r="CC983" s="24">
        <f t="shared" ca="1" si="806"/>
        <v>0</v>
      </c>
      <c r="CD983" s="24">
        <f t="shared" ca="1" si="774"/>
        <v>-1.7659942068529297</v>
      </c>
      <c r="CE983" s="25">
        <f t="shared" ca="1" si="807"/>
        <v>-22.885314658794066</v>
      </c>
      <c r="CF983" s="23">
        <f t="shared" ca="1" si="808"/>
        <v>6393347.149569951</v>
      </c>
      <c r="CG983" s="25">
        <f t="array" aca="1" ref="CG983" ca="1">SUM(BF972:BF983/(1+inflation/100)^(AP972:AP983/12))</f>
        <v>267980.53702225391</v>
      </c>
      <c r="CH983" s="32">
        <f ca="1">IFERROR(IF(MOD(AP983-ap_months_since_start,12)=0,ap_drawdown/100*(AQ983+AV983+BA983-BC983),CH982),0)</f>
        <v>450.5557613583012</v>
      </c>
    </row>
    <row r="984" spans="40:86" x14ac:dyDescent="0.25">
      <c r="AN984" s="32">
        <f t="shared" ca="1" si="769"/>
        <v>136.25</v>
      </c>
      <c r="AO984" s="53">
        <f t="shared" ca="1" si="800"/>
        <v>75332</v>
      </c>
      <c r="AP984" s="22">
        <v>977</v>
      </c>
      <c r="AQ984" s="32">
        <f t="shared" ca="1" si="801"/>
        <v>2820.2625025679863</v>
      </c>
      <c r="AR984" s="23">
        <f t="array" aca="1" ref="AR984" ca="1">SUM(IF(lsc_start_date=AO984,lsc_amount,0))</f>
        <v>0</v>
      </c>
      <c r="AS984" s="24">
        <f t="shared" ca="1" si="775"/>
        <v>0</v>
      </c>
      <c r="AT984" s="24">
        <f t="shared" ca="1" si="776"/>
        <v>0</v>
      </c>
      <c r="AU984" s="24">
        <f t="shared" ca="1" si="777"/>
        <v>0</v>
      </c>
      <c r="AV984" s="25">
        <f t="shared" ca="1" si="778"/>
        <v>0</v>
      </c>
      <c r="AW984" s="23">
        <f t="array" aca="1" ref="AW984" ca="1">SUM(IF(rcs_start_date&lt;=AO984,1,0)*IF(rcs_end_date&gt;=AO984,1,0)*rcs_amount*(1+rcs_escalation/100)^(INT((AP984-rcs_months_since_start)/12))*IF(MOD((AP984-rcs_months_since_start),rcs_frequency)=0,1,0)*IF(rcs_frequency=13,0,1))+SUM(IF(rcs_start_date=AO984,rcs_amount,0)*IF(rcs_frequency=13,1,0))</f>
        <v>0</v>
      </c>
      <c r="AX984" s="24">
        <f t="shared" ca="1" si="779"/>
        <v>0</v>
      </c>
      <c r="AY984" s="24">
        <f t="shared" ca="1" si="780"/>
        <v>0</v>
      </c>
      <c r="AZ984" s="24">
        <f t="shared" ca="1" si="781"/>
        <v>0</v>
      </c>
      <c r="BA984" s="25">
        <f t="shared" ca="1" si="782"/>
        <v>0</v>
      </c>
      <c r="BB984" s="23">
        <f t="array" aca="1" ref="BB984" ca="1">SUM(IF(w_start_date&lt;=AO984,1,0)*IF(w_end_date&gt;=AO984,1,0)*w_amount*(1+w_escalation/100)^(INT((AP984-w_months_since_start)/12))*IF(MOD(AP984-w_months_since_start,w_frequency)=0,1,0)*IF(w_frequency=13,0,1))+SUM(IF(w_start_date=AO984,w_amount,0)*IF(w_frequency=13,1,0))</f>
        <v>0</v>
      </c>
      <c r="BC984" s="25">
        <f t="shared" ca="1" si="783"/>
        <v>0</v>
      </c>
      <c r="BD984" s="24" t="b">
        <f t="shared" ca="1" si="784"/>
        <v>1</v>
      </c>
      <c r="BE984" s="24" t="b">
        <f t="shared" ca="1" si="785"/>
        <v>1</v>
      </c>
      <c r="BF984" s="23">
        <f t="array" aca="1" ref="BF984" ca="1">SUM(IF(BD984,1,0)*IF(ap_start_date&lt;=AO984,1,0)*IF(ap_end_date&gt;=AO984,1,0)*ap_amount*(1+ap_escalation/100)^(INT((AP984-ap_months_since_start)/12))*IF(MOD(AP984-ap_months_since_start,ap_frequency)=0,1,0))</f>
        <v>545006.64225842198</v>
      </c>
      <c r="BG984" s="24">
        <f t="shared" ca="1" si="786"/>
        <v>6540079.7071010657</v>
      </c>
      <c r="BH984" s="24">
        <f t="shared" ca="1" si="787"/>
        <v>73.287734809504158</v>
      </c>
      <c r="BI984">
        <f t="shared" ca="1" si="788"/>
        <v>0</v>
      </c>
      <c r="BJ984" s="24">
        <f t="shared" ca="1" si="789"/>
        <v>513.01414366652909</v>
      </c>
      <c r="BK984">
        <f t="shared" ca="1" si="790"/>
        <v>1</v>
      </c>
      <c r="BL984" s="25">
        <f t="shared" ca="1" si="791"/>
        <v>42.751178638877413</v>
      </c>
      <c r="BM984" s="32">
        <f t="shared" ca="1" si="770"/>
        <v>2797.5297460548973</v>
      </c>
      <c r="BN984" s="23">
        <f t="shared" ca="1" si="792"/>
        <v>0</v>
      </c>
      <c r="BO984" s="24">
        <f t="shared" ca="1" si="793"/>
        <v>0</v>
      </c>
      <c r="BP984" s="25">
        <f t="shared" ca="1" si="794"/>
        <v>0</v>
      </c>
      <c r="BQ984" s="34">
        <f t="shared" ca="1" si="795"/>
        <v>75361</v>
      </c>
      <c r="BR984" s="23">
        <f t="shared" ca="1" si="796"/>
        <v>2797.5297460548973</v>
      </c>
      <c r="BS984" s="24">
        <f t="shared" ca="1" si="797"/>
        <v>0</v>
      </c>
      <c r="BT984" s="24">
        <f t="shared" ca="1" si="802"/>
        <v>0</v>
      </c>
      <c r="BU984" s="24">
        <f t="shared" ca="1" si="798"/>
        <v>0</v>
      </c>
      <c r="BV984" s="24">
        <f t="shared" ca="1" si="803"/>
        <v>0</v>
      </c>
      <c r="BW984" s="24">
        <f t="shared" ca="1" si="799"/>
        <v>-42.751178638877413</v>
      </c>
      <c r="BX984" s="25">
        <f t="shared" ca="1" si="804"/>
        <v>-539.44599864624661</v>
      </c>
      <c r="BY984" s="23">
        <f t="shared" ca="1" si="771"/>
        <v>114.80928311471011</v>
      </c>
      <c r="BZ984" s="24">
        <f t="shared" ca="1" si="772"/>
        <v>0</v>
      </c>
      <c r="CA984" s="24">
        <f t="shared" ca="1" si="805"/>
        <v>0</v>
      </c>
      <c r="CB984" s="24">
        <f t="shared" ca="1" si="773"/>
        <v>0</v>
      </c>
      <c r="CC984" s="24">
        <f t="shared" ca="1" si="806"/>
        <v>0</v>
      </c>
      <c r="CD984" s="24">
        <f t="shared" ca="1" si="774"/>
        <v>-1.7602316664206825</v>
      </c>
      <c r="CE984" s="25">
        <f t="shared" ca="1" si="807"/>
        <v>-22.626266399390513</v>
      </c>
      <c r="CF984" s="23">
        <f t="shared" ca="1" si="808"/>
        <v>6414308.9435029682</v>
      </c>
      <c r="CG984" s="25">
        <f t="array" aca="1" ref="CG984" ca="1">SUM(BF973:BF984/(1+inflation/100)^(AP973:AP984/12))</f>
        <v>267980.53702225391</v>
      </c>
      <c r="CH984" s="32">
        <f ca="1">IFERROR(IF(MOD(AP984-ap_months_since_start,12)=0,ap_drawdown/100*(AQ984+AV984+BA984-BC984),CH983),0)</f>
        <v>450.5557613583012</v>
      </c>
    </row>
    <row r="985" spans="40:86" x14ac:dyDescent="0.25">
      <c r="AN985" s="32">
        <f t="shared" ca="1" si="769"/>
        <v>136.33333333333334</v>
      </c>
      <c r="AO985" s="53">
        <f t="shared" ca="1" si="800"/>
        <v>75362</v>
      </c>
      <c r="AP985" s="22">
        <v>978</v>
      </c>
      <c r="AQ985" s="32">
        <f t="shared" ca="1" si="801"/>
        <v>2797.5297460548973</v>
      </c>
      <c r="AR985" s="23">
        <f t="array" aca="1" ref="AR985" ca="1">SUM(IF(lsc_start_date=AO985,lsc_amount,0))</f>
        <v>0</v>
      </c>
      <c r="AS985" s="24">
        <f t="shared" ca="1" si="775"/>
        <v>0</v>
      </c>
      <c r="AT985" s="24">
        <f t="shared" ca="1" si="776"/>
        <v>0</v>
      </c>
      <c r="AU985" s="24">
        <f t="shared" ca="1" si="777"/>
        <v>0</v>
      </c>
      <c r="AV985" s="25">
        <f t="shared" ca="1" si="778"/>
        <v>0</v>
      </c>
      <c r="AW985" s="23">
        <f t="array" aca="1" ref="AW985" ca="1">SUM(IF(rcs_start_date&lt;=AO985,1,0)*IF(rcs_end_date&gt;=AO985,1,0)*rcs_amount*(1+rcs_escalation/100)^(INT((AP985-rcs_months_since_start)/12))*IF(MOD((AP985-rcs_months_since_start),rcs_frequency)=0,1,0)*IF(rcs_frequency=13,0,1))+SUM(IF(rcs_start_date=AO985,rcs_amount,0)*IF(rcs_frequency=13,1,0))</f>
        <v>0</v>
      </c>
      <c r="AX985" s="24">
        <f t="shared" ca="1" si="779"/>
        <v>0</v>
      </c>
      <c r="AY985" s="24">
        <f t="shared" ca="1" si="780"/>
        <v>0</v>
      </c>
      <c r="AZ985" s="24">
        <f t="shared" ca="1" si="781"/>
        <v>0</v>
      </c>
      <c r="BA985" s="25">
        <f t="shared" ca="1" si="782"/>
        <v>0</v>
      </c>
      <c r="BB985" s="23">
        <f t="array" aca="1" ref="BB985" ca="1">SUM(IF(w_start_date&lt;=AO985,1,0)*IF(w_end_date&gt;=AO985,1,0)*w_amount*(1+w_escalation/100)^(INT((AP985-w_months_since_start)/12))*IF(MOD(AP985-w_months_since_start,w_frequency)=0,1,0)*IF(w_frequency=13,0,1))+SUM(IF(w_start_date=AO985,w_amount,0)*IF(w_frequency=13,1,0))</f>
        <v>0</v>
      </c>
      <c r="BC985" s="25">
        <f t="shared" ca="1" si="783"/>
        <v>0</v>
      </c>
      <c r="BD985" s="24" t="b">
        <f t="shared" ca="1" si="784"/>
        <v>1</v>
      </c>
      <c r="BE985" s="24" t="b">
        <f t="shared" ca="1" si="785"/>
        <v>1</v>
      </c>
      <c r="BF985" s="23">
        <f t="array" aca="1" ref="BF985" ca="1">SUM(IF(BD985,1,0)*IF(ap_start_date&lt;=AO985,1,0)*IF(ap_end_date&gt;=AO985,1,0)*ap_amount*(1+ap_escalation/100)^(INT((AP985-ap_months_since_start)/12))*IF(MOD(AP985-ap_months_since_start,ap_frequency)=0,1,0))</f>
        <v>545006.64225842198</v>
      </c>
      <c r="BG985" s="24">
        <f t="shared" ca="1" si="786"/>
        <v>6540079.7071010657</v>
      </c>
      <c r="BH985" s="24">
        <f t="shared" ca="1" si="787"/>
        <v>73.287734809504158</v>
      </c>
      <c r="BI985">
        <f t="shared" ca="1" si="788"/>
        <v>0</v>
      </c>
      <c r="BJ985" s="24">
        <f t="shared" ca="1" si="789"/>
        <v>513.01414366652909</v>
      </c>
      <c r="BK985">
        <f t="shared" ca="1" si="790"/>
        <v>1</v>
      </c>
      <c r="BL985" s="25">
        <f t="shared" ca="1" si="791"/>
        <v>42.751178638877413</v>
      </c>
      <c r="BM985" s="32">
        <f t="shared" ca="1" si="770"/>
        <v>2774.6331472157513</v>
      </c>
      <c r="BN985" s="23">
        <f t="shared" ca="1" si="792"/>
        <v>0</v>
      </c>
      <c r="BO985" s="24">
        <f t="shared" ca="1" si="793"/>
        <v>0</v>
      </c>
      <c r="BP985" s="25">
        <f t="shared" ca="1" si="794"/>
        <v>0</v>
      </c>
      <c r="BQ985" s="34">
        <f t="shared" ca="1" si="795"/>
        <v>75392</v>
      </c>
      <c r="BR985" s="23">
        <f t="shared" ca="1" si="796"/>
        <v>2774.6331472157513</v>
      </c>
      <c r="BS985" s="24">
        <f t="shared" ca="1" si="797"/>
        <v>0</v>
      </c>
      <c r="BT985" s="24">
        <f t="shared" ca="1" si="802"/>
        <v>0</v>
      </c>
      <c r="BU985" s="24">
        <f t="shared" ca="1" si="798"/>
        <v>0</v>
      </c>
      <c r="BV985" s="24">
        <f t="shared" ca="1" si="803"/>
        <v>0</v>
      </c>
      <c r="BW985" s="24">
        <f t="shared" ca="1" si="799"/>
        <v>-42.751178638877413</v>
      </c>
      <c r="BX985" s="25">
        <f t="shared" ca="1" si="804"/>
        <v>-535.04068948296037</v>
      </c>
      <c r="BY985" s="23">
        <f t="shared" ca="1" si="771"/>
        <v>113.49805455017803</v>
      </c>
      <c r="BZ985" s="24">
        <f t="shared" ca="1" si="772"/>
        <v>0</v>
      </c>
      <c r="CA985" s="24">
        <f t="shared" ca="1" si="805"/>
        <v>0</v>
      </c>
      <c r="CB985" s="24">
        <f t="shared" ca="1" si="773"/>
        <v>0</v>
      </c>
      <c r="CC985" s="24">
        <f t="shared" ca="1" si="806"/>
        <v>0</v>
      </c>
      <c r="CD985" s="24">
        <f t="shared" ca="1" si="774"/>
        <v>-1.7544879294885281</v>
      </c>
      <c r="CE985" s="25">
        <f t="shared" ca="1" si="807"/>
        <v>-22.368063429321957</v>
      </c>
      <c r="CF985" s="23">
        <f t="shared" ca="1" si="808"/>
        <v>6435270.7374359835</v>
      </c>
      <c r="CG985" s="25">
        <f t="array" aca="1" ref="CG985" ca="1">SUM(BF974:BF985/(1+inflation/100)^(AP974:AP985/12))</f>
        <v>267980.53702225391</v>
      </c>
      <c r="CH985" s="32">
        <f ca="1">IFERROR(IF(MOD(AP985-ap_months_since_start,12)=0,ap_drawdown/100*(AQ985+AV985+BA985-BC985),CH984),0)</f>
        <v>450.5557613583012</v>
      </c>
    </row>
    <row r="986" spans="40:86" x14ac:dyDescent="0.25">
      <c r="AN986" s="32">
        <f t="shared" ca="1" si="769"/>
        <v>136.41666666666666</v>
      </c>
      <c r="AO986" s="53">
        <f t="shared" ca="1" si="800"/>
        <v>75393</v>
      </c>
      <c r="AP986" s="22">
        <v>979</v>
      </c>
      <c r="AQ986" s="32">
        <f t="shared" ca="1" si="801"/>
        <v>2774.6331472157513</v>
      </c>
      <c r="AR986" s="23">
        <f t="array" aca="1" ref="AR986" ca="1">SUM(IF(lsc_start_date=AO986,lsc_amount,0))</f>
        <v>0</v>
      </c>
      <c r="AS986" s="24">
        <f t="shared" ca="1" si="775"/>
        <v>0</v>
      </c>
      <c r="AT986" s="24">
        <f t="shared" ca="1" si="776"/>
        <v>0</v>
      </c>
      <c r="AU986" s="24">
        <f t="shared" ca="1" si="777"/>
        <v>0</v>
      </c>
      <c r="AV986" s="25">
        <f t="shared" ca="1" si="778"/>
        <v>0</v>
      </c>
      <c r="AW986" s="23">
        <f t="array" aca="1" ref="AW986" ca="1">SUM(IF(rcs_start_date&lt;=AO986,1,0)*IF(rcs_end_date&gt;=AO986,1,0)*rcs_amount*(1+rcs_escalation/100)^(INT((AP986-rcs_months_since_start)/12))*IF(MOD((AP986-rcs_months_since_start),rcs_frequency)=0,1,0)*IF(rcs_frequency=13,0,1))+SUM(IF(rcs_start_date=AO986,rcs_amount,0)*IF(rcs_frequency=13,1,0))</f>
        <v>0</v>
      </c>
      <c r="AX986" s="24">
        <f t="shared" ca="1" si="779"/>
        <v>0</v>
      </c>
      <c r="AY986" s="24">
        <f t="shared" ca="1" si="780"/>
        <v>0</v>
      </c>
      <c r="AZ986" s="24">
        <f t="shared" ca="1" si="781"/>
        <v>0</v>
      </c>
      <c r="BA986" s="25">
        <f t="shared" ca="1" si="782"/>
        <v>0</v>
      </c>
      <c r="BB986" s="23">
        <f t="array" aca="1" ref="BB986" ca="1">SUM(IF(w_start_date&lt;=AO986,1,0)*IF(w_end_date&gt;=AO986,1,0)*w_amount*(1+w_escalation/100)^(INT((AP986-w_months_since_start)/12))*IF(MOD(AP986-w_months_since_start,w_frequency)=0,1,0)*IF(w_frequency=13,0,1))+SUM(IF(w_start_date=AO986,w_amount,0)*IF(w_frequency=13,1,0))</f>
        <v>0</v>
      </c>
      <c r="BC986" s="25">
        <f t="shared" ca="1" si="783"/>
        <v>0</v>
      </c>
      <c r="BD986" s="24" t="b">
        <f t="shared" ca="1" si="784"/>
        <v>1</v>
      </c>
      <c r="BE986" s="24" t="b">
        <f t="shared" ca="1" si="785"/>
        <v>1</v>
      </c>
      <c r="BF986" s="23">
        <f t="array" aca="1" ref="BF986" ca="1">SUM(IF(BD986,1,0)*IF(ap_start_date&lt;=AO986,1,0)*IF(ap_end_date&gt;=AO986,1,0)*ap_amount*(1+ap_escalation/100)^(INT((AP986-ap_months_since_start)/12))*IF(MOD(AP986-ap_months_since_start,ap_frequency)=0,1,0))</f>
        <v>545006.64225842198</v>
      </c>
      <c r="BG986" s="24">
        <f t="shared" ca="1" si="786"/>
        <v>6540079.7071010657</v>
      </c>
      <c r="BH986" s="24">
        <f t="shared" ca="1" si="787"/>
        <v>73.287734809504158</v>
      </c>
      <c r="BI986">
        <f t="shared" ca="1" si="788"/>
        <v>0</v>
      </c>
      <c r="BJ986" s="24">
        <f t="shared" ca="1" si="789"/>
        <v>513.01414366652909</v>
      </c>
      <c r="BK986">
        <f t="shared" ca="1" si="790"/>
        <v>1</v>
      </c>
      <c r="BL986" s="25">
        <f t="shared" ca="1" si="791"/>
        <v>42.751178638877413</v>
      </c>
      <c r="BM986" s="32">
        <f t="shared" ca="1" si="770"/>
        <v>2751.5715251859315</v>
      </c>
      <c r="BN986" s="23">
        <f t="shared" ca="1" si="792"/>
        <v>0</v>
      </c>
      <c r="BO986" s="24">
        <f t="shared" ca="1" si="793"/>
        <v>0</v>
      </c>
      <c r="BP986" s="25">
        <f t="shared" ca="1" si="794"/>
        <v>0</v>
      </c>
      <c r="BQ986" s="34">
        <f t="shared" ca="1" si="795"/>
        <v>75422</v>
      </c>
      <c r="BR986" s="23">
        <f t="shared" ca="1" si="796"/>
        <v>2751.5715251859315</v>
      </c>
      <c r="BS986" s="24">
        <f t="shared" ca="1" si="797"/>
        <v>0</v>
      </c>
      <c r="BT986" s="24">
        <f t="shared" ca="1" si="802"/>
        <v>0</v>
      </c>
      <c r="BU986" s="24">
        <f t="shared" ca="1" si="798"/>
        <v>0</v>
      </c>
      <c r="BV986" s="24">
        <f t="shared" ca="1" si="803"/>
        <v>0</v>
      </c>
      <c r="BW986" s="24">
        <f t="shared" ca="1" si="799"/>
        <v>-42.751178638877413</v>
      </c>
      <c r="BX986" s="25">
        <f t="shared" ca="1" si="804"/>
        <v>-530.63538031967414</v>
      </c>
      <c r="BY986" s="23">
        <f t="shared" ca="1" si="771"/>
        <v>112.18743242989201</v>
      </c>
      <c r="BZ986" s="24">
        <f t="shared" ca="1" si="772"/>
        <v>0</v>
      </c>
      <c r="CA986" s="24">
        <f t="shared" ca="1" si="805"/>
        <v>0</v>
      </c>
      <c r="CB986" s="24">
        <f t="shared" ca="1" si="773"/>
        <v>0</v>
      </c>
      <c r="CC986" s="24">
        <f t="shared" ca="1" si="806"/>
        <v>0</v>
      </c>
      <c r="CD986" s="24">
        <f t="shared" ca="1" si="774"/>
        <v>-1.7487629346995675</v>
      </c>
      <c r="CE986" s="25">
        <f t="shared" ca="1" si="807"/>
        <v>-22.110702990360782</v>
      </c>
      <c r="CF986" s="23">
        <f t="shared" ca="1" si="808"/>
        <v>6456232.5313690007</v>
      </c>
      <c r="CG986" s="25">
        <f t="array" aca="1" ref="CG986" ca="1">SUM(BF975:BF986/(1+inflation/100)^(AP975:AP986/12))</f>
        <v>267980.53702225391</v>
      </c>
      <c r="CH986" s="32">
        <f ca="1">IFERROR(IF(MOD(AP986-ap_months_since_start,12)=0,ap_drawdown/100*(AQ986+AV986+BA986-BC986),CH985),0)</f>
        <v>450.5557613583012</v>
      </c>
    </row>
    <row r="987" spans="40:86" x14ac:dyDescent="0.25">
      <c r="AN987" s="32">
        <f t="shared" ca="1" si="769"/>
        <v>136.5</v>
      </c>
      <c r="AO987" s="53">
        <f t="shared" ca="1" si="800"/>
        <v>75423</v>
      </c>
      <c r="AP987" s="22">
        <v>980</v>
      </c>
      <c r="AQ987" s="32">
        <f t="shared" ca="1" si="801"/>
        <v>2751.5715251859315</v>
      </c>
      <c r="AR987" s="23">
        <f t="array" aca="1" ref="AR987" ca="1">SUM(IF(lsc_start_date=AO987,lsc_amount,0))</f>
        <v>0</v>
      </c>
      <c r="AS987" s="24">
        <f t="shared" ca="1" si="775"/>
        <v>0</v>
      </c>
      <c r="AT987" s="24">
        <f t="shared" ca="1" si="776"/>
        <v>0</v>
      </c>
      <c r="AU987" s="24">
        <f t="shared" ca="1" si="777"/>
        <v>0</v>
      </c>
      <c r="AV987" s="25">
        <f t="shared" ca="1" si="778"/>
        <v>0</v>
      </c>
      <c r="AW987" s="23">
        <f t="array" aca="1" ref="AW987" ca="1">SUM(IF(rcs_start_date&lt;=AO987,1,0)*IF(rcs_end_date&gt;=AO987,1,0)*rcs_amount*(1+rcs_escalation/100)^(INT((AP987-rcs_months_since_start)/12))*IF(MOD((AP987-rcs_months_since_start),rcs_frequency)=0,1,0)*IF(rcs_frequency=13,0,1))+SUM(IF(rcs_start_date=AO987,rcs_amount,0)*IF(rcs_frequency=13,1,0))</f>
        <v>0</v>
      </c>
      <c r="AX987" s="24">
        <f t="shared" ca="1" si="779"/>
        <v>0</v>
      </c>
      <c r="AY987" s="24">
        <f t="shared" ca="1" si="780"/>
        <v>0</v>
      </c>
      <c r="AZ987" s="24">
        <f t="shared" ca="1" si="781"/>
        <v>0</v>
      </c>
      <c r="BA987" s="25">
        <f t="shared" ca="1" si="782"/>
        <v>0</v>
      </c>
      <c r="BB987" s="23">
        <f t="array" aca="1" ref="BB987" ca="1">SUM(IF(w_start_date&lt;=AO987,1,0)*IF(w_end_date&gt;=AO987,1,0)*w_amount*(1+w_escalation/100)^(INT((AP987-w_months_since_start)/12))*IF(MOD(AP987-w_months_since_start,w_frequency)=0,1,0)*IF(w_frequency=13,0,1))+SUM(IF(w_start_date=AO987,w_amount,0)*IF(w_frequency=13,1,0))</f>
        <v>0</v>
      </c>
      <c r="BC987" s="25">
        <f t="shared" ca="1" si="783"/>
        <v>0</v>
      </c>
      <c r="BD987" s="24" t="b">
        <f t="shared" ca="1" si="784"/>
        <v>1</v>
      </c>
      <c r="BE987" s="24" t="b">
        <f t="shared" ca="1" si="785"/>
        <v>1</v>
      </c>
      <c r="BF987" s="23">
        <f t="array" aca="1" ref="BF987" ca="1">SUM(IF(BD987,1,0)*IF(ap_start_date&lt;=AO987,1,0)*IF(ap_end_date&gt;=AO987,1,0)*ap_amount*(1+ap_escalation/100)^(INT((AP987-ap_months_since_start)/12))*IF(MOD(AP987-ap_months_since_start,ap_frequency)=0,1,0))</f>
        <v>545006.64225842198</v>
      </c>
      <c r="BG987" s="24">
        <f t="shared" ca="1" si="786"/>
        <v>6540079.7071010657</v>
      </c>
      <c r="BH987" s="24">
        <f t="shared" ca="1" si="787"/>
        <v>73.287734809504158</v>
      </c>
      <c r="BI987">
        <f t="shared" ca="1" si="788"/>
        <v>0</v>
      </c>
      <c r="BJ987" s="24">
        <f t="shared" ca="1" si="789"/>
        <v>513.01414366652909</v>
      </c>
      <c r="BK987">
        <f t="shared" ca="1" si="790"/>
        <v>1</v>
      </c>
      <c r="BL987" s="25">
        <f t="shared" ca="1" si="791"/>
        <v>42.751178638877413</v>
      </c>
      <c r="BM987" s="32">
        <f t="shared" ca="1" si="770"/>
        <v>2728.3436905899484</v>
      </c>
      <c r="BN987" s="23">
        <f t="shared" ca="1" si="792"/>
        <v>0</v>
      </c>
      <c r="BO987" s="24">
        <f t="shared" ca="1" si="793"/>
        <v>0</v>
      </c>
      <c r="BP987" s="25">
        <f t="shared" ca="1" si="794"/>
        <v>0</v>
      </c>
      <c r="BQ987" s="34">
        <f t="shared" ca="1" si="795"/>
        <v>75453</v>
      </c>
      <c r="BR987" s="23">
        <f t="shared" ca="1" si="796"/>
        <v>2728.3436905899484</v>
      </c>
      <c r="BS987" s="24">
        <f t="shared" ca="1" si="797"/>
        <v>0</v>
      </c>
      <c r="BT987" s="24">
        <f t="shared" ca="1" si="802"/>
        <v>0</v>
      </c>
      <c r="BU987" s="24">
        <f t="shared" ca="1" si="798"/>
        <v>0</v>
      </c>
      <c r="BV987" s="24">
        <f t="shared" ca="1" si="803"/>
        <v>0</v>
      </c>
      <c r="BW987" s="24">
        <f t="shared" ca="1" si="799"/>
        <v>-42.751178638877413</v>
      </c>
      <c r="BX987" s="25">
        <f t="shared" ca="1" si="804"/>
        <v>-526.23007115638779</v>
      </c>
      <c r="BY987" s="23">
        <f t="shared" ca="1" si="771"/>
        <v>110.87740037733708</v>
      </c>
      <c r="BZ987" s="24">
        <f t="shared" ca="1" si="772"/>
        <v>0</v>
      </c>
      <c r="CA987" s="24">
        <f t="shared" ca="1" si="805"/>
        <v>0</v>
      </c>
      <c r="CB987" s="24">
        <f t="shared" ca="1" si="773"/>
        <v>0</v>
      </c>
      <c r="CC987" s="24">
        <f t="shared" ca="1" si="806"/>
        <v>0</v>
      </c>
      <c r="CD987" s="24">
        <f t="shared" ca="1" si="774"/>
        <v>-1.7430566208971119</v>
      </c>
      <c r="CE987" s="25">
        <f t="shared" ca="1" si="807"/>
        <v>-21.854182333279653</v>
      </c>
      <c r="CF987" s="23">
        <f t="shared" ca="1" si="808"/>
        <v>6477194.325302016</v>
      </c>
      <c r="CG987" s="25">
        <f t="array" aca="1" ref="CG987" ca="1">SUM(BF976:BF987/(1+inflation/100)^(AP976:AP987/12))</f>
        <v>267980.53702225396</v>
      </c>
      <c r="CH987" s="32">
        <f ca="1">IFERROR(IF(MOD(AP987-ap_months_since_start,12)=0,ap_drawdown/100*(AQ987+AV987+BA987-BC987),CH986),0)</f>
        <v>450.5557613583012</v>
      </c>
    </row>
    <row r="988" spans="40:86" x14ac:dyDescent="0.25">
      <c r="AN988" s="32">
        <f t="shared" ca="1" si="769"/>
        <v>136.58333333333334</v>
      </c>
      <c r="AO988" s="53">
        <f t="shared" ca="1" si="800"/>
        <v>75454</v>
      </c>
      <c r="AP988" s="22">
        <v>981</v>
      </c>
      <c r="AQ988" s="32">
        <f t="shared" ca="1" si="801"/>
        <v>2728.3436905899484</v>
      </c>
      <c r="AR988" s="23">
        <f t="array" aca="1" ref="AR988" ca="1">SUM(IF(lsc_start_date=AO988,lsc_amount,0))</f>
        <v>0</v>
      </c>
      <c r="AS988" s="24">
        <f t="shared" ca="1" si="775"/>
        <v>0</v>
      </c>
      <c r="AT988" s="24">
        <f t="shared" ca="1" si="776"/>
        <v>0</v>
      </c>
      <c r="AU988" s="24">
        <f t="shared" ca="1" si="777"/>
        <v>0</v>
      </c>
      <c r="AV988" s="25">
        <f t="shared" ca="1" si="778"/>
        <v>0</v>
      </c>
      <c r="AW988" s="23">
        <f t="array" aca="1" ref="AW988" ca="1">SUM(IF(rcs_start_date&lt;=AO988,1,0)*IF(rcs_end_date&gt;=AO988,1,0)*rcs_amount*(1+rcs_escalation/100)^(INT((AP988-rcs_months_since_start)/12))*IF(MOD((AP988-rcs_months_since_start),rcs_frequency)=0,1,0)*IF(rcs_frequency=13,0,1))+SUM(IF(rcs_start_date=AO988,rcs_amount,0)*IF(rcs_frequency=13,1,0))</f>
        <v>0</v>
      </c>
      <c r="AX988" s="24">
        <f t="shared" ca="1" si="779"/>
        <v>0</v>
      </c>
      <c r="AY988" s="24">
        <f t="shared" ca="1" si="780"/>
        <v>0</v>
      </c>
      <c r="AZ988" s="24">
        <f t="shared" ca="1" si="781"/>
        <v>0</v>
      </c>
      <c r="BA988" s="25">
        <f t="shared" ca="1" si="782"/>
        <v>0</v>
      </c>
      <c r="BB988" s="23">
        <f t="array" aca="1" ref="BB988" ca="1">SUM(IF(w_start_date&lt;=AO988,1,0)*IF(w_end_date&gt;=AO988,1,0)*w_amount*(1+w_escalation/100)^(INT((AP988-w_months_since_start)/12))*IF(MOD(AP988-w_months_since_start,w_frequency)=0,1,0)*IF(w_frequency=13,0,1))+SUM(IF(w_start_date=AO988,w_amount,0)*IF(w_frequency=13,1,0))</f>
        <v>0</v>
      </c>
      <c r="BC988" s="25">
        <f t="shared" ca="1" si="783"/>
        <v>0</v>
      </c>
      <c r="BD988" s="24" t="b">
        <f t="shared" ca="1" si="784"/>
        <v>1</v>
      </c>
      <c r="BE988" s="24" t="b">
        <f t="shared" ca="1" si="785"/>
        <v>1</v>
      </c>
      <c r="BF988" s="23">
        <f t="array" aca="1" ref="BF988" ca="1">SUM(IF(BD988,1,0)*IF(ap_start_date&lt;=AO988,1,0)*IF(ap_end_date&gt;=AO988,1,0)*ap_amount*(1+ap_escalation/100)^(INT((AP988-ap_months_since_start)/12))*IF(MOD(AP988-ap_months_since_start,ap_frequency)=0,1,0))</f>
        <v>545006.64225842198</v>
      </c>
      <c r="BG988" s="24">
        <f t="shared" ca="1" si="786"/>
        <v>6540079.7071010657</v>
      </c>
      <c r="BH988" s="24">
        <f t="shared" ca="1" si="787"/>
        <v>73.287734809504158</v>
      </c>
      <c r="BI988">
        <f t="shared" ca="1" si="788"/>
        <v>0</v>
      </c>
      <c r="BJ988" s="24">
        <f t="shared" ca="1" si="789"/>
        <v>513.01414366652909</v>
      </c>
      <c r="BK988">
        <f t="shared" ca="1" si="790"/>
        <v>1</v>
      </c>
      <c r="BL988" s="25">
        <f t="shared" ca="1" si="791"/>
        <v>42.751178638877413</v>
      </c>
      <c r="BM988" s="32">
        <f t="shared" ca="1" si="770"/>
        <v>2704.9484454800981</v>
      </c>
      <c r="BN988" s="23">
        <f t="shared" ca="1" si="792"/>
        <v>0</v>
      </c>
      <c r="BO988" s="24">
        <f t="shared" ca="1" si="793"/>
        <v>0</v>
      </c>
      <c r="BP988" s="25">
        <f t="shared" ca="1" si="794"/>
        <v>0</v>
      </c>
      <c r="BQ988" s="34">
        <f t="shared" ca="1" si="795"/>
        <v>75484</v>
      </c>
      <c r="BR988" s="23">
        <f t="shared" ca="1" si="796"/>
        <v>2704.9484454800981</v>
      </c>
      <c r="BS988" s="24">
        <f t="shared" ca="1" si="797"/>
        <v>0</v>
      </c>
      <c r="BT988" s="24">
        <f t="shared" ca="1" si="802"/>
        <v>0</v>
      </c>
      <c r="BU988" s="24">
        <f t="shared" ca="1" si="798"/>
        <v>0</v>
      </c>
      <c r="BV988" s="24">
        <f t="shared" ca="1" si="803"/>
        <v>0</v>
      </c>
      <c r="BW988" s="24">
        <f t="shared" ca="1" si="799"/>
        <v>-42.751178638877413</v>
      </c>
      <c r="BX988" s="25">
        <f t="shared" ca="1" si="804"/>
        <v>-521.82476199310156</v>
      </c>
      <c r="BY988" s="23">
        <f t="shared" ca="1" si="771"/>
        <v>109.56794201298652</v>
      </c>
      <c r="BZ988" s="24">
        <f t="shared" ca="1" si="772"/>
        <v>0</v>
      </c>
      <c r="CA988" s="24">
        <f t="shared" ca="1" si="805"/>
        <v>0</v>
      </c>
      <c r="CB988" s="24">
        <f t="shared" ca="1" si="773"/>
        <v>0</v>
      </c>
      <c r="CC988" s="24">
        <f t="shared" ca="1" si="806"/>
        <v>0</v>
      </c>
      <c r="CD988" s="24">
        <f t="shared" ca="1" si="774"/>
        <v>-1.7373689271240287</v>
      </c>
      <c r="CE988" s="25">
        <f t="shared" ca="1" si="807"/>
        <v>-21.598498717822107</v>
      </c>
      <c r="CF988" s="23">
        <f t="shared" ca="1" si="808"/>
        <v>6498156.1192350332</v>
      </c>
      <c r="CG988" s="25">
        <f t="array" aca="1" ref="CG988" ca="1">SUM(BF977:BF988/(1+inflation/100)^(AP977:AP988/12))</f>
        <v>267980.53702225396</v>
      </c>
      <c r="CH988" s="32">
        <f ca="1">IFERROR(IF(MOD(AP988-ap_months_since_start,12)=0,ap_drawdown/100*(AQ988+AV988+BA988-BC988),CH987),0)</f>
        <v>450.5557613583012</v>
      </c>
    </row>
    <row r="989" spans="40:86" x14ac:dyDescent="0.25">
      <c r="AN989" s="32">
        <f t="shared" ca="1" si="769"/>
        <v>136.66666666666666</v>
      </c>
      <c r="AO989" s="53">
        <f t="shared" ca="1" si="800"/>
        <v>75485</v>
      </c>
      <c r="AP989" s="22">
        <v>982</v>
      </c>
      <c r="AQ989" s="32">
        <f t="shared" ca="1" si="801"/>
        <v>2704.9484454800981</v>
      </c>
      <c r="AR989" s="23">
        <f t="array" aca="1" ref="AR989" ca="1">SUM(IF(lsc_start_date=AO989,lsc_amount,0))</f>
        <v>0</v>
      </c>
      <c r="AS989" s="24">
        <f t="shared" ca="1" si="775"/>
        <v>0</v>
      </c>
      <c r="AT989" s="24">
        <f t="shared" ca="1" si="776"/>
        <v>0</v>
      </c>
      <c r="AU989" s="24">
        <f t="shared" ca="1" si="777"/>
        <v>0</v>
      </c>
      <c r="AV989" s="25">
        <f t="shared" ca="1" si="778"/>
        <v>0</v>
      </c>
      <c r="AW989" s="23">
        <f t="array" aca="1" ref="AW989" ca="1">SUM(IF(rcs_start_date&lt;=AO989,1,0)*IF(rcs_end_date&gt;=AO989,1,0)*rcs_amount*(1+rcs_escalation/100)^(INT((AP989-rcs_months_since_start)/12))*IF(MOD((AP989-rcs_months_since_start),rcs_frequency)=0,1,0)*IF(rcs_frequency=13,0,1))+SUM(IF(rcs_start_date=AO989,rcs_amount,0)*IF(rcs_frequency=13,1,0))</f>
        <v>0</v>
      </c>
      <c r="AX989" s="24">
        <f t="shared" ca="1" si="779"/>
        <v>0</v>
      </c>
      <c r="AY989" s="24">
        <f t="shared" ca="1" si="780"/>
        <v>0</v>
      </c>
      <c r="AZ989" s="24">
        <f t="shared" ca="1" si="781"/>
        <v>0</v>
      </c>
      <c r="BA989" s="25">
        <f t="shared" ca="1" si="782"/>
        <v>0</v>
      </c>
      <c r="BB989" s="23">
        <f t="array" aca="1" ref="BB989" ca="1">SUM(IF(w_start_date&lt;=AO989,1,0)*IF(w_end_date&gt;=AO989,1,0)*w_amount*(1+w_escalation/100)^(INT((AP989-w_months_since_start)/12))*IF(MOD(AP989-w_months_since_start,w_frequency)=0,1,0)*IF(w_frequency=13,0,1))+SUM(IF(w_start_date=AO989,w_amount,0)*IF(w_frequency=13,1,0))</f>
        <v>0</v>
      </c>
      <c r="BC989" s="25">
        <f t="shared" ca="1" si="783"/>
        <v>0</v>
      </c>
      <c r="BD989" s="24" t="b">
        <f t="shared" ca="1" si="784"/>
        <v>1</v>
      </c>
      <c r="BE989" s="24" t="b">
        <f t="shared" ca="1" si="785"/>
        <v>1</v>
      </c>
      <c r="BF989" s="23">
        <f t="array" aca="1" ref="BF989" ca="1">SUM(IF(BD989,1,0)*IF(ap_start_date&lt;=AO989,1,0)*IF(ap_end_date&gt;=AO989,1,0)*ap_amount*(1+ap_escalation/100)^(INT((AP989-ap_months_since_start)/12))*IF(MOD(AP989-ap_months_since_start,ap_frequency)=0,1,0))</f>
        <v>545006.64225842198</v>
      </c>
      <c r="BG989" s="24">
        <f t="shared" ca="1" si="786"/>
        <v>6540079.7071010657</v>
      </c>
      <c r="BH989" s="24">
        <f t="shared" ca="1" si="787"/>
        <v>73.287734809504158</v>
      </c>
      <c r="BI989">
        <f t="shared" ca="1" si="788"/>
        <v>0</v>
      </c>
      <c r="BJ989" s="24">
        <f t="shared" ca="1" si="789"/>
        <v>513.01414366652909</v>
      </c>
      <c r="BK989">
        <f t="shared" ca="1" si="790"/>
        <v>1</v>
      </c>
      <c r="BL989" s="25">
        <f t="shared" ca="1" si="791"/>
        <v>42.751178638877413</v>
      </c>
      <c r="BM989" s="32">
        <f t="shared" ca="1" si="770"/>
        <v>2681.3845832746811</v>
      </c>
      <c r="BN989" s="23">
        <f t="shared" ca="1" si="792"/>
        <v>0</v>
      </c>
      <c r="BO989" s="24">
        <f t="shared" ca="1" si="793"/>
        <v>0</v>
      </c>
      <c r="BP989" s="25">
        <f t="shared" ca="1" si="794"/>
        <v>0</v>
      </c>
      <c r="BQ989" s="34">
        <f t="shared" ca="1" si="795"/>
        <v>75514</v>
      </c>
      <c r="BR989" s="23">
        <f t="shared" ca="1" si="796"/>
        <v>2681.3845832746811</v>
      </c>
      <c r="BS989" s="24">
        <f t="shared" ca="1" si="797"/>
        <v>0</v>
      </c>
      <c r="BT989" s="24">
        <f t="shared" ca="1" si="802"/>
        <v>0</v>
      </c>
      <c r="BU989" s="24">
        <f t="shared" ca="1" si="798"/>
        <v>0</v>
      </c>
      <c r="BV989" s="24">
        <f t="shared" ca="1" si="803"/>
        <v>0</v>
      </c>
      <c r="BW989" s="24">
        <f t="shared" ca="1" si="799"/>
        <v>-42.751178638877413</v>
      </c>
      <c r="BX989" s="25">
        <f t="shared" ca="1" si="804"/>
        <v>-517.41945282981533</v>
      </c>
      <c r="BY989" s="23">
        <f t="shared" ca="1" si="771"/>
        <v>108.25904095408974</v>
      </c>
      <c r="BZ989" s="24">
        <f t="shared" ca="1" si="772"/>
        <v>0</v>
      </c>
      <c r="CA989" s="24">
        <f t="shared" ca="1" si="805"/>
        <v>0</v>
      </c>
      <c r="CB989" s="24">
        <f t="shared" ca="1" si="773"/>
        <v>0</v>
      </c>
      <c r="CC989" s="24">
        <f t="shared" ca="1" si="806"/>
        <v>0</v>
      </c>
      <c r="CD989" s="24">
        <f t="shared" ca="1" si="774"/>
        <v>-1.7316997926220965</v>
      </c>
      <c r="CE989" s="25">
        <f t="shared" ca="1" si="807"/>
        <v>-21.34364941267329</v>
      </c>
      <c r="CF989" s="23">
        <f t="shared" ca="1" si="808"/>
        <v>6519117.9131680485</v>
      </c>
      <c r="CG989" s="25">
        <f t="array" aca="1" ref="CG989" ca="1">SUM(BF978:BF989/(1+inflation/100)^(AP978:AP989/12))</f>
        <v>267980.53702225391</v>
      </c>
      <c r="CH989" s="32">
        <f ca="1">IFERROR(IF(MOD(AP989-ap_months_since_start,12)=0,ap_drawdown/100*(AQ989+AV989+BA989-BC989),CH988),0)</f>
        <v>450.5557613583012</v>
      </c>
    </row>
    <row r="990" spans="40:86" x14ac:dyDescent="0.25">
      <c r="AN990" s="32">
        <f t="shared" ca="1" si="769"/>
        <v>136.75</v>
      </c>
      <c r="AO990" s="53">
        <f t="shared" ca="1" si="800"/>
        <v>75515</v>
      </c>
      <c r="AP990" s="22">
        <v>983</v>
      </c>
      <c r="AQ990" s="32">
        <f t="shared" ca="1" si="801"/>
        <v>2681.3845832746811</v>
      </c>
      <c r="AR990" s="23">
        <f t="array" aca="1" ref="AR990" ca="1">SUM(IF(lsc_start_date=AO990,lsc_amount,0))</f>
        <v>0</v>
      </c>
      <c r="AS990" s="24">
        <f t="shared" ca="1" si="775"/>
        <v>0</v>
      </c>
      <c r="AT990" s="24">
        <f t="shared" ca="1" si="776"/>
        <v>0</v>
      </c>
      <c r="AU990" s="24">
        <f t="shared" ca="1" si="777"/>
        <v>0</v>
      </c>
      <c r="AV990" s="25">
        <f t="shared" ca="1" si="778"/>
        <v>0</v>
      </c>
      <c r="AW990" s="23">
        <f t="array" aca="1" ref="AW990" ca="1">SUM(IF(rcs_start_date&lt;=AO990,1,0)*IF(rcs_end_date&gt;=AO990,1,0)*rcs_amount*(1+rcs_escalation/100)^(INT((AP990-rcs_months_since_start)/12))*IF(MOD((AP990-rcs_months_since_start),rcs_frequency)=0,1,0)*IF(rcs_frequency=13,0,1))+SUM(IF(rcs_start_date=AO990,rcs_amount,0)*IF(rcs_frequency=13,1,0))</f>
        <v>0</v>
      </c>
      <c r="AX990" s="24">
        <f t="shared" ca="1" si="779"/>
        <v>0</v>
      </c>
      <c r="AY990" s="24">
        <f t="shared" ca="1" si="780"/>
        <v>0</v>
      </c>
      <c r="AZ990" s="24">
        <f t="shared" ca="1" si="781"/>
        <v>0</v>
      </c>
      <c r="BA990" s="25">
        <f t="shared" ca="1" si="782"/>
        <v>0</v>
      </c>
      <c r="BB990" s="23">
        <f t="array" aca="1" ref="BB990" ca="1">SUM(IF(w_start_date&lt;=AO990,1,0)*IF(w_end_date&gt;=AO990,1,0)*w_amount*(1+w_escalation/100)^(INT((AP990-w_months_since_start)/12))*IF(MOD(AP990-w_months_since_start,w_frequency)=0,1,0)*IF(w_frequency=13,0,1))+SUM(IF(w_start_date=AO990,w_amount,0)*IF(w_frequency=13,1,0))</f>
        <v>0</v>
      </c>
      <c r="BC990" s="25">
        <f t="shared" ca="1" si="783"/>
        <v>0</v>
      </c>
      <c r="BD990" s="24" t="b">
        <f t="shared" ca="1" si="784"/>
        <v>1</v>
      </c>
      <c r="BE990" s="24" t="b">
        <f t="shared" ca="1" si="785"/>
        <v>1</v>
      </c>
      <c r="BF990" s="23">
        <f t="array" aca="1" ref="BF990" ca="1">SUM(IF(BD990,1,0)*IF(ap_start_date&lt;=AO990,1,0)*IF(ap_end_date&gt;=AO990,1,0)*ap_amount*(1+ap_escalation/100)^(INT((AP990-ap_months_since_start)/12))*IF(MOD(AP990-ap_months_since_start,ap_frequency)=0,1,0))</f>
        <v>545006.64225842198</v>
      </c>
      <c r="BG990" s="24">
        <f t="shared" ca="1" si="786"/>
        <v>6540079.7071010657</v>
      </c>
      <c r="BH990" s="24">
        <f t="shared" ca="1" si="787"/>
        <v>73.287734809504158</v>
      </c>
      <c r="BI990">
        <f t="shared" ca="1" si="788"/>
        <v>0</v>
      </c>
      <c r="BJ990" s="24">
        <f t="shared" ca="1" si="789"/>
        <v>513.01414366652909</v>
      </c>
      <c r="BK990">
        <f t="shared" ca="1" si="790"/>
        <v>1</v>
      </c>
      <c r="BL990" s="25">
        <f t="shared" ca="1" si="791"/>
        <v>42.751178638877413</v>
      </c>
      <c r="BM990" s="32">
        <f t="shared" ca="1" si="770"/>
        <v>2657.6508886957727</v>
      </c>
      <c r="BN990" s="23">
        <f t="shared" ca="1" si="792"/>
        <v>0</v>
      </c>
      <c r="BO990" s="24">
        <f t="shared" ca="1" si="793"/>
        <v>0</v>
      </c>
      <c r="BP990" s="25">
        <f t="shared" ca="1" si="794"/>
        <v>0</v>
      </c>
      <c r="BQ990" s="34">
        <f t="shared" ca="1" si="795"/>
        <v>75545</v>
      </c>
      <c r="BR990" s="23">
        <f t="shared" ca="1" si="796"/>
        <v>2657.6508886957727</v>
      </c>
      <c r="BS990" s="24">
        <f t="shared" ca="1" si="797"/>
        <v>0</v>
      </c>
      <c r="BT990" s="24">
        <f t="shared" ca="1" si="802"/>
        <v>0</v>
      </c>
      <c r="BU990" s="24">
        <f t="shared" ca="1" si="798"/>
        <v>0</v>
      </c>
      <c r="BV990" s="24">
        <f t="shared" ca="1" si="803"/>
        <v>0</v>
      </c>
      <c r="BW990" s="24">
        <f t="shared" ca="1" si="799"/>
        <v>-42.751178638877413</v>
      </c>
      <c r="BX990" s="25">
        <f t="shared" ca="1" si="804"/>
        <v>-513.01414366652909</v>
      </c>
      <c r="BY990" s="23">
        <f t="shared" ca="1" si="771"/>
        <v>106.95068081446099</v>
      </c>
      <c r="BZ990" s="24">
        <f t="shared" ca="1" si="772"/>
        <v>0</v>
      </c>
      <c r="CA990" s="24">
        <f t="shared" ca="1" si="805"/>
        <v>0</v>
      </c>
      <c r="CB990" s="24">
        <f t="shared" ca="1" si="773"/>
        <v>0</v>
      </c>
      <c r="CC990" s="24">
        <f t="shared" ca="1" si="806"/>
        <v>0</v>
      </c>
      <c r="CD990" s="24">
        <f t="shared" ca="1" si="774"/>
        <v>-1.7260491568313472</v>
      </c>
      <c r="CE990" s="25">
        <f t="shared" ca="1" si="807"/>
        <v>-21.089631695430796</v>
      </c>
      <c r="CF990" s="23">
        <f t="shared" ca="1" si="808"/>
        <v>6540079.7071010657</v>
      </c>
      <c r="CG990" s="25">
        <f t="array" aca="1" ref="CG990" ca="1">SUM(BF979:BF990/(1+inflation/100)^(AP979:AP990/12))</f>
        <v>267980.53702225391</v>
      </c>
      <c r="CH990" s="32">
        <f ca="1">IFERROR(IF(MOD(AP990-ap_months_since_start,12)=0,ap_drawdown/100*(AQ990+AV990+BA990-BC990),CH989),0)</f>
        <v>450.5557613583012</v>
      </c>
    </row>
    <row r="991" spans="40:86" x14ac:dyDescent="0.25">
      <c r="AN991" s="32">
        <f t="shared" ca="1" si="769"/>
        <v>136.83333333333334</v>
      </c>
      <c r="AO991" s="53">
        <f t="shared" ca="1" si="800"/>
        <v>75546</v>
      </c>
      <c r="AP991" s="22">
        <v>984</v>
      </c>
      <c r="AQ991" s="32">
        <f t="shared" ca="1" si="801"/>
        <v>2657.6508886957727</v>
      </c>
      <c r="AR991" s="23">
        <f t="array" aca="1" ref="AR991" ca="1">SUM(IF(lsc_start_date=AO991,lsc_amount,0))</f>
        <v>0</v>
      </c>
      <c r="AS991" s="24">
        <f t="shared" ca="1" si="775"/>
        <v>0</v>
      </c>
      <c r="AT991" s="24">
        <f t="shared" ca="1" si="776"/>
        <v>0</v>
      </c>
      <c r="AU991" s="24">
        <f t="shared" ca="1" si="777"/>
        <v>0</v>
      </c>
      <c r="AV991" s="25">
        <f t="shared" ca="1" si="778"/>
        <v>0</v>
      </c>
      <c r="AW991" s="23">
        <f t="array" aca="1" ref="AW991" ca="1">SUM(IF(rcs_start_date&lt;=AO991,1,0)*IF(rcs_end_date&gt;=AO991,1,0)*rcs_amount*(1+rcs_escalation/100)^(INT((AP991-rcs_months_since_start)/12))*IF(MOD((AP991-rcs_months_since_start),rcs_frequency)=0,1,0)*IF(rcs_frequency=13,0,1))+SUM(IF(rcs_start_date=AO991,rcs_amount,0)*IF(rcs_frequency=13,1,0))</f>
        <v>0</v>
      </c>
      <c r="AX991" s="24">
        <f t="shared" ca="1" si="779"/>
        <v>0</v>
      </c>
      <c r="AY991" s="24">
        <f t="shared" ca="1" si="780"/>
        <v>0</v>
      </c>
      <c r="AZ991" s="24">
        <f t="shared" ca="1" si="781"/>
        <v>0</v>
      </c>
      <c r="BA991" s="25">
        <f t="shared" ca="1" si="782"/>
        <v>0</v>
      </c>
      <c r="BB991" s="23">
        <f t="array" aca="1" ref="BB991" ca="1">SUM(IF(w_start_date&lt;=AO991,1,0)*IF(w_end_date&gt;=AO991,1,0)*w_amount*(1+w_escalation/100)^(INT((AP991-w_months_since_start)/12))*IF(MOD(AP991-w_months_since_start,w_frequency)=0,1,0)*IF(w_frequency=13,0,1))+SUM(IF(w_start_date=AO991,w_amount,0)*IF(w_frequency=13,1,0))</f>
        <v>0</v>
      </c>
      <c r="BC991" s="25">
        <f t="shared" ca="1" si="783"/>
        <v>0</v>
      </c>
      <c r="BD991" s="24" t="b">
        <f t="shared" ca="1" si="784"/>
        <v>1</v>
      </c>
      <c r="BE991" s="24" t="b">
        <f t="shared" ca="1" si="785"/>
        <v>1</v>
      </c>
      <c r="BF991" s="23">
        <f t="array" aca="1" ref="BF991" ca="1">SUM(IF(BD991,1,0)*IF(ap_start_date&lt;=AO991,1,0)*IF(ap_end_date&gt;=AO991,1,0)*ap_amount*(1+ap_escalation/100)^(INT((AP991-ap_months_since_start)/12))*IF(MOD(AP991-ap_months_since_start,ap_frequency)=0,1,0))</f>
        <v>566806.9079487588</v>
      </c>
      <c r="BG991" s="24">
        <f t="shared" ca="1" si="786"/>
        <v>6801682.8953851042</v>
      </c>
      <c r="BH991" s="24">
        <f t="shared" ca="1" si="787"/>
        <v>66.441272217394314</v>
      </c>
      <c r="BI991">
        <f t="shared" ca="1" si="788"/>
        <v>0</v>
      </c>
      <c r="BJ991" s="24">
        <f t="shared" ca="1" si="789"/>
        <v>465.08890552176018</v>
      </c>
      <c r="BK991">
        <f t="shared" ca="1" si="790"/>
        <v>1</v>
      </c>
      <c r="BL991" s="25">
        <f t="shared" ca="1" si="791"/>
        <v>38.757408793480025</v>
      </c>
      <c r="BM991" s="32">
        <f t="shared" ca="1" si="770"/>
        <v>2637.7686919424709</v>
      </c>
      <c r="BN991" s="23">
        <f t="shared" ca="1" si="792"/>
        <v>0</v>
      </c>
      <c r="BO991" s="24">
        <f t="shared" ca="1" si="793"/>
        <v>0</v>
      </c>
      <c r="BP991" s="25">
        <f t="shared" ca="1" si="794"/>
        <v>0</v>
      </c>
      <c r="BQ991" s="34">
        <f t="shared" ca="1" si="795"/>
        <v>75575</v>
      </c>
      <c r="BR991" s="23">
        <f t="shared" ca="1" si="796"/>
        <v>2637.7686919424709</v>
      </c>
      <c r="BS991" s="24">
        <f t="shared" ca="1" si="797"/>
        <v>0</v>
      </c>
      <c r="BT991" s="24">
        <f t="shared" ca="1" si="802"/>
        <v>0</v>
      </c>
      <c r="BU991" s="24">
        <f t="shared" ca="1" si="798"/>
        <v>0</v>
      </c>
      <c r="BV991" s="24">
        <f t="shared" ca="1" si="803"/>
        <v>0</v>
      </c>
      <c r="BW991" s="24">
        <f t="shared" ca="1" si="799"/>
        <v>-38.757408793480025</v>
      </c>
      <c r="BX991" s="25">
        <f t="shared" ca="1" si="804"/>
        <v>-509.02037382113167</v>
      </c>
      <c r="BY991" s="23">
        <f t="shared" ca="1" si="771"/>
        <v>105.80419487589585</v>
      </c>
      <c r="BZ991" s="24">
        <f t="shared" ca="1" si="772"/>
        <v>0</v>
      </c>
      <c r="CA991" s="24">
        <f t="shared" ca="1" si="805"/>
        <v>0</v>
      </c>
      <c r="CB991" s="24">
        <f t="shared" ca="1" si="773"/>
        <v>0</v>
      </c>
      <c r="CC991" s="24">
        <f t="shared" ca="1" si="806"/>
        <v>0</v>
      </c>
      <c r="CD991" s="24">
        <f t="shared" ca="1" si="774"/>
        <v>-1.5596974285442231</v>
      </c>
      <c r="CE991" s="25">
        <f t="shared" ca="1" si="807"/>
        <v>-20.860095486210021</v>
      </c>
      <c r="CF991" s="23">
        <f t="shared" ca="1" si="808"/>
        <v>6561879.9727914017</v>
      </c>
      <c r="CG991" s="25">
        <f t="array" aca="1" ref="CG991" ca="1">SUM(BF980:BF991/(1+inflation/100)^(AP980:AP991/12))</f>
        <v>267980.53702225391</v>
      </c>
      <c r="CH991" s="32">
        <f ca="1">IFERROR(IF(MOD(AP991-ap_months_since_start,12)=0,ap_drawdown/100*(AQ991+AV991+BA991-BC991),CH990),0)</f>
        <v>408.46531916060968</v>
      </c>
    </row>
    <row r="992" spans="40:86" x14ac:dyDescent="0.25">
      <c r="AN992" s="32">
        <f t="shared" ca="1" si="769"/>
        <v>136.91666666666666</v>
      </c>
      <c r="AO992" s="53">
        <f t="shared" ca="1" si="800"/>
        <v>75576</v>
      </c>
      <c r="AP992" s="22">
        <v>985</v>
      </c>
      <c r="AQ992" s="32">
        <f t="shared" ca="1" si="801"/>
        <v>2637.7686919424709</v>
      </c>
      <c r="AR992" s="23">
        <f t="array" aca="1" ref="AR992" ca="1">SUM(IF(lsc_start_date=AO992,lsc_amount,0))</f>
        <v>0</v>
      </c>
      <c r="AS992" s="24">
        <f t="shared" ca="1" si="775"/>
        <v>0</v>
      </c>
      <c r="AT992" s="24">
        <f t="shared" ca="1" si="776"/>
        <v>0</v>
      </c>
      <c r="AU992" s="24">
        <f t="shared" ca="1" si="777"/>
        <v>0</v>
      </c>
      <c r="AV992" s="25">
        <f t="shared" ca="1" si="778"/>
        <v>0</v>
      </c>
      <c r="AW992" s="23">
        <f t="array" aca="1" ref="AW992" ca="1">SUM(IF(rcs_start_date&lt;=AO992,1,0)*IF(rcs_end_date&gt;=AO992,1,0)*rcs_amount*(1+rcs_escalation/100)^(INT((AP992-rcs_months_since_start)/12))*IF(MOD((AP992-rcs_months_since_start),rcs_frequency)=0,1,0)*IF(rcs_frequency=13,0,1))+SUM(IF(rcs_start_date=AO992,rcs_amount,0)*IF(rcs_frequency=13,1,0))</f>
        <v>0</v>
      </c>
      <c r="AX992" s="24">
        <f t="shared" ca="1" si="779"/>
        <v>0</v>
      </c>
      <c r="AY992" s="24">
        <f t="shared" ca="1" si="780"/>
        <v>0</v>
      </c>
      <c r="AZ992" s="24">
        <f t="shared" ca="1" si="781"/>
        <v>0</v>
      </c>
      <c r="BA992" s="25">
        <f t="shared" ca="1" si="782"/>
        <v>0</v>
      </c>
      <c r="BB992" s="23">
        <f t="array" aca="1" ref="BB992" ca="1">SUM(IF(w_start_date&lt;=AO992,1,0)*IF(w_end_date&gt;=AO992,1,0)*w_amount*(1+w_escalation/100)^(INT((AP992-w_months_since_start)/12))*IF(MOD(AP992-w_months_since_start,w_frequency)=0,1,0)*IF(w_frequency=13,0,1))+SUM(IF(w_start_date=AO992,w_amount,0)*IF(w_frequency=13,1,0))</f>
        <v>0</v>
      </c>
      <c r="BC992" s="25">
        <f t="shared" ca="1" si="783"/>
        <v>0</v>
      </c>
      <c r="BD992" s="24" t="b">
        <f t="shared" ca="1" si="784"/>
        <v>1</v>
      </c>
      <c r="BE992" s="24" t="b">
        <f t="shared" ca="1" si="785"/>
        <v>1</v>
      </c>
      <c r="BF992" s="23">
        <f t="array" aca="1" ref="BF992" ca="1">SUM(IF(BD992,1,0)*IF(ap_start_date&lt;=AO992,1,0)*IF(ap_end_date&gt;=AO992,1,0)*ap_amount*(1+ap_escalation/100)^(INT((AP992-ap_months_since_start)/12))*IF(MOD(AP992-ap_months_since_start,ap_frequency)=0,1,0))</f>
        <v>566806.9079487588</v>
      </c>
      <c r="BG992" s="24">
        <f t="shared" ca="1" si="786"/>
        <v>6801682.8953851042</v>
      </c>
      <c r="BH992" s="24">
        <f t="shared" ca="1" si="787"/>
        <v>66.441272217394314</v>
      </c>
      <c r="BI992">
        <f t="shared" ca="1" si="788"/>
        <v>0</v>
      </c>
      <c r="BJ992" s="24">
        <f t="shared" ca="1" si="789"/>
        <v>465.08890552176018</v>
      </c>
      <c r="BK992">
        <f t="shared" ca="1" si="790"/>
        <v>1</v>
      </c>
      <c r="BL992" s="25">
        <f t="shared" ca="1" si="791"/>
        <v>38.757408793480025</v>
      </c>
      <c r="BM992" s="32">
        <f t="shared" ca="1" si="770"/>
        <v>2617.743197768933</v>
      </c>
      <c r="BN992" s="23">
        <f t="shared" ca="1" si="792"/>
        <v>0</v>
      </c>
      <c r="BO992" s="24">
        <f t="shared" ca="1" si="793"/>
        <v>0</v>
      </c>
      <c r="BP992" s="25">
        <f t="shared" ca="1" si="794"/>
        <v>0</v>
      </c>
      <c r="BQ992" s="34">
        <f t="shared" ca="1" si="795"/>
        <v>75606</v>
      </c>
      <c r="BR992" s="23">
        <f t="shared" ca="1" si="796"/>
        <v>2617.743197768933</v>
      </c>
      <c r="BS992" s="24">
        <f t="shared" ca="1" si="797"/>
        <v>0</v>
      </c>
      <c r="BT992" s="24">
        <f t="shared" ca="1" si="802"/>
        <v>0</v>
      </c>
      <c r="BU992" s="24">
        <f t="shared" ca="1" si="798"/>
        <v>0</v>
      </c>
      <c r="BV992" s="24">
        <f t="shared" ca="1" si="803"/>
        <v>0</v>
      </c>
      <c r="BW992" s="24">
        <f t="shared" ca="1" si="799"/>
        <v>-38.757408793480025</v>
      </c>
      <c r="BX992" s="25">
        <f t="shared" ca="1" si="804"/>
        <v>-505.02660397573425</v>
      </c>
      <c r="BY992" s="23">
        <f t="shared" ca="1" si="771"/>
        <v>104.65832319124367</v>
      </c>
      <c r="BZ992" s="24">
        <f t="shared" ca="1" si="772"/>
        <v>0</v>
      </c>
      <c r="CA992" s="24">
        <f t="shared" ca="1" si="805"/>
        <v>0</v>
      </c>
      <c r="CB992" s="24">
        <f t="shared" ca="1" si="773"/>
        <v>0</v>
      </c>
      <c r="CC992" s="24">
        <f t="shared" ca="1" si="806"/>
        <v>0</v>
      </c>
      <c r="CD992" s="24">
        <f t="shared" ca="1" si="774"/>
        <v>-1.5546080463372014</v>
      </c>
      <c r="CE992" s="25">
        <f t="shared" ca="1" si="807"/>
        <v>-20.631308266811047</v>
      </c>
      <c r="CF992" s="23">
        <f t="shared" ca="1" si="808"/>
        <v>6583680.2384817377</v>
      </c>
      <c r="CG992" s="25">
        <f t="array" aca="1" ref="CG992" ca="1">SUM(BF981:BF992/(1+inflation/100)^(AP981:AP992/12))</f>
        <v>267980.53702225391</v>
      </c>
      <c r="CH992" s="32">
        <f ca="1">IFERROR(IF(MOD(AP992-ap_months_since_start,12)=0,ap_drawdown/100*(AQ992+AV992+BA992-BC992),CH991),0)</f>
        <v>408.46531916060968</v>
      </c>
    </row>
    <row r="993" spans="40:86" x14ac:dyDescent="0.25">
      <c r="AN993" s="32">
        <f t="shared" ca="1" si="769"/>
        <v>137</v>
      </c>
      <c r="AO993" s="53">
        <f t="shared" ca="1" si="800"/>
        <v>75607</v>
      </c>
      <c r="AP993" s="22">
        <v>986</v>
      </c>
      <c r="AQ993" s="32">
        <f t="shared" ca="1" si="801"/>
        <v>2617.743197768933</v>
      </c>
      <c r="AR993" s="23">
        <f t="array" aca="1" ref="AR993" ca="1">SUM(IF(lsc_start_date=AO993,lsc_amount,0))</f>
        <v>0</v>
      </c>
      <c r="AS993" s="24">
        <f t="shared" ca="1" si="775"/>
        <v>0</v>
      </c>
      <c r="AT993" s="24">
        <f t="shared" ca="1" si="776"/>
        <v>0</v>
      </c>
      <c r="AU993" s="24">
        <f t="shared" ca="1" si="777"/>
        <v>0</v>
      </c>
      <c r="AV993" s="25">
        <f t="shared" ca="1" si="778"/>
        <v>0</v>
      </c>
      <c r="AW993" s="23">
        <f t="array" aca="1" ref="AW993" ca="1">SUM(IF(rcs_start_date&lt;=AO993,1,0)*IF(rcs_end_date&gt;=AO993,1,0)*rcs_amount*(1+rcs_escalation/100)^(INT((AP993-rcs_months_since_start)/12))*IF(MOD((AP993-rcs_months_since_start),rcs_frequency)=0,1,0)*IF(rcs_frequency=13,0,1))+SUM(IF(rcs_start_date=AO993,rcs_amount,0)*IF(rcs_frequency=13,1,0))</f>
        <v>0</v>
      </c>
      <c r="AX993" s="24">
        <f t="shared" ca="1" si="779"/>
        <v>0</v>
      </c>
      <c r="AY993" s="24">
        <f t="shared" ca="1" si="780"/>
        <v>0</v>
      </c>
      <c r="AZ993" s="24">
        <f t="shared" ca="1" si="781"/>
        <v>0</v>
      </c>
      <c r="BA993" s="25">
        <f t="shared" ca="1" si="782"/>
        <v>0</v>
      </c>
      <c r="BB993" s="23">
        <f t="array" aca="1" ref="BB993" ca="1">SUM(IF(w_start_date&lt;=AO993,1,0)*IF(w_end_date&gt;=AO993,1,0)*w_amount*(1+w_escalation/100)^(INT((AP993-w_months_since_start)/12))*IF(MOD(AP993-w_months_since_start,w_frequency)=0,1,0)*IF(w_frequency=13,0,1))+SUM(IF(w_start_date=AO993,w_amount,0)*IF(w_frequency=13,1,0))</f>
        <v>0</v>
      </c>
      <c r="BC993" s="25">
        <f t="shared" ca="1" si="783"/>
        <v>0</v>
      </c>
      <c r="BD993" s="24" t="b">
        <f t="shared" ca="1" si="784"/>
        <v>1</v>
      </c>
      <c r="BE993" s="24" t="b">
        <f t="shared" ca="1" si="785"/>
        <v>1</v>
      </c>
      <c r="BF993" s="23">
        <f t="array" aca="1" ref="BF993" ca="1">SUM(IF(BD993,1,0)*IF(ap_start_date&lt;=AO993,1,0)*IF(ap_end_date&gt;=AO993,1,0)*ap_amount*(1+ap_escalation/100)^(INT((AP993-ap_months_since_start)/12))*IF(MOD(AP993-ap_months_since_start,ap_frequency)=0,1,0))</f>
        <v>566806.9079487588</v>
      </c>
      <c r="BG993" s="24">
        <f t="shared" ca="1" si="786"/>
        <v>6801682.8953851042</v>
      </c>
      <c r="BH993" s="24">
        <f t="shared" ca="1" si="787"/>
        <v>66.441272217394314</v>
      </c>
      <c r="BI993">
        <f t="shared" ca="1" si="788"/>
        <v>0</v>
      </c>
      <c r="BJ993" s="24">
        <f t="shared" ca="1" si="789"/>
        <v>465.08890552176018</v>
      </c>
      <c r="BK993">
        <f t="shared" ca="1" si="790"/>
        <v>1</v>
      </c>
      <c r="BL993" s="25">
        <f t="shared" ca="1" si="791"/>
        <v>38.757408793480025</v>
      </c>
      <c r="BM993" s="32">
        <f t="shared" ca="1" si="770"/>
        <v>2597.5733733843213</v>
      </c>
      <c r="BN993" s="23">
        <f t="shared" ca="1" si="792"/>
        <v>0</v>
      </c>
      <c r="BO993" s="24">
        <f t="shared" ca="1" si="793"/>
        <v>0</v>
      </c>
      <c r="BP993" s="25">
        <f t="shared" ca="1" si="794"/>
        <v>0</v>
      </c>
      <c r="BQ993" s="34">
        <f t="shared" ca="1" si="795"/>
        <v>75637</v>
      </c>
      <c r="BR993" s="23">
        <f t="shared" ca="1" si="796"/>
        <v>2597.5733733843213</v>
      </c>
      <c r="BS993" s="24">
        <f t="shared" ca="1" si="797"/>
        <v>0</v>
      </c>
      <c r="BT993" s="24">
        <f t="shared" ca="1" si="802"/>
        <v>0</v>
      </c>
      <c r="BU993" s="24">
        <f t="shared" ca="1" si="798"/>
        <v>0</v>
      </c>
      <c r="BV993" s="24">
        <f t="shared" ca="1" si="803"/>
        <v>0</v>
      </c>
      <c r="BW993" s="24">
        <f t="shared" ca="1" si="799"/>
        <v>-38.757408793480025</v>
      </c>
      <c r="BX993" s="25">
        <f t="shared" ca="1" si="804"/>
        <v>-501.03283413033682</v>
      </c>
      <c r="BY993" s="23">
        <f t="shared" ca="1" si="771"/>
        <v>103.5130514967811</v>
      </c>
      <c r="BZ993" s="24">
        <f t="shared" ca="1" si="772"/>
        <v>0</v>
      </c>
      <c r="CA993" s="24">
        <f t="shared" ca="1" si="805"/>
        <v>0</v>
      </c>
      <c r="CB993" s="24">
        <f t="shared" ca="1" si="773"/>
        <v>0</v>
      </c>
      <c r="CC993" s="24">
        <f t="shared" ca="1" si="806"/>
        <v>0</v>
      </c>
      <c r="CD993" s="24">
        <f t="shared" ca="1" si="774"/>
        <v>-1.5495352710763604</v>
      </c>
      <c r="CE993" s="25">
        <f t="shared" ca="1" si="807"/>
        <v>-20.403267593237118</v>
      </c>
      <c r="CF993" s="23">
        <f t="shared" ca="1" si="808"/>
        <v>6605480.5041720737</v>
      </c>
      <c r="CG993" s="25">
        <f t="array" aca="1" ref="CG993" ca="1">SUM(BF982:BF993/(1+inflation/100)^(AP982:AP993/12))</f>
        <v>267980.53702225391</v>
      </c>
      <c r="CH993" s="32">
        <f ca="1">IFERROR(IF(MOD(AP993-ap_months_since_start,12)=0,ap_drawdown/100*(AQ993+AV993+BA993-BC993),CH992),0)</f>
        <v>408.46531916060968</v>
      </c>
    </row>
    <row r="994" spans="40:86" x14ac:dyDescent="0.25">
      <c r="AN994" s="32">
        <f t="shared" ca="1" si="769"/>
        <v>137.08333333333334</v>
      </c>
      <c r="AO994" s="53">
        <f t="shared" ca="1" si="800"/>
        <v>75638</v>
      </c>
      <c r="AP994" s="22">
        <v>987</v>
      </c>
      <c r="AQ994" s="32">
        <f t="shared" ca="1" si="801"/>
        <v>2597.5733733843213</v>
      </c>
      <c r="AR994" s="23">
        <f t="array" aca="1" ref="AR994" ca="1">SUM(IF(lsc_start_date=AO994,lsc_amount,0))</f>
        <v>0</v>
      </c>
      <c r="AS994" s="24">
        <f t="shared" ca="1" si="775"/>
        <v>0</v>
      </c>
      <c r="AT994" s="24">
        <f t="shared" ca="1" si="776"/>
        <v>0</v>
      </c>
      <c r="AU994" s="24">
        <f t="shared" ca="1" si="777"/>
        <v>0</v>
      </c>
      <c r="AV994" s="25">
        <f t="shared" ca="1" si="778"/>
        <v>0</v>
      </c>
      <c r="AW994" s="23">
        <f t="array" aca="1" ref="AW994" ca="1">SUM(IF(rcs_start_date&lt;=AO994,1,0)*IF(rcs_end_date&gt;=AO994,1,0)*rcs_amount*(1+rcs_escalation/100)^(INT((AP994-rcs_months_since_start)/12))*IF(MOD((AP994-rcs_months_since_start),rcs_frequency)=0,1,0)*IF(rcs_frequency=13,0,1))+SUM(IF(rcs_start_date=AO994,rcs_amount,0)*IF(rcs_frequency=13,1,0))</f>
        <v>0</v>
      </c>
      <c r="AX994" s="24">
        <f t="shared" ca="1" si="779"/>
        <v>0</v>
      </c>
      <c r="AY994" s="24">
        <f t="shared" ca="1" si="780"/>
        <v>0</v>
      </c>
      <c r="AZ994" s="24">
        <f t="shared" ca="1" si="781"/>
        <v>0</v>
      </c>
      <c r="BA994" s="25">
        <f t="shared" ca="1" si="782"/>
        <v>0</v>
      </c>
      <c r="BB994" s="23">
        <f t="array" aca="1" ref="BB994" ca="1">SUM(IF(w_start_date&lt;=AO994,1,0)*IF(w_end_date&gt;=AO994,1,0)*w_amount*(1+w_escalation/100)^(INT((AP994-w_months_since_start)/12))*IF(MOD(AP994-w_months_since_start,w_frequency)=0,1,0)*IF(w_frequency=13,0,1))+SUM(IF(w_start_date=AO994,w_amount,0)*IF(w_frequency=13,1,0))</f>
        <v>0</v>
      </c>
      <c r="BC994" s="25">
        <f t="shared" ca="1" si="783"/>
        <v>0</v>
      </c>
      <c r="BD994" s="24" t="b">
        <f t="shared" ca="1" si="784"/>
        <v>1</v>
      </c>
      <c r="BE994" s="24" t="b">
        <f t="shared" ca="1" si="785"/>
        <v>1</v>
      </c>
      <c r="BF994" s="23">
        <f t="array" aca="1" ref="BF994" ca="1">SUM(IF(BD994,1,0)*IF(ap_start_date&lt;=AO994,1,0)*IF(ap_end_date&gt;=AO994,1,0)*ap_amount*(1+ap_escalation/100)^(INT((AP994-ap_months_since_start)/12))*IF(MOD(AP994-ap_months_since_start,ap_frequency)=0,1,0))</f>
        <v>566806.9079487588</v>
      </c>
      <c r="BG994" s="24">
        <f t="shared" ca="1" si="786"/>
        <v>6801682.8953851042</v>
      </c>
      <c r="BH994" s="24">
        <f t="shared" ca="1" si="787"/>
        <v>66.441272217394314</v>
      </c>
      <c r="BI994">
        <f t="shared" ca="1" si="788"/>
        <v>0</v>
      </c>
      <c r="BJ994" s="24">
        <f t="shared" ca="1" si="789"/>
        <v>465.08890552176018</v>
      </c>
      <c r="BK994">
        <f t="shared" ca="1" si="790"/>
        <v>1</v>
      </c>
      <c r="BL994" s="25">
        <f t="shared" ca="1" si="791"/>
        <v>38.757408793480025</v>
      </c>
      <c r="BM994" s="32">
        <f t="shared" ca="1" si="770"/>
        <v>2577.2581785541397</v>
      </c>
      <c r="BN994" s="23">
        <f t="shared" ca="1" si="792"/>
        <v>0</v>
      </c>
      <c r="BO994" s="24">
        <f t="shared" ca="1" si="793"/>
        <v>0</v>
      </c>
      <c r="BP994" s="25">
        <f t="shared" ca="1" si="794"/>
        <v>0</v>
      </c>
      <c r="BQ994" s="34">
        <f t="shared" ca="1" si="795"/>
        <v>75665</v>
      </c>
      <c r="BR994" s="23">
        <f t="shared" ca="1" si="796"/>
        <v>2577.2581785541397</v>
      </c>
      <c r="BS994" s="24">
        <f t="shared" ca="1" si="797"/>
        <v>0</v>
      </c>
      <c r="BT994" s="24">
        <f t="shared" ca="1" si="802"/>
        <v>0</v>
      </c>
      <c r="BU994" s="24">
        <f t="shared" ca="1" si="798"/>
        <v>0</v>
      </c>
      <c r="BV994" s="24">
        <f t="shared" ca="1" si="803"/>
        <v>0</v>
      </c>
      <c r="BW994" s="24">
        <f t="shared" ca="1" si="799"/>
        <v>-38.757408793480025</v>
      </c>
      <c r="BX994" s="25">
        <f t="shared" ca="1" si="804"/>
        <v>-497.0390642849394</v>
      </c>
      <c r="BY994" s="23">
        <f t="shared" ca="1" si="771"/>
        <v>102.36836552726267</v>
      </c>
      <c r="BZ994" s="24">
        <f t="shared" ca="1" si="772"/>
        <v>0</v>
      </c>
      <c r="CA994" s="24">
        <f t="shared" ca="1" si="805"/>
        <v>0</v>
      </c>
      <c r="CB994" s="24">
        <f t="shared" ca="1" si="773"/>
        <v>0</v>
      </c>
      <c r="CC994" s="24">
        <f t="shared" ca="1" si="806"/>
        <v>0</v>
      </c>
      <c r="CD994" s="24">
        <f t="shared" ca="1" si="774"/>
        <v>-1.5444790485722761</v>
      </c>
      <c r="CE994" s="25">
        <f t="shared" ca="1" si="807"/>
        <v>-20.175971029466357</v>
      </c>
      <c r="CF994" s="23">
        <f t="shared" ca="1" si="808"/>
        <v>6627280.7698624097</v>
      </c>
      <c r="CG994" s="25">
        <f t="array" aca="1" ref="CG994" ca="1">SUM(BF983:BF994/(1+inflation/100)^(AP983:AP994/12))</f>
        <v>267980.53702225385</v>
      </c>
      <c r="CH994" s="32">
        <f ca="1">IFERROR(IF(MOD(AP994-ap_months_since_start,12)=0,ap_drawdown/100*(AQ994+AV994+BA994-BC994),CH993),0)</f>
        <v>408.46531916060968</v>
      </c>
    </row>
    <row r="995" spans="40:86" x14ac:dyDescent="0.25">
      <c r="AN995" s="32">
        <f t="shared" ca="1" si="769"/>
        <v>137.16666666666666</v>
      </c>
      <c r="AO995" s="53">
        <f t="shared" ca="1" si="800"/>
        <v>75666</v>
      </c>
      <c r="AP995" s="22">
        <v>988</v>
      </c>
      <c r="AQ995" s="32">
        <f t="shared" ca="1" si="801"/>
        <v>2577.2581785541397</v>
      </c>
      <c r="AR995" s="23">
        <f t="array" aca="1" ref="AR995" ca="1">SUM(IF(lsc_start_date=AO995,lsc_amount,0))</f>
        <v>0</v>
      </c>
      <c r="AS995" s="24">
        <f t="shared" ca="1" si="775"/>
        <v>0</v>
      </c>
      <c r="AT995" s="24">
        <f t="shared" ca="1" si="776"/>
        <v>0</v>
      </c>
      <c r="AU995" s="24">
        <f t="shared" ca="1" si="777"/>
        <v>0</v>
      </c>
      <c r="AV995" s="25">
        <f t="shared" ca="1" si="778"/>
        <v>0</v>
      </c>
      <c r="AW995" s="23">
        <f t="array" aca="1" ref="AW995" ca="1">SUM(IF(rcs_start_date&lt;=AO995,1,0)*IF(rcs_end_date&gt;=AO995,1,0)*rcs_amount*(1+rcs_escalation/100)^(INT((AP995-rcs_months_since_start)/12))*IF(MOD((AP995-rcs_months_since_start),rcs_frequency)=0,1,0)*IF(rcs_frequency=13,0,1))+SUM(IF(rcs_start_date=AO995,rcs_amount,0)*IF(rcs_frequency=13,1,0))</f>
        <v>0</v>
      </c>
      <c r="AX995" s="24">
        <f t="shared" ca="1" si="779"/>
        <v>0</v>
      </c>
      <c r="AY995" s="24">
        <f t="shared" ca="1" si="780"/>
        <v>0</v>
      </c>
      <c r="AZ995" s="24">
        <f t="shared" ca="1" si="781"/>
        <v>0</v>
      </c>
      <c r="BA995" s="25">
        <f t="shared" ca="1" si="782"/>
        <v>0</v>
      </c>
      <c r="BB995" s="23">
        <f t="array" aca="1" ref="BB995" ca="1">SUM(IF(w_start_date&lt;=AO995,1,0)*IF(w_end_date&gt;=AO995,1,0)*w_amount*(1+w_escalation/100)^(INT((AP995-w_months_since_start)/12))*IF(MOD(AP995-w_months_since_start,w_frequency)=0,1,0)*IF(w_frequency=13,0,1))+SUM(IF(w_start_date=AO995,w_amount,0)*IF(w_frequency=13,1,0))</f>
        <v>0</v>
      </c>
      <c r="BC995" s="25">
        <f t="shared" ca="1" si="783"/>
        <v>0</v>
      </c>
      <c r="BD995" s="24" t="b">
        <f t="shared" ca="1" si="784"/>
        <v>1</v>
      </c>
      <c r="BE995" s="24" t="b">
        <f t="shared" ca="1" si="785"/>
        <v>1</v>
      </c>
      <c r="BF995" s="23">
        <f t="array" aca="1" ref="BF995" ca="1">SUM(IF(BD995,1,0)*IF(ap_start_date&lt;=AO995,1,0)*IF(ap_end_date&gt;=AO995,1,0)*ap_amount*(1+ap_escalation/100)^(INT((AP995-ap_months_since_start)/12))*IF(MOD(AP995-ap_months_since_start,ap_frequency)=0,1,0))</f>
        <v>566806.9079487588</v>
      </c>
      <c r="BG995" s="24">
        <f t="shared" ca="1" si="786"/>
        <v>6801682.8953851042</v>
      </c>
      <c r="BH995" s="24">
        <f t="shared" ca="1" si="787"/>
        <v>66.441272217394314</v>
      </c>
      <c r="BI995">
        <f t="shared" ca="1" si="788"/>
        <v>0</v>
      </c>
      <c r="BJ995" s="24">
        <f t="shared" ca="1" si="789"/>
        <v>465.08890552176018</v>
      </c>
      <c r="BK995">
        <f t="shared" ca="1" si="790"/>
        <v>1</v>
      </c>
      <c r="BL995" s="25">
        <f t="shared" ca="1" si="791"/>
        <v>38.757408793480025</v>
      </c>
      <c r="BM995" s="32">
        <f t="shared" ca="1" si="770"/>
        <v>2556.7965655465869</v>
      </c>
      <c r="BN995" s="23">
        <f t="shared" ca="1" si="792"/>
        <v>0</v>
      </c>
      <c r="BO995" s="24">
        <f t="shared" ca="1" si="793"/>
        <v>0</v>
      </c>
      <c r="BP995" s="25">
        <f t="shared" ca="1" si="794"/>
        <v>0</v>
      </c>
      <c r="BQ995" s="34">
        <f t="shared" ca="1" si="795"/>
        <v>75696</v>
      </c>
      <c r="BR995" s="23">
        <f t="shared" ca="1" si="796"/>
        <v>2556.7965655465869</v>
      </c>
      <c r="BS995" s="24">
        <f t="shared" ca="1" si="797"/>
        <v>0</v>
      </c>
      <c r="BT995" s="24">
        <f t="shared" ca="1" si="802"/>
        <v>0</v>
      </c>
      <c r="BU995" s="24">
        <f t="shared" ca="1" si="798"/>
        <v>0</v>
      </c>
      <c r="BV995" s="24">
        <f t="shared" ca="1" si="803"/>
        <v>0</v>
      </c>
      <c r="BW995" s="24">
        <f t="shared" ca="1" si="799"/>
        <v>-38.757408793480025</v>
      </c>
      <c r="BX995" s="25">
        <f t="shared" ca="1" si="804"/>
        <v>-493.04529443954198</v>
      </c>
      <c r="BY995" s="23">
        <f t="shared" ca="1" si="771"/>
        <v>101.2242510157368</v>
      </c>
      <c r="BZ995" s="24">
        <f t="shared" ca="1" si="772"/>
        <v>0</v>
      </c>
      <c r="CA995" s="24">
        <f t="shared" ca="1" si="805"/>
        <v>0</v>
      </c>
      <c r="CB995" s="24">
        <f t="shared" ca="1" si="773"/>
        <v>0</v>
      </c>
      <c r="CC995" s="24">
        <f t="shared" ca="1" si="806"/>
        <v>0</v>
      </c>
      <c r="CD995" s="24">
        <f t="shared" ca="1" si="774"/>
        <v>-1.5394393248123561</v>
      </c>
      <c r="CE995" s="25">
        <f t="shared" ca="1" si="807"/>
        <v>-19.949416147425783</v>
      </c>
      <c r="CF995" s="23">
        <f t="shared" ca="1" si="808"/>
        <v>6649081.0355527466</v>
      </c>
      <c r="CG995" s="25">
        <f t="array" aca="1" ref="CG995" ca="1">SUM(BF984:BF995/(1+inflation/100)^(AP984:AP995/12))</f>
        <v>267980.53702225391</v>
      </c>
      <c r="CH995" s="32">
        <f ca="1">IFERROR(IF(MOD(AP995-ap_months_since_start,12)=0,ap_drawdown/100*(AQ995+AV995+BA995-BC995),CH994),0)</f>
        <v>408.46531916060968</v>
      </c>
    </row>
    <row r="996" spans="40:86" x14ac:dyDescent="0.25">
      <c r="AN996" s="32">
        <f t="shared" ca="1" si="769"/>
        <v>137.25</v>
      </c>
      <c r="AO996" s="53">
        <f t="shared" ca="1" si="800"/>
        <v>75697</v>
      </c>
      <c r="AP996" s="22">
        <v>989</v>
      </c>
      <c r="AQ996" s="32">
        <f t="shared" ca="1" si="801"/>
        <v>2556.7965655465869</v>
      </c>
      <c r="AR996" s="23">
        <f t="array" aca="1" ref="AR996" ca="1">SUM(IF(lsc_start_date=AO996,lsc_amount,0))</f>
        <v>0</v>
      </c>
      <c r="AS996" s="24">
        <f t="shared" ca="1" si="775"/>
        <v>0</v>
      </c>
      <c r="AT996" s="24">
        <f t="shared" ca="1" si="776"/>
        <v>0</v>
      </c>
      <c r="AU996" s="24">
        <f t="shared" ca="1" si="777"/>
        <v>0</v>
      </c>
      <c r="AV996" s="25">
        <f t="shared" ca="1" si="778"/>
        <v>0</v>
      </c>
      <c r="AW996" s="23">
        <f t="array" aca="1" ref="AW996" ca="1">SUM(IF(rcs_start_date&lt;=AO996,1,0)*IF(rcs_end_date&gt;=AO996,1,0)*rcs_amount*(1+rcs_escalation/100)^(INT((AP996-rcs_months_since_start)/12))*IF(MOD((AP996-rcs_months_since_start),rcs_frequency)=0,1,0)*IF(rcs_frequency=13,0,1))+SUM(IF(rcs_start_date=AO996,rcs_amount,0)*IF(rcs_frequency=13,1,0))</f>
        <v>0</v>
      </c>
      <c r="AX996" s="24">
        <f t="shared" ca="1" si="779"/>
        <v>0</v>
      </c>
      <c r="AY996" s="24">
        <f t="shared" ca="1" si="780"/>
        <v>0</v>
      </c>
      <c r="AZ996" s="24">
        <f t="shared" ca="1" si="781"/>
        <v>0</v>
      </c>
      <c r="BA996" s="25">
        <f t="shared" ca="1" si="782"/>
        <v>0</v>
      </c>
      <c r="BB996" s="23">
        <f t="array" aca="1" ref="BB996" ca="1">SUM(IF(w_start_date&lt;=AO996,1,0)*IF(w_end_date&gt;=AO996,1,0)*w_amount*(1+w_escalation/100)^(INT((AP996-w_months_since_start)/12))*IF(MOD(AP996-w_months_since_start,w_frequency)=0,1,0)*IF(w_frequency=13,0,1))+SUM(IF(w_start_date=AO996,w_amount,0)*IF(w_frequency=13,1,0))</f>
        <v>0</v>
      </c>
      <c r="BC996" s="25">
        <f t="shared" ca="1" si="783"/>
        <v>0</v>
      </c>
      <c r="BD996" s="24" t="b">
        <f t="shared" ca="1" si="784"/>
        <v>1</v>
      </c>
      <c r="BE996" s="24" t="b">
        <f t="shared" ca="1" si="785"/>
        <v>1</v>
      </c>
      <c r="BF996" s="23">
        <f t="array" aca="1" ref="BF996" ca="1">SUM(IF(BD996,1,0)*IF(ap_start_date&lt;=AO996,1,0)*IF(ap_end_date&gt;=AO996,1,0)*ap_amount*(1+ap_escalation/100)^(INT((AP996-ap_months_since_start)/12))*IF(MOD(AP996-ap_months_since_start,ap_frequency)=0,1,0))</f>
        <v>566806.9079487588</v>
      </c>
      <c r="BG996" s="24">
        <f t="shared" ca="1" si="786"/>
        <v>6801682.8953851042</v>
      </c>
      <c r="BH996" s="24">
        <f t="shared" ca="1" si="787"/>
        <v>66.441272217394314</v>
      </c>
      <c r="BI996">
        <f t="shared" ca="1" si="788"/>
        <v>0</v>
      </c>
      <c r="BJ996" s="24">
        <f t="shared" ca="1" si="789"/>
        <v>465.08890552176018</v>
      </c>
      <c r="BK996">
        <f t="shared" ca="1" si="790"/>
        <v>1</v>
      </c>
      <c r="BL996" s="25">
        <f t="shared" ca="1" si="791"/>
        <v>38.757408793480025</v>
      </c>
      <c r="BM996" s="32">
        <f t="shared" ca="1" si="770"/>
        <v>2536.1874790785187</v>
      </c>
      <c r="BN996" s="23">
        <f t="shared" ca="1" si="792"/>
        <v>0</v>
      </c>
      <c r="BO996" s="24">
        <f t="shared" ca="1" si="793"/>
        <v>0</v>
      </c>
      <c r="BP996" s="25">
        <f t="shared" ca="1" si="794"/>
        <v>0</v>
      </c>
      <c r="BQ996" s="34">
        <f t="shared" ca="1" si="795"/>
        <v>75726</v>
      </c>
      <c r="BR996" s="23">
        <f t="shared" ca="1" si="796"/>
        <v>2536.1874790785187</v>
      </c>
      <c r="BS996" s="24">
        <f t="shared" ca="1" si="797"/>
        <v>0</v>
      </c>
      <c r="BT996" s="24">
        <f t="shared" ca="1" si="802"/>
        <v>0</v>
      </c>
      <c r="BU996" s="24">
        <f t="shared" ca="1" si="798"/>
        <v>0</v>
      </c>
      <c r="BV996" s="24">
        <f t="shared" ca="1" si="803"/>
        <v>0</v>
      </c>
      <c r="BW996" s="24">
        <f t="shared" ca="1" si="799"/>
        <v>-38.757408793480025</v>
      </c>
      <c r="BX996" s="25">
        <f t="shared" ca="1" si="804"/>
        <v>-489.05152459414455</v>
      </c>
      <c r="BY996" s="23">
        <f t="shared" ca="1" si="771"/>
        <v>100.08069369336199</v>
      </c>
      <c r="BZ996" s="24">
        <f t="shared" ca="1" si="772"/>
        <v>0</v>
      </c>
      <c r="CA996" s="24">
        <f t="shared" ca="1" si="805"/>
        <v>0</v>
      </c>
      <c r="CB996" s="24">
        <f t="shared" ca="1" si="773"/>
        <v>0</v>
      </c>
      <c r="CC996" s="24">
        <f t="shared" ca="1" si="806"/>
        <v>0</v>
      </c>
      <c r="CD996" s="24">
        <f t="shared" ca="1" si="774"/>
        <v>-1.5344160459602523</v>
      </c>
      <c r="CE996" s="25">
        <f t="shared" ca="1" si="807"/>
        <v>-19.723600526965349</v>
      </c>
      <c r="CF996" s="23">
        <f t="shared" ca="1" si="808"/>
        <v>6670881.3012430836</v>
      </c>
      <c r="CG996" s="25">
        <f t="array" aca="1" ref="CG996" ca="1">SUM(BF985:BF996/(1+inflation/100)^(AP985:AP996/12))</f>
        <v>267980.53702225391</v>
      </c>
      <c r="CH996" s="32">
        <f ca="1">IFERROR(IF(MOD(AP996-ap_months_since_start,12)=0,ap_drawdown/100*(AQ996+AV996+BA996-BC996),CH995),0)</f>
        <v>408.46531916060968</v>
      </c>
    </row>
    <row r="997" spans="40:86" x14ac:dyDescent="0.25">
      <c r="AN997" s="32">
        <f t="shared" ca="1" si="769"/>
        <v>137.33333333333334</v>
      </c>
      <c r="AO997" s="53">
        <f t="shared" ca="1" si="800"/>
        <v>75727</v>
      </c>
      <c r="AP997" s="22">
        <v>990</v>
      </c>
      <c r="AQ997" s="32">
        <f t="shared" ca="1" si="801"/>
        <v>2536.1874790785187</v>
      </c>
      <c r="AR997" s="23">
        <f t="array" aca="1" ref="AR997" ca="1">SUM(IF(lsc_start_date=AO997,lsc_amount,0))</f>
        <v>0</v>
      </c>
      <c r="AS997" s="24">
        <f t="shared" ca="1" si="775"/>
        <v>0</v>
      </c>
      <c r="AT997" s="24">
        <f t="shared" ca="1" si="776"/>
        <v>0</v>
      </c>
      <c r="AU997" s="24">
        <f t="shared" ca="1" si="777"/>
        <v>0</v>
      </c>
      <c r="AV997" s="25">
        <f t="shared" ca="1" si="778"/>
        <v>0</v>
      </c>
      <c r="AW997" s="23">
        <f t="array" aca="1" ref="AW997" ca="1">SUM(IF(rcs_start_date&lt;=AO997,1,0)*IF(rcs_end_date&gt;=AO997,1,0)*rcs_amount*(1+rcs_escalation/100)^(INT((AP997-rcs_months_since_start)/12))*IF(MOD((AP997-rcs_months_since_start),rcs_frequency)=0,1,0)*IF(rcs_frequency=13,0,1))+SUM(IF(rcs_start_date=AO997,rcs_amount,0)*IF(rcs_frequency=13,1,0))</f>
        <v>0</v>
      </c>
      <c r="AX997" s="24">
        <f t="shared" ca="1" si="779"/>
        <v>0</v>
      </c>
      <c r="AY997" s="24">
        <f t="shared" ca="1" si="780"/>
        <v>0</v>
      </c>
      <c r="AZ997" s="24">
        <f t="shared" ca="1" si="781"/>
        <v>0</v>
      </c>
      <c r="BA997" s="25">
        <f t="shared" ca="1" si="782"/>
        <v>0</v>
      </c>
      <c r="BB997" s="23">
        <f t="array" aca="1" ref="BB997" ca="1">SUM(IF(w_start_date&lt;=AO997,1,0)*IF(w_end_date&gt;=AO997,1,0)*w_amount*(1+w_escalation/100)^(INT((AP997-w_months_since_start)/12))*IF(MOD(AP997-w_months_since_start,w_frequency)=0,1,0)*IF(w_frequency=13,0,1))+SUM(IF(w_start_date=AO997,w_amount,0)*IF(w_frequency=13,1,0))</f>
        <v>0</v>
      </c>
      <c r="BC997" s="25">
        <f t="shared" ca="1" si="783"/>
        <v>0</v>
      </c>
      <c r="BD997" s="24" t="b">
        <f t="shared" ca="1" si="784"/>
        <v>1</v>
      </c>
      <c r="BE997" s="24" t="b">
        <f t="shared" ca="1" si="785"/>
        <v>1</v>
      </c>
      <c r="BF997" s="23">
        <f t="array" aca="1" ref="BF997" ca="1">SUM(IF(BD997,1,0)*IF(ap_start_date&lt;=AO997,1,0)*IF(ap_end_date&gt;=AO997,1,0)*ap_amount*(1+ap_escalation/100)^(INT((AP997-ap_months_since_start)/12))*IF(MOD(AP997-ap_months_since_start,ap_frequency)=0,1,0))</f>
        <v>566806.9079487588</v>
      </c>
      <c r="BG997" s="24">
        <f t="shared" ca="1" si="786"/>
        <v>6801682.8953851042</v>
      </c>
      <c r="BH997" s="24">
        <f t="shared" ca="1" si="787"/>
        <v>66.441272217394314</v>
      </c>
      <c r="BI997">
        <f t="shared" ca="1" si="788"/>
        <v>0</v>
      </c>
      <c r="BJ997" s="24">
        <f t="shared" ca="1" si="789"/>
        <v>465.08890552176018</v>
      </c>
      <c r="BK997">
        <f t="shared" ca="1" si="790"/>
        <v>1</v>
      </c>
      <c r="BL997" s="25">
        <f t="shared" ca="1" si="791"/>
        <v>38.757408793480025</v>
      </c>
      <c r="BM997" s="32">
        <f t="shared" ca="1" si="770"/>
        <v>2515.4298562610252</v>
      </c>
      <c r="BN997" s="23">
        <f t="shared" ca="1" si="792"/>
        <v>0</v>
      </c>
      <c r="BO997" s="24">
        <f t="shared" ca="1" si="793"/>
        <v>0</v>
      </c>
      <c r="BP997" s="25">
        <f t="shared" ca="1" si="794"/>
        <v>0</v>
      </c>
      <c r="BQ997" s="34">
        <f t="shared" ca="1" si="795"/>
        <v>75757</v>
      </c>
      <c r="BR997" s="23">
        <f t="shared" ca="1" si="796"/>
        <v>2515.4298562610252</v>
      </c>
      <c r="BS997" s="24">
        <f t="shared" ca="1" si="797"/>
        <v>0</v>
      </c>
      <c r="BT997" s="24">
        <f t="shared" ca="1" si="802"/>
        <v>0</v>
      </c>
      <c r="BU997" s="24">
        <f t="shared" ca="1" si="798"/>
        <v>0</v>
      </c>
      <c r="BV997" s="24">
        <f t="shared" ca="1" si="803"/>
        <v>0</v>
      </c>
      <c r="BW997" s="24">
        <f t="shared" ca="1" si="799"/>
        <v>-38.757408793480025</v>
      </c>
      <c r="BX997" s="25">
        <f t="shared" ca="1" si="804"/>
        <v>-485.05775474874713</v>
      </c>
      <c r="BY997" s="23">
        <f t="shared" ca="1" si="771"/>
        <v>98.937679289223539</v>
      </c>
      <c r="BZ997" s="24">
        <f t="shared" ca="1" si="772"/>
        <v>0</v>
      </c>
      <c r="CA997" s="24">
        <f t="shared" ca="1" si="805"/>
        <v>0</v>
      </c>
      <c r="CB997" s="24">
        <f t="shared" ca="1" si="773"/>
        <v>0</v>
      </c>
      <c r="CC997" s="24">
        <f t="shared" ca="1" si="806"/>
        <v>0</v>
      </c>
      <c r="CD997" s="24">
        <f t="shared" ca="1" si="774"/>
        <v>-1.5294091583552849</v>
      </c>
      <c r="CE997" s="25">
        <f t="shared" ca="1" si="807"/>
        <v>-19.498521755832108</v>
      </c>
      <c r="CF997" s="23">
        <f t="shared" ca="1" si="808"/>
        <v>6692681.5669334205</v>
      </c>
      <c r="CG997" s="25">
        <f t="array" aca="1" ref="CG997" ca="1">SUM(BF986:BF997/(1+inflation/100)^(AP986:AP997/12))</f>
        <v>267980.53702225385</v>
      </c>
      <c r="CH997" s="32">
        <f ca="1">IFERROR(IF(MOD(AP997-ap_months_since_start,12)=0,ap_drawdown/100*(AQ997+AV997+BA997-BC997),CH996),0)</f>
        <v>408.46531916060968</v>
      </c>
    </row>
    <row r="998" spans="40:86" x14ac:dyDescent="0.25">
      <c r="AN998" s="32">
        <f t="shared" ca="1" si="769"/>
        <v>137.41666666666666</v>
      </c>
      <c r="AO998" s="53">
        <f t="shared" ca="1" si="800"/>
        <v>75758</v>
      </c>
      <c r="AP998" s="22">
        <v>991</v>
      </c>
      <c r="AQ998" s="32">
        <f t="shared" ca="1" si="801"/>
        <v>2515.4298562610252</v>
      </c>
      <c r="AR998" s="23">
        <f t="array" aca="1" ref="AR998" ca="1">SUM(IF(lsc_start_date=AO998,lsc_amount,0))</f>
        <v>0</v>
      </c>
      <c r="AS998" s="24">
        <f t="shared" ca="1" si="775"/>
        <v>0</v>
      </c>
      <c r="AT998" s="24">
        <f t="shared" ca="1" si="776"/>
        <v>0</v>
      </c>
      <c r="AU998" s="24">
        <f t="shared" ca="1" si="777"/>
        <v>0</v>
      </c>
      <c r="AV998" s="25">
        <f t="shared" ca="1" si="778"/>
        <v>0</v>
      </c>
      <c r="AW998" s="23">
        <f t="array" aca="1" ref="AW998" ca="1">SUM(IF(rcs_start_date&lt;=AO998,1,0)*IF(rcs_end_date&gt;=AO998,1,0)*rcs_amount*(1+rcs_escalation/100)^(INT((AP998-rcs_months_since_start)/12))*IF(MOD((AP998-rcs_months_since_start),rcs_frequency)=0,1,0)*IF(rcs_frequency=13,0,1))+SUM(IF(rcs_start_date=AO998,rcs_amount,0)*IF(rcs_frequency=13,1,0))</f>
        <v>0</v>
      </c>
      <c r="AX998" s="24">
        <f t="shared" ca="1" si="779"/>
        <v>0</v>
      </c>
      <c r="AY998" s="24">
        <f t="shared" ca="1" si="780"/>
        <v>0</v>
      </c>
      <c r="AZ998" s="24">
        <f t="shared" ca="1" si="781"/>
        <v>0</v>
      </c>
      <c r="BA998" s="25">
        <f t="shared" ca="1" si="782"/>
        <v>0</v>
      </c>
      <c r="BB998" s="23">
        <f t="array" aca="1" ref="BB998" ca="1">SUM(IF(w_start_date&lt;=AO998,1,0)*IF(w_end_date&gt;=AO998,1,0)*w_amount*(1+w_escalation/100)^(INT((AP998-w_months_since_start)/12))*IF(MOD(AP998-w_months_since_start,w_frequency)=0,1,0)*IF(w_frequency=13,0,1))+SUM(IF(w_start_date=AO998,w_amount,0)*IF(w_frequency=13,1,0))</f>
        <v>0</v>
      </c>
      <c r="BC998" s="25">
        <f t="shared" ca="1" si="783"/>
        <v>0</v>
      </c>
      <c r="BD998" s="24" t="b">
        <f t="shared" ca="1" si="784"/>
        <v>1</v>
      </c>
      <c r="BE998" s="24" t="b">
        <f t="shared" ca="1" si="785"/>
        <v>1</v>
      </c>
      <c r="BF998" s="23">
        <f t="array" aca="1" ref="BF998" ca="1">SUM(IF(BD998,1,0)*IF(ap_start_date&lt;=AO998,1,0)*IF(ap_end_date&gt;=AO998,1,0)*ap_amount*(1+ap_escalation/100)^(INT((AP998-ap_months_since_start)/12))*IF(MOD(AP998-ap_months_since_start,ap_frequency)=0,1,0))</f>
        <v>566806.9079487588</v>
      </c>
      <c r="BG998" s="24">
        <f t="shared" ca="1" si="786"/>
        <v>6801682.8953851042</v>
      </c>
      <c r="BH998" s="24">
        <f t="shared" ca="1" si="787"/>
        <v>66.441272217394314</v>
      </c>
      <c r="BI998">
        <f t="shared" ca="1" si="788"/>
        <v>0</v>
      </c>
      <c r="BJ998" s="24">
        <f t="shared" ca="1" si="789"/>
        <v>465.08890552176018</v>
      </c>
      <c r="BK998">
        <f t="shared" ca="1" si="790"/>
        <v>1</v>
      </c>
      <c r="BL998" s="25">
        <f t="shared" ca="1" si="791"/>
        <v>38.757408793480025</v>
      </c>
      <c r="BM998" s="32">
        <f t="shared" ca="1" si="770"/>
        <v>2494.5226265446113</v>
      </c>
      <c r="BN998" s="23">
        <f t="shared" ca="1" si="792"/>
        <v>0</v>
      </c>
      <c r="BO998" s="24">
        <f t="shared" ca="1" si="793"/>
        <v>0</v>
      </c>
      <c r="BP998" s="25">
        <f t="shared" ca="1" si="794"/>
        <v>0</v>
      </c>
      <c r="BQ998" s="34">
        <f t="shared" ca="1" si="795"/>
        <v>75787</v>
      </c>
      <c r="BR998" s="23">
        <f t="shared" ca="1" si="796"/>
        <v>2494.5226265446113</v>
      </c>
      <c r="BS998" s="24">
        <f t="shared" ca="1" si="797"/>
        <v>0</v>
      </c>
      <c r="BT998" s="24">
        <f t="shared" ca="1" si="802"/>
        <v>0</v>
      </c>
      <c r="BU998" s="24">
        <f t="shared" ca="1" si="798"/>
        <v>0</v>
      </c>
      <c r="BV998" s="24">
        <f t="shared" ca="1" si="803"/>
        <v>0</v>
      </c>
      <c r="BW998" s="24">
        <f t="shared" ca="1" si="799"/>
        <v>-38.757408793480025</v>
      </c>
      <c r="BX998" s="25">
        <f t="shared" ca="1" si="804"/>
        <v>-481.06398490334976</v>
      </c>
      <c r="BY998" s="23">
        <f t="shared" ca="1" si="771"/>
        <v>97.795193530149191</v>
      </c>
      <c r="BZ998" s="24">
        <f t="shared" ca="1" si="772"/>
        <v>0</v>
      </c>
      <c r="CA998" s="24">
        <f t="shared" ca="1" si="805"/>
        <v>0</v>
      </c>
      <c r="CB998" s="24">
        <f t="shared" ca="1" si="773"/>
        <v>0</v>
      </c>
      <c r="CC998" s="24">
        <f t="shared" ca="1" si="806"/>
        <v>0</v>
      </c>
      <c r="CD998" s="24">
        <f t="shared" ca="1" si="774"/>
        <v>-1.5244186085118756</v>
      </c>
      <c r="CE998" s="25">
        <f t="shared" ca="1" si="807"/>
        <v>-19.274177429644414</v>
      </c>
      <c r="CF998" s="23">
        <f t="shared" ca="1" si="808"/>
        <v>6714481.8326237574</v>
      </c>
      <c r="CG998" s="25">
        <f t="array" aca="1" ref="CG998" ca="1">SUM(BF987:BF998/(1+inflation/100)^(AP987:AP998/12))</f>
        <v>267980.53702225391</v>
      </c>
      <c r="CH998" s="32">
        <f ca="1">IFERROR(IF(MOD(AP998-ap_months_since_start,12)=0,ap_drawdown/100*(AQ998+AV998+BA998-BC998),CH997),0)</f>
        <v>408.46531916060968</v>
      </c>
    </row>
    <row r="999" spans="40:86" x14ac:dyDescent="0.25">
      <c r="AN999" s="32">
        <f t="shared" ca="1" si="769"/>
        <v>137.5</v>
      </c>
      <c r="AO999" s="53">
        <f t="shared" ca="1" si="800"/>
        <v>75788</v>
      </c>
      <c r="AP999" s="22">
        <v>992</v>
      </c>
      <c r="AQ999" s="32">
        <f t="shared" ca="1" si="801"/>
        <v>2494.5226265446113</v>
      </c>
      <c r="AR999" s="23">
        <f t="array" aca="1" ref="AR999" ca="1">SUM(IF(lsc_start_date=AO999,lsc_amount,0))</f>
        <v>0</v>
      </c>
      <c r="AS999" s="24">
        <f t="shared" ca="1" si="775"/>
        <v>0</v>
      </c>
      <c r="AT999" s="24">
        <f t="shared" ca="1" si="776"/>
        <v>0</v>
      </c>
      <c r="AU999" s="24">
        <f t="shared" ca="1" si="777"/>
        <v>0</v>
      </c>
      <c r="AV999" s="25">
        <f t="shared" ca="1" si="778"/>
        <v>0</v>
      </c>
      <c r="AW999" s="23">
        <f t="array" aca="1" ref="AW999" ca="1">SUM(IF(rcs_start_date&lt;=AO999,1,0)*IF(rcs_end_date&gt;=AO999,1,0)*rcs_amount*(1+rcs_escalation/100)^(INT((AP999-rcs_months_since_start)/12))*IF(MOD((AP999-rcs_months_since_start),rcs_frequency)=0,1,0)*IF(rcs_frequency=13,0,1))+SUM(IF(rcs_start_date=AO999,rcs_amount,0)*IF(rcs_frequency=13,1,0))</f>
        <v>0</v>
      </c>
      <c r="AX999" s="24">
        <f t="shared" ca="1" si="779"/>
        <v>0</v>
      </c>
      <c r="AY999" s="24">
        <f t="shared" ca="1" si="780"/>
        <v>0</v>
      </c>
      <c r="AZ999" s="24">
        <f t="shared" ca="1" si="781"/>
        <v>0</v>
      </c>
      <c r="BA999" s="25">
        <f t="shared" ca="1" si="782"/>
        <v>0</v>
      </c>
      <c r="BB999" s="23">
        <f t="array" aca="1" ref="BB999" ca="1">SUM(IF(w_start_date&lt;=AO999,1,0)*IF(w_end_date&gt;=AO999,1,0)*w_amount*(1+w_escalation/100)^(INT((AP999-w_months_since_start)/12))*IF(MOD(AP999-w_months_since_start,w_frequency)=0,1,0)*IF(w_frequency=13,0,1))+SUM(IF(w_start_date=AO999,w_amount,0)*IF(w_frequency=13,1,0))</f>
        <v>0</v>
      </c>
      <c r="BC999" s="25">
        <f t="shared" ca="1" si="783"/>
        <v>0</v>
      </c>
      <c r="BD999" s="24" t="b">
        <f t="shared" ca="1" si="784"/>
        <v>1</v>
      </c>
      <c r="BE999" s="24" t="b">
        <f t="shared" ca="1" si="785"/>
        <v>1</v>
      </c>
      <c r="BF999" s="23">
        <f t="array" aca="1" ref="BF999" ca="1">SUM(IF(BD999,1,0)*IF(ap_start_date&lt;=AO999,1,0)*IF(ap_end_date&gt;=AO999,1,0)*ap_amount*(1+ap_escalation/100)^(INT((AP999-ap_months_since_start)/12))*IF(MOD(AP999-ap_months_since_start,ap_frequency)=0,1,0))</f>
        <v>566806.9079487588</v>
      </c>
      <c r="BG999" s="24">
        <f t="shared" ca="1" si="786"/>
        <v>6801682.8953851042</v>
      </c>
      <c r="BH999" s="24">
        <f t="shared" ca="1" si="787"/>
        <v>66.441272217394314</v>
      </c>
      <c r="BI999">
        <f t="shared" ca="1" si="788"/>
        <v>0</v>
      </c>
      <c r="BJ999" s="24">
        <f t="shared" ca="1" si="789"/>
        <v>465.08890552176018</v>
      </c>
      <c r="BK999">
        <f t="shared" ca="1" si="790"/>
        <v>1</v>
      </c>
      <c r="BL999" s="25">
        <f t="shared" ca="1" si="791"/>
        <v>38.757408793480025</v>
      </c>
      <c r="BM999" s="32">
        <f t="shared" ca="1" si="770"/>
        <v>2473.4647116639867</v>
      </c>
      <c r="BN999" s="23">
        <f t="shared" ca="1" si="792"/>
        <v>0</v>
      </c>
      <c r="BO999" s="24">
        <f t="shared" ca="1" si="793"/>
        <v>0</v>
      </c>
      <c r="BP999" s="25">
        <f t="shared" ca="1" si="794"/>
        <v>0</v>
      </c>
      <c r="BQ999" s="34">
        <f t="shared" ca="1" si="795"/>
        <v>75818</v>
      </c>
      <c r="BR999" s="23">
        <f t="shared" ca="1" si="796"/>
        <v>2473.4647116639867</v>
      </c>
      <c r="BS999" s="24">
        <f t="shared" ca="1" si="797"/>
        <v>0</v>
      </c>
      <c r="BT999" s="24">
        <f t="shared" ca="1" si="802"/>
        <v>0</v>
      </c>
      <c r="BU999" s="24">
        <f t="shared" ca="1" si="798"/>
        <v>0</v>
      </c>
      <c r="BV999" s="24">
        <f t="shared" ca="1" si="803"/>
        <v>0</v>
      </c>
      <c r="BW999" s="24">
        <f t="shared" ca="1" si="799"/>
        <v>-38.757408793480025</v>
      </c>
      <c r="BX999" s="25">
        <f t="shared" ca="1" si="804"/>
        <v>-477.07021505795234</v>
      </c>
      <c r="BY999" s="23">
        <f t="shared" ca="1" si="771"/>
        <v>96.653222140525273</v>
      </c>
      <c r="BZ999" s="24">
        <f t="shared" ca="1" si="772"/>
        <v>0</v>
      </c>
      <c r="CA999" s="24">
        <f t="shared" ca="1" si="805"/>
        <v>0</v>
      </c>
      <c r="CB999" s="24">
        <f t="shared" ca="1" si="773"/>
        <v>0</v>
      </c>
      <c r="CC999" s="24">
        <f t="shared" ca="1" si="806"/>
        <v>0</v>
      </c>
      <c r="CD999" s="24">
        <f t="shared" ca="1" si="774"/>
        <v>-1.5194443431189704</v>
      </c>
      <c r="CE999" s="25">
        <f t="shared" ca="1" si="807"/>
        <v>-19.050565151866273</v>
      </c>
      <c r="CF999" s="23">
        <f t="shared" ca="1" si="808"/>
        <v>6736282.0983140944</v>
      </c>
      <c r="CG999" s="25">
        <f t="array" aca="1" ref="CG999" ca="1">SUM(BF988:BF999/(1+inflation/100)^(AP988:AP999/12))</f>
        <v>267980.53702225391</v>
      </c>
      <c r="CH999" s="32">
        <f ca="1">IFERROR(IF(MOD(AP999-ap_months_since_start,12)=0,ap_drawdown/100*(AQ999+AV999+BA999-BC999),CH998),0)</f>
        <v>408.46531916060968</v>
      </c>
    </row>
    <row r="1000" spans="40:86" x14ac:dyDescent="0.25">
      <c r="AN1000" s="32">
        <f t="shared" ca="1" si="769"/>
        <v>137.58333333333334</v>
      </c>
      <c r="AO1000" s="53">
        <f t="shared" ca="1" si="800"/>
        <v>75819</v>
      </c>
      <c r="AP1000" s="22">
        <v>993</v>
      </c>
      <c r="AQ1000" s="32">
        <f t="shared" ca="1" si="801"/>
        <v>2473.4647116639867</v>
      </c>
      <c r="AR1000" s="23">
        <f t="array" aca="1" ref="AR1000" ca="1">SUM(IF(lsc_start_date=AO1000,lsc_amount,0))</f>
        <v>0</v>
      </c>
      <c r="AS1000" s="24">
        <f t="shared" ca="1" si="775"/>
        <v>0</v>
      </c>
      <c r="AT1000" s="24">
        <f t="shared" ca="1" si="776"/>
        <v>0</v>
      </c>
      <c r="AU1000" s="24">
        <f t="shared" ca="1" si="777"/>
        <v>0</v>
      </c>
      <c r="AV1000" s="25">
        <f t="shared" ca="1" si="778"/>
        <v>0</v>
      </c>
      <c r="AW1000" s="23">
        <f t="array" aca="1" ref="AW1000" ca="1">SUM(IF(rcs_start_date&lt;=AO1000,1,0)*IF(rcs_end_date&gt;=AO1000,1,0)*rcs_amount*(1+rcs_escalation/100)^(INT((AP1000-rcs_months_since_start)/12))*IF(MOD((AP1000-rcs_months_since_start),rcs_frequency)=0,1,0)*IF(rcs_frequency=13,0,1))+SUM(IF(rcs_start_date=AO1000,rcs_amount,0)*IF(rcs_frequency=13,1,0))</f>
        <v>0</v>
      </c>
      <c r="AX1000" s="24">
        <f t="shared" ca="1" si="779"/>
        <v>0</v>
      </c>
      <c r="AY1000" s="24">
        <f t="shared" ca="1" si="780"/>
        <v>0</v>
      </c>
      <c r="AZ1000" s="24">
        <f t="shared" ca="1" si="781"/>
        <v>0</v>
      </c>
      <c r="BA1000" s="25">
        <f t="shared" ca="1" si="782"/>
        <v>0</v>
      </c>
      <c r="BB1000" s="23">
        <f t="array" aca="1" ref="BB1000" ca="1">SUM(IF(w_start_date&lt;=AO1000,1,0)*IF(w_end_date&gt;=AO1000,1,0)*w_amount*(1+w_escalation/100)^(INT((AP1000-w_months_since_start)/12))*IF(MOD(AP1000-w_months_since_start,w_frequency)=0,1,0)*IF(w_frequency=13,0,1))+SUM(IF(w_start_date=AO1000,w_amount,0)*IF(w_frequency=13,1,0))</f>
        <v>0</v>
      </c>
      <c r="BC1000" s="25">
        <f t="shared" ca="1" si="783"/>
        <v>0</v>
      </c>
      <c r="BD1000" s="24" t="b">
        <f t="shared" ca="1" si="784"/>
        <v>1</v>
      </c>
      <c r="BE1000" s="24" t="b">
        <f t="shared" ca="1" si="785"/>
        <v>1</v>
      </c>
      <c r="BF1000" s="23">
        <f t="array" aca="1" ref="BF1000" ca="1">SUM(IF(BD1000,1,0)*IF(ap_start_date&lt;=AO1000,1,0)*IF(ap_end_date&gt;=AO1000,1,0)*ap_amount*(1+ap_escalation/100)^(INT((AP1000-ap_months_since_start)/12))*IF(MOD(AP1000-ap_months_since_start,ap_frequency)=0,1,0))</f>
        <v>566806.9079487588</v>
      </c>
      <c r="BG1000" s="24">
        <f t="shared" ca="1" si="786"/>
        <v>6801682.8953851042</v>
      </c>
      <c r="BH1000" s="24">
        <f t="shared" ca="1" si="787"/>
        <v>66.441272217394314</v>
      </c>
      <c r="BI1000">
        <f t="shared" ca="1" si="788"/>
        <v>0</v>
      </c>
      <c r="BJ1000" s="24">
        <f t="shared" ca="1" si="789"/>
        <v>465.08890552176018</v>
      </c>
      <c r="BK1000">
        <f t="shared" ca="1" si="790"/>
        <v>1</v>
      </c>
      <c r="BL1000" s="25">
        <f t="shared" ca="1" si="791"/>
        <v>38.757408793480025</v>
      </c>
      <c r="BM1000" s="32">
        <f t="shared" ca="1" si="770"/>
        <v>2452.2550255824535</v>
      </c>
      <c r="BN1000" s="23">
        <f t="shared" ca="1" si="792"/>
        <v>0</v>
      </c>
      <c r="BO1000" s="24">
        <f t="shared" ca="1" si="793"/>
        <v>0</v>
      </c>
      <c r="BP1000" s="25">
        <f t="shared" ca="1" si="794"/>
        <v>0</v>
      </c>
      <c r="BQ1000" s="34">
        <f t="shared" ca="1" si="795"/>
        <v>75849</v>
      </c>
      <c r="BR1000" s="23">
        <f t="shared" ca="1" si="796"/>
        <v>2452.2550255824535</v>
      </c>
      <c r="BS1000" s="24">
        <f t="shared" ca="1" si="797"/>
        <v>0</v>
      </c>
      <c r="BT1000" s="24">
        <f t="shared" ca="1" si="802"/>
        <v>0</v>
      </c>
      <c r="BU1000" s="24">
        <f t="shared" ca="1" si="798"/>
        <v>0</v>
      </c>
      <c r="BV1000" s="24">
        <f t="shared" ca="1" si="803"/>
        <v>0</v>
      </c>
      <c r="BW1000" s="24">
        <f t="shared" ca="1" si="799"/>
        <v>-38.757408793480025</v>
      </c>
      <c r="BX1000" s="25">
        <f t="shared" ca="1" si="804"/>
        <v>-473.07644521255497</v>
      </c>
      <c r="BY1000" s="23">
        <f t="shared" ca="1" si="771"/>
        <v>95.511750842112576</v>
      </c>
      <c r="BZ1000" s="24">
        <f t="shared" ca="1" si="772"/>
        <v>0</v>
      </c>
      <c r="CA1000" s="24">
        <f t="shared" ca="1" si="805"/>
        <v>0</v>
      </c>
      <c r="CB1000" s="24">
        <f t="shared" ca="1" si="773"/>
        <v>0</v>
      </c>
      <c r="CC1000" s="24">
        <f t="shared" ca="1" si="806"/>
        <v>0</v>
      </c>
      <c r="CD1000" s="24">
        <f t="shared" ca="1" si="774"/>
        <v>-1.5144863090394718</v>
      </c>
      <c r="CE1000" s="25">
        <f t="shared" ca="1" si="807"/>
        <v>-18.827682533781719</v>
      </c>
      <c r="CF1000" s="23">
        <f t="shared" ca="1" si="808"/>
        <v>6758082.3640044313</v>
      </c>
      <c r="CG1000" s="25">
        <f t="array" aca="1" ref="CG1000" ca="1">SUM(BF989:BF1000/(1+inflation/100)^(AP989:AP1000/12))</f>
        <v>267980.53702225385</v>
      </c>
      <c r="CH1000" s="32">
        <f ca="1">IFERROR(IF(MOD(AP1000-ap_months_since_start,12)=0,ap_drawdown/100*(AQ1000+AV1000+BA1000-BC1000),CH999),0)</f>
        <v>408.46531916060968</v>
      </c>
    </row>
    <row r="1001" spans="40:86" x14ac:dyDescent="0.25">
      <c r="AN1001" s="32">
        <f t="shared" ca="1" si="769"/>
        <v>137.66666666666666</v>
      </c>
      <c r="AO1001" s="53">
        <f t="shared" ca="1" si="800"/>
        <v>75850</v>
      </c>
      <c r="AP1001" s="22">
        <v>994</v>
      </c>
      <c r="AQ1001" s="32">
        <f t="shared" ca="1" si="801"/>
        <v>2452.2550255824535</v>
      </c>
      <c r="AR1001" s="23">
        <f t="array" aca="1" ref="AR1001" ca="1">SUM(IF(lsc_start_date=AO1001,lsc_amount,0))</f>
        <v>0</v>
      </c>
      <c r="AS1001" s="24">
        <f t="shared" ca="1" si="775"/>
        <v>0</v>
      </c>
      <c r="AT1001" s="24">
        <f t="shared" ca="1" si="776"/>
        <v>0</v>
      </c>
      <c r="AU1001" s="24">
        <f t="shared" ca="1" si="777"/>
        <v>0</v>
      </c>
      <c r="AV1001" s="25">
        <f t="shared" ca="1" si="778"/>
        <v>0</v>
      </c>
      <c r="AW1001" s="23">
        <f t="array" aca="1" ref="AW1001" ca="1">SUM(IF(rcs_start_date&lt;=AO1001,1,0)*IF(rcs_end_date&gt;=AO1001,1,0)*rcs_amount*(1+rcs_escalation/100)^(INT((AP1001-rcs_months_since_start)/12))*IF(MOD((AP1001-rcs_months_since_start),rcs_frequency)=0,1,0)*IF(rcs_frequency=13,0,1))+SUM(IF(rcs_start_date=AO1001,rcs_amount,0)*IF(rcs_frequency=13,1,0))</f>
        <v>0</v>
      </c>
      <c r="AX1001" s="24">
        <f t="shared" ca="1" si="779"/>
        <v>0</v>
      </c>
      <c r="AY1001" s="24">
        <f t="shared" ca="1" si="780"/>
        <v>0</v>
      </c>
      <c r="AZ1001" s="24">
        <f t="shared" ca="1" si="781"/>
        <v>0</v>
      </c>
      <c r="BA1001" s="25">
        <f t="shared" ca="1" si="782"/>
        <v>0</v>
      </c>
      <c r="BB1001" s="23">
        <f t="array" aca="1" ref="BB1001" ca="1">SUM(IF(w_start_date&lt;=AO1001,1,0)*IF(w_end_date&gt;=AO1001,1,0)*w_amount*(1+w_escalation/100)^(INT((AP1001-w_months_since_start)/12))*IF(MOD(AP1001-w_months_since_start,w_frequency)=0,1,0)*IF(w_frequency=13,0,1))+SUM(IF(w_start_date=AO1001,w_amount,0)*IF(w_frequency=13,1,0))</f>
        <v>0</v>
      </c>
      <c r="BC1001" s="25">
        <f t="shared" ca="1" si="783"/>
        <v>0</v>
      </c>
      <c r="BD1001" s="24" t="b">
        <f t="shared" ca="1" si="784"/>
        <v>1</v>
      </c>
      <c r="BE1001" s="24" t="b">
        <f t="shared" ca="1" si="785"/>
        <v>1</v>
      </c>
      <c r="BF1001" s="23">
        <f t="array" aca="1" ref="BF1001" ca="1">SUM(IF(BD1001,1,0)*IF(ap_start_date&lt;=AO1001,1,0)*IF(ap_end_date&gt;=AO1001,1,0)*ap_amount*(1+ap_escalation/100)^(INT((AP1001-ap_months_since_start)/12))*IF(MOD(AP1001-ap_months_since_start,ap_frequency)=0,1,0))</f>
        <v>566806.9079487588</v>
      </c>
      <c r="BG1001" s="24">
        <f t="shared" ca="1" si="786"/>
        <v>6801682.8953851042</v>
      </c>
      <c r="BH1001" s="24">
        <f t="shared" ca="1" si="787"/>
        <v>66.441272217394314</v>
      </c>
      <c r="BI1001">
        <f t="shared" ca="1" si="788"/>
        <v>0</v>
      </c>
      <c r="BJ1001" s="24">
        <f t="shared" ca="1" si="789"/>
        <v>465.08890552176018</v>
      </c>
      <c r="BK1001">
        <f t="shared" ca="1" si="790"/>
        <v>1</v>
      </c>
      <c r="BL1001" s="25">
        <f t="shared" ca="1" si="791"/>
        <v>38.757408793480025</v>
      </c>
      <c r="BM1001" s="32">
        <f t="shared" ca="1" si="770"/>
        <v>2430.8924744358969</v>
      </c>
      <c r="BN1001" s="23">
        <f t="shared" ca="1" si="792"/>
        <v>0</v>
      </c>
      <c r="BO1001" s="24">
        <f t="shared" ca="1" si="793"/>
        <v>0</v>
      </c>
      <c r="BP1001" s="25">
        <f t="shared" ca="1" si="794"/>
        <v>0</v>
      </c>
      <c r="BQ1001" s="34">
        <f t="shared" ca="1" si="795"/>
        <v>75879</v>
      </c>
      <c r="BR1001" s="23">
        <f t="shared" ca="1" si="796"/>
        <v>2430.8924744358969</v>
      </c>
      <c r="BS1001" s="24">
        <f t="shared" ca="1" si="797"/>
        <v>0</v>
      </c>
      <c r="BT1001" s="24">
        <f t="shared" ca="1" si="802"/>
        <v>0</v>
      </c>
      <c r="BU1001" s="24">
        <f t="shared" ca="1" si="798"/>
        <v>0</v>
      </c>
      <c r="BV1001" s="24">
        <f t="shared" ca="1" si="803"/>
        <v>0</v>
      </c>
      <c r="BW1001" s="24">
        <f t="shared" ca="1" si="799"/>
        <v>-38.757408793480025</v>
      </c>
      <c r="BX1001" s="25">
        <f t="shared" ca="1" si="804"/>
        <v>-469.08267536715761</v>
      </c>
      <c r="BY1001" s="23">
        <f t="shared" ca="1" si="771"/>
        <v>94.370765353861728</v>
      </c>
      <c r="BZ1001" s="24">
        <f t="shared" ca="1" si="772"/>
        <v>0</v>
      </c>
      <c r="CA1001" s="24">
        <f t="shared" ca="1" si="805"/>
        <v>0</v>
      </c>
      <c r="CB1001" s="24">
        <f t="shared" ca="1" si="773"/>
        <v>0</v>
      </c>
      <c r="CC1001" s="24">
        <f t="shared" ca="1" si="806"/>
        <v>0</v>
      </c>
      <c r="CD1001" s="24">
        <f t="shared" ca="1" si="774"/>
        <v>-1.5095444533096747</v>
      </c>
      <c r="CE1001" s="25">
        <f t="shared" ca="1" si="807"/>
        <v>-18.605527194469296</v>
      </c>
      <c r="CF1001" s="23">
        <f t="shared" ca="1" si="808"/>
        <v>6779882.6296947682</v>
      </c>
      <c r="CG1001" s="25">
        <f t="array" aca="1" ref="CG1001" ca="1">SUM(BF990:BF1001/(1+inflation/100)^(AP990:AP1001/12))</f>
        <v>267980.53702225385</v>
      </c>
      <c r="CH1001" s="32">
        <f ca="1">IFERROR(IF(MOD(AP1001-ap_months_since_start,12)=0,ap_drawdown/100*(AQ1001+AV1001+BA1001-BC1001),CH1000),0)</f>
        <v>408.46531916060968</v>
      </c>
    </row>
    <row r="1002" spans="40:86" x14ac:dyDescent="0.25">
      <c r="AN1002" s="32">
        <f t="shared" ca="1" si="769"/>
        <v>137.75</v>
      </c>
      <c r="AO1002" s="53">
        <f t="shared" ca="1" si="800"/>
        <v>75880</v>
      </c>
      <c r="AP1002" s="22">
        <v>995</v>
      </c>
      <c r="AQ1002" s="32">
        <f t="shared" ca="1" si="801"/>
        <v>2430.8924744358969</v>
      </c>
      <c r="AR1002" s="23">
        <f t="array" aca="1" ref="AR1002" ca="1">SUM(IF(lsc_start_date=AO1002,lsc_amount,0))</f>
        <v>0</v>
      </c>
      <c r="AS1002" s="24">
        <f t="shared" ca="1" si="775"/>
        <v>0</v>
      </c>
      <c r="AT1002" s="24">
        <f t="shared" ca="1" si="776"/>
        <v>0</v>
      </c>
      <c r="AU1002" s="24">
        <f t="shared" ca="1" si="777"/>
        <v>0</v>
      </c>
      <c r="AV1002" s="25">
        <f t="shared" ca="1" si="778"/>
        <v>0</v>
      </c>
      <c r="AW1002" s="23">
        <f t="array" aca="1" ref="AW1002" ca="1">SUM(IF(rcs_start_date&lt;=AO1002,1,0)*IF(rcs_end_date&gt;=AO1002,1,0)*rcs_amount*(1+rcs_escalation/100)^(INT((AP1002-rcs_months_since_start)/12))*IF(MOD((AP1002-rcs_months_since_start),rcs_frequency)=0,1,0)*IF(rcs_frequency=13,0,1))+SUM(IF(rcs_start_date=AO1002,rcs_amount,0)*IF(rcs_frequency=13,1,0))</f>
        <v>0</v>
      </c>
      <c r="AX1002" s="24">
        <f t="shared" ca="1" si="779"/>
        <v>0</v>
      </c>
      <c r="AY1002" s="24">
        <f t="shared" ca="1" si="780"/>
        <v>0</v>
      </c>
      <c r="AZ1002" s="24">
        <f t="shared" ca="1" si="781"/>
        <v>0</v>
      </c>
      <c r="BA1002" s="25">
        <f t="shared" ca="1" si="782"/>
        <v>0</v>
      </c>
      <c r="BB1002" s="23">
        <f t="array" aca="1" ref="BB1002" ca="1">SUM(IF(w_start_date&lt;=AO1002,1,0)*IF(w_end_date&gt;=AO1002,1,0)*w_amount*(1+w_escalation/100)^(INT((AP1002-w_months_since_start)/12))*IF(MOD(AP1002-w_months_since_start,w_frequency)=0,1,0)*IF(w_frequency=13,0,1))+SUM(IF(w_start_date=AO1002,w_amount,0)*IF(w_frequency=13,1,0))</f>
        <v>0</v>
      </c>
      <c r="BC1002" s="25">
        <f t="shared" ca="1" si="783"/>
        <v>0</v>
      </c>
      <c r="BD1002" s="24" t="b">
        <f t="shared" ca="1" si="784"/>
        <v>1</v>
      </c>
      <c r="BE1002" s="24" t="b">
        <f t="shared" ca="1" si="785"/>
        <v>1</v>
      </c>
      <c r="BF1002" s="23">
        <f t="array" aca="1" ref="BF1002" ca="1">SUM(IF(BD1002,1,0)*IF(ap_start_date&lt;=AO1002,1,0)*IF(ap_end_date&gt;=AO1002,1,0)*ap_amount*(1+ap_escalation/100)^(INT((AP1002-ap_months_since_start)/12))*IF(MOD(AP1002-ap_months_since_start,ap_frequency)=0,1,0))</f>
        <v>566806.9079487588</v>
      </c>
      <c r="BG1002" s="24">
        <f t="shared" ca="1" si="786"/>
        <v>6801682.8953851042</v>
      </c>
      <c r="BH1002" s="24">
        <f t="shared" ca="1" si="787"/>
        <v>66.441272217394314</v>
      </c>
      <c r="BI1002">
        <f t="shared" ca="1" si="788"/>
        <v>0</v>
      </c>
      <c r="BJ1002" s="24">
        <f t="shared" ca="1" si="789"/>
        <v>465.08890552176018</v>
      </c>
      <c r="BK1002">
        <f t="shared" ca="1" si="790"/>
        <v>1</v>
      </c>
      <c r="BL1002" s="25">
        <f t="shared" ca="1" si="791"/>
        <v>38.757408793480025</v>
      </c>
      <c r="BM1002" s="32">
        <f t="shared" ca="1" si="770"/>
        <v>2409.37595647637</v>
      </c>
      <c r="BN1002" s="23">
        <f t="shared" ca="1" si="792"/>
        <v>0</v>
      </c>
      <c r="BO1002" s="24">
        <f t="shared" ca="1" si="793"/>
        <v>0</v>
      </c>
      <c r="BP1002" s="25">
        <f t="shared" ca="1" si="794"/>
        <v>0</v>
      </c>
      <c r="BQ1002" s="34">
        <f t="shared" ca="1" si="795"/>
        <v>75910</v>
      </c>
      <c r="BR1002" s="23">
        <f t="shared" ca="1" si="796"/>
        <v>2409.37595647637</v>
      </c>
      <c r="BS1002" s="24">
        <f t="shared" ca="1" si="797"/>
        <v>0</v>
      </c>
      <c r="BT1002" s="24">
        <f t="shared" ca="1" si="802"/>
        <v>0</v>
      </c>
      <c r="BU1002" s="24">
        <f t="shared" ca="1" si="798"/>
        <v>0</v>
      </c>
      <c r="BV1002" s="24">
        <f t="shared" ca="1" si="803"/>
        <v>0</v>
      </c>
      <c r="BW1002" s="24">
        <f t="shared" ca="1" si="799"/>
        <v>-38.757408793480025</v>
      </c>
      <c r="BX1002" s="25">
        <f t="shared" ca="1" si="804"/>
        <v>-465.08890552176018</v>
      </c>
      <c r="BY1002" s="23">
        <f t="shared" ca="1" si="771"/>
        <v>93.230251391728871</v>
      </c>
      <c r="BZ1002" s="24">
        <f t="shared" ca="1" si="772"/>
        <v>0</v>
      </c>
      <c r="CA1002" s="24">
        <f t="shared" ca="1" si="805"/>
        <v>0</v>
      </c>
      <c r="CB1002" s="24">
        <f t="shared" ca="1" si="773"/>
        <v>0</v>
      </c>
      <c r="CC1002" s="24">
        <f t="shared" ca="1" si="806"/>
        <v>0</v>
      </c>
      <c r="CD1002" s="24">
        <f t="shared" ca="1" si="774"/>
        <v>-1.5046187231386945</v>
      </c>
      <c r="CE1002" s="25">
        <f t="shared" ca="1" si="807"/>
        <v>-18.384096760776643</v>
      </c>
      <c r="CF1002" s="23">
        <f t="shared" ca="1" si="808"/>
        <v>6801682.8953851042</v>
      </c>
      <c r="CG1002" s="25">
        <f t="array" aca="1" ref="CG1002" ca="1">SUM(BF991:BF1002/(1+inflation/100)^(AP991:AP1002/12))</f>
        <v>267980.53702225385</v>
      </c>
      <c r="CH1002" s="32">
        <f ca="1">IFERROR(IF(MOD(AP1002-ap_months_since_start,12)=0,ap_drawdown/100*(AQ1002+AV1002+BA1002-BC1002),CH1001),0)</f>
        <v>408.46531916060968</v>
      </c>
    </row>
    <row r="1003" spans="40:86" x14ac:dyDescent="0.25">
      <c r="AN1003" s="32">
        <f t="shared" ca="1" si="769"/>
        <v>137.83333333333334</v>
      </c>
      <c r="AO1003" s="53">
        <f t="shared" ca="1" si="800"/>
        <v>75911</v>
      </c>
      <c r="AP1003" s="22">
        <v>996</v>
      </c>
      <c r="AQ1003" s="32">
        <f t="shared" ca="1" si="801"/>
        <v>2409.37595647637</v>
      </c>
      <c r="AR1003" s="23">
        <f t="array" aca="1" ref="AR1003" ca="1">SUM(IF(lsc_start_date=AO1003,lsc_amount,0))</f>
        <v>0</v>
      </c>
      <c r="AS1003" s="24">
        <f t="shared" ca="1" si="775"/>
        <v>0</v>
      </c>
      <c r="AT1003" s="24">
        <f t="shared" ca="1" si="776"/>
        <v>0</v>
      </c>
      <c r="AU1003" s="24">
        <f t="shared" ca="1" si="777"/>
        <v>0</v>
      </c>
      <c r="AV1003" s="25">
        <f t="shared" ca="1" si="778"/>
        <v>0</v>
      </c>
      <c r="AW1003" s="23">
        <f t="array" aca="1" ref="AW1003" ca="1">SUM(IF(rcs_start_date&lt;=AO1003,1,0)*IF(rcs_end_date&gt;=AO1003,1,0)*rcs_amount*(1+rcs_escalation/100)^(INT((AP1003-rcs_months_since_start)/12))*IF(MOD((AP1003-rcs_months_since_start),rcs_frequency)=0,1,0)*IF(rcs_frequency=13,0,1))+SUM(IF(rcs_start_date=AO1003,rcs_amount,0)*IF(rcs_frequency=13,1,0))</f>
        <v>0</v>
      </c>
      <c r="AX1003" s="24">
        <f t="shared" ca="1" si="779"/>
        <v>0</v>
      </c>
      <c r="AY1003" s="24">
        <f t="shared" ca="1" si="780"/>
        <v>0</v>
      </c>
      <c r="AZ1003" s="24">
        <f t="shared" ca="1" si="781"/>
        <v>0</v>
      </c>
      <c r="BA1003" s="25">
        <f t="shared" ca="1" si="782"/>
        <v>0</v>
      </c>
      <c r="BB1003" s="23">
        <f t="array" aca="1" ref="BB1003" ca="1">SUM(IF(w_start_date&lt;=AO1003,1,0)*IF(w_end_date&gt;=AO1003,1,0)*w_amount*(1+w_escalation/100)^(INT((AP1003-w_months_since_start)/12))*IF(MOD(AP1003-w_months_since_start,w_frequency)=0,1,0)*IF(w_frequency=13,0,1))+SUM(IF(w_start_date=AO1003,w_amount,0)*IF(w_frequency=13,1,0))</f>
        <v>0</v>
      </c>
      <c r="BC1003" s="25">
        <f t="shared" ca="1" si="783"/>
        <v>0</v>
      </c>
      <c r="BD1003" s="24" t="b">
        <f t="shared" ca="1" si="784"/>
        <v>1</v>
      </c>
      <c r="BE1003" s="24" t="b">
        <f t="shared" ca="1" si="785"/>
        <v>1</v>
      </c>
      <c r="BF1003" s="23">
        <f t="array" aca="1" ref="BF1003" ca="1">SUM(IF(BD1003,1,0)*IF(ap_start_date&lt;=AO1003,1,0)*IF(ap_end_date&gt;=AO1003,1,0)*ap_amount*(1+ap_escalation/100)^(INT((AP1003-ap_months_since_start)/12))*IF(MOD(AP1003-ap_months_since_start,ap_frequency)=0,1,0))</f>
        <v>589479.18426670926</v>
      </c>
      <c r="BG1003" s="24">
        <f t="shared" ca="1" si="786"/>
        <v>7073750.2112005092</v>
      </c>
      <c r="BH1003" s="24">
        <f t="shared" ca="1" si="787"/>
        <v>60.234398911909253</v>
      </c>
      <c r="BI1003">
        <f t="shared" ca="1" si="788"/>
        <v>0</v>
      </c>
      <c r="BJ1003" s="24">
        <f t="shared" ca="1" si="789"/>
        <v>421.64079238336473</v>
      </c>
      <c r="BK1003">
        <f t="shared" ca="1" si="790"/>
        <v>1</v>
      </c>
      <c r="BL1003" s="25">
        <f t="shared" ca="1" si="791"/>
        <v>35.136732698613734</v>
      </c>
      <c r="BM1003" s="32">
        <f t="shared" ca="1" si="770"/>
        <v>2391.351133493376</v>
      </c>
      <c r="BN1003" s="23">
        <f t="shared" ca="1" si="792"/>
        <v>0</v>
      </c>
      <c r="BO1003" s="24">
        <f t="shared" ca="1" si="793"/>
        <v>0</v>
      </c>
      <c r="BP1003" s="25">
        <f t="shared" ca="1" si="794"/>
        <v>0</v>
      </c>
      <c r="BQ1003" s="34">
        <f t="shared" ca="1" si="795"/>
        <v>75940</v>
      </c>
      <c r="BR1003" s="23">
        <f t="shared" ca="1" si="796"/>
        <v>2391.351133493376</v>
      </c>
      <c r="BS1003" s="24">
        <f t="shared" ca="1" si="797"/>
        <v>0</v>
      </c>
      <c r="BT1003" s="24">
        <f t="shared" ca="1" si="802"/>
        <v>0</v>
      </c>
      <c r="BU1003" s="24">
        <f t="shared" ca="1" si="798"/>
        <v>0</v>
      </c>
      <c r="BV1003" s="24">
        <f t="shared" ca="1" si="803"/>
        <v>0</v>
      </c>
      <c r="BW1003" s="24">
        <f t="shared" ca="1" si="799"/>
        <v>-35.136732698613734</v>
      </c>
      <c r="BX1003" s="25">
        <f t="shared" ca="1" si="804"/>
        <v>-461.46822942689391</v>
      </c>
      <c r="BY1003" s="23">
        <f t="shared" ca="1" si="771"/>
        <v>92.230845203235887</v>
      </c>
      <c r="BZ1003" s="24">
        <f t="shared" ca="1" si="772"/>
        <v>0</v>
      </c>
      <c r="CA1003" s="24">
        <f t="shared" ca="1" si="805"/>
        <v>0</v>
      </c>
      <c r="CB1003" s="24">
        <f t="shared" ca="1" si="773"/>
        <v>0</v>
      </c>
      <c r="CC1003" s="24">
        <f t="shared" ca="1" si="806"/>
        <v>0</v>
      </c>
      <c r="CD1003" s="24">
        <f t="shared" ca="1" si="774"/>
        <v>-1.3596078327960464</v>
      </c>
      <c r="CE1003" s="25">
        <f t="shared" ca="1" si="807"/>
        <v>-18.184007165028465</v>
      </c>
      <c r="CF1003" s="23">
        <f t="shared" ca="1" si="808"/>
        <v>6824355.1717030555</v>
      </c>
      <c r="CG1003" s="25">
        <f t="array" aca="1" ref="CG1003" ca="1">SUM(BF992:BF1003/(1+inflation/100)^(AP992:AP1003/12))</f>
        <v>267980.53702225385</v>
      </c>
      <c r="CH1003" s="32">
        <f ca="1">IFERROR(IF(MOD(AP1003-ap_months_since_start,12)=0,ap_drawdown/100*(AQ1003+AV1003+BA1003-BC1003),CH1002),0)</f>
        <v>370.30692150953809</v>
      </c>
    </row>
    <row r="1004" spans="40:86" x14ac:dyDescent="0.25">
      <c r="AN1004" s="32">
        <f t="shared" ca="1" si="769"/>
        <v>137.91666666666666</v>
      </c>
      <c r="AO1004" s="53">
        <f t="shared" ca="1" si="800"/>
        <v>75941</v>
      </c>
      <c r="AP1004" s="22">
        <v>997</v>
      </c>
      <c r="AQ1004" s="32">
        <f t="shared" ca="1" si="801"/>
        <v>2391.351133493376</v>
      </c>
      <c r="AR1004" s="23">
        <f t="array" aca="1" ref="AR1004" ca="1">SUM(IF(lsc_start_date=AO1004,lsc_amount,0))</f>
        <v>0</v>
      </c>
      <c r="AS1004" s="24">
        <f t="shared" ca="1" si="775"/>
        <v>0</v>
      </c>
      <c r="AT1004" s="24">
        <f t="shared" ca="1" si="776"/>
        <v>0</v>
      </c>
      <c r="AU1004" s="24">
        <f t="shared" ca="1" si="777"/>
        <v>0</v>
      </c>
      <c r="AV1004" s="25">
        <f t="shared" ca="1" si="778"/>
        <v>0</v>
      </c>
      <c r="AW1004" s="23">
        <f t="array" aca="1" ref="AW1004" ca="1">SUM(IF(rcs_start_date&lt;=AO1004,1,0)*IF(rcs_end_date&gt;=AO1004,1,0)*rcs_amount*(1+rcs_escalation/100)^(INT((AP1004-rcs_months_since_start)/12))*IF(MOD((AP1004-rcs_months_since_start),rcs_frequency)=0,1,0)*IF(rcs_frequency=13,0,1))+SUM(IF(rcs_start_date=AO1004,rcs_amount,0)*IF(rcs_frequency=13,1,0))</f>
        <v>0</v>
      </c>
      <c r="AX1004" s="24">
        <f t="shared" ca="1" si="779"/>
        <v>0</v>
      </c>
      <c r="AY1004" s="24">
        <f t="shared" ca="1" si="780"/>
        <v>0</v>
      </c>
      <c r="AZ1004" s="24">
        <f t="shared" ca="1" si="781"/>
        <v>0</v>
      </c>
      <c r="BA1004" s="25">
        <f t="shared" ca="1" si="782"/>
        <v>0</v>
      </c>
      <c r="BB1004" s="23">
        <f t="array" aca="1" ref="BB1004" ca="1">SUM(IF(w_start_date&lt;=AO1004,1,0)*IF(w_end_date&gt;=AO1004,1,0)*w_amount*(1+w_escalation/100)^(INT((AP1004-w_months_since_start)/12))*IF(MOD(AP1004-w_months_since_start,w_frequency)=0,1,0)*IF(w_frequency=13,0,1))+SUM(IF(w_start_date=AO1004,w_amount,0)*IF(w_frequency=13,1,0))</f>
        <v>0</v>
      </c>
      <c r="BC1004" s="25">
        <f t="shared" ca="1" si="783"/>
        <v>0</v>
      </c>
      <c r="BD1004" s="24" t="b">
        <f t="shared" ca="1" si="784"/>
        <v>1</v>
      </c>
      <c r="BE1004" s="24" t="b">
        <f t="shared" ca="1" si="785"/>
        <v>1</v>
      </c>
      <c r="BF1004" s="23">
        <f t="array" aca="1" ref="BF1004" ca="1">SUM(IF(BD1004,1,0)*IF(ap_start_date&lt;=AO1004,1,0)*IF(ap_end_date&gt;=AO1004,1,0)*ap_amount*(1+ap_escalation/100)^(INT((AP1004-ap_months_since_start)/12))*IF(MOD(AP1004-ap_months_since_start,ap_frequency)=0,1,0))</f>
        <v>589479.18426670926</v>
      </c>
      <c r="BG1004" s="24">
        <f t="shared" ca="1" si="786"/>
        <v>7073750.2112005092</v>
      </c>
      <c r="BH1004" s="24">
        <f t="shared" ca="1" si="787"/>
        <v>60.234398911909253</v>
      </c>
      <c r="BI1004">
        <f t="shared" ca="1" si="788"/>
        <v>0</v>
      </c>
      <c r="BJ1004" s="24">
        <f t="shared" ca="1" si="789"/>
        <v>421.64079238336473</v>
      </c>
      <c r="BK1004">
        <f t="shared" ca="1" si="790"/>
        <v>1</v>
      </c>
      <c r="BL1004" s="25">
        <f t="shared" ca="1" si="791"/>
        <v>35.136732698613734</v>
      </c>
      <c r="BM1004" s="32">
        <f t="shared" ca="1" si="770"/>
        <v>2373.1963997834273</v>
      </c>
      <c r="BN1004" s="23">
        <f t="shared" ca="1" si="792"/>
        <v>0</v>
      </c>
      <c r="BO1004" s="24">
        <f t="shared" ca="1" si="793"/>
        <v>0</v>
      </c>
      <c r="BP1004" s="25">
        <f t="shared" ca="1" si="794"/>
        <v>0</v>
      </c>
      <c r="BQ1004" s="34">
        <f t="shared" ca="1" si="795"/>
        <v>75971</v>
      </c>
      <c r="BR1004" s="23">
        <f t="shared" ca="1" si="796"/>
        <v>2373.1963997834273</v>
      </c>
      <c r="BS1004" s="24">
        <f t="shared" ca="1" si="797"/>
        <v>0</v>
      </c>
      <c r="BT1004" s="24">
        <f t="shared" ca="1" si="802"/>
        <v>0</v>
      </c>
      <c r="BU1004" s="24">
        <f t="shared" ca="1" si="798"/>
        <v>0</v>
      </c>
      <c r="BV1004" s="24">
        <f t="shared" ca="1" si="803"/>
        <v>0</v>
      </c>
      <c r="BW1004" s="24">
        <f t="shared" ca="1" si="799"/>
        <v>-35.136732698613734</v>
      </c>
      <c r="BX1004" s="25">
        <f t="shared" ca="1" si="804"/>
        <v>-457.84755333202764</v>
      </c>
      <c r="BY1004" s="23">
        <f t="shared" ca="1" si="771"/>
        <v>91.231974467591684</v>
      </c>
      <c r="BZ1004" s="24">
        <f t="shared" ca="1" si="772"/>
        <v>0</v>
      </c>
      <c r="CA1004" s="24">
        <f t="shared" ca="1" si="805"/>
        <v>0</v>
      </c>
      <c r="CB1004" s="24">
        <f t="shared" ca="1" si="773"/>
        <v>0</v>
      </c>
      <c r="CC1004" s="24">
        <f t="shared" ca="1" si="806"/>
        <v>0</v>
      </c>
      <c r="CD1004" s="24">
        <f t="shared" ca="1" si="774"/>
        <v>-1.3551713544213797</v>
      </c>
      <c r="CE1004" s="25">
        <f t="shared" ca="1" si="807"/>
        <v>-17.98457047311264</v>
      </c>
      <c r="CF1004" s="23">
        <f t="shared" ca="1" si="808"/>
        <v>6847027.4480210058</v>
      </c>
      <c r="CG1004" s="25">
        <f t="array" aca="1" ref="CG1004" ca="1">SUM(BF993:BF1004/(1+inflation/100)^(AP993:AP1004/12))</f>
        <v>267980.53702225385</v>
      </c>
      <c r="CH1004" s="32">
        <f ca="1">IFERROR(IF(MOD(AP1004-ap_months_since_start,12)=0,ap_drawdown/100*(AQ1004+AV1004+BA1004-BC1004),CH1003),0)</f>
        <v>370.30692150953809</v>
      </c>
    </row>
    <row r="1005" spans="40:86" x14ac:dyDescent="0.25">
      <c r="AN1005" s="32">
        <f t="shared" ca="1" si="769"/>
        <v>138</v>
      </c>
      <c r="AO1005" s="53">
        <f t="shared" ca="1" si="800"/>
        <v>75972</v>
      </c>
      <c r="AP1005" s="22">
        <v>998</v>
      </c>
      <c r="AQ1005" s="32">
        <f t="shared" ca="1" si="801"/>
        <v>2373.1963997834273</v>
      </c>
      <c r="AR1005" s="23">
        <f t="array" aca="1" ref="AR1005" ca="1">SUM(IF(lsc_start_date=AO1005,lsc_amount,0))</f>
        <v>0</v>
      </c>
      <c r="AS1005" s="24">
        <f t="shared" ca="1" si="775"/>
        <v>0</v>
      </c>
      <c r="AT1005" s="24">
        <f t="shared" ca="1" si="776"/>
        <v>0</v>
      </c>
      <c r="AU1005" s="24">
        <f t="shared" ca="1" si="777"/>
        <v>0</v>
      </c>
      <c r="AV1005" s="25">
        <f t="shared" ca="1" si="778"/>
        <v>0</v>
      </c>
      <c r="AW1005" s="23">
        <f t="array" aca="1" ref="AW1005" ca="1">SUM(IF(rcs_start_date&lt;=AO1005,1,0)*IF(rcs_end_date&gt;=AO1005,1,0)*rcs_amount*(1+rcs_escalation/100)^(INT((AP1005-rcs_months_since_start)/12))*IF(MOD((AP1005-rcs_months_since_start),rcs_frequency)=0,1,0)*IF(rcs_frequency=13,0,1))+SUM(IF(rcs_start_date=AO1005,rcs_amount,0)*IF(rcs_frequency=13,1,0))</f>
        <v>0</v>
      </c>
      <c r="AX1005" s="24">
        <f t="shared" ca="1" si="779"/>
        <v>0</v>
      </c>
      <c r="AY1005" s="24">
        <f t="shared" ca="1" si="780"/>
        <v>0</v>
      </c>
      <c r="AZ1005" s="24">
        <f t="shared" ca="1" si="781"/>
        <v>0</v>
      </c>
      <c r="BA1005" s="25">
        <f t="shared" ca="1" si="782"/>
        <v>0</v>
      </c>
      <c r="BB1005" s="23">
        <f t="array" aca="1" ref="BB1005" ca="1">SUM(IF(w_start_date&lt;=AO1005,1,0)*IF(w_end_date&gt;=AO1005,1,0)*w_amount*(1+w_escalation/100)^(INT((AP1005-w_months_since_start)/12))*IF(MOD(AP1005-w_months_since_start,w_frequency)=0,1,0)*IF(w_frequency=13,0,1))+SUM(IF(w_start_date=AO1005,w_amount,0)*IF(w_frequency=13,1,0))</f>
        <v>0</v>
      </c>
      <c r="BC1005" s="25">
        <f t="shared" ca="1" si="783"/>
        <v>0</v>
      </c>
      <c r="BD1005" s="24" t="b">
        <f t="shared" ca="1" si="784"/>
        <v>1</v>
      </c>
      <c r="BE1005" s="24" t="b">
        <f t="shared" ca="1" si="785"/>
        <v>1</v>
      </c>
      <c r="BF1005" s="23">
        <f t="array" aca="1" ref="BF1005" ca="1">SUM(IF(BD1005,1,0)*IF(ap_start_date&lt;=AO1005,1,0)*IF(ap_end_date&gt;=AO1005,1,0)*ap_amount*(1+ap_escalation/100)^(INT((AP1005-ap_months_since_start)/12))*IF(MOD(AP1005-ap_months_since_start,ap_frequency)=0,1,0))</f>
        <v>589479.18426670926</v>
      </c>
      <c r="BG1005" s="24">
        <f t="shared" ca="1" si="786"/>
        <v>7073750.2112005092</v>
      </c>
      <c r="BH1005" s="24">
        <f t="shared" ca="1" si="787"/>
        <v>60.234398911909253</v>
      </c>
      <c r="BI1005">
        <f t="shared" ca="1" si="788"/>
        <v>0</v>
      </c>
      <c r="BJ1005" s="24">
        <f t="shared" ca="1" si="789"/>
        <v>421.64079238336473</v>
      </c>
      <c r="BK1005">
        <f t="shared" ca="1" si="790"/>
        <v>1</v>
      </c>
      <c r="BL1005" s="25">
        <f t="shared" ca="1" si="791"/>
        <v>35.136732698613734</v>
      </c>
      <c r="BM1005" s="32">
        <f t="shared" ca="1" si="770"/>
        <v>2354.9108190379129</v>
      </c>
      <c r="BN1005" s="23">
        <f t="shared" ca="1" si="792"/>
        <v>0</v>
      </c>
      <c r="BO1005" s="24">
        <f t="shared" ca="1" si="793"/>
        <v>0</v>
      </c>
      <c r="BP1005" s="25">
        <f t="shared" ca="1" si="794"/>
        <v>0</v>
      </c>
      <c r="BQ1005" s="34">
        <f t="shared" ca="1" si="795"/>
        <v>76002</v>
      </c>
      <c r="BR1005" s="23">
        <f t="shared" ca="1" si="796"/>
        <v>2354.9108190379129</v>
      </c>
      <c r="BS1005" s="24">
        <f t="shared" ca="1" si="797"/>
        <v>0</v>
      </c>
      <c r="BT1005" s="24">
        <f t="shared" ca="1" si="802"/>
        <v>0</v>
      </c>
      <c r="BU1005" s="24">
        <f t="shared" ca="1" si="798"/>
        <v>0</v>
      </c>
      <c r="BV1005" s="24">
        <f t="shared" ca="1" si="803"/>
        <v>0</v>
      </c>
      <c r="BW1005" s="24">
        <f t="shared" ca="1" si="799"/>
        <v>-35.136732698613734</v>
      </c>
      <c r="BX1005" s="25">
        <f t="shared" ca="1" si="804"/>
        <v>-454.22687723716137</v>
      </c>
      <c r="BY1005" s="23">
        <f t="shared" ca="1" si="771"/>
        <v>90.23362675092956</v>
      </c>
      <c r="BZ1005" s="24">
        <f t="shared" ca="1" si="772"/>
        <v>0</v>
      </c>
      <c r="CA1005" s="24">
        <f t="shared" ca="1" si="805"/>
        <v>0</v>
      </c>
      <c r="CB1005" s="24">
        <f t="shared" ca="1" si="773"/>
        <v>0</v>
      </c>
      <c r="CC1005" s="24">
        <f t="shared" ca="1" si="806"/>
        <v>0</v>
      </c>
      <c r="CD1005" s="24">
        <f t="shared" ca="1" si="774"/>
        <v>-1.3507493525302237</v>
      </c>
      <c r="CE1005" s="25">
        <f t="shared" ca="1" si="807"/>
        <v>-17.785784554566504</v>
      </c>
      <c r="CF1005" s="23">
        <f t="shared" ca="1" si="808"/>
        <v>6869699.7243389562</v>
      </c>
      <c r="CG1005" s="25">
        <f t="array" aca="1" ref="CG1005" ca="1">SUM(BF994:BF1005/(1+inflation/100)^(AP994:AP1005/12))</f>
        <v>267980.53702225385</v>
      </c>
      <c r="CH1005" s="32">
        <f ca="1">IFERROR(IF(MOD(AP1005-ap_months_since_start,12)=0,ap_drawdown/100*(AQ1005+AV1005+BA1005-BC1005),CH1004),0)</f>
        <v>370.30692150953809</v>
      </c>
    </row>
    <row r="1006" spans="40:86" x14ac:dyDescent="0.25">
      <c r="AN1006" s="32">
        <f t="shared" ca="1" si="769"/>
        <v>138.08333333333334</v>
      </c>
      <c r="AO1006" s="53">
        <f t="shared" ca="1" si="800"/>
        <v>76003</v>
      </c>
      <c r="AP1006" s="22">
        <v>999</v>
      </c>
      <c r="AQ1006" s="32">
        <f t="shared" ca="1" si="801"/>
        <v>2354.9108190379129</v>
      </c>
      <c r="AR1006" s="23">
        <f t="array" aca="1" ref="AR1006" ca="1">SUM(IF(lsc_start_date=AO1006,lsc_amount,0))</f>
        <v>0</v>
      </c>
      <c r="AS1006" s="24">
        <f t="shared" ca="1" si="775"/>
        <v>0</v>
      </c>
      <c r="AT1006" s="24">
        <f t="shared" ca="1" si="776"/>
        <v>0</v>
      </c>
      <c r="AU1006" s="24">
        <f t="shared" ca="1" si="777"/>
        <v>0</v>
      </c>
      <c r="AV1006" s="25">
        <f t="shared" ca="1" si="778"/>
        <v>0</v>
      </c>
      <c r="AW1006" s="23">
        <f t="array" aca="1" ref="AW1006" ca="1">SUM(IF(rcs_start_date&lt;=AO1006,1,0)*IF(rcs_end_date&gt;=AO1006,1,0)*rcs_amount*(1+rcs_escalation/100)^(INT((AP1006-rcs_months_since_start)/12))*IF(MOD((AP1006-rcs_months_since_start),rcs_frequency)=0,1,0)*IF(rcs_frequency=13,0,1))+SUM(IF(rcs_start_date=AO1006,rcs_amount,0)*IF(rcs_frequency=13,1,0))</f>
        <v>0</v>
      </c>
      <c r="AX1006" s="24">
        <f t="shared" ca="1" si="779"/>
        <v>0</v>
      </c>
      <c r="AY1006" s="24">
        <f t="shared" ca="1" si="780"/>
        <v>0</v>
      </c>
      <c r="AZ1006" s="24">
        <f t="shared" ca="1" si="781"/>
        <v>0</v>
      </c>
      <c r="BA1006" s="25">
        <f t="shared" ca="1" si="782"/>
        <v>0</v>
      </c>
      <c r="BB1006" s="23">
        <f t="array" aca="1" ref="BB1006" ca="1">SUM(IF(w_start_date&lt;=AO1006,1,0)*IF(w_end_date&gt;=AO1006,1,0)*w_amount*(1+w_escalation/100)^(INT((AP1006-w_months_since_start)/12))*IF(MOD(AP1006-w_months_since_start,w_frequency)=0,1,0)*IF(w_frequency=13,0,1))+SUM(IF(w_start_date=AO1006,w_amount,0)*IF(w_frequency=13,1,0))</f>
        <v>0</v>
      </c>
      <c r="BC1006" s="25">
        <f t="shared" ca="1" si="783"/>
        <v>0</v>
      </c>
      <c r="BD1006" s="24" t="b">
        <f t="shared" ca="1" si="784"/>
        <v>1</v>
      </c>
      <c r="BE1006" s="24" t="b">
        <f t="shared" ca="1" si="785"/>
        <v>1</v>
      </c>
      <c r="BF1006" s="23">
        <f t="array" aca="1" ref="BF1006" ca="1">SUM(IF(BD1006,1,0)*IF(ap_start_date&lt;=AO1006,1,0)*IF(ap_end_date&gt;=AO1006,1,0)*ap_amount*(1+ap_escalation/100)^(INT((AP1006-ap_months_since_start)/12))*IF(MOD(AP1006-ap_months_since_start,ap_frequency)=0,1,0))</f>
        <v>589479.18426670926</v>
      </c>
      <c r="BG1006" s="24">
        <f t="shared" ca="1" si="786"/>
        <v>7073750.2112005092</v>
      </c>
      <c r="BH1006" s="24">
        <f t="shared" ca="1" si="787"/>
        <v>60.234398911909253</v>
      </c>
      <c r="BI1006">
        <f t="shared" ca="1" si="788"/>
        <v>0</v>
      </c>
      <c r="BJ1006" s="24">
        <f t="shared" ca="1" si="789"/>
        <v>421.64079238336473</v>
      </c>
      <c r="BK1006">
        <f t="shared" ca="1" si="790"/>
        <v>1</v>
      </c>
      <c r="BL1006" s="25">
        <f t="shared" ca="1" si="791"/>
        <v>35.136732698613734</v>
      </c>
      <c r="BM1006" s="32">
        <f t="shared" ca="1" si="770"/>
        <v>2336.4934481999421</v>
      </c>
      <c r="BN1006" s="23">
        <f t="shared" ca="1" si="792"/>
        <v>0</v>
      </c>
      <c r="BO1006" s="24">
        <f t="shared" ca="1" si="793"/>
        <v>0</v>
      </c>
      <c r="BP1006" s="25">
        <f t="shared" ca="1" si="794"/>
        <v>0</v>
      </c>
      <c r="BQ1006" s="34">
        <f t="shared" ca="1" si="795"/>
        <v>76031</v>
      </c>
      <c r="BR1006" s="23">
        <f t="shared" ca="1" si="796"/>
        <v>2336.4934481999421</v>
      </c>
      <c r="BS1006" s="24">
        <f t="shared" ca="1" si="797"/>
        <v>0</v>
      </c>
      <c r="BT1006" s="24">
        <f t="shared" ca="1" si="802"/>
        <v>0</v>
      </c>
      <c r="BU1006" s="24">
        <f t="shared" ca="1" si="798"/>
        <v>0</v>
      </c>
      <c r="BV1006" s="24">
        <f t="shared" ca="1" si="803"/>
        <v>0</v>
      </c>
      <c r="BW1006" s="24">
        <f t="shared" ca="1" si="799"/>
        <v>-35.136732698613734</v>
      </c>
      <c r="BX1006" s="25">
        <f t="shared" ca="1" si="804"/>
        <v>-450.60620114229511</v>
      </c>
      <c r="BY1006" s="23">
        <f t="shared" ca="1" si="771"/>
        <v>89.235789618055932</v>
      </c>
      <c r="BZ1006" s="24">
        <f t="shared" ca="1" si="772"/>
        <v>0</v>
      </c>
      <c r="CA1006" s="24">
        <f t="shared" ca="1" si="805"/>
        <v>0</v>
      </c>
      <c r="CB1006" s="24">
        <f t="shared" ca="1" si="773"/>
        <v>0</v>
      </c>
      <c r="CC1006" s="24">
        <f t="shared" ca="1" si="806"/>
        <v>0</v>
      </c>
      <c r="CD1006" s="24">
        <f t="shared" ca="1" si="774"/>
        <v>-1.3463417798849773</v>
      </c>
      <c r="CE1006" s="25">
        <f t="shared" ca="1" si="807"/>
        <v>-17.587647285879203</v>
      </c>
      <c r="CF1006" s="23">
        <f t="shared" ca="1" si="808"/>
        <v>6892372.0006569065</v>
      </c>
      <c r="CG1006" s="25">
        <f t="array" aca="1" ref="CG1006" ca="1">SUM(BF995:BF1006/(1+inflation/100)^(AP995:AP1006/12))</f>
        <v>267980.53702225385</v>
      </c>
      <c r="CH1006" s="32">
        <f ca="1">IFERROR(IF(MOD(AP1006-ap_months_since_start,12)=0,ap_drawdown/100*(AQ1006+AV1006+BA1006-BC1006),CH1005),0)</f>
        <v>370.30692150953809</v>
      </c>
    </row>
    <row r="1007" spans="40:86" x14ac:dyDescent="0.25">
      <c r="AN1007" s="32">
        <f t="shared" ca="1" si="769"/>
        <v>138.16666666666666</v>
      </c>
      <c r="AO1007" s="53">
        <f t="shared" ca="1" si="800"/>
        <v>76032</v>
      </c>
      <c r="AP1007" s="22">
        <v>1000</v>
      </c>
      <c r="AQ1007" s="32">
        <f t="shared" ca="1" si="801"/>
        <v>2336.4934481999421</v>
      </c>
      <c r="AR1007" s="23">
        <f t="array" aca="1" ref="AR1007" ca="1">SUM(IF(lsc_start_date=AO1007,lsc_amount,0))</f>
        <v>0</v>
      </c>
      <c r="AS1007" s="24">
        <f t="shared" ca="1" si="775"/>
        <v>0</v>
      </c>
      <c r="AT1007" s="24">
        <f t="shared" ca="1" si="776"/>
        <v>0</v>
      </c>
      <c r="AU1007" s="24">
        <f t="shared" ca="1" si="777"/>
        <v>0</v>
      </c>
      <c r="AV1007" s="25">
        <f t="shared" ca="1" si="778"/>
        <v>0</v>
      </c>
      <c r="AW1007" s="23">
        <f t="array" aca="1" ref="AW1007" ca="1">SUM(IF(rcs_start_date&lt;=AO1007,1,0)*IF(rcs_end_date&gt;=AO1007,1,0)*rcs_amount*(1+rcs_escalation/100)^(INT((AP1007-rcs_months_since_start)/12))*IF(MOD((AP1007-rcs_months_since_start),rcs_frequency)=0,1,0)*IF(rcs_frequency=13,0,1))+SUM(IF(rcs_start_date=AO1007,rcs_amount,0)*IF(rcs_frequency=13,1,0))</f>
        <v>0</v>
      </c>
      <c r="AX1007" s="24">
        <f t="shared" ca="1" si="779"/>
        <v>0</v>
      </c>
      <c r="AY1007" s="24">
        <f t="shared" ca="1" si="780"/>
        <v>0</v>
      </c>
      <c r="AZ1007" s="24">
        <f t="shared" ca="1" si="781"/>
        <v>0</v>
      </c>
      <c r="BA1007" s="25">
        <f t="shared" ca="1" si="782"/>
        <v>0</v>
      </c>
      <c r="BB1007" s="23">
        <f t="array" aca="1" ref="BB1007" ca="1">SUM(IF(w_start_date&lt;=AO1007,1,0)*IF(w_end_date&gt;=AO1007,1,0)*w_amount*(1+w_escalation/100)^(INT((AP1007-w_months_since_start)/12))*IF(MOD(AP1007-w_months_since_start,w_frequency)=0,1,0)*IF(w_frequency=13,0,1))+SUM(IF(w_start_date=AO1007,w_amount,0)*IF(w_frequency=13,1,0))</f>
        <v>0</v>
      </c>
      <c r="BC1007" s="25">
        <f t="shared" ca="1" si="783"/>
        <v>0</v>
      </c>
      <c r="BD1007" s="24" t="b">
        <f t="shared" ca="1" si="784"/>
        <v>1</v>
      </c>
      <c r="BE1007" s="24" t="b">
        <f t="shared" ca="1" si="785"/>
        <v>1</v>
      </c>
      <c r="BF1007" s="23">
        <f t="array" aca="1" ref="BF1007" ca="1">SUM(IF(BD1007,1,0)*IF(ap_start_date&lt;=AO1007,1,0)*IF(ap_end_date&gt;=AO1007,1,0)*ap_amount*(1+ap_escalation/100)^(INT((AP1007-ap_months_since_start)/12))*IF(MOD(AP1007-ap_months_since_start,ap_frequency)=0,1,0))</f>
        <v>589479.18426670926</v>
      </c>
      <c r="BG1007" s="24">
        <f t="shared" ca="1" si="786"/>
        <v>7073750.2112005092</v>
      </c>
      <c r="BH1007" s="24">
        <f t="shared" ca="1" si="787"/>
        <v>60.234398911909253</v>
      </c>
      <c r="BI1007">
        <f t="shared" ca="1" si="788"/>
        <v>0</v>
      </c>
      <c r="BJ1007" s="24">
        <f t="shared" ca="1" si="789"/>
        <v>421.64079238336473</v>
      </c>
      <c r="BK1007">
        <f t="shared" ca="1" si="790"/>
        <v>1</v>
      </c>
      <c r="BL1007" s="25">
        <f t="shared" ca="1" si="791"/>
        <v>35.136732698613734</v>
      </c>
      <c r="BM1007" s="32">
        <f t="shared" ca="1" si="770"/>
        <v>2317.9433374157088</v>
      </c>
      <c r="BN1007" s="23">
        <f t="shared" ca="1" si="792"/>
        <v>0</v>
      </c>
      <c r="BO1007" s="24">
        <f t="shared" ca="1" si="793"/>
        <v>0</v>
      </c>
      <c r="BP1007" s="25">
        <f t="shared" ca="1" si="794"/>
        <v>0</v>
      </c>
      <c r="BQ1007" s="34">
        <f t="shared" ca="1" si="795"/>
        <v>76062</v>
      </c>
      <c r="BR1007" s="23">
        <f t="shared" ca="1" si="796"/>
        <v>2317.9433374157088</v>
      </c>
      <c r="BS1007" s="24">
        <f t="shared" ca="1" si="797"/>
        <v>0</v>
      </c>
      <c r="BT1007" s="24">
        <f t="shared" ca="1" si="802"/>
        <v>0</v>
      </c>
      <c r="BU1007" s="24">
        <f t="shared" ca="1" si="798"/>
        <v>0</v>
      </c>
      <c r="BV1007" s="24">
        <f t="shared" ca="1" si="803"/>
        <v>0</v>
      </c>
      <c r="BW1007" s="24">
        <f t="shared" ca="1" si="799"/>
        <v>-35.136732698613734</v>
      </c>
      <c r="BX1007" s="25">
        <f t="shared" ca="1" si="804"/>
        <v>-446.98552504742884</v>
      </c>
      <c r="BY1007" s="23">
        <f t="shared" ca="1" si="771"/>
        <v>88.238450632289869</v>
      </c>
      <c r="BZ1007" s="24">
        <f t="shared" ca="1" si="772"/>
        <v>0</v>
      </c>
      <c r="CA1007" s="24">
        <f t="shared" ca="1" si="805"/>
        <v>0</v>
      </c>
      <c r="CB1007" s="24">
        <f t="shared" ca="1" si="773"/>
        <v>0</v>
      </c>
      <c r="CC1007" s="24">
        <f t="shared" ca="1" si="806"/>
        <v>0</v>
      </c>
      <c r="CD1007" s="24">
        <f t="shared" ca="1" si="774"/>
        <v>-1.3419485894021859</v>
      </c>
      <c r="CE1007" s="25">
        <f t="shared" ca="1" si="807"/>
        <v>-17.390156550469037</v>
      </c>
      <c r="CF1007" s="23">
        <f t="shared" ca="1" si="808"/>
        <v>6915044.2769748569</v>
      </c>
      <c r="CG1007" s="25">
        <f t="array" aca="1" ref="CG1007" ca="1">SUM(BF996:BF1007/(1+inflation/100)^(AP996:AP1007/12))</f>
        <v>267980.53702225385</v>
      </c>
      <c r="CH1007" s="32">
        <f ca="1">IFERROR(IF(MOD(AP1007-ap_months_since_start,12)=0,ap_drawdown/100*(AQ1007+AV1007+BA1007-BC1007),CH1006),0)</f>
        <v>370.30692150953809</v>
      </c>
    </row>
    <row r="1008" spans="40:86" x14ac:dyDescent="0.25">
      <c r="AN1008" s="32">
        <f t="shared" ca="1" si="769"/>
        <v>138.25</v>
      </c>
      <c r="AO1008" s="53">
        <f t="shared" ca="1" si="800"/>
        <v>76063</v>
      </c>
      <c r="AP1008" s="22">
        <v>1001</v>
      </c>
      <c r="AQ1008" s="32">
        <f t="shared" ca="1" si="801"/>
        <v>2317.9433374157088</v>
      </c>
      <c r="AR1008" s="23">
        <f t="array" aca="1" ref="AR1008" ca="1">SUM(IF(lsc_start_date=AO1008,lsc_amount,0))</f>
        <v>0</v>
      </c>
      <c r="AS1008" s="24">
        <f t="shared" ca="1" si="775"/>
        <v>0</v>
      </c>
      <c r="AT1008" s="24">
        <f t="shared" ca="1" si="776"/>
        <v>0</v>
      </c>
      <c r="AU1008" s="24">
        <f t="shared" ca="1" si="777"/>
        <v>0</v>
      </c>
      <c r="AV1008" s="25">
        <f t="shared" ca="1" si="778"/>
        <v>0</v>
      </c>
      <c r="AW1008" s="23">
        <f t="array" aca="1" ref="AW1008" ca="1">SUM(IF(rcs_start_date&lt;=AO1008,1,0)*IF(rcs_end_date&gt;=AO1008,1,0)*rcs_amount*(1+rcs_escalation/100)^(INT((AP1008-rcs_months_since_start)/12))*IF(MOD((AP1008-rcs_months_since_start),rcs_frequency)=0,1,0)*IF(rcs_frequency=13,0,1))+SUM(IF(rcs_start_date=AO1008,rcs_amount,0)*IF(rcs_frequency=13,1,0))</f>
        <v>0</v>
      </c>
      <c r="AX1008" s="24">
        <f t="shared" ca="1" si="779"/>
        <v>0</v>
      </c>
      <c r="AY1008" s="24">
        <f t="shared" ca="1" si="780"/>
        <v>0</v>
      </c>
      <c r="AZ1008" s="24">
        <f t="shared" ca="1" si="781"/>
        <v>0</v>
      </c>
      <c r="BA1008" s="25">
        <f t="shared" ca="1" si="782"/>
        <v>0</v>
      </c>
      <c r="BB1008" s="23">
        <f t="array" aca="1" ref="BB1008" ca="1">SUM(IF(w_start_date&lt;=AO1008,1,0)*IF(w_end_date&gt;=AO1008,1,0)*w_amount*(1+w_escalation/100)^(INT((AP1008-w_months_since_start)/12))*IF(MOD(AP1008-w_months_since_start,w_frequency)=0,1,0)*IF(w_frequency=13,0,1))+SUM(IF(w_start_date=AO1008,w_amount,0)*IF(w_frequency=13,1,0))</f>
        <v>0</v>
      </c>
      <c r="BC1008" s="25">
        <f t="shared" ca="1" si="783"/>
        <v>0</v>
      </c>
      <c r="BD1008" s="24" t="b">
        <f t="shared" ca="1" si="784"/>
        <v>1</v>
      </c>
      <c r="BE1008" s="24" t="b">
        <f t="shared" ca="1" si="785"/>
        <v>1</v>
      </c>
      <c r="BF1008" s="23">
        <f t="array" aca="1" ref="BF1008" ca="1">SUM(IF(BD1008,1,0)*IF(ap_start_date&lt;=AO1008,1,0)*IF(ap_end_date&gt;=AO1008,1,0)*ap_amount*(1+ap_escalation/100)^(INT((AP1008-ap_months_since_start)/12))*IF(MOD(AP1008-ap_months_since_start,ap_frequency)=0,1,0))</f>
        <v>589479.18426670926</v>
      </c>
      <c r="BG1008" s="24">
        <f t="shared" ca="1" si="786"/>
        <v>7073750.2112005092</v>
      </c>
      <c r="BH1008" s="24">
        <f t="shared" ca="1" si="787"/>
        <v>60.234398911909253</v>
      </c>
      <c r="BI1008">
        <f t="shared" ca="1" si="788"/>
        <v>0</v>
      </c>
      <c r="BJ1008" s="24">
        <f t="shared" ca="1" si="789"/>
        <v>421.64079238336473</v>
      </c>
      <c r="BK1008">
        <f t="shared" ca="1" si="790"/>
        <v>1</v>
      </c>
      <c r="BL1008" s="25">
        <f t="shared" ca="1" si="791"/>
        <v>35.136732698613734</v>
      </c>
      <c r="BM1008" s="32">
        <f t="shared" ca="1" si="770"/>
        <v>2299.2595299855034</v>
      </c>
      <c r="BN1008" s="23">
        <f t="shared" ca="1" si="792"/>
        <v>0</v>
      </c>
      <c r="BO1008" s="24">
        <f t="shared" ca="1" si="793"/>
        <v>0</v>
      </c>
      <c r="BP1008" s="25">
        <f t="shared" ca="1" si="794"/>
        <v>0</v>
      </c>
      <c r="BQ1008" s="34">
        <f t="shared" ca="1" si="795"/>
        <v>76092</v>
      </c>
      <c r="BR1008" s="23">
        <f t="shared" ca="1" si="796"/>
        <v>2299.2595299855034</v>
      </c>
      <c r="BS1008" s="24">
        <f t="shared" ca="1" si="797"/>
        <v>0</v>
      </c>
      <c r="BT1008" s="24">
        <f t="shared" ca="1" si="802"/>
        <v>0</v>
      </c>
      <c r="BU1008" s="24">
        <f t="shared" ca="1" si="798"/>
        <v>0</v>
      </c>
      <c r="BV1008" s="24">
        <f t="shared" ca="1" si="803"/>
        <v>0</v>
      </c>
      <c r="BW1008" s="24">
        <f t="shared" ca="1" si="799"/>
        <v>-35.136732698613734</v>
      </c>
      <c r="BX1008" s="25">
        <f t="shared" ca="1" si="804"/>
        <v>-443.36484895256257</v>
      </c>
      <c r="BY1008" s="23">
        <f t="shared" ca="1" si="771"/>
        <v>87.241597355303156</v>
      </c>
      <c r="BZ1008" s="24">
        <f t="shared" ca="1" si="772"/>
        <v>0</v>
      </c>
      <c r="CA1008" s="24">
        <f t="shared" ca="1" si="805"/>
        <v>0</v>
      </c>
      <c r="CB1008" s="24">
        <f t="shared" ca="1" si="773"/>
        <v>0</v>
      </c>
      <c r="CC1008" s="24">
        <f t="shared" ca="1" si="806"/>
        <v>0</v>
      </c>
      <c r="CD1008" s="24">
        <f t="shared" ca="1" si="774"/>
        <v>-1.3375697341520276</v>
      </c>
      <c r="CE1008" s="25">
        <f t="shared" ca="1" si="807"/>
        <v>-17.193310238660811</v>
      </c>
      <c r="CF1008" s="23">
        <f t="shared" ca="1" si="808"/>
        <v>6937716.5532928072</v>
      </c>
      <c r="CG1008" s="25">
        <f t="array" aca="1" ref="CG1008" ca="1">SUM(BF997:BF1008/(1+inflation/100)^(AP997:AP1008/12))</f>
        <v>267980.53702225391</v>
      </c>
      <c r="CH1008" s="32">
        <f ca="1">IFERROR(IF(MOD(AP1008-ap_months_since_start,12)=0,ap_drawdown/100*(AQ1008+AV1008+BA1008-BC1008),CH1007),0)</f>
        <v>370.30692150953809</v>
      </c>
    </row>
    <row r="1009" spans="40:86" x14ac:dyDescent="0.25">
      <c r="AN1009" s="32">
        <f t="shared" ca="1" si="769"/>
        <v>138.33333333333334</v>
      </c>
      <c r="AO1009" s="53">
        <f t="shared" ca="1" si="800"/>
        <v>76093</v>
      </c>
      <c r="AP1009" s="22">
        <v>1002</v>
      </c>
      <c r="AQ1009" s="32">
        <f t="shared" ca="1" si="801"/>
        <v>2299.2595299855034</v>
      </c>
      <c r="AR1009" s="23">
        <f t="array" aca="1" ref="AR1009" ca="1">SUM(IF(lsc_start_date=AO1009,lsc_amount,0))</f>
        <v>0</v>
      </c>
      <c r="AS1009" s="24">
        <f t="shared" ca="1" si="775"/>
        <v>0</v>
      </c>
      <c r="AT1009" s="24">
        <f t="shared" ca="1" si="776"/>
        <v>0</v>
      </c>
      <c r="AU1009" s="24">
        <f t="shared" ca="1" si="777"/>
        <v>0</v>
      </c>
      <c r="AV1009" s="25">
        <f t="shared" ca="1" si="778"/>
        <v>0</v>
      </c>
      <c r="AW1009" s="23">
        <f t="array" aca="1" ref="AW1009" ca="1">SUM(IF(rcs_start_date&lt;=AO1009,1,0)*IF(rcs_end_date&gt;=AO1009,1,0)*rcs_amount*(1+rcs_escalation/100)^(INT((AP1009-rcs_months_since_start)/12))*IF(MOD((AP1009-rcs_months_since_start),rcs_frequency)=0,1,0)*IF(rcs_frequency=13,0,1))+SUM(IF(rcs_start_date=AO1009,rcs_amount,0)*IF(rcs_frequency=13,1,0))</f>
        <v>0</v>
      </c>
      <c r="AX1009" s="24">
        <f t="shared" ca="1" si="779"/>
        <v>0</v>
      </c>
      <c r="AY1009" s="24">
        <f t="shared" ca="1" si="780"/>
        <v>0</v>
      </c>
      <c r="AZ1009" s="24">
        <f t="shared" ca="1" si="781"/>
        <v>0</v>
      </c>
      <c r="BA1009" s="25">
        <f t="shared" ca="1" si="782"/>
        <v>0</v>
      </c>
      <c r="BB1009" s="23">
        <f t="array" aca="1" ref="BB1009" ca="1">SUM(IF(w_start_date&lt;=AO1009,1,0)*IF(w_end_date&gt;=AO1009,1,0)*w_amount*(1+w_escalation/100)^(INT((AP1009-w_months_since_start)/12))*IF(MOD(AP1009-w_months_since_start,w_frequency)=0,1,0)*IF(w_frequency=13,0,1))+SUM(IF(w_start_date=AO1009,w_amount,0)*IF(w_frequency=13,1,0))</f>
        <v>0</v>
      </c>
      <c r="BC1009" s="25">
        <f t="shared" ca="1" si="783"/>
        <v>0</v>
      </c>
      <c r="BD1009" s="24" t="b">
        <f t="shared" ca="1" si="784"/>
        <v>1</v>
      </c>
      <c r="BE1009" s="24" t="b">
        <f t="shared" ca="1" si="785"/>
        <v>1</v>
      </c>
      <c r="BF1009" s="23">
        <f t="array" aca="1" ref="BF1009" ca="1">SUM(IF(BD1009,1,0)*IF(ap_start_date&lt;=AO1009,1,0)*IF(ap_end_date&gt;=AO1009,1,0)*ap_amount*(1+ap_escalation/100)^(INT((AP1009-ap_months_since_start)/12))*IF(MOD(AP1009-ap_months_since_start,ap_frequency)=0,1,0))</f>
        <v>589479.18426670926</v>
      </c>
      <c r="BG1009" s="24">
        <f t="shared" ca="1" si="786"/>
        <v>7073750.2112005092</v>
      </c>
      <c r="BH1009" s="24">
        <f t="shared" ca="1" si="787"/>
        <v>60.234398911909253</v>
      </c>
      <c r="BI1009">
        <f t="shared" ca="1" si="788"/>
        <v>0</v>
      </c>
      <c r="BJ1009" s="24">
        <f t="shared" ca="1" si="789"/>
        <v>421.64079238336473</v>
      </c>
      <c r="BK1009">
        <f t="shared" ca="1" si="790"/>
        <v>1</v>
      </c>
      <c r="BL1009" s="25">
        <f t="shared" ca="1" si="791"/>
        <v>35.136732698613734</v>
      </c>
      <c r="BM1009" s="32">
        <f t="shared" ca="1" si="770"/>
        <v>2280.4410623143722</v>
      </c>
      <c r="BN1009" s="23">
        <f t="shared" ca="1" si="792"/>
        <v>0</v>
      </c>
      <c r="BO1009" s="24">
        <f t="shared" ca="1" si="793"/>
        <v>0</v>
      </c>
      <c r="BP1009" s="25">
        <f t="shared" ca="1" si="794"/>
        <v>0</v>
      </c>
      <c r="BQ1009" s="34">
        <f t="shared" ca="1" si="795"/>
        <v>76123</v>
      </c>
      <c r="BR1009" s="23">
        <f t="shared" ca="1" si="796"/>
        <v>2280.4410623143722</v>
      </c>
      <c r="BS1009" s="24">
        <f t="shared" ca="1" si="797"/>
        <v>0</v>
      </c>
      <c r="BT1009" s="24">
        <f t="shared" ca="1" si="802"/>
        <v>0</v>
      </c>
      <c r="BU1009" s="24">
        <f t="shared" ca="1" si="798"/>
        <v>0</v>
      </c>
      <c r="BV1009" s="24">
        <f t="shared" ca="1" si="803"/>
        <v>0</v>
      </c>
      <c r="BW1009" s="24">
        <f t="shared" ca="1" si="799"/>
        <v>-35.136732698613734</v>
      </c>
      <c r="BX1009" s="25">
        <f t="shared" ca="1" si="804"/>
        <v>-439.7441728576963</v>
      </c>
      <c r="BY1009" s="23">
        <f t="shared" ca="1" si="771"/>
        <v>86.245217346960231</v>
      </c>
      <c r="BZ1009" s="24">
        <f t="shared" ca="1" si="772"/>
        <v>0</v>
      </c>
      <c r="CA1009" s="24">
        <f t="shared" ca="1" si="805"/>
        <v>0</v>
      </c>
      <c r="CB1009" s="24">
        <f t="shared" ca="1" si="773"/>
        <v>0</v>
      </c>
      <c r="CC1009" s="24">
        <f t="shared" ca="1" si="806"/>
        <v>0</v>
      </c>
      <c r="CD1009" s="24">
        <f t="shared" ca="1" si="774"/>
        <v>-1.3332051673578149</v>
      </c>
      <c r="CE1009" s="25">
        <f t="shared" ca="1" si="807"/>
        <v>-16.997106247663343</v>
      </c>
      <c r="CF1009" s="23">
        <f t="shared" ca="1" si="808"/>
        <v>6960388.8296107575</v>
      </c>
      <c r="CG1009" s="25">
        <f t="array" aca="1" ref="CG1009" ca="1">SUM(BF998:BF1009/(1+inflation/100)^(AP998:AP1009/12))</f>
        <v>267980.53702225391</v>
      </c>
      <c r="CH1009" s="32">
        <f ca="1">IFERROR(IF(MOD(AP1009-ap_months_since_start,12)=0,ap_drawdown/100*(AQ1009+AV1009+BA1009-BC1009),CH1008),0)</f>
        <v>370.30692150953809</v>
      </c>
    </row>
    <row r="1010" spans="40:86" x14ac:dyDescent="0.25">
      <c r="AN1010" s="32">
        <f t="shared" ca="1" si="769"/>
        <v>138.41666666666666</v>
      </c>
      <c r="AO1010" s="53">
        <f t="shared" ca="1" si="800"/>
        <v>76124</v>
      </c>
      <c r="AP1010" s="22">
        <v>1003</v>
      </c>
      <c r="AQ1010" s="32">
        <f t="shared" ca="1" si="801"/>
        <v>2280.4410623143722</v>
      </c>
      <c r="AR1010" s="23">
        <f t="array" aca="1" ref="AR1010" ca="1">SUM(IF(lsc_start_date=AO1010,lsc_amount,0))</f>
        <v>0</v>
      </c>
      <c r="AS1010" s="24">
        <f t="shared" ca="1" si="775"/>
        <v>0</v>
      </c>
      <c r="AT1010" s="24">
        <f t="shared" ca="1" si="776"/>
        <v>0</v>
      </c>
      <c r="AU1010" s="24">
        <f t="shared" ca="1" si="777"/>
        <v>0</v>
      </c>
      <c r="AV1010" s="25">
        <f t="shared" ca="1" si="778"/>
        <v>0</v>
      </c>
      <c r="AW1010" s="23">
        <f t="array" aca="1" ref="AW1010" ca="1">SUM(IF(rcs_start_date&lt;=AO1010,1,0)*IF(rcs_end_date&gt;=AO1010,1,0)*rcs_amount*(1+rcs_escalation/100)^(INT((AP1010-rcs_months_since_start)/12))*IF(MOD((AP1010-rcs_months_since_start),rcs_frequency)=0,1,0)*IF(rcs_frequency=13,0,1))+SUM(IF(rcs_start_date=AO1010,rcs_amount,0)*IF(rcs_frequency=13,1,0))</f>
        <v>0</v>
      </c>
      <c r="AX1010" s="24">
        <f t="shared" ca="1" si="779"/>
        <v>0</v>
      </c>
      <c r="AY1010" s="24">
        <f t="shared" ca="1" si="780"/>
        <v>0</v>
      </c>
      <c r="AZ1010" s="24">
        <f t="shared" ca="1" si="781"/>
        <v>0</v>
      </c>
      <c r="BA1010" s="25">
        <f t="shared" ca="1" si="782"/>
        <v>0</v>
      </c>
      <c r="BB1010" s="23">
        <f t="array" aca="1" ref="BB1010" ca="1">SUM(IF(w_start_date&lt;=AO1010,1,0)*IF(w_end_date&gt;=AO1010,1,0)*w_amount*(1+w_escalation/100)^(INT((AP1010-w_months_since_start)/12))*IF(MOD(AP1010-w_months_since_start,w_frequency)=0,1,0)*IF(w_frequency=13,0,1))+SUM(IF(w_start_date=AO1010,w_amount,0)*IF(w_frequency=13,1,0))</f>
        <v>0</v>
      </c>
      <c r="BC1010" s="25">
        <f t="shared" ca="1" si="783"/>
        <v>0</v>
      </c>
      <c r="BD1010" s="24" t="b">
        <f t="shared" ca="1" si="784"/>
        <v>1</v>
      </c>
      <c r="BE1010" s="24" t="b">
        <f t="shared" ca="1" si="785"/>
        <v>1</v>
      </c>
      <c r="BF1010" s="23">
        <f t="array" aca="1" ref="BF1010" ca="1">SUM(IF(BD1010,1,0)*IF(ap_start_date&lt;=AO1010,1,0)*IF(ap_end_date&gt;=AO1010,1,0)*ap_amount*(1+ap_escalation/100)^(INT((AP1010-ap_months_since_start)/12))*IF(MOD(AP1010-ap_months_since_start,ap_frequency)=0,1,0))</f>
        <v>589479.18426670926</v>
      </c>
      <c r="BG1010" s="24">
        <f t="shared" ca="1" si="786"/>
        <v>7073750.2112005092</v>
      </c>
      <c r="BH1010" s="24">
        <f t="shared" ca="1" si="787"/>
        <v>60.234398911909253</v>
      </c>
      <c r="BI1010">
        <f t="shared" ca="1" si="788"/>
        <v>0</v>
      </c>
      <c r="BJ1010" s="24">
        <f t="shared" ca="1" si="789"/>
        <v>421.64079238336473</v>
      </c>
      <c r="BK1010">
        <f t="shared" ca="1" si="790"/>
        <v>1</v>
      </c>
      <c r="BL1010" s="25">
        <f t="shared" ca="1" si="791"/>
        <v>35.136732698613734</v>
      </c>
      <c r="BM1010" s="32">
        <f t="shared" ca="1" si="770"/>
        <v>2261.4869638624209</v>
      </c>
      <c r="BN1010" s="23">
        <f t="shared" ca="1" si="792"/>
        <v>0</v>
      </c>
      <c r="BO1010" s="24">
        <f t="shared" ca="1" si="793"/>
        <v>0</v>
      </c>
      <c r="BP1010" s="25">
        <f t="shared" ca="1" si="794"/>
        <v>0</v>
      </c>
      <c r="BQ1010" s="34">
        <f t="shared" ca="1" si="795"/>
        <v>76153</v>
      </c>
      <c r="BR1010" s="23">
        <f t="shared" ca="1" si="796"/>
        <v>2261.4869638624209</v>
      </c>
      <c r="BS1010" s="24">
        <f t="shared" ca="1" si="797"/>
        <v>0</v>
      </c>
      <c r="BT1010" s="24">
        <f t="shared" ca="1" si="802"/>
        <v>0</v>
      </c>
      <c r="BU1010" s="24">
        <f t="shared" ca="1" si="798"/>
        <v>0</v>
      </c>
      <c r="BV1010" s="24">
        <f t="shared" ca="1" si="803"/>
        <v>0</v>
      </c>
      <c r="BW1010" s="24">
        <f t="shared" ca="1" si="799"/>
        <v>-35.136732698613734</v>
      </c>
      <c r="BX1010" s="25">
        <f t="shared" ca="1" si="804"/>
        <v>-436.12349676283003</v>
      </c>
      <c r="BY1010" s="23">
        <f t="shared" ca="1" si="771"/>
        <v>85.249298165157612</v>
      </c>
      <c r="BZ1010" s="24">
        <f t="shared" ca="1" si="772"/>
        <v>0</v>
      </c>
      <c r="CA1010" s="24">
        <f t="shared" ca="1" si="805"/>
        <v>0</v>
      </c>
      <c r="CB1010" s="24">
        <f t="shared" ca="1" si="773"/>
        <v>0</v>
      </c>
      <c r="CC1010" s="24">
        <f t="shared" ca="1" si="806"/>
        <v>0</v>
      </c>
      <c r="CD1010" s="24">
        <f t="shared" ca="1" si="774"/>
        <v>-1.3288548423954976</v>
      </c>
      <c r="CE1010" s="25">
        <f t="shared" ca="1" si="807"/>
        <v>-16.801542481546964</v>
      </c>
      <c r="CF1010" s="23">
        <f t="shared" ca="1" si="808"/>
        <v>6983061.1059287079</v>
      </c>
      <c r="CG1010" s="25">
        <f t="array" aca="1" ref="CG1010" ca="1">SUM(BF999:BF1010/(1+inflation/100)^(AP999:AP1010/12))</f>
        <v>267980.53702225391</v>
      </c>
      <c r="CH1010" s="32">
        <f ca="1">IFERROR(IF(MOD(AP1010-ap_months_since_start,12)=0,ap_drawdown/100*(AQ1010+AV1010+BA1010-BC1010),CH1009),0)</f>
        <v>370.30692150953809</v>
      </c>
    </row>
    <row r="1011" spans="40:86" x14ac:dyDescent="0.25">
      <c r="AN1011" s="32">
        <f t="shared" ca="1" si="769"/>
        <v>138.5</v>
      </c>
      <c r="AO1011" s="53">
        <f t="shared" ca="1" si="800"/>
        <v>76154</v>
      </c>
      <c r="AP1011" s="22">
        <v>1004</v>
      </c>
      <c r="AQ1011" s="32">
        <f t="shared" ca="1" si="801"/>
        <v>2261.4869638624209</v>
      </c>
      <c r="AR1011" s="23">
        <f t="array" aca="1" ref="AR1011" ca="1">SUM(IF(lsc_start_date=AO1011,lsc_amount,0))</f>
        <v>0</v>
      </c>
      <c r="AS1011" s="24">
        <f t="shared" ca="1" si="775"/>
        <v>0</v>
      </c>
      <c r="AT1011" s="24">
        <f t="shared" ca="1" si="776"/>
        <v>0</v>
      </c>
      <c r="AU1011" s="24">
        <f t="shared" ca="1" si="777"/>
        <v>0</v>
      </c>
      <c r="AV1011" s="25">
        <f t="shared" ca="1" si="778"/>
        <v>0</v>
      </c>
      <c r="AW1011" s="23">
        <f t="array" aca="1" ref="AW1011" ca="1">SUM(IF(rcs_start_date&lt;=AO1011,1,0)*IF(rcs_end_date&gt;=AO1011,1,0)*rcs_amount*(1+rcs_escalation/100)^(INT((AP1011-rcs_months_since_start)/12))*IF(MOD((AP1011-rcs_months_since_start),rcs_frequency)=0,1,0)*IF(rcs_frequency=13,0,1))+SUM(IF(rcs_start_date=AO1011,rcs_amount,0)*IF(rcs_frequency=13,1,0))</f>
        <v>0</v>
      </c>
      <c r="AX1011" s="24">
        <f t="shared" ca="1" si="779"/>
        <v>0</v>
      </c>
      <c r="AY1011" s="24">
        <f t="shared" ca="1" si="780"/>
        <v>0</v>
      </c>
      <c r="AZ1011" s="24">
        <f t="shared" ca="1" si="781"/>
        <v>0</v>
      </c>
      <c r="BA1011" s="25">
        <f t="shared" ca="1" si="782"/>
        <v>0</v>
      </c>
      <c r="BB1011" s="23">
        <f t="array" aca="1" ref="BB1011" ca="1">SUM(IF(w_start_date&lt;=AO1011,1,0)*IF(w_end_date&gt;=AO1011,1,0)*w_amount*(1+w_escalation/100)^(INT((AP1011-w_months_since_start)/12))*IF(MOD(AP1011-w_months_since_start,w_frequency)=0,1,0)*IF(w_frequency=13,0,1))+SUM(IF(w_start_date=AO1011,w_amount,0)*IF(w_frequency=13,1,0))</f>
        <v>0</v>
      </c>
      <c r="BC1011" s="25">
        <f t="shared" ca="1" si="783"/>
        <v>0</v>
      </c>
      <c r="BD1011" s="24" t="b">
        <f t="shared" ca="1" si="784"/>
        <v>1</v>
      </c>
      <c r="BE1011" s="24" t="b">
        <f t="shared" ca="1" si="785"/>
        <v>1</v>
      </c>
      <c r="BF1011" s="23">
        <f t="array" aca="1" ref="BF1011" ca="1">SUM(IF(BD1011,1,0)*IF(ap_start_date&lt;=AO1011,1,0)*IF(ap_end_date&gt;=AO1011,1,0)*ap_amount*(1+ap_escalation/100)^(INT((AP1011-ap_months_since_start)/12))*IF(MOD(AP1011-ap_months_since_start,ap_frequency)=0,1,0))</f>
        <v>589479.18426670926</v>
      </c>
      <c r="BG1011" s="24">
        <f t="shared" ca="1" si="786"/>
        <v>7073750.2112005092</v>
      </c>
      <c r="BH1011" s="24">
        <f t="shared" ca="1" si="787"/>
        <v>60.234398911909253</v>
      </c>
      <c r="BI1011">
        <f t="shared" ca="1" si="788"/>
        <v>0</v>
      </c>
      <c r="BJ1011" s="24">
        <f t="shared" ca="1" si="789"/>
        <v>421.64079238336473</v>
      </c>
      <c r="BK1011">
        <f t="shared" ca="1" si="790"/>
        <v>1</v>
      </c>
      <c r="BL1011" s="25">
        <f t="shared" ca="1" si="791"/>
        <v>35.136732698613734</v>
      </c>
      <c r="BM1011" s="32">
        <f t="shared" ca="1" si="770"/>
        <v>2242.3962570947606</v>
      </c>
      <c r="BN1011" s="23">
        <f t="shared" ca="1" si="792"/>
        <v>0</v>
      </c>
      <c r="BO1011" s="24">
        <f t="shared" ca="1" si="793"/>
        <v>0</v>
      </c>
      <c r="BP1011" s="25">
        <f t="shared" ca="1" si="794"/>
        <v>0</v>
      </c>
      <c r="BQ1011" s="34">
        <f t="shared" ca="1" si="795"/>
        <v>76184</v>
      </c>
      <c r="BR1011" s="23">
        <f t="shared" ca="1" si="796"/>
        <v>2242.3962570947606</v>
      </c>
      <c r="BS1011" s="24">
        <f t="shared" ca="1" si="797"/>
        <v>0</v>
      </c>
      <c r="BT1011" s="24">
        <f t="shared" ca="1" si="802"/>
        <v>0</v>
      </c>
      <c r="BU1011" s="24">
        <f t="shared" ca="1" si="798"/>
        <v>0</v>
      </c>
      <c r="BV1011" s="24">
        <f t="shared" ca="1" si="803"/>
        <v>0</v>
      </c>
      <c r="BW1011" s="24">
        <f t="shared" ca="1" si="799"/>
        <v>-35.136732698613734</v>
      </c>
      <c r="BX1011" s="25">
        <f t="shared" ca="1" si="804"/>
        <v>-432.5028206679637</v>
      </c>
      <c r="BY1011" s="23">
        <f t="shared" ca="1" si="771"/>
        <v>84.253827365663582</v>
      </c>
      <c r="BZ1011" s="24">
        <f t="shared" ca="1" si="772"/>
        <v>0</v>
      </c>
      <c r="CA1011" s="24">
        <f t="shared" ca="1" si="805"/>
        <v>0</v>
      </c>
      <c r="CB1011" s="24">
        <f t="shared" ca="1" si="773"/>
        <v>0</v>
      </c>
      <c r="CC1011" s="24">
        <f t="shared" ca="1" si="806"/>
        <v>0</v>
      </c>
      <c r="CD1011" s="24">
        <f t="shared" ca="1" si="774"/>
        <v>-1.3245187127931599</v>
      </c>
      <c r="CE1011" s="25">
        <f t="shared" ca="1" si="807"/>
        <v>-16.606616851221155</v>
      </c>
      <c r="CF1011" s="23">
        <f t="shared" ca="1" si="808"/>
        <v>7005733.3822466582</v>
      </c>
      <c r="CG1011" s="25">
        <f t="array" aca="1" ref="CG1011" ca="1">SUM(BF1000:BF1011/(1+inflation/100)^(AP1000:AP1011/12))</f>
        <v>267980.53702225396</v>
      </c>
      <c r="CH1011" s="32">
        <f ca="1">IFERROR(IF(MOD(AP1011-ap_months_since_start,12)=0,ap_drawdown/100*(AQ1011+AV1011+BA1011-BC1011),CH1010),0)</f>
        <v>370.30692150953809</v>
      </c>
    </row>
    <row r="1012" spans="40:86" x14ac:dyDescent="0.25">
      <c r="AN1012" s="32">
        <f t="shared" ca="1" si="769"/>
        <v>138.58333333333334</v>
      </c>
      <c r="AO1012" s="53">
        <f t="shared" ca="1" si="800"/>
        <v>76185</v>
      </c>
      <c r="AP1012" s="22">
        <v>1005</v>
      </c>
      <c r="AQ1012" s="32">
        <f t="shared" ca="1" si="801"/>
        <v>2242.3962570947606</v>
      </c>
      <c r="AR1012" s="23">
        <f t="array" aca="1" ref="AR1012" ca="1">SUM(IF(lsc_start_date=AO1012,lsc_amount,0))</f>
        <v>0</v>
      </c>
      <c r="AS1012" s="24">
        <f t="shared" ca="1" si="775"/>
        <v>0</v>
      </c>
      <c r="AT1012" s="24">
        <f t="shared" ca="1" si="776"/>
        <v>0</v>
      </c>
      <c r="AU1012" s="24">
        <f t="shared" ca="1" si="777"/>
        <v>0</v>
      </c>
      <c r="AV1012" s="25">
        <f t="shared" ca="1" si="778"/>
        <v>0</v>
      </c>
      <c r="AW1012" s="23">
        <f t="array" aca="1" ref="AW1012" ca="1">SUM(IF(rcs_start_date&lt;=AO1012,1,0)*IF(rcs_end_date&gt;=AO1012,1,0)*rcs_amount*(1+rcs_escalation/100)^(INT((AP1012-rcs_months_since_start)/12))*IF(MOD((AP1012-rcs_months_since_start),rcs_frequency)=0,1,0)*IF(rcs_frequency=13,0,1))+SUM(IF(rcs_start_date=AO1012,rcs_amount,0)*IF(rcs_frequency=13,1,0))</f>
        <v>0</v>
      </c>
      <c r="AX1012" s="24">
        <f t="shared" ca="1" si="779"/>
        <v>0</v>
      </c>
      <c r="AY1012" s="24">
        <f t="shared" ca="1" si="780"/>
        <v>0</v>
      </c>
      <c r="AZ1012" s="24">
        <f t="shared" ca="1" si="781"/>
        <v>0</v>
      </c>
      <c r="BA1012" s="25">
        <f t="shared" ca="1" si="782"/>
        <v>0</v>
      </c>
      <c r="BB1012" s="23">
        <f t="array" aca="1" ref="BB1012" ca="1">SUM(IF(w_start_date&lt;=AO1012,1,0)*IF(w_end_date&gt;=AO1012,1,0)*w_amount*(1+w_escalation/100)^(INT((AP1012-w_months_since_start)/12))*IF(MOD(AP1012-w_months_since_start,w_frequency)=0,1,0)*IF(w_frequency=13,0,1))+SUM(IF(w_start_date=AO1012,w_amount,0)*IF(w_frequency=13,1,0))</f>
        <v>0</v>
      </c>
      <c r="BC1012" s="25">
        <f t="shared" ca="1" si="783"/>
        <v>0</v>
      </c>
      <c r="BD1012" s="24" t="b">
        <f t="shared" ca="1" si="784"/>
        <v>1</v>
      </c>
      <c r="BE1012" s="24" t="b">
        <f t="shared" ca="1" si="785"/>
        <v>1</v>
      </c>
      <c r="BF1012" s="23">
        <f t="array" aca="1" ref="BF1012" ca="1">SUM(IF(BD1012,1,0)*IF(ap_start_date&lt;=AO1012,1,0)*IF(ap_end_date&gt;=AO1012,1,0)*ap_amount*(1+ap_escalation/100)^(INT((AP1012-ap_months_since_start)/12))*IF(MOD(AP1012-ap_months_since_start,ap_frequency)=0,1,0))</f>
        <v>589479.18426670926</v>
      </c>
      <c r="BG1012" s="24">
        <f t="shared" ca="1" si="786"/>
        <v>7073750.2112005092</v>
      </c>
      <c r="BH1012" s="24">
        <f t="shared" ca="1" si="787"/>
        <v>60.234398911909253</v>
      </c>
      <c r="BI1012">
        <f t="shared" ca="1" si="788"/>
        <v>0</v>
      </c>
      <c r="BJ1012" s="24">
        <f t="shared" ca="1" si="789"/>
        <v>421.64079238336473</v>
      </c>
      <c r="BK1012">
        <f t="shared" ca="1" si="790"/>
        <v>1</v>
      </c>
      <c r="BL1012" s="25">
        <f t="shared" ca="1" si="791"/>
        <v>35.136732698613734</v>
      </c>
      <c r="BM1012" s="32">
        <f t="shared" ca="1" si="770"/>
        <v>2223.167957431092</v>
      </c>
      <c r="BN1012" s="23">
        <f t="shared" ca="1" si="792"/>
        <v>0</v>
      </c>
      <c r="BO1012" s="24">
        <f t="shared" ca="1" si="793"/>
        <v>0</v>
      </c>
      <c r="BP1012" s="25">
        <f t="shared" ca="1" si="794"/>
        <v>0</v>
      </c>
      <c r="BQ1012" s="34">
        <f t="shared" ca="1" si="795"/>
        <v>76215</v>
      </c>
      <c r="BR1012" s="23">
        <f t="shared" ca="1" si="796"/>
        <v>2223.167957431092</v>
      </c>
      <c r="BS1012" s="24">
        <f t="shared" ca="1" si="797"/>
        <v>0</v>
      </c>
      <c r="BT1012" s="24">
        <f t="shared" ca="1" si="802"/>
        <v>0</v>
      </c>
      <c r="BU1012" s="24">
        <f t="shared" ca="1" si="798"/>
        <v>0</v>
      </c>
      <c r="BV1012" s="24">
        <f t="shared" ca="1" si="803"/>
        <v>0</v>
      </c>
      <c r="BW1012" s="24">
        <f t="shared" ca="1" si="799"/>
        <v>-35.136732698613734</v>
      </c>
      <c r="BX1012" s="25">
        <f t="shared" ca="1" si="804"/>
        <v>-428.88214457309743</v>
      </c>
      <c r="BY1012" s="23">
        <f t="shared" ca="1" si="771"/>
        <v>83.258792501957771</v>
      </c>
      <c r="BZ1012" s="24">
        <f t="shared" ca="1" si="772"/>
        <v>0</v>
      </c>
      <c r="CA1012" s="24">
        <f t="shared" ca="1" si="805"/>
        <v>0</v>
      </c>
      <c r="CB1012" s="24">
        <f t="shared" ca="1" si="773"/>
        <v>0</v>
      </c>
      <c r="CC1012" s="24">
        <f t="shared" ca="1" si="806"/>
        <v>0</v>
      </c>
      <c r="CD1012" s="24">
        <f t="shared" ca="1" si="774"/>
        <v>-1.3201967322305272</v>
      </c>
      <c r="CE1012" s="25">
        <f t="shared" ca="1" si="807"/>
        <v>-16.41232727441221</v>
      </c>
      <c r="CF1012" s="23">
        <f t="shared" ca="1" si="808"/>
        <v>7028405.6585646085</v>
      </c>
      <c r="CG1012" s="25">
        <f t="array" aca="1" ref="CG1012" ca="1">SUM(BF1001:BF1012/(1+inflation/100)^(AP1001:AP1012/12))</f>
        <v>267980.53702225391</v>
      </c>
      <c r="CH1012" s="32">
        <f ca="1">IFERROR(IF(MOD(AP1012-ap_months_since_start,12)=0,ap_drawdown/100*(AQ1012+AV1012+BA1012-BC1012),CH1011),0)</f>
        <v>370.30692150953809</v>
      </c>
    </row>
    <row r="1013" spans="40:86" x14ac:dyDescent="0.25">
      <c r="AN1013" s="32">
        <f t="shared" ca="1" si="769"/>
        <v>138.66666666666666</v>
      </c>
      <c r="AO1013" s="53">
        <f t="shared" ca="1" si="800"/>
        <v>76216</v>
      </c>
      <c r="AP1013" s="22">
        <v>1006</v>
      </c>
      <c r="AQ1013" s="32">
        <f t="shared" ca="1" si="801"/>
        <v>2223.167957431092</v>
      </c>
      <c r="AR1013" s="23">
        <f t="array" aca="1" ref="AR1013" ca="1">SUM(IF(lsc_start_date=AO1013,lsc_amount,0))</f>
        <v>0</v>
      </c>
      <c r="AS1013" s="24">
        <f t="shared" ca="1" si="775"/>
        <v>0</v>
      </c>
      <c r="AT1013" s="24">
        <f t="shared" ca="1" si="776"/>
        <v>0</v>
      </c>
      <c r="AU1013" s="24">
        <f t="shared" ca="1" si="777"/>
        <v>0</v>
      </c>
      <c r="AV1013" s="25">
        <f t="shared" ca="1" si="778"/>
        <v>0</v>
      </c>
      <c r="AW1013" s="23">
        <f t="array" aca="1" ref="AW1013" ca="1">SUM(IF(rcs_start_date&lt;=AO1013,1,0)*IF(rcs_end_date&gt;=AO1013,1,0)*rcs_amount*(1+rcs_escalation/100)^(INT((AP1013-rcs_months_since_start)/12))*IF(MOD((AP1013-rcs_months_since_start),rcs_frequency)=0,1,0)*IF(rcs_frequency=13,0,1))+SUM(IF(rcs_start_date=AO1013,rcs_amount,0)*IF(rcs_frequency=13,1,0))</f>
        <v>0</v>
      </c>
      <c r="AX1013" s="24">
        <f t="shared" ca="1" si="779"/>
        <v>0</v>
      </c>
      <c r="AY1013" s="24">
        <f t="shared" ca="1" si="780"/>
        <v>0</v>
      </c>
      <c r="AZ1013" s="24">
        <f t="shared" ca="1" si="781"/>
        <v>0</v>
      </c>
      <c r="BA1013" s="25">
        <f t="shared" ca="1" si="782"/>
        <v>0</v>
      </c>
      <c r="BB1013" s="23">
        <f t="array" aca="1" ref="BB1013" ca="1">SUM(IF(w_start_date&lt;=AO1013,1,0)*IF(w_end_date&gt;=AO1013,1,0)*w_amount*(1+w_escalation/100)^(INT((AP1013-w_months_since_start)/12))*IF(MOD(AP1013-w_months_since_start,w_frequency)=0,1,0)*IF(w_frequency=13,0,1))+SUM(IF(w_start_date=AO1013,w_amount,0)*IF(w_frequency=13,1,0))</f>
        <v>0</v>
      </c>
      <c r="BC1013" s="25">
        <f t="shared" ca="1" si="783"/>
        <v>0</v>
      </c>
      <c r="BD1013" s="24" t="b">
        <f t="shared" ca="1" si="784"/>
        <v>1</v>
      </c>
      <c r="BE1013" s="24" t="b">
        <f t="shared" ca="1" si="785"/>
        <v>1</v>
      </c>
      <c r="BF1013" s="23">
        <f t="array" aca="1" ref="BF1013" ca="1">SUM(IF(BD1013,1,0)*IF(ap_start_date&lt;=AO1013,1,0)*IF(ap_end_date&gt;=AO1013,1,0)*ap_amount*(1+ap_escalation/100)^(INT((AP1013-ap_months_since_start)/12))*IF(MOD(AP1013-ap_months_since_start,ap_frequency)=0,1,0))</f>
        <v>589479.18426670926</v>
      </c>
      <c r="BG1013" s="24">
        <f t="shared" ca="1" si="786"/>
        <v>7073750.2112005092</v>
      </c>
      <c r="BH1013" s="24">
        <f t="shared" ca="1" si="787"/>
        <v>60.234398911909253</v>
      </c>
      <c r="BI1013">
        <f t="shared" ca="1" si="788"/>
        <v>0</v>
      </c>
      <c r="BJ1013" s="24">
        <f t="shared" ca="1" si="789"/>
        <v>421.64079238336473</v>
      </c>
      <c r="BK1013">
        <f t="shared" ca="1" si="790"/>
        <v>1</v>
      </c>
      <c r="BL1013" s="25">
        <f t="shared" ca="1" si="791"/>
        <v>35.136732698613734</v>
      </c>
      <c r="BM1013" s="32">
        <f t="shared" ca="1" si="770"/>
        <v>2203.801073194928</v>
      </c>
      <c r="BN1013" s="23">
        <f t="shared" ca="1" si="792"/>
        <v>0</v>
      </c>
      <c r="BO1013" s="24">
        <f t="shared" ca="1" si="793"/>
        <v>0</v>
      </c>
      <c r="BP1013" s="25">
        <f t="shared" ca="1" si="794"/>
        <v>0</v>
      </c>
      <c r="BQ1013" s="34">
        <f t="shared" ca="1" si="795"/>
        <v>76245</v>
      </c>
      <c r="BR1013" s="23">
        <f t="shared" ca="1" si="796"/>
        <v>2203.801073194928</v>
      </c>
      <c r="BS1013" s="24">
        <f t="shared" ca="1" si="797"/>
        <v>0</v>
      </c>
      <c r="BT1013" s="24">
        <f t="shared" ca="1" si="802"/>
        <v>0</v>
      </c>
      <c r="BU1013" s="24">
        <f t="shared" ca="1" si="798"/>
        <v>0</v>
      </c>
      <c r="BV1013" s="24">
        <f t="shared" ca="1" si="803"/>
        <v>0</v>
      </c>
      <c r="BW1013" s="24">
        <f t="shared" ca="1" si="799"/>
        <v>-35.136732698613734</v>
      </c>
      <c r="BX1013" s="25">
        <f t="shared" ca="1" si="804"/>
        <v>-425.26146847823117</v>
      </c>
      <c r="BY1013" s="23">
        <f t="shared" ca="1" si="771"/>
        <v>82.264181125070152</v>
      </c>
      <c r="BZ1013" s="24">
        <f t="shared" ca="1" si="772"/>
        <v>0</v>
      </c>
      <c r="CA1013" s="24">
        <f t="shared" ca="1" si="805"/>
        <v>0</v>
      </c>
      <c r="CB1013" s="24">
        <f t="shared" ca="1" si="773"/>
        <v>0</v>
      </c>
      <c r="CC1013" s="24">
        <f t="shared" ca="1" si="806"/>
        <v>0</v>
      </c>
      <c r="CD1013" s="24">
        <f t="shared" ca="1" si="774"/>
        <v>-1.3158888545384728</v>
      </c>
      <c r="CE1013" s="25">
        <f t="shared" ca="1" si="807"/>
        <v>-16.218671675641005</v>
      </c>
      <c r="CF1013" s="23">
        <f t="shared" ca="1" si="808"/>
        <v>7051077.9348825589</v>
      </c>
      <c r="CG1013" s="25">
        <f t="array" aca="1" ref="CG1013" ca="1">SUM(BF1002:BF1013/(1+inflation/100)^(AP1002:AP1013/12))</f>
        <v>267980.53702225391</v>
      </c>
      <c r="CH1013" s="32">
        <f ca="1">IFERROR(IF(MOD(AP1013-ap_months_since_start,12)=0,ap_drawdown/100*(AQ1013+AV1013+BA1013-BC1013),CH1012),0)</f>
        <v>370.30692150953809</v>
      </c>
    </row>
    <row r="1014" spans="40:86" x14ac:dyDescent="0.25">
      <c r="AN1014" s="32">
        <f t="shared" ca="1" si="769"/>
        <v>138.75</v>
      </c>
      <c r="AO1014" s="53">
        <f t="shared" ca="1" si="800"/>
        <v>76246</v>
      </c>
      <c r="AP1014" s="22">
        <v>1007</v>
      </c>
      <c r="AQ1014" s="32">
        <f t="shared" ca="1" si="801"/>
        <v>2203.801073194928</v>
      </c>
      <c r="AR1014" s="23">
        <f t="array" aca="1" ref="AR1014" ca="1">SUM(IF(lsc_start_date=AO1014,lsc_amount,0))</f>
        <v>0</v>
      </c>
      <c r="AS1014" s="24">
        <f t="shared" ca="1" si="775"/>
        <v>0</v>
      </c>
      <c r="AT1014" s="24">
        <f t="shared" ca="1" si="776"/>
        <v>0</v>
      </c>
      <c r="AU1014" s="24">
        <f t="shared" ca="1" si="777"/>
        <v>0</v>
      </c>
      <c r="AV1014" s="25">
        <f t="shared" ca="1" si="778"/>
        <v>0</v>
      </c>
      <c r="AW1014" s="23">
        <f t="array" aca="1" ref="AW1014" ca="1">SUM(IF(rcs_start_date&lt;=AO1014,1,0)*IF(rcs_end_date&gt;=AO1014,1,0)*rcs_amount*(1+rcs_escalation/100)^(INT((AP1014-rcs_months_since_start)/12))*IF(MOD((AP1014-rcs_months_since_start),rcs_frequency)=0,1,0)*IF(rcs_frequency=13,0,1))+SUM(IF(rcs_start_date=AO1014,rcs_amount,0)*IF(rcs_frequency=13,1,0))</f>
        <v>0</v>
      </c>
      <c r="AX1014" s="24">
        <f t="shared" ca="1" si="779"/>
        <v>0</v>
      </c>
      <c r="AY1014" s="24">
        <f t="shared" ca="1" si="780"/>
        <v>0</v>
      </c>
      <c r="AZ1014" s="24">
        <f t="shared" ca="1" si="781"/>
        <v>0</v>
      </c>
      <c r="BA1014" s="25">
        <f t="shared" ca="1" si="782"/>
        <v>0</v>
      </c>
      <c r="BB1014" s="23">
        <f t="array" aca="1" ref="BB1014" ca="1">SUM(IF(w_start_date&lt;=AO1014,1,0)*IF(w_end_date&gt;=AO1014,1,0)*w_amount*(1+w_escalation/100)^(INT((AP1014-w_months_since_start)/12))*IF(MOD(AP1014-w_months_since_start,w_frequency)=0,1,0)*IF(w_frequency=13,0,1))+SUM(IF(w_start_date=AO1014,w_amount,0)*IF(w_frequency=13,1,0))</f>
        <v>0</v>
      </c>
      <c r="BC1014" s="25">
        <f t="shared" ca="1" si="783"/>
        <v>0</v>
      </c>
      <c r="BD1014" s="24" t="b">
        <f t="shared" ca="1" si="784"/>
        <v>1</v>
      </c>
      <c r="BE1014" s="24" t="b">
        <f t="shared" ca="1" si="785"/>
        <v>1</v>
      </c>
      <c r="BF1014" s="23">
        <f t="array" aca="1" ref="BF1014" ca="1">SUM(IF(BD1014,1,0)*IF(ap_start_date&lt;=AO1014,1,0)*IF(ap_end_date&gt;=AO1014,1,0)*ap_amount*(1+ap_escalation/100)^(INT((AP1014-ap_months_since_start)/12))*IF(MOD(AP1014-ap_months_since_start,ap_frequency)=0,1,0))</f>
        <v>589479.18426670926</v>
      </c>
      <c r="BG1014" s="24">
        <f t="shared" ca="1" si="786"/>
        <v>7073750.2112005092</v>
      </c>
      <c r="BH1014" s="24">
        <f t="shared" ca="1" si="787"/>
        <v>60.234398911909253</v>
      </c>
      <c r="BI1014">
        <f t="shared" ca="1" si="788"/>
        <v>0</v>
      </c>
      <c r="BJ1014" s="24">
        <f t="shared" ca="1" si="789"/>
        <v>421.64079238336473</v>
      </c>
      <c r="BK1014">
        <f t="shared" ca="1" si="790"/>
        <v>1</v>
      </c>
      <c r="BL1014" s="25">
        <f t="shared" ca="1" si="791"/>
        <v>35.136732698613734</v>
      </c>
      <c r="BM1014" s="32">
        <f t="shared" ca="1" si="770"/>
        <v>2184.2946055624475</v>
      </c>
      <c r="BN1014" s="23">
        <f t="shared" ca="1" si="792"/>
        <v>0</v>
      </c>
      <c r="BO1014" s="24">
        <f t="shared" ca="1" si="793"/>
        <v>0</v>
      </c>
      <c r="BP1014" s="25">
        <f t="shared" ca="1" si="794"/>
        <v>0</v>
      </c>
      <c r="BQ1014" s="34">
        <f t="shared" ca="1" si="795"/>
        <v>76276</v>
      </c>
      <c r="BR1014" s="23">
        <f t="shared" ca="1" si="796"/>
        <v>2184.2946055624475</v>
      </c>
      <c r="BS1014" s="24">
        <f t="shared" ca="1" si="797"/>
        <v>0</v>
      </c>
      <c r="BT1014" s="24">
        <f t="shared" ca="1" si="802"/>
        <v>0</v>
      </c>
      <c r="BU1014" s="24">
        <f t="shared" ca="1" si="798"/>
        <v>0</v>
      </c>
      <c r="BV1014" s="24">
        <f t="shared" ca="1" si="803"/>
        <v>0</v>
      </c>
      <c r="BW1014" s="24">
        <f t="shared" ca="1" si="799"/>
        <v>-35.136732698613734</v>
      </c>
      <c r="BX1014" s="25">
        <f t="shared" ca="1" si="804"/>
        <v>-421.64079238336484</v>
      </c>
      <c r="BY1014" s="23">
        <f t="shared" ca="1" si="771"/>
        <v>81.269980783420309</v>
      </c>
      <c r="BZ1014" s="24">
        <f t="shared" ca="1" si="772"/>
        <v>0</v>
      </c>
      <c r="CA1014" s="24">
        <f t="shared" ca="1" si="805"/>
        <v>0</v>
      </c>
      <c r="CB1014" s="24">
        <f t="shared" ca="1" si="773"/>
        <v>0</v>
      </c>
      <c r="CC1014" s="24">
        <f t="shared" ca="1" si="806"/>
        <v>0</v>
      </c>
      <c r="CD1014" s="24">
        <f t="shared" ca="1" si="774"/>
        <v>-1.3115950336985196</v>
      </c>
      <c r="CE1014" s="25">
        <f t="shared" ca="1" si="807"/>
        <v>-16.025647986200831</v>
      </c>
      <c r="CF1014" s="23">
        <f t="shared" ca="1" si="808"/>
        <v>7073750.2112005092</v>
      </c>
      <c r="CG1014" s="25">
        <f t="array" aca="1" ref="CG1014" ca="1">SUM(BF1003:BF1014/(1+inflation/100)^(AP1003:AP1014/12))</f>
        <v>267980.53702225391</v>
      </c>
      <c r="CH1014" s="32">
        <f ca="1">IFERROR(IF(MOD(AP1014-ap_months_since_start,12)=0,ap_drawdown/100*(AQ1014+AV1014+BA1014-BC1014),CH1013),0)</f>
        <v>370.30692150953809</v>
      </c>
    </row>
    <row r="1015" spans="40:86" x14ac:dyDescent="0.25">
      <c r="AN1015" s="32">
        <f t="shared" ca="1" si="769"/>
        <v>138.83333333333334</v>
      </c>
      <c r="AO1015" s="53">
        <f t="shared" ca="1" si="800"/>
        <v>76277</v>
      </c>
      <c r="AP1015" s="22">
        <v>1008</v>
      </c>
      <c r="AQ1015" s="32">
        <f t="shared" ca="1" si="801"/>
        <v>2184.2946055624475</v>
      </c>
      <c r="AR1015" s="23">
        <f t="array" aca="1" ref="AR1015" ca="1">SUM(IF(lsc_start_date=AO1015,lsc_amount,0))</f>
        <v>0</v>
      </c>
      <c r="AS1015" s="24">
        <f t="shared" ca="1" si="775"/>
        <v>0</v>
      </c>
      <c r="AT1015" s="24">
        <f t="shared" ca="1" si="776"/>
        <v>0</v>
      </c>
      <c r="AU1015" s="24">
        <f t="shared" ca="1" si="777"/>
        <v>0</v>
      </c>
      <c r="AV1015" s="25">
        <f t="shared" ca="1" si="778"/>
        <v>0</v>
      </c>
      <c r="AW1015" s="23">
        <f t="array" aca="1" ref="AW1015" ca="1">SUM(IF(rcs_start_date&lt;=AO1015,1,0)*IF(rcs_end_date&gt;=AO1015,1,0)*rcs_amount*(1+rcs_escalation/100)^(INT((AP1015-rcs_months_since_start)/12))*IF(MOD((AP1015-rcs_months_since_start),rcs_frequency)=0,1,0)*IF(rcs_frequency=13,0,1))+SUM(IF(rcs_start_date=AO1015,rcs_amount,0)*IF(rcs_frequency=13,1,0))</f>
        <v>0</v>
      </c>
      <c r="AX1015" s="24">
        <f t="shared" ca="1" si="779"/>
        <v>0</v>
      </c>
      <c r="AY1015" s="24">
        <f t="shared" ca="1" si="780"/>
        <v>0</v>
      </c>
      <c r="AZ1015" s="24">
        <f t="shared" ca="1" si="781"/>
        <v>0</v>
      </c>
      <c r="BA1015" s="25">
        <f t="shared" ca="1" si="782"/>
        <v>0</v>
      </c>
      <c r="BB1015" s="23">
        <f t="array" aca="1" ref="BB1015" ca="1">SUM(IF(w_start_date&lt;=AO1015,1,0)*IF(w_end_date&gt;=AO1015,1,0)*w_amount*(1+w_escalation/100)^(INT((AP1015-w_months_since_start)/12))*IF(MOD(AP1015-w_months_since_start,w_frequency)=0,1,0)*IF(w_frequency=13,0,1))+SUM(IF(w_start_date=AO1015,w_amount,0)*IF(w_frequency=13,1,0))</f>
        <v>0</v>
      </c>
      <c r="BC1015" s="25">
        <f t="shared" ca="1" si="783"/>
        <v>0</v>
      </c>
      <c r="BD1015" s="24" t="b">
        <f t="shared" ca="1" si="784"/>
        <v>1</v>
      </c>
      <c r="BE1015" s="24" t="b">
        <f t="shared" ca="1" si="785"/>
        <v>1</v>
      </c>
      <c r="BF1015" s="23">
        <f t="array" aca="1" ref="BF1015" ca="1">SUM(IF(BD1015,1,0)*IF(ap_start_date&lt;=AO1015,1,0)*IF(ap_end_date&gt;=AO1015,1,0)*ap_amount*(1+ap_escalation/100)^(INT((AP1015-ap_months_since_start)/12))*IF(MOD(AP1015-ap_months_since_start,ap_frequency)=0,1,0))</f>
        <v>613058.35163737764</v>
      </c>
      <c r="BG1015" s="24">
        <f t="shared" ca="1" si="786"/>
        <v>7356700.2196485298</v>
      </c>
      <c r="BH1015" s="24">
        <f t="shared" ca="1" si="787"/>
        <v>54.607365139061187</v>
      </c>
      <c r="BI1015">
        <f t="shared" ca="1" si="788"/>
        <v>0</v>
      </c>
      <c r="BJ1015" s="24">
        <f t="shared" ca="1" si="789"/>
        <v>382.25155597342831</v>
      </c>
      <c r="BK1015">
        <f t="shared" ca="1" si="790"/>
        <v>1</v>
      </c>
      <c r="BL1015" s="25">
        <f t="shared" ca="1" si="791"/>
        <v>31.854296331119034</v>
      </c>
      <c r="BM1015" s="32">
        <f t="shared" ca="1" si="770"/>
        <v>2167.9536424586436</v>
      </c>
      <c r="BN1015" s="23">
        <f t="shared" ca="1" si="792"/>
        <v>0</v>
      </c>
      <c r="BO1015" s="24">
        <f t="shared" ca="1" si="793"/>
        <v>0</v>
      </c>
      <c r="BP1015" s="25">
        <f t="shared" ca="1" si="794"/>
        <v>0</v>
      </c>
      <c r="BQ1015" s="34">
        <f t="shared" ca="1" si="795"/>
        <v>76306</v>
      </c>
      <c r="BR1015" s="23">
        <f t="shared" ca="1" si="796"/>
        <v>2167.9536424586436</v>
      </c>
      <c r="BS1015" s="24">
        <f t="shared" ca="1" si="797"/>
        <v>0</v>
      </c>
      <c r="BT1015" s="24">
        <f t="shared" ca="1" si="802"/>
        <v>0</v>
      </c>
      <c r="BU1015" s="24">
        <f t="shared" ca="1" si="798"/>
        <v>0</v>
      </c>
      <c r="BV1015" s="24">
        <f t="shared" ca="1" si="803"/>
        <v>0</v>
      </c>
      <c r="BW1015" s="24">
        <f t="shared" ca="1" si="799"/>
        <v>-31.854296331119034</v>
      </c>
      <c r="BX1015" s="25">
        <f t="shared" ca="1" si="804"/>
        <v>-418.35835601587013</v>
      </c>
      <c r="BY1015" s="23">
        <f t="shared" ca="1" si="771"/>
        <v>80.398785859871424</v>
      </c>
      <c r="BZ1015" s="24">
        <f t="shared" ca="1" si="772"/>
        <v>0</v>
      </c>
      <c r="CA1015" s="24">
        <f t="shared" ca="1" si="805"/>
        <v>0</v>
      </c>
      <c r="CB1015" s="24">
        <f t="shared" ca="1" si="773"/>
        <v>0</v>
      </c>
      <c r="CC1015" s="24">
        <f t="shared" ca="1" si="806"/>
        <v>0</v>
      </c>
      <c r="CD1015" s="24">
        <f t="shared" ca="1" si="774"/>
        <v>-1.185187219758213</v>
      </c>
      <c r="CE1015" s="25">
        <f t="shared" ca="1" si="807"/>
        <v>-15.851227373163001</v>
      </c>
      <c r="CF1015" s="23">
        <f t="shared" ca="1" si="808"/>
        <v>7097329.3785711778</v>
      </c>
      <c r="CG1015" s="25">
        <f t="array" aca="1" ref="CG1015" ca="1">SUM(BF1004:BF1015/(1+inflation/100)^(AP1004:AP1015/12))</f>
        <v>267980.53702225391</v>
      </c>
      <c r="CH1015" s="32">
        <f ca="1">IFERROR(IF(MOD(AP1015-ap_months_since_start,12)=0,ap_drawdown/100*(AQ1015+AV1015+BA1015-BC1015),CH1014),0)</f>
        <v>335.71324096661527</v>
      </c>
    </row>
    <row r="1016" spans="40:86" x14ac:dyDescent="0.25">
      <c r="AN1016" s="32">
        <f t="shared" ca="1" si="769"/>
        <v>138.91666666666666</v>
      </c>
      <c r="AO1016" s="53">
        <f t="shared" ca="1" si="800"/>
        <v>76307</v>
      </c>
      <c r="AP1016" s="22">
        <v>1009</v>
      </c>
      <c r="AQ1016" s="32">
        <f t="shared" ca="1" si="801"/>
        <v>2167.9536424586436</v>
      </c>
      <c r="AR1016" s="23">
        <f t="array" aca="1" ref="AR1016" ca="1">SUM(IF(lsc_start_date=AO1016,lsc_amount,0))</f>
        <v>0</v>
      </c>
      <c r="AS1016" s="24">
        <f t="shared" ca="1" si="775"/>
        <v>0</v>
      </c>
      <c r="AT1016" s="24">
        <f t="shared" ca="1" si="776"/>
        <v>0</v>
      </c>
      <c r="AU1016" s="24">
        <f t="shared" ca="1" si="777"/>
        <v>0</v>
      </c>
      <c r="AV1016" s="25">
        <f t="shared" ca="1" si="778"/>
        <v>0</v>
      </c>
      <c r="AW1016" s="23">
        <f t="array" aca="1" ref="AW1016" ca="1">SUM(IF(rcs_start_date&lt;=AO1016,1,0)*IF(rcs_end_date&gt;=AO1016,1,0)*rcs_amount*(1+rcs_escalation/100)^(INT((AP1016-rcs_months_since_start)/12))*IF(MOD((AP1016-rcs_months_since_start),rcs_frequency)=0,1,0)*IF(rcs_frequency=13,0,1))+SUM(IF(rcs_start_date=AO1016,rcs_amount,0)*IF(rcs_frequency=13,1,0))</f>
        <v>0</v>
      </c>
      <c r="AX1016" s="24">
        <f t="shared" ca="1" si="779"/>
        <v>0</v>
      </c>
      <c r="AY1016" s="24">
        <f t="shared" ca="1" si="780"/>
        <v>0</v>
      </c>
      <c r="AZ1016" s="24">
        <f t="shared" ca="1" si="781"/>
        <v>0</v>
      </c>
      <c r="BA1016" s="25">
        <f t="shared" ca="1" si="782"/>
        <v>0</v>
      </c>
      <c r="BB1016" s="23">
        <f t="array" aca="1" ref="BB1016" ca="1">SUM(IF(w_start_date&lt;=AO1016,1,0)*IF(w_end_date&gt;=AO1016,1,0)*w_amount*(1+w_escalation/100)^(INT((AP1016-w_months_since_start)/12))*IF(MOD(AP1016-w_months_since_start,w_frequency)=0,1,0)*IF(w_frequency=13,0,1))+SUM(IF(w_start_date=AO1016,w_amount,0)*IF(w_frequency=13,1,0))</f>
        <v>0</v>
      </c>
      <c r="BC1016" s="25">
        <f t="shared" ca="1" si="783"/>
        <v>0</v>
      </c>
      <c r="BD1016" s="24" t="b">
        <f t="shared" ca="1" si="784"/>
        <v>1</v>
      </c>
      <c r="BE1016" s="24" t="b">
        <f t="shared" ca="1" si="785"/>
        <v>1</v>
      </c>
      <c r="BF1016" s="23">
        <f t="array" aca="1" ref="BF1016" ca="1">SUM(IF(BD1016,1,0)*IF(ap_start_date&lt;=AO1016,1,0)*IF(ap_end_date&gt;=AO1016,1,0)*ap_amount*(1+ap_escalation/100)^(INT((AP1016-ap_months_since_start)/12))*IF(MOD(AP1016-ap_months_since_start,ap_frequency)=0,1,0))</f>
        <v>613058.35163737764</v>
      </c>
      <c r="BG1016" s="24">
        <f t="shared" ca="1" si="786"/>
        <v>7356700.2196485298</v>
      </c>
      <c r="BH1016" s="24">
        <f t="shared" ca="1" si="787"/>
        <v>54.607365139061187</v>
      </c>
      <c r="BI1016">
        <f t="shared" ca="1" si="788"/>
        <v>0</v>
      </c>
      <c r="BJ1016" s="24">
        <f t="shared" ca="1" si="789"/>
        <v>382.25155597342831</v>
      </c>
      <c r="BK1016">
        <f t="shared" ca="1" si="790"/>
        <v>1</v>
      </c>
      <c r="BL1016" s="25">
        <f t="shared" ca="1" si="791"/>
        <v>31.854296331119034</v>
      </c>
      <c r="BM1016" s="32">
        <f t="shared" ca="1" si="770"/>
        <v>2151.4949047504538</v>
      </c>
      <c r="BN1016" s="23">
        <f t="shared" ca="1" si="792"/>
        <v>0</v>
      </c>
      <c r="BO1016" s="24">
        <f t="shared" ca="1" si="793"/>
        <v>0</v>
      </c>
      <c r="BP1016" s="25">
        <f t="shared" ca="1" si="794"/>
        <v>0</v>
      </c>
      <c r="BQ1016" s="34">
        <f t="shared" ca="1" si="795"/>
        <v>76337</v>
      </c>
      <c r="BR1016" s="23">
        <f t="shared" ca="1" si="796"/>
        <v>2151.4949047504538</v>
      </c>
      <c r="BS1016" s="24">
        <f t="shared" ca="1" si="797"/>
        <v>0</v>
      </c>
      <c r="BT1016" s="24">
        <f t="shared" ca="1" si="802"/>
        <v>0</v>
      </c>
      <c r="BU1016" s="24">
        <f t="shared" ca="1" si="798"/>
        <v>0</v>
      </c>
      <c r="BV1016" s="24">
        <f t="shared" ca="1" si="803"/>
        <v>0</v>
      </c>
      <c r="BW1016" s="24">
        <f t="shared" ca="1" si="799"/>
        <v>-31.854296331119034</v>
      </c>
      <c r="BX1016" s="25">
        <f t="shared" ca="1" si="804"/>
        <v>-415.07591964837542</v>
      </c>
      <c r="BY1016" s="23">
        <f t="shared" ca="1" si="771"/>
        <v>79.528057697294315</v>
      </c>
      <c r="BZ1016" s="24">
        <f t="shared" ca="1" si="772"/>
        <v>0</v>
      </c>
      <c r="CA1016" s="24">
        <f t="shared" ca="1" si="805"/>
        <v>0</v>
      </c>
      <c r="CB1016" s="24">
        <f t="shared" ca="1" si="773"/>
        <v>0</v>
      </c>
      <c r="CC1016" s="24">
        <f t="shared" ca="1" si="806"/>
        <v>0</v>
      </c>
      <c r="CD1016" s="24">
        <f t="shared" ca="1" si="774"/>
        <v>-1.1813198858523943</v>
      </c>
      <c r="CE1016" s="25">
        <f t="shared" ca="1" si="807"/>
        <v>-15.677375904594015</v>
      </c>
      <c r="CF1016" s="23">
        <f t="shared" ca="1" si="808"/>
        <v>7120908.5459418464</v>
      </c>
      <c r="CG1016" s="25">
        <f t="array" aca="1" ref="CG1016" ca="1">SUM(BF1005:BF1016/(1+inflation/100)^(AP1005:AP1016/12))</f>
        <v>267980.53702225391</v>
      </c>
      <c r="CH1016" s="32">
        <f ca="1">IFERROR(IF(MOD(AP1016-ap_months_since_start,12)=0,ap_drawdown/100*(AQ1016+AV1016+BA1016-BC1016),CH1015),0)</f>
        <v>335.71324096661527</v>
      </c>
    </row>
    <row r="1017" spans="40:86" x14ac:dyDescent="0.25">
      <c r="AN1017" s="32">
        <f t="shared" ca="1" si="769"/>
        <v>139</v>
      </c>
      <c r="AO1017" s="53">
        <f t="shared" ca="1" si="800"/>
        <v>76338</v>
      </c>
      <c r="AP1017" s="22">
        <v>1010</v>
      </c>
      <c r="AQ1017" s="32">
        <f t="shared" ca="1" si="801"/>
        <v>2151.4949047504538</v>
      </c>
      <c r="AR1017" s="23">
        <f t="array" aca="1" ref="AR1017" ca="1">SUM(IF(lsc_start_date=AO1017,lsc_amount,0))</f>
        <v>0</v>
      </c>
      <c r="AS1017" s="24">
        <f t="shared" ca="1" si="775"/>
        <v>0</v>
      </c>
      <c r="AT1017" s="24">
        <f t="shared" ca="1" si="776"/>
        <v>0</v>
      </c>
      <c r="AU1017" s="24">
        <f t="shared" ca="1" si="777"/>
        <v>0</v>
      </c>
      <c r="AV1017" s="25">
        <f t="shared" ca="1" si="778"/>
        <v>0</v>
      </c>
      <c r="AW1017" s="23">
        <f t="array" aca="1" ref="AW1017" ca="1">SUM(IF(rcs_start_date&lt;=AO1017,1,0)*IF(rcs_end_date&gt;=AO1017,1,0)*rcs_amount*(1+rcs_escalation/100)^(INT((AP1017-rcs_months_since_start)/12))*IF(MOD((AP1017-rcs_months_since_start),rcs_frequency)=0,1,0)*IF(rcs_frequency=13,0,1))+SUM(IF(rcs_start_date=AO1017,rcs_amount,0)*IF(rcs_frequency=13,1,0))</f>
        <v>0</v>
      </c>
      <c r="AX1017" s="24">
        <f t="shared" ca="1" si="779"/>
        <v>0</v>
      </c>
      <c r="AY1017" s="24">
        <f t="shared" ca="1" si="780"/>
        <v>0</v>
      </c>
      <c r="AZ1017" s="24">
        <f t="shared" ca="1" si="781"/>
        <v>0</v>
      </c>
      <c r="BA1017" s="25">
        <f t="shared" ca="1" si="782"/>
        <v>0</v>
      </c>
      <c r="BB1017" s="23">
        <f t="array" aca="1" ref="BB1017" ca="1">SUM(IF(w_start_date&lt;=AO1017,1,0)*IF(w_end_date&gt;=AO1017,1,0)*w_amount*(1+w_escalation/100)^(INT((AP1017-w_months_since_start)/12))*IF(MOD(AP1017-w_months_since_start,w_frequency)=0,1,0)*IF(w_frequency=13,0,1))+SUM(IF(w_start_date=AO1017,w_amount,0)*IF(w_frequency=13,1,0))</f>
        <v>0</v>
      </c>
      <c r="BC1017" s="25">
        <f t="shared" ca="1" si="783"/>
        <v>0</v>
      </c>
      <c r="BD1017" s="24" t="b">
        <f t="shared" ca="1" si="784"/>
        <v>1</v>
      </c>
      <c r="BE1017" s="24" t="b">
        <f t="shared" ca="1" si="785"/>
        <v>1</v>
      </c>
      <c r="BF1017" s="23">
        <f t="array" aca="1" ref="BF1017" ca="1">SUM(IF(BD1017,1,0)*IF(ap_start_date&lt;=AO1017,1,0)*IF(ap_end_date&gt;=AO1017,1,0)*ap_amount*(1+ap_escalation/100)^(INT((AP1017-ap_months_since_start)/12))*IF(MOD(AP1017-ap_months_since_start,ap_frequency)=0,1,0))</f>
        <v>613058.35163737764</v>
      </c>
      <c r="BG1017" s="24">
        <f t="shared" ca="1" si="786"/>
        <v>7356700.2196485298</v>
      </c>
      <c r="BH1017" s="24">
        <f t="shared" ca="1" si="787"/>
        <v>54.607365139061187</v>
      </c>
      <c r="BI1017">
        <f t="shared" ca="1" si="788"/>
        <v>0</v>
      </c>
      <c r="BJ1017" s="24">
        <f t="shared" ca="1" si="789"/>
        <v>382.25155597342831</v>
      </c>
      <c r="BK1017">
        <f t="shared" ca="1" si="790"/>
        <v>1</v>
      </c>
      <c r="BL1017" s="25">
        <f t="shared" ca="1" si="791"/>
        <v>31.854296331119034</v>
      </c>
      <c r="BM1017" s="32">
        <f t="shared" ca="1" si="770"/>
        <v>2134.9175435982256</v>
      </c>
      <c r="BN1017" s="23">
        <f t="shared" ca="1" si="792"/>
        <v>0</v>
      </c>
      <c r="BO1017" s="24">
        <f t="shared" ca="1" si="793"/>
        <v>0</v>
      </c>
      <c r="BP1017" s="25">
        <f t="shared" ca="1" si="794"/>
        <v>0</v>
      </c>
      <c r="BQ1017" s="34">
        <f t="shared" ca="1" si="795"/>
        <v>76368</v>
      </c>
      <c r="BR1017" s="23">
        <f t="shared" ca="1" si="796"/>
        <v>2134.9175435982256</v>
      </c>
      <c r="BS1017" s="24">
        <f t="shared" ca="1" si="797"/>
        <v>0</v>
      </c>
      <c r="BT1017" s="24">
        <f t="shared" ca="1" si="802"/>
        <v>0</v>
      </c>
      <c r="BU1017" s="24">
        <f t="shared" ca="1" si="798"/>
        <v>0</v>
      </c>
      <c r="BV1017" s="24">
        <f t="shared" ca="1" si="803"/>
        <v>0</v>
      </c>
      <c r="BW1017" s="24">
        <f t="shared" ca="1" si="799"/>
        <v>-31.854296331119034</v>
      </c>
      <c r="BX1017" s="25">
        <f t="shared" ca="1" si="804"/>
        <v>-411.79348328088071</v>
      </c>
      <c r="BY1017" s="23">
        <f t="shared" ca="1" si="771"/>
        <v>78.657785456931123</v>
      </c>
      <c r="BZ1017" s="24">
        <f t="shared" ca="1" si="772"/>
        <v>0</v>
      </c>
      <c r="CA1017" s="24">
        <f t="shared" ca="1" si="805"/>
        <v>0</v>
      </c>
      <c r="CB1017" s="24">
        <f t="shared" ca="1" si="773"/>
        <v>0</v>
      </c>
      <c r="CC1017" s="24">
        <f t="shared" ca="1" si="806"/>
        <v>0</v>
      </c>
      <c r="CD1017" s="24">
        <f t="shared" ca="1" si="774"/>
        <v>-1.1774651712790261</v>
      </c>
      <c r="CE1017" s="25">
        <f t="shared" ca="1" si="807"/>
        <v>-15.504091723342816</v>
      </c>
      <c r="CF1017" s="23">
        <f t="shared" ca="1" si="808"/>
        <v>7144487.7133125151</v>
      </c>
      <c r="CG1017" s="25">
        <f t="array" aca="1" ref="CG1017" ca="1">SUM(BF1006:BF1017/(1+inflation/100)^(AP1006:AP1017/12))</f>
        <v>267980.53702225396</v>
      </c>
      <c r="CH1017" s="32">
        <f ca="1">IFERROR(IF(MOD(AP1017-ap_months_since_start,12)=0,ap_drawdown/100*(AQ1017+AV1017+BA1017-BC1017),CH1016),0)</f>
        <v>335.71324096661527</v>
      </c>
    </row>
    <row r="1018" spans="40:86" x14ac:dyDescent="0.25">
      <c r="AN1018" s="32">
        <f t="shared" ca="1" si="769"/>
        <v>139.08333333333334</v>
      </c>
      <c r="AO1018" s="53">
        <f t="shared" ca="1" si="800"/>
        <v>76369</v>
      </c>
      <c r="AP1018" s="22">
        <v>1011</v>
      </c>
      <c r="AQ1018" s="32">
        <f t="shared" ca="1" si="801"/>
        <v>2134.9175435982256</v>
      </c>
      <c r="AR1018" s="23">
        <f t="array" aca="1" ref="AR1018" ca="1">SUM(IF(lsc_start_date=AO1018,lsc_amount,0))</f>
        <v>0</v>
      </c>
      <c r="AS1018" s="24">
        <f t="shared" ca="1" si="775"/>
        <v>0</v>
      </c>
      <c r="AT1018" s="24">
        <f t="shared" ca="1" si="776"/>
        <v>0</v>
      </c>
      <c r="AU1018" s="24">
        <f t="shared" ca="1" si="777"/>
        <v>0</v>
      </c>
      <c r="AV1018" s="25">
        <f t="shared" ca="1" si="778"/>
        <v>0</v>
      </c>
      <c r="AW1018" s="23">
        <f t="array" aca="1" ref="AW1018" ca="1">SUM(IF(rcs_start_date&lt;=AO1018,1,0)*IF(rcs_end_date&gt;=AO1018,1,0)*rcs_amount*(1+rcs_escalation/100)^(INT((AP1018-rcs_months_since_start)/12))*IF(MOD((AP1018-rcs_months_since_start),rcs_frequency)=0,1,0)*IF(rcs_frequency=13,0,1))+SUM(IF(rcs_start_date=AO1018,rcs_amount,0)*IF(rcs_frequency=13,1,0))</f>
        <v>0</v>
      </c>
      <c r="AX1018" s="24">
        <f t="shared" ca="1" si="779"/>
        <v>0</v>
      </c>
      <c r="AY1018" s="24">
        <f t="shared" ca="1" si="780"/>
        <v>0</v>
      </c>
      <c r="AZ1018" s="24">
        <f t="shared" ca="1" si="781"/>
        <v>0</v>
      </c>
      <c r="BA1018" s="25">
        <f t="shared" ca="1" si="782"/>
        <v>0</v>
      </c>
      <c r="BB1018" s="23">
        <f t="array" aca="1" ref="BB1018" ca="1">SUM(IF(w_start_date&lt;=AO1018,1,0)*IF(w_end_date&gt;=AO1018,1,0)*w_amount*(1+w_escalation/100)^(INT((AP1018-w_months_since_start)/12))*IF(MOD(AP1018-w_months_since_start,w_frequency)=0,1,0)*IF(w_frequency=13,0,1))+SUM(IF(w_start_date=AO1018,w_amount,0)*IF(w_frequency=13,1,0))</f>
        <v>0</v>
      </c>
      <c r="BC1018" s="25">
        <f t="shared" ca="1" si="783"/>
        <v>0</v>
      </c>
      <c r="BD1018" s="24" t="b">
        <f t="shared" ca="1" si="784"/>
        <v>1</v>
      </c>
      <c r="BE1018" s="24" t="b">
        <f t="shared" ca="1" si="785"/>
        <v>1</v>
      </c>
      <c r="BF1018" s="23">
        <f t="array" aca="1" ref="BF1018" ca="1">SUM(IF(BD1018,1,0)*IF(ap_start_date&lt;=AO1018,1,0)*IF(ap_end_date&gt;=AO1018,1,0)*ap_amount*(1+ap_escalation/100)^(INT((AP1018-ap_months_since_start)/12))*IF(MOD(AP1018-ap_months_since_start,ap_frequency)=0,1,0))</f>
        <v>613058.35163737764</v>
      </c>
      <c r="BG1018" s="24">
        <f t="shared" ca="1" si="786"/>
        <v>7356700.2196485298</v>
      </c>
      <c r="BH1018" s="24">
        <f t="shared" ca="1" si="787"/>
        <v>54.607365139061187</v>
      </c>
      <c r="BI1018">
        <f t="shared" ca="1" si="788"/>
        <v>0</v>
      </c>
      <c r="BJ1018" s="24">
        <f t="shared" ca="1" si="789"/>
        <v>382.25155597342831</v>
      </c>
      <c r="BK1018">
        <f t="shared" ca="1" si="790"/>
        <v>1</v>
      </c>
      <c r="BL1018" s="25">
        <f t="shared" ca="1" si="791"/>
        <v>31.854296331119034</v>
      </c>
      <c r="BM1018" s="32">
        <f t="shared" ca="1" si="770"/>
        <v>2118.2207040444446</v>
      </c>
      <c r="BN1018" s="23">
        <f t="shared" ca="1" si="792"/>
        <v>0</v>
      </c>
      <c r="BO1018" s="24">
        <f t="shared" ca="1" si="793"/>
        <v>0</v>
      </c>
      <c r="BP1018" s="25">
        <f t="shared" ca="1" si="794"/>
        <v>0</v>
      </c>
      <c r="BQ1018" s="34">
        <f t="shared" ca="1" si="795"/>
        <v>76396</v>
      </c>
      <c r="BR1018" s="23">
        <f t="shared" ca="1" si="796"/>
        <v>2118.2207040444446</v>
      </c>
      <c r="BS1018" s="24">
        <f t="shared" ca="1" si="797"/>
        <v>0</v>
      </c>
      <c r="BT1018" s="24">
        <f t="shared" ca="1" si="802"/>
        <v>0</v>
      </c>
      <c r="BU1018" s="24">
        <f t="shared" ca="1" si="798"/>
        <v>0</v>
      </c>
      <c r="BV1018" s="24">
        <f t="shared" ca="1" si="803"/>
        <v>0</v>
      </c>
      <c r="BW1018" s="24">
        <f t="shared" ca="1" si="799"/>
        <v>-31.854296331119034</v>
      </c>
      <c r="BX1018" s="25">
        <f t="shared" ca="1" si="804"/>
        <v>-408.511046913386</v>
      </c>
      <c r="BY1018" s="23">
        <f t="shared" ca="1" si="771"/>
        <v>77.787958298867508</v>
      </c>
      <c r="BZ1018" s="24">
        <f t="shared" ca="1" si="772"/>
        <v>0</v>
      </c>
      <c r="CA1018" s="24">
        <f t="shared" ca="1" si="805"/>
        <v>0</v>
      </c>
      <c r="CB1018" s="24">
        <f t="shared" ca="1" si="773"/>
        <v>0</v>
      </c>
      <c r="CC1018" s="24">
        <f t="shared" ca="1" si="806"/>
        <v>0</v>
      </c>
      <c r="CD1018" s="24">
        <f t="shared" ca="1" si="774"/>
        <v>-1.1736230348604981</v>
      </c>
      <c r="CE1018" s="25">
        <f t="shared" ca="1" si="807"/>
        <v>-15.331372978318337</v>
      </c>
      <c r="CF1018" s="23">
        <f t="shared" ca="1" si="808"/>
        <v>7168066.8806831837</v>
      </c>
      <c r="CG1018" s="25">
        <f t="array" aca="1" ref="CG1018" ca="1">SUM(BF1007:BF1018/(1+inflation/100)^(AP1007:AP1018/12))</f>
        <v>267980.53702225396</v>
      </c>
      <c r="CH1018" s="32">
        <f ca="1">IFERROR(IF(MOD(AP1018-ap_months_since_start,12)=0,ap_drawdown/100*(AQ1018+AV1018+BA1018-BC1018),CH1017),0)</f>
        <v>335.71324096661527</v>
      </c>
    </row>
    <row r="1019" spans="40:86" x14ac:dyDescent="0.25">
      <c r="AN1019" s="32">
        <f t="shared" ca="1" si="769"/>
        <v>139.16666666666666</v>
      </c>
      <c r="AO1019" s="53">
        <f t="shared" ca="1" si="800"/>
        <v>76397</v>
      </c>
      <c r="AP1019" s="22">
        <v>1012</v>
      </c>
      <c r="AQ1019" s="32">
        <f t="shared" ca="1" si="801"/>
        <v>2118.2207040444446</v>
      </c>
      <c r="AR1019" s="23">
        <f t="array" aca="1" ref="AR1019" ca="1">SUM(IF(lsc_start_date=AO1019,lsc_amount,0))</f>
        <v>0</v>
      </c>
      <c r="AS1019" s="24">
        <f t="shared" ca="1" si="775"/>
        <v>0</v>
      </c>
      <c r="AT1019" s="24">
        <f t="shared" ca="1" si="776"/>
        <v>0</v>
      </c>
      <c r="AU1019" s="24">
        <f t="shared" ca="1" si="777"/>
        <v>0</v>
      </c>
      <c r="AV1019" s="25">
        <f t="shared" ca="1" si="778"/>
        <v>0</v>
      </c>
      <c r="AW1019" s="23">
        <f t="array" aca="1" ref="AW1019" ca="1">SUM(IF(rcs_start_date&lt;=AO1019,1,0)*IF(rcs_end_date&gt;=AO1019,1,0)*rcs_amount*(1+rcs_escalation/100)^(INT((AP1019-rcs_months_since_start)/12))*IF(MOD((AP1019-rcs_months_since_start),rcs_frequency)=0,1,0)*IF(rcs_frequency=13,0,1))+SUM(IF(rcs_start_date=AO1019,rcs_amount,0)*IF(rcs_frequency=13,1,0))</f>
        <v>0</v>
      </c>
      <c r="AX1019" s="24">
        <f t="shared" ca="1" si="779"/>
        <v>0</v>
      </c>
      <c r="AY1019" s="24">
        <f t="shared" ca="1" si="780"/>
        <v>0</v>
      </c>
      <c r="AZ1019" s="24">
        <f t="shared" ca="1" si="781"/>
        <v>0</v>
      </c>
      <c r="BA1019" s="25">
        <f t="shared" ca="1" si="782"/>
        <v>0</v>
      </c>
      <c r="BB1019" s="23">
        <f t="array" aca="1" ref="BB1019" ca="1">SUM(IF(w_start_date&lt;=AO1019,1,0)*IF(w_end_date&gt;=AO1019,1,0)*w_amount*(1+w_escalation/100)^(INT((AP1019-w_months_since_start)/12))*IF(MOD(AP1019-w_months_since_start,w_frequency)=0,1,0)*IF(w_frequency=13,0,1))+SUM(IF(w_start_date=AO1019,w_amount,0)*IF(w_frequency=13,1,0))</f>
        <v>0</v>
      </c>
      <c r="BC1019" s="25">
        <f t="shared" ca="1" si="783"/>
        <v>0</v>
      </c>
      <c r="BD1019" s="24" t="b">
        <f t="shared" ca="1" si="784"/>
        <v>1</v>
      </c>
      <c r="BE1019" s="24" t="b">
        <f t="shared" ca="1" si="785"/>
        <v>1</v>
      </c>
      <c r="BF1019" s="23">
        <f t="array" aca="1" ref="BF1019" ca="1">SUM(IF(BD1019,1,0)*IF(ap_start_date&lt;=AO1019,1,0)*IF(ap_end_date&gt;=AO1019,1,0)*ap_amount*(1+ap_escalation/100)^(INT((AP1019-ap_months_since_start)/12))*IF(MOD(AP1019-ap_months_since_start,ap_frequency)=0,1,0))</f>
        <v>613058.35163737764</v>
      </c>
      <c r="BG1019" s="24">
        <f t="shared" ca="1" si="786"/>
        <v>7356700.2196485298</v>
      </c>
      <c r="BH1019" s="24">
        <f t="shared" ca="1" si="787"/>
        <v>54.607365139061187</v>
      </c>
      <c r="BI1019">
        <f t="shared" ca="1" si="788"/>
        <v>0</v>
      </c>
      <c r="BJ1019" s="24">
        <f t="shared" ca="1" si="789"/>
        <v>382.25155597342831</v>
      </c>
      <c r="BK1019">
        <f t="shared" ca="1" si="790"/>
        <v>1</v>
      </c>
      <c r="BL1019" s="25">
        <f t="shared" ca="1" si="791"/>
        <v>31.854296331119034</v>
      </c>
      <c r="BM1019" s="32">
        <f t="shared" ca="1" si="770"/>
        <v>2101.4035249696421</v>
      </c>
      <c r="BN1019" s="23">
        <f t="shared" ca="1" si="792"/>
        <v>0</v>
      </c>
      <c r="BO1019" s="24">
        <f t="shared" ca="1" si="793"/>
        <v>0</v>
      </c>
      <c r="BP1019" s="25">
        <f t="shared" ca="1" si="794"/>
        <v>0</v>
      </c>
      <c r="BQ1019" s="34">
        <f t="shared" ca="1" si="795"/>
        <v>76427</v>
      </c>
      <c r="BR1019" s="23">
        <f t="shared" ca="1" si="796"/>
        <v>2101.4035249696421</v>
      </c>
      <c r="BS1019" s="24">
        <f t="shared" ca="1" si="797"/>
        <v>0</v>
      </c>
      <c r="BT1019" s="24">
        <f t="shared" ca="1" si="802"/>
        <v>0</v>
      </c>
      <c r="BU1019" s="24">
        <f t="shared" ca="1" si="798"/>
        <v>0</v>
      </c>
      <c r="BV1019" s="24">
        <f t="shared" ca="1" si="803"/>
        <v>0</v>
      </c>
      <c r="BW1019" s="24">
        <f t="shared" ca="1" si="799"/>
        <v>-31.854296331119034</v>
      </c>
      <c r="BX1019" s="25">
        <f t="shared" ca="1" si="804"/>
        <v>-405.22861054589134</v>
      </c>
      <c r="BY1019" s="23">
        <f t="shared" ca="1" si="771"/>
        <v>76.918565381892563</v>
      </c>
      <c r="BZ1019" s="24">
        <f t="shared" ca="1" si="772"/>
        <v>0</v>
      </c>
      <c r="CA1019" s="24">
        <f t="shared" ca="1" si="805"/>
        <v>0</v>
      </c>
      <c r="CB1019" s="24">
        <f t="shared" ca="1" si="773"/>
        <v>0</v>
      </c>
      <c r="CC1019" s="24">
        <f t="shared" ca="1" si="806"/>
        <v>0</v>
      </c>
      <c r="CD1019" s="24">
        <f t="shared" ca="1" si="774"/>
        <v>-1.1697934355535715</v>
      </c>
      <c r="CE1019" s="25">
        <f t="shared" ca="1" si="807"/>
        <v>-15.159217824469723</v>
      </c>
      <c r="CF1019" s="23">
        <f t="shared" ca="1" si="808"/>
        <v>7191646.0480538523</v>
      </c>
      <c r="CG1019" s="25">
        <f t="array" aca="1" ref="CG1019" ca="1">SUM(BF1008:BF1019/(1+inflation/100)^(AP1008:AP1019/12))</f>
        <v>267980.53702225396</v>
      </c>
      <c r="CH1019" s="32">
        <f ca="1">IFERROR(IF(MOD(AP1019-ap_months_since_start,12)=0,ap_drawdown/100*(AQ1019+AV1019+BA1019-BC1019),CH1018),0)</f>
        <v>335.71324096661527</v>
      </c>
    </row>
    <row r="1020" spans="40:86" x14ac:dyDescent="0.25">
      <c r="AN1020" s="32">
        <f t="shared" ca="1" si="769"/>
        <v>139.25</v>
      </c>
      <c r="AO1020" s="53">
        <f t="shared" ca="1" si="800"/>
        <v>76428</v>
      </c>
      <c r="AP1020" s="22">
        <v>1013</v>
      </c>
      <c r="AQ1020" s="32">
        <f t="shared" ca="1" si="801"/>
        <v>2101.4035249696421</v>
      </c>
      <c r="AR1020" s="23">
        <f t="array" aca="1" ref="AR1020" ca="1">SUM(IF(lsc_start_date=AO1020,lsc_amount,0))</f>
        <v>0</v>
      </c>
      <c r="AS1020" s="24">
        <f t="shared" ca="1" si="775"/>
        <v>0</v>
      </c>
      <c r="AT1020" s="24">
        <f t="shared" ca="1" si="776"/>
        <v>0</v>
      </c>
      <c r="AU1020" s="24">
        <f t="shared" ca="1" si="777"/>
        <v>0</v>
      </c>
      <c r="AV1020" s="25">
        <f t="shared" ca="1" si="778"/>
        <v>0</v>
      </c>
      <c r="AW1020" s="23">
        <f t="array" aca="1" ref="AW1020" ca="1">SUM(IF(rcs_start_date&lt;=AO1020,1,0)*IF(rcs_end_date&gt;=AO1020,1,0)*rcs_amount*(1+rcs_escalation/100)^(INT((AP1020-rcs_months_since_start)/12))*IF(MOD((AP1020-rcs_months_since_start),rcs_frequency)=0,1,0)*IF(rcs_frequency=13,0,1))+SUM(IF(rcs_start_date=AO1020,rcs_amount,0)*IF(rcs_frequency=13,1,0))</f>
        <v>0</v>
      </c>
      <c r="AX1020" s="24">
        <f t="shared" ca="1" si="779"/>
        <v>0</v>
      </c>
      <c r="AY1020" s="24">
        <f t="shared" ca="1" si="780"/>
        <v>0</v>
      </c>
      <c r="AZ1020" s="24">
        <f t="shared" ca="1" si="781"/>
        <v>0</v>
      </c>
      <c r="BA1020" s="25">
        <f t="shared" ca="1" si="782"/>
        <v>0</v>
      </c>
      <c r="BB1020" s="23">
        <f t="array" aca="1" ref="BB1020" ca="1">SUM(IF(w_start_date&lt;=AO1020,1,0)*IF(w_end_date&gt;=AO1020,1,0)*w_amount*(1+w_escalation/100)^(INT((AP1020-w_months_since_start)/12))*IF(MOD(AP1020-w_months_since_start,w_frequency)=0,1,0)*IF(w_frequency=13,0,1))+SUM(IF(w_start_date=AO1020,w_amount,0)*IF(w_frequency=13,1,0))</f>
        <v>0</v>
      </c>
      <c r="BC1020" s="25">
        <f t="shared" ca="1" si="783"/>
        <v>0</v>
      </c>
      <c r="BD1020" s="24" t="b">
        <f t="shared" ca="1" si="784"/>
        <v>1</v>
      </c>
      <c r="BE1020" s="24" t="b">
        <f t="shared" ca="1" si="785"/>
        <v>1</v>
      </c>
      <c r="BF1020" s="23">
        <f t="array" aca="1" ref="BF1020" ca="1">SUM(IF(BD1020,1,0)*IF(ap_start_date&lt;=AO1020,1,0)*IF(ap_end_date&gt;=AO1020,1,0)*ap_amount*(1+ap_escalation/100)^(INT((AP1020-ap_months_since_start)/12))*IF(MOD(AP1020-ap_months_since_start,ap_frequency)=0,1,0))</f>
        <v>613058.35163737764</v>
      </c>
      <c r="BG1020" s="24">
        <f t="shared" ca="1" si="786"/>
        <v>7356700.2196485298</v>
      </c>
      <c r="BH1020" s="24">
        <f t="shared" ca="1" si="787"/>
        <v>54.607365139061187</v>
      </c>
      <c r="BI1020">
        <f t="shared" ca="1" si="788"/>
        <v>0</v>
      </c>
      <c r="BJ1020" s="24">
        <f t="shared" ca="1" si="789"/>
        <v>382.25155597342831</v>
      </c>
      <c r="BK1020">
        <f t="shared" ca="1" si="790"/>
        <v>1</v>
      </c>
      <c r="BL1020" s="25">
        <f t="shared" ca="1" si="791"/>
        <v>31.854296331119034</v>
      </c>
      <c r="BM1020" s="32">
        <f t="shared" ca="1" si="770"/>
        <v>2084.4651390479821</v>
      </c>
      <c r="BN1020" s="23">
        <f t="shared" ca="1" si="792"/>
        <v>0</v>
      </c>
      <c r="BO1020" s="24">
        <f t="shared" ca="1" si="793"/>
        <v>0</v>
      </c>
      <c r="BP1020" s="25">
        <f t="shared" ca="1" si="794"/>
        <v>0</v>
      </c>
      <c r="BQ1020" s="34">
        <f t="shared" ca="1" si="795"/>
        <v>76457</v>
      </c>
      <c r="BR1020" s="23">
        <f t="shared" ca="1" si="796"/>
        <v>2084.4651390479821</v>
      </c>
      <c r="BS1020" s="24">
        <f t="shared" ca="1" si="797"/>
        <v>0</v>
      </c>
      <c r="BT1020" s="24">
        <f t="shared" ca="1" si="802"/>
        <v>0</v>
      </c>
      <c r="BU1020" s="24">
        <f t="shared" ca="1" si="798"/>
        <v>0</v>
      </c>
      <c r="BV1020" s="24">
        <f t="shared" ca="1" si="803"/>
        <v>0</v>
      </c>
      <c r="BW1020" s="24">
        <f t="shared" ca="1" si="799"/>
        <v>-31.854296331119034</v>
      </c>
      <c r="BX1020" s="25">
        <f t="shared" ca="1" si="804"/>
        <v>-401.94617417839663</v>
      </c>
      <c r="BY1020" s="23">
        <f t="shared" ca="1" si="771"/>
        <v>76.049595863359301</v>
      </c>
      <c r="BZ1020" s="24">
        <f t="shared" ca="1" si="772"/>
        <v>0</v>
      </c>
      <c r="CA1020" s="24">
        <f t="shared" ca="1" si="805"/>
        <v>0</v>
      </c>
      <c r="CB1020" s="24">
        <f t="shared" ca="1" si="773"/>
        <v>0</v>
      </c>
      <c r="CC1020" s="24">
        <f t="shared" ca="1" si="806"/>
        <v>0</v>
      </c>
      <c r="CD1020" s="24">
        <f t="shared" ca="1" si="774"/>
        <v>-1.1659763324489314</v>
      </c>
      <c r="CE1020" s="25">
        <f t="shared" ca="1" si="807"/>
        <v>-14.987624422766626</v>
      </c>
      <c r="CF1020" s="23">
        <f t="shared" ca="1" si="808"/>
        <v>7215225.21542452</v>
      </c>
      <c r="CG1020" s="25">
        <f t="array" aca="1" ref="CG1020" ca="1">SUM(BF1009:BF1020/(1+inflation/100)^(AP1009:AP1020/12))</f>
        <v>267980.53702225391</v>
      </c>
      <c r="CH1020" s="32">
        <f ca="1">IFERROR(IF(MOD(AP1020-ap_months_since_start,12)=0,ap_drawdown/100*(AQ1020+AV1020+BA1020-BC1020),CH1019),0)</f>
        <v>335.71324096661527</v>
      </c>
    </row>
    <row r="1021" spans="40:86" x14ac:dyDescent="0.25">
      <c r="AN1021" s="32">
        <f t="shared" ca="1" si="769"/>
        <v>139.33333333333334</v>
      </c>
      <c r="AO1021" s="53">
        <f t="shared" ca="1" si="800"/>
        <v>76458</v>
      </c>
      <c r="AP1021" s="22">
        <v>1014</v>
      </c>
      <c r="AQ1021" s="32">
        <f t="shared" ca="1" si="801"/>
        <v>2084.4651390479821</v>
      </c>
      <c r="AR1021" s="23">
        <f t="array" aca="1" ref="AR1021" ca="1">SUM(IF(lsc_start_date=AO1021,lsc_amount,0))</f>
        <v>0</v>
      </c>
      <c r="AS1021" s="24">
        <f t="shared" ca="1" si="775"/>
        <v>0</v>
      </c>
      <c r="AT1021" s="24">
        <f t="shared" ca="1" si="776"/>
        <v>0</v>
      </c>
      <c r="AU1021" s="24">
        <f t="shared" ca="1" si="777"/>
        <v>0</v>
      </c>
      <c r="AV1021" s="25">
        <f t="shared" ca="1" si="778"/>
        <v>0</v>
      </c>
      <c r="AW1021" s="23">
        <f t="array" aca="1" ref="AW1021" ca="1">SUM(IF(rcs_start_date&lt;=AO1021,1,0)*IF(rcs_end_date&gt;=AO1021,1,0)*rcs_amount*(1+rcs_escalation/100)^(INT((AP1021-rcs_months_since_start)/12))*IF(MOD((AP1021-rcs_months_since_start),rcs_frequency)=0,1,0)*IF(rcs_frequency=13,0,1))+SUM(IF(rcs_start_date=AO1021,rcs_amount,0)*IF(rcs_frequency=13,1,0))</f>
        <v>0</v>
      </c>
      <c r="AX1021" s="24">
        <f t="shared" ca="1" si="779"/>
        <v>0</v>
      </c>
      <c r="AY1021" s="24">
        <f t="shared" ca="1" si="780"/>
        <v>0</v>
      </c>
      <c r="AZ1021" s="24">
        <f t="shared" ca="1" si="781"/>
        <v>0</v>
      </c>
      <c r="BA1021" s="25">
        <f t="shared" ca="1" si="782"/>
        <v>0</v>
      </c>
      <c r="BB1021" s="23">
        <f t="array" aca="1" ref="BB1021" ca="1">SUM(IF(w_start_date&lt;=AO1021,1,0)*IF(w_end_date&gt;=AO1021,1,0)*w_amount*(1+w_escalation/100)^(INT((AP1021-w_months_since_start)/12))*IF(MOD(AP1021-w_months_since_start,w_frequency)=0,1,0)*IF(w_frequency=13,0,1))+SUM(IF(w_start_date=AO1021,w_amount,0)*IF(w_frequency=13,1,0))</f>
        <v>0</v>
      </c>
      <c r="BC1021" s="25">
        <f t="shared" ca="1" si="783"/>
        <v>0</v>
      </c>
      <c r="BD1021" s="24" t="b">
        <f t="shared" ca="1" si="784"/>
        <v>1</v>
      </c>
      <c r="BE1021" s="24" t="b">
        <f t="shared" ca="1" si="785"/>
        <v>1</v>
      </c>
      <c r="BF1021" s="23">
        <f t="array" aca="1" ref="BF1021" ca="1">SUM(IF(BD1021,1,0)*IF(ap_start_date&lt;=AO1021,1,0)*IF(ap_end_date&gt;=AO1021,1,0)*ap_amount*(1+ap_escalation/100)^(INT((AP1021-ap_months_since_start)/12))*IF(MOD(AP1021-ap_months_since_start,ap_frequency)=0,1,0))</f>
        <v>613058.35163737764</v>
      </c>
      <c r="BG1021" s="24">
        <f t="shared" ca="1" si="786"/>
        <v>7356700.2196485298</v>
      </c>
      <c r="BH1021" s="24">
        <f t="shared" ca="1" si="787"/>
        <v>54.607365139061187</v>
      </c>
      <c r="BI1021">
        <f t="shared" ca="1" si="788"/>
        <v>0</v>
      </c>
      <c r="BJ1021" s="24">
        <f t="shared" ca="1" si="789"/>
        <v>382.25155597342831</v>
      </c>
      <c r="BK1021">
        <f t="shared" ca="1" si="790"/>
        <v>1</v>
      </c>
      <c r="BL1021" s="25">
        <f t="shared" ca="1" si="791"/>
        <v>31.854296331119034</v>
      </c>
      <c r="BM1021" s="32">
        <f t="shared" ca="1" si="770"/>
        <v>2067.4046727025311</v>
      </c>
      <c r="BN1021" s="23">
        <f t="shared" ca="1" si="792"/>
        <v>0</v>
      </c>
      <c r="BO1021" s="24">
        <f t="shared" ca="1" si="793"/>
        <v>0</v>
      </c>
      <c r="BP1021" s="25">
        <f t="shared" ca="1" si="794"/>
        <v>0</v>
      </c>
      <c r="BQ1021" s="34">
        <f t="shared" ca="1" si="795"/>
        <v>76488</v>
      </c>
      <c r="BR1021" s="23">
        <f t="shared" ca="1" si="796"/>
        <v>2067.4046727025311</v>
      </c>
      <c r="BS1021" s="24">
        <f t="shared" ca="1" si="797"/>
        <v>0</v>
      </c>
      <c r="BT1021" s="24">
        <f t="shared" ca="1" si="802"/>
        <v>0</v>
      </c>
      <c r="BU1021" s="24">
        <f t="shared" ca="1" si="798"/>
        <v>0</v>
      </c>
      <c r="BV1021" s="24">
        <f t="shared" ca="1" si="803"/>
        <v>0</v>
      </c>
      <c r="BW1021" s="24">
        <f t="shared" ca="1" si="799"/>
        <v>-31.854296331119034</v>
      </c>
      <c r="BX1021" s="25">
        <f t="shared" ca="1" si="804"/>
        <v>-398.66373781090192</v>
      </c>
      <c r="BY1021" s="23">
        <f t="shared" ca="1" si="771"/>
        <v>75.18103889904549</v>
      </c>
      <c r="BZ1021" s="24">
        <f t="shared" ca="1" si="772"/>
        <v>0</v>
      </c>
      <c r="CA1021" s="24">
        <f t="shared" ca="1" si="805"/>
        <v>0</v>
      </c>
      <c r="CB1021" s="24">
        <f t="shared" ca="1" si="773"/>
        <v>0</v>
      </c>
      <c r="CC1021" s="24">
        <f t="shared" ca="1" si="806"/>
        <v>0</v>
      </c>
      <c r="CD1021" s="24">
        <f t="shared" ca="1" si="774"/>
        <v>-1.1621716847707513</v>
      </c>
      <c r="CE1021" s="25">
        <f t="shared" ca="1" si="807"/>
        <v>-14.816590940179562</v>
      </c>
      <c r="CF1021" s="23">
        <f t="shared" ca="1" si="808"/>
        <v>7238804.3827951886</v>
      </c>
      <c r="CG1021" s="25">
        <f t="array" aca="1" ref="CG1021" ca="1">SUM(BF1010:BF1021/(1+inflation/100)^(AP1010:AP1021/12))</f>
        <v>267980.53702225391</v>
      </c>
      <c r="CH1021" s="32">
        <f ca="1">IFERROR(IF(MOD(AP1021-ap_months_since_start,12)=0,ap_drawdown/100*(AQ1021+AV1021+BA1021-BC1021),CH1020),0)</f>
        <v>335.71324096661527</v>
      </c>
    </row>
    <row r="1022" spans="40:86" x14ac:dyDescent="0.25">
      <c r="AN1022" s="32">
        <f t="shared" ca="1" si="769"/>
        <v>139.41666666666666</v>
      </c>
      <c r="AO1022" s="53">
        <f t="shared" ca="1" si="800"/>
        <v>76489</v>
      </c>
      <c r="AP1022" s="22">
        <v>1015</v>
      </c>
      <c r="AQ1022" s="32">
        <f t="shared" ca="1" si="801"/>
        <v>2067.4046727025311</v>
      </c>
      <c r="AR1022" s="23">
        <f t="array" aca="1" ref="AR1022" ca="1">SUM(IF(lsc_start_date=AO1022,lsc_amount,0))</f>
        <v>0</v>
      </c>
      <c r="AS1022" s="24">
        <f t="shared" ca="1" si="775"/>
        <v>0</v>
      </c>
      <c r="AT1022" s="24">
        <f t="shared" ca="1" si="776"/>
        <v>0</v>
      </c>
      <c r="AU1022" s="24">
        <f t="shared" ca="1" si="777"/>
        <v>0</v>
      </c>
      <c r="AV1022" s="25">
        <f t="shared" ca="1" si="778"/>
        <v>0</v>
      </c>
      <c r="AW1022" s="23">
        <f t="array" aca="1" ref="AW1022" ca="1">SUM(IF(rcs_start_date&lt;=AO1022,1,0)*IF(rcs_end_date&gt;=AO1022,1,0)*rcs_amount*(1+rcs_escalation/100)^(INT((AP1022-rcs_months_since_start)/12))*IF(MOD((AP1022-rcs_months_since_start),rcs_frequency)=0,1,0)*IF(rcs_frequency=13,0,1))+SUM(IF(rcs_start_date=AO1022,rcs_amount,0)*IF(rcs_frequency=13,1,0))</f>
        <v>0</v>
      </c>
      <c r="AX1022" s="24">
        <f t="shared" ca="1" si="779"/>
        <v>0</v>
      </c>
      <c r="AY1022" s="24">
        <f t="shared" ca="1" si="780"/>
        <v>0</v>
      </c>
      <c r="AZ1022" s="24">
        <f t="shared" ca="1" si="781"/>
        <v>0</v>
      </c>
      <c r="BA1022" s="25">
        <f t="shared" ca="1" si="782"/>
        <v>0</v>
      </c>
      <c r="BB1022" s="23">
        <f t="array" aca="1" ref="BB1022" ca="1">SUM(IF(w_start_date&lt;=AO1022,1,0)*IF(w_end_date&gt;=AO1022,1,0)*w_amount*(1+w_escalation/100)^(INT((AP1022-w_months_since_start)/12))*IF(MOD(AP1022-w_months_since_start,w_frequency)=0,1,0)*IF(w_frequency=13,0,1))+SUM(IF(w_start_date=AO1022,w_amount,0)*IF(w_frequency=13,1,0))</f>
        <v>0</v>
      </c>
      <c r="BC1022" s="25">
        <f t="shared" ca="1" si="783"/>
        <v>0</v>
      </c>
      <c r="BD1022" s="24" t="b">
        <f t="shared" ca="1" si="784"/>
        <v>1</v>
      </c>
      <c r="BE1022" s="24" t="b">
        <f t="shared" ca="1" si="785"/>
        <v>1</v>
      </c>
      <c r="BF1022" s="23">
        <f t="array" aca="1" ref="BF1022" ca="1">SUM(IF(BD1022,1,0)*IF(ap_start_date&lt;=AO1022,1,0)*IF(ap_end_date&gt;=AO1022,1,0)*ap_amount*(1+ap_escalation/100)^(INT((AP1022-ap_months_since_start)/12))*IF(MOD(AP1022-ap_months_since_start,ap_frequency)=0,1,0))</f>
        <v>613058.35163737764</v>
      </c>
      <c r="BG1022" s="24">
        <f t="shared" ca="1" si="786"/>
        <v>7356700.2196485298</v>
      </c>
      <c r="BH1022" s="24">
        <f t="shared" ca="1" si="787"/>
        <v>54.607365139061187</v>
      </c>
      <c r="BI1022">
        <f t="shared" ca="1" si="788"/>
        <v>0</v>
      </c>
      <c r="BJ1022" s="24">
        <f t="shared" ca="1" si="789"/>
        <v>382.25155597342831</v>
      </c>
      <c r="BK1022">
        <f t="shared" ca="1" si="790"/>
        <v>1</v>
      </c>
      <c r="BL1022" s="25">
        <f t="shared" ca="1" si="791"/>
        <v>31.854296331119034</v>
      </c>
      <c r="BM1022" s="32">
        <f t="shared" ca="1" si="770"/>
        <v>2050.2212460602045</v>
      </c>
      <c r="BN1022" s="23">
        <f t="shared" ca="1" si="792"/>
        <v>0</v>
      </c>
      <c r="BO1022" s="24">
        <f t="shared" ca="1" si="793"/>
        <v>0</v>
      </c>
      <c r="BP1022" s="25">
        <f t="shared" ca="1" si="794"/>
        <v>0</v>
      </c>
      <c r="BQ1022" s="34">
        <f t="shared" ca="1" si="795"/>
        <v>76518</v>
      </c>
      <c r="BR1022" s="23">
        <f t="shared" ca="1" si="796"/>
        <v>2050.2212460602045</v>
      </c>
      <c r="BS1022" s="24">
        <f t="shared" ca="1" si="797"/>
        <v>0</v>
      </c>
      <c r="BT1022" s="24">
        <f t="shared" ca="1" si="802"/>
        <v>0</v>
      </c>
      <c r="BU1022" s="24">
        <f t="shared" ca="1" si="798"/>
        <v>0</v>
      </c>
      <c r="BV1022" s="24">
        <f t="shared" ca="1" si="803"/>
        <v>0</v>
      </c>
      <c r="BW1022" s="24">
        <f t="shared" ca="1" si="799"/>
        <v>-31.854296331119034</v>
      </c>
      <c r="BX1022" s="25">
        <f t="shared" ca="1" si="804"/>
        <v>-395.38130144340721</v>
      </c>
      <c r="BY1022" s="23">
        <f t="shared" ca="1" si="771"/>
        <v>74.312883643013222</v>
      </c>
      <c r="BZ1022" s="24">
        <f t="shared" ca="1" si="772"/>
        <v>0</v>
      </c>
      <c r="CA1022" s="24">
        <f t="shared" ca="1" si="805"/>
        <v>0</v>
      </c>
      <c r="CB1022" s="24">
        <f t="shared" ca="1" si="773"/>
        <v>0</v>
      </c>
      <c r="CC1022" s="24">
        <f t="shared" ca="1" si="806"/>
        <v>0</v>
      </c>
      <c r="CD1022" s="24">
        <f t="shared" ca="1" si="774"/>
        <v>-1.1583794518762627</v>
      </c>
      <c r="CE1022" s="25">
        <f t="shared" ca="1" si="807"/>
        <v>-14.646115549660328</v>
      </c>
      <c r="CF1022" s="23">
        <f t="shared" ca="1" si="808"/>
        <v>7262383.5501658563</v>
      </c>
      <c r="CG1022" s="25">
        <f t="array" aca="1" ref="CG1022" ca="1">SUM(BF1011:BF1022/(1+inflation/100)^(AP1011:AP1022/12))</f>
        <v>267980.53702225391</v>
      </c>
      <c r="CH1022" s="32">
        <f ca="1">IFERROR(IF(MOD(AP1022-ap_months_since_start,12)=0,ap_drawdown/100*(AQ1022+AV1022+BA1022-BC1022),CH1021),0)</f>
        <v>335.71324096661527</v>
      </c>
    </row>
    <row r="1023" spans="40:86" x14ac:dyDescent="0.25">
      <c r="AN1023" s="32">
        <f t="shared" ca="1" si="769"/>
        <v>139.5</v>
      </c>
      <c r="AO1023" s="53">
        <f t="shared" ca="1" si="800"/>
        <v>76519</v>
      </c>
      <c r="AP1023" s="22">
        <v>1016</v>
      </c>
      <c r="AQ1023" s="32">
        <f t="shared" ca="1" si="801"/>
        <v>2050.2212460602045</v>
      </c>
      <c r="AR1023" s="23">
        <f t="array" aca="1" ref="AR1023" ca="1">SUM(IF(lsc_start_date=AO1023,lsc_amount,0))</f>
        <v>0</v>
      </c>
      <c r="AS1023" s="24">
        <f t="shared" ca="1" si="775"/>
        <v>0</v>
      </c>
      <c r="AT1023" s="24">
        <f t="shared" ca="1" si="776"/>
        <v>0</v>
      </c>
      <c r="AU1023" s="24">
        <f t="shared" ca="1" si="777"/>
        <v>0</v>
      </c>
      <c r="AV1023" s="25">
        <f t="shared" ca="1" si="778"/>
        <v>0</v>
      </c>
      <c r="AW1023" s="23">
        <f t="array" aca="1" ref="AW1023" ca="1">SUM(IF(rcs_start_date&lt;=AO1023,1,0)*IF(rcs_end_date&gt;=AO1023,1,0)*rcs_amount*(1+rcs_escalation/100)^(INT((AP1023-rcs_months_since_start)/12))*IF(MOD((AP1023-rcs_months_since_start),rcs_frequency)=0,1,0)*IF(rcs_frequency=13,0,1))+SUM(IF(rcs_start_date=AO1023,rcs_amount,0)*IF(rcs_frequency=13,1,0))</f>
        <v>0</v>
      </c>
      <c r="AX1023" s="24">
        <f t="shared" ca="1" si="779"/>
        <v>0</v>
      </c>
      <c r="AY1023" s="24">
        <f t="shared" ca="1" si="780"/>
        <v>0</v>
      </c>
      <c r="AZ1023" s="24">
        <f t="shared" ca="1" si="781"/>
        <v>0</v>
      </c>
      <c r="BA1023" s="25">
        <f t="shared" ca="1" si="782"/>
        <v>0</v>
      </c>
      <c r="BB1023" s="23">
        <f t="array" aca="1" ref="BB1023" ca="1">SUM(IF(w_start_date&lt;=AO1023,1,0)*IF(w_end_date&gt;=AO1023,1,0)*w_amount*(1+w_escalation/100)^(INT((AP1023-w_months_since_start)/12))*IF(MOD(AP1023-w_months_since_start,w_frequency)=0,1,0)*IF(w_frequency=13,0,1))+SUM(IF(w_start_date=AO1023,w_amount,0)*IF(w_frequency=13,1,0))</f>
        <v>0</v>
      </c>
      <c r="BC1023" s="25">
        <f t="shared" ca="1" si="783"/>
        <v>0</v>
      </c>
      <c r="BD1023" s="24" t="b">
        <f t="shared" ca="1" si="784"/>
        <v>1</v>
      </c>
      <c r="BE1023" s="24" t="b">
        <f t="shared" ca="1" si="785"/>
        <v>1</v>
      </c>
      <c r="BF1023" s="23">
        <f t="array" aca="1" ref="BF1023" ca="1">SUM(IF(BD1023,1,0)*IF(ap_start_date&lt;=AO1023,1,0)*IF(ap_end_date&gt;=AO1023,1,0)*ap_amount*(1+ap_escalation/100)^(INT((AP1023-ap_months_since_start)/12))*IF(MOD(AP1023-ap_months_since_start,ap_frequency)=0,1,0))</f>
        <v>613058.35163737764</v>
      </c>
      <c r="BG1023" s="24">
        <f t="shared" ca="1" si="786"/>
        <v>7356700.2196485298</v>
      </c>
      <c r="BH1023" s="24">
        <f t="shared" ca="1" si="787"/>
        <v>54.607365139061187</v>
      </c>
      <c r="BI1023">
        <f t="shared" ca="1" si="788"/>
        <v>0</v>
      </c>
      <c r="BJ1023" s="24">
        <f t="shared" ca="1" si="789"/>
        <v>382.25155597342831</v>
      </c>
      <c r="BK1023">
        <f t="shared" ca="1" si="790"/>
        <v>1</v>
      </c>
      <c r="BL1023" s="25">
        <f t="shared" ca="1" si="791"/>
        <v>31.854296331119034</v>
      </c>
      <c r="BM1023" s="32">
        <f t="shared" ca="1" si="770"/>
        <v>2032.9139729063877</v>
      </c>
      <c r="BN1023" s="23">
        <f t="shared" ca="1" si="792"/>
        <v>0</v>
      </c>
      <c r="BO1023" s="24">
        <f t="shared" ca="1" si="793"/>
        <v>0</v>
      </c>
      <c r="BP1023" s="25">
        <f t="shared" ca="1" si="794"/>
        <v>0</v>
      </c>
      <c r="BQ1023" s="34">
        <f t="shared" ca="1" si="795"/>
        <v>76549</v>
      </c>
      <c r="BR1023" s="23">
        <f t="shared" ca="1" si="796"/>
        <v>2032.9139729063877</v>
      </c>
      <c r="BS1023" s="24">
        <f t="shared" ca="1" si="797"/>
        <v>0</v>
      </c>
      <c r="BT1023" s="24">
        <f t="shared" ca="1" si="802"/>
        <v>0</v>
      </c>
      <c r="BU1023" s="24">
        <f t="shared" ca="1" si="798"/>
        <v>0</v>
      </c>
      <c r="BV1023" s="24">
        <f t="shared" ca="1" si="803"/>
        <v>0</v>
      </c>
      <c r="BW1023" s="24">
        <f t="shared" ca="1" si="799"/>
        <v>-31.854296331119034</v>
      </c>
      <c r="BX1023" s="25">
        <f t="shared" ca="1" si="804"/>
        <v>-392.0988650759125</v>
      </c>
      <c r="BY1023" s="23">
        <f t="shared" ca="1" si="771"/>
        <v>73.445119247469478</v>
      </c>
      <c r="BZ1023" s="24">
        <f t="shared" ca="1" si="772"/>
        <v>0</v>
      </c>
      <c r="CA1023" s="24">
        <f t="shared" ca="1" si="805"/>
        <v>0</v>
      </c>
      <c r="CB1023" s="24">
        <f t="shared" ca="1" si="773"/>
        <v>0</v>
      </c>
      <c r="CC1023" s="24">
        <f t="shared" ca="1" si="806"/>
        <v>0</v>
      </c>
      <c r="CD1023" s="24">
        <f t="shared" ca="1" si="774"/>
        <v>-1.1545995932553124</v>
      </c>
      <c r="CE1023" s="25">
        <f t="shared" ca="1" si="807"/>
        <v>-14.476196430122481</v>
      </c>
      <c r="CF1023" s="23">
        <f t="shared" ca="1" si="808"/>
        <v>7285962.7175365249</v>
      </c>
      <c r="CG1023" s="25">
        <f t="array" aca="1" ref="CG1023" ca="1">SUM(BF1012:BF1023/(1+inflation/100)^(AP1012:AP1023/12))</f>
        <v>267980.53702225391</v>
      </c>
      <c r="CH1023" s="32">
        <f ca="1">IFERROR(IF(MOD(AP1023-ap_months_since_start,12)=0,ap_drawdown/100*(AQ1023+AV1023+BA1023-BC1023),CH1022),0)</f>
        <v>335.71324096661527</v>
      </c>
    </row>
    <row r="1024" spans="40:86" x14ac:dyDescent="0.25">
      <c r="AN1024" s="32">
        <f t="shared" ca="1" si="769"/>
        <v>139.58333333333334</v>
      </c>
      <c r="AO1024" s="53">
        <f t="shared" ca="1" si="800"/>
        <v>76550</v>
      </c>
      <c r="AP1024" s="22">
        <v>1017</v>
      </c>
      <c r="AQ1024" s="32">
        <f t="shared" ca="1" si="801"/>
        <v>2032.9139729063877</v>
      </c>
      <c r="AR1024" s="23">
        <f t="array" aca="1" ref="AR1024" ca="1">SUM(IF(lsc_start_date=AO1024,lsc_amount,0))</f>
        <v>0</v>
      </c>
      <c r="AS1024" s="24">
        <f t="shared" ca="1" si="775"/>
        <v>0</v>
      </c>
      <c r="AT1024" s="24">
        <f t="shared" ca="1" si="776"/>
        <v>0</v>
      </c>
      <c r="AU1024" s="24">
        <f t="shared" ca="1" si="777"/>
        <v>0</v>
      </c>
      <c r="AV1024" s="25">
        <f t="shared" ca="1" si="778"/>
        <v>0</v>
      </c>
      <c r="AW1024" s="23">
        <f t="array" aca="1" ref="AW1024" ca="1">SUM(IF(rcs_start_date&lt;=AO1024,1,0)*IF(rcs_end_date&gt;=AO1024,1,0)*rcs_amount*(1+rcs_escalation/100)^(INT((AP1024-rcs_months_since_start)/12))*IF(MOD((AP1024-rcs_months_since_start),rcs_frequency)=0,1,0)*IF(rcs_frequency=13,0,1))+SUM(IF(rcs_start_date=AO1024,rcs_amount,0)*IF(rcs_frequency=13,1,0))</f>
        <v>0</v>
      </c>
      <c r="AX1024" s="24">
        <f t="shared" ca="1" si="779"/>
        <v>0</v>
      </c>
      <c r="AY1024" s="24">
        <f t="shared" ca="1" si="780"/>
        <v>0</v>
      </c>
      <c r="AZ1024" s="24">
        <f t="shared" ca="1" si="781"/>
        <v>0</v>
      </c>
      <c r="BA1024" s="25">
        <f t="shared" ca="1" si="782"/>
        <v>0</v>
      </c>
      <c r="BB1024" s="23">
        <f t="array" aca="1" ref="BB1024" ca="1">SUM(IF(w_start_date&lt;=AO1024,1,0)*IF(w_end_date&gt;=AO1024,1,0)*w_amount*(1+w_escalation/100)^(INT((AP1024-w_months_since_start)/12))*IF(MOD(AP1024-w_months_since_start,w_frequency)=0,1,0)*IF(w_frequency=13,0,1))+SUM(IF(w_start_date=AO1024,w_amount,0)*IF(w_frequency=13,1,0))</f>
        <v>0</v>
      </c>
      <c r="BC1024" s="25">
        <f t="shared" ca="1" si="783"/>
        <v>0</v>
      </c>
      <c r="BD1024" s="24" t="b">
        <f t="shared" ca="1" si="784"/>
        <v>1</v>
      </c>
      <c r="BE1024" s="24" t="b">
        <f t="shared" ca="1" si="785"/>
        <v>1</v>
      </c>
      <c r="BF1024" s="23">
        <f t="array" aca="1" ref="BF1024" ca="1">SUM(IF(BD1024,1,0)*IF(ap_start_date&lt;=AO1024,1,0)*IF(ap_end_date&gt;=AO1024,1,0)*ap_amount*(1+ap_escalation/100)^(INT((AP1024-ap_months_since_start)/12))*IF(MOD(AP1024-ap_months_since_start,ap_frequency)=0,1,0))</f>
        <v>613058.35163737764</v>
      </c>
      <c r="BG1024" s="24">
        <f t="shared" ca="1" si="786"/>
        <v>7356700.2196485298</v>
      </c>
      <c r="BH1024" s="24">
        <f t="shared" ca="1" si="787"/>
        <v>54.607365139061187</v>
      </c>
      <c r="BI1024">
        <f t="shared" ca="1" si="788"/>
        <v>0</v>
      </c>
      <c r="BJ1024" s="24">
        <f t="shared" ca="1" si="789"/>
        <v>382.25155597342831</v>
      </c>
      <c r="BK1024">
        <f t="shared" ca="1" si="790"/>
        <v>1</v>
      </c>
      <c r="BL1024" s="25">
        <f t="shared" ca="1" si="791"/>
        <v>31.854296331119034</v>
      </c>
      <c r="BM1024" s="32">
        <f t="shared" ca="1" si="770"/>
        <v>2015.4819606392307</v>
      </c>
      <c r="BN1024" s="23">
        <f t="shared" ca="1" si="792"/>
        <v>0</v>
      </c>
      <c r="BO1024" s="24">
        <f t="shared" ca="1" si="793"/>
        <v>0</v>
      </c>
      <c r="BP1024" s="25">
        <f t="shared" ca="1" si="794"/>
        <v>0</v>
      </c>
      <c r="BQ1024" s="34">
        <f t="shared" ca="1" si="795"/>
        <v>76580</v>
      </c>
      <c r="BR1024" s="23">
        <f t="shared" ca="1" si="796"/>
        <v>2015.4819606392307</v>
      </c>
      <c r="BS1024" s="24">
        <f t="shared" ca="1" si="797"/>
        <v>0</v>
      </c>
      <c r="BT1024" s="24">
        <f t="shared" ca="1" si="802"/>
        <v>0</v>
      </c>
      <c r="BU1024" s="24">
        <f t="shared" ca="1" si="798"/>
        <v>0</v>
      </c>
      <c r="BV1024" s="24">
        <f t="shared" ca="1" si="803"/>
        <v>0</v>
      </c>
      <c r="BW1024" s="24">
        <f t="shared" ca="1" si="799"/>
        <v>-31.854296331119034</v>
      </c>
      <c r="BX1024" s="25">
        <f t="shared" ca="1" si="804"/>
        <v>-388.81642870841779</v>
      </c>
      <c r="BY1024" s="23">
        <f t="shared" ca="1" si="771"/>
        <v>72.577734862626158</v>
      </c>
      <c r="BZ1024" s="24">
        <f t="shared" ca="1" si="772"/>
        <v>0</v>
      </c>
      <c r="CA1024" s="24">
        <f t="shared" ca="1" si="805"/>
        <v>0</v>
      </c>
      <c r="CB1024" s="24">
        <f t="shared" ca="1" si="773"/>
        <v>0</v>
      </c>
      <c r="CC1024" s="24">
        <f t="shared" ca="1" si="806"/>
        <v>0</v>
      </c>
      <c r="CD1024" s="24">
        <f t="shared" ca="1" si="774"/>
        <v>-1.1508320685299354</v>
      </c>
      <c r="CE1024" s="25">
        <f t="shared" ca="1" si="807"/>
        <v>-14.306831766421888</v>
      </c>
      <c r="CF1024" s="23">
        <f t="shared" ca="1" si="808"/>
        <v>7309541.8849071935</v>
      </c>
      <c r="CG1024" s="25">
        <f t="array" aca="1" ref="CG1024" ca="1">SUM(BF1013:BF1024/(1+inflation/100)^(AP1013:AP1024/12))</f>
        <v>267980.53702225391</v>
      </c>
      <c r="CH1024" s="32">
        <f ca="1">IFERROR(IF(MOD(AP1024-ap_months_since_start,12)=0,ap_drawdown/100*(AQ1024+AV1024+BA1024-BC1024),CH1023),0)</f>
        <v>335.71324096661527</v>
      </c>
    </row>
    <row r="1025" spans="40:86" x14ac:dyDescent="0.25">
      <c r="AN1025" s="32">
        <f t="shared" ca="1" si="769"/>
        <v>139.66666666666666</v>
      </c>
      <c r="AO1025" s="53">
        <f t="shared" ca="1" si="800"/>
        <v>76581</v>
      </c>
      <c r="AP1025" s="22">
        <v>1018</v>
      </c>
      <c r="AQ1025" s="32">
        <f t="shared" ca="1" si="801"/>
        <v>2015.4819606392307</v>
      </c>
      <c r="AR1025" s="23">
        <f t="array" aca="1" ref="AR1025" ca="1">SUM(IF(lsc_start_date=AO1025,lsc_amount,0))</f>
        <v>0</v>
      </c>
      <c r="AS1025" s="24">
        <f t="shared" ca="1" si="775"/>
        <v>0</v>
      </c>
      <c r="AT1025" s="24">
        <f t="shared" ca="1" si="776"/>
        <v>0</v>
      </c>
      <c r="AU1025" s="24">
        <f t="shared" ca="1" si="777"/>
        <v>0</v>
      </c>
      <c r="AV1025" s="25">
        <f t="shared" ca="1" si="778"/>
        <v>0</v>
      </c>
      <c r="AW1025" s="23">
        <f t="array" aca="1" ref="AW1025" ca="1">SUM(IF(rcs_start_date&lt;=AO1025,1,0)*IF(rcs_end_date&gt;=AO1025,1,0)*rcs_amount*(1+rcs_escalation/100)^(INT((AP1025-rcs_months_since_start)/12))*IF(MOD((AP1025-rcs_months_since_start),rcs_frequency)=0,1,0)*IF(rcs_frequency=13,0,1))+SUM(IF(rcs_start_date=AO1025,rcs_amount,0)*IF(rcs_frequency=13,1,0))</f>
        <v>0</v>
      </c>
      <c r="AX1025" s="24">
        <f t="shared" ca="1" si="779"/>
        <v>0</v>
      </c>
      <c r="AY1025" s="24">
        <f t="shared" ca="1" si="780"/>
        <v>0</v>
      </c>
      <c r="AZ1025" s="24">
        <f t="shared" ca="1" si="781"/>
        <v>0</v>
      </c>
      <c r="BA1025" s="25">
        <f t="shared" ca="1" si="782"/>
        <v>0</v>
      </c>
      <c r="BB1025" s="23">
        <f t="array" aca="1" ref="BB1025" ca="1">SUM(IF(w_start_date&lt;=AO1025,1,0)*IF(w_end_date&gt;=AO1025,1,0)*w_amount*(1+w_escalation/100)^(INT((AP1025-w_months_since_start)/12))*IF(MOD(AP1025-w_months_since_start,w_frequency)=0,1,0)*IF(w_frequency=13,0,1))+SUM(IF(w_start_date=AO1025,w_amount,0)*IF(w_frequency=13,1,0))</f>
        <v>0</v>
      </c>
      <c r="BC1025" s="25">
        <f t="shared" ca="1" si="783"/>
        <v>0</v>
      </c>
      <c r="BD1025" s="24" t="b">
        <f t="shared" ca="1" si="784"/>
        <v>1</v>
      </c>
      <c r="BE1025" s="24" t="b">
        <f t="shared" ca="1" si="785"/>
        <v>1</v>
      </c>
      <c r="BF1025" s="23">
        <f t="array" aca="1" ref="BF1025" ca="1">SUM(IF(BD1025,1,0)*IF(ap_start_date&lt;=AO1025,1,0)*IF(ap_end_date&gt;=AO1025,1,0)*ap_amount*(1+ap_escalation/100)^(INT((AP1025-ap_months_since_start)/12))*IF(MOD(AP1025-ap_months_since_start,ap_frequency)=0,1,0))</f>
        <v>613058.35163737764</v>
      </c>
      <c r="BG1025" s="24">
        <f t="shared" ca="1" si="786"/>
        <v>7356700.2196485298</v>
      </c>
      <c r="BH1025" s="24">
        <f t="shared" ca="1" si="787"/>
        <v>54.607365139061187</v>
      </c>
      <c r="BI1025">
        <f t="shared" ca="1" si="788"/>
        <v>0</v>
      </c>
      <c r="BJ1025" s="24">
        <f t="shared" ca="1" si="789"/>
        <v>382.25155597342831</v>
      </c>
      <c r="BK1025">
        <f t="shared" ca="1" si="790"/>
        <v>1</v>
      </c>
      <c r="BL1025" s="25">
        <f t="shared" ca="1" si="791"/>
        <v>31.854296331119034</v>
      </c>
      <c r="BM1025" s="32">
        <f t="shared" ca="1" si="770"/>
        <v>1997.9243102236132</v>
      </c>
      <c r="BN1025" s="23">
        <f t="shared" ca="1" si="792"/>
        <v>0</v>
      </c>
      <c r="BO1025" s="24">
        <f t="shared" ca="1" si="793"/>
        <v>0</v>
      </c>
      <c r="BP1025" s="25">
        <f t="shared" ca="1" si="794"/>
        <v>0</v>
      </c>
      <c r="BQ1025" s="34">
        <f t="shared" ca="1" si="795"/>
        <v>76610</v>
      </c>
      <c r="BR1025" s="23">
        <f t="shared" ca="1" si="796"/>
        <v>1997.9243102236132</v>
      </c>
      <c r="BS1025" s="24">
        <f t="shared" ca="1" si="797"/>
        <v>0</v>
      </c>
      <c r="BT1025" s="24">
        <f t="shared" ca="1" si="802"/>
        <v>0</v>
      </c>
      <c r="BU1025" s="24">
        <f t="shared" ca="1" si="798"/>
        <v>0</v>
      </c>
      <c r="BV1025" s="24">
        <f t="shared" ca="1" si="803"/>
        <v>0</v>
      </c>
      <c r="BW1025" s="24">
        <f t="shared" ca="1" si="799"/>
        <v>-31.854296331119034</v>
      </c>
      <c r="BX1025" s="25">
        <f t="shared" ca="1" si="804"/>
        <v>-385.53399234092308</v>
      </c>
      <c r="BY1025" s="23">
        <f t="shared" ca="1" si="771"/>
        <v>71.710719636559745</v>
      </c>
      <c r="BZ1025" s="24">
        <f t="shared" ca="1" si="772"/>
        <v>0</v>
      </c>
      <c r="CA1025" s="24">
        <f t="shared" ca="1" si="805"/>
        <v>0</v>
      </c>
      <c r="CB1025" s="24">
        <f t="shared" ca="1" si="773"/>
        <v>0</v>
      </c>
      <c r="CC1025" s="24">
        <f t="shared" ca="1" si="806"/>
        <v>0</v>
      </c>
      <c r="CD1025" s="24">
        <f t="shared" ca="1" si="774"/>
        <v>-1.1470768374539237</v>
      </c>
      <c r="CE1025" s="25">
        <f t="shared" ca="1" si="807"/>
        <v>-14.138019749337339</v>
      </c>
      <c r="CF1025" s="23">
        <f t="shared" ca="1" si="808"/>
        <v>7333121.0522778612</v>
      </c>
      <c r="CG1025" s="25">
        <f t="array" aca="1" ref="CG1025" ca="1">SUM(BF1014:BF1025/(1+inflation/100)^(AP1014:AP1025/12))</f>
        <v>267980.53702225391</v>
      </c>
      <c r="CH1025" s="32">
        <f ca="1">IFERROR(IF(MOD(AP1025-ap_months_since_start,12)=0,ap_drawdown/100*(AQ1025+AV1025+BA1025-BC1025),CH1024),0)</f>
        <v>335.71324096661527</v>
      </c>
    </row>
    <row r="1026" spans="40:86" x14ac:dyDescent="0.25">
      <c r="AN1026" s="32">
        <f t="shared" ca="1" si="769"/>
        <v>139.75</v>
      </c>
      <c r="AO1026" s="53">
        <f t="shared" ca="1" si="800"/>
        <v>76611</v>
      </c>
      <c r="AP1026" s="22">
        <v>1019</v>
      </c>
      <c r="AQ1026" s="32">
        <f t="shared" ca="1" si="801"/>
        <v>1997.9243102236132</v>
      </c>
      <c r="AR1026" s="23">
        <f t="array" aca="1" ref="AR1026" ca="1">SUM(IF(lsc_start_date=AO1026,lsc_amount,0))</f>
        <v>0</v>
      </c>
      <c r="AS1026" s="24">
        <f t="shared" ca="1" si="775"/>
        <v>0</v>
      </c>
      <c r="AT1026" s="24">
        <f t="shared" ca="1" si="776"/>
        <v>0</v>
      </c>
      <c r="AU1026" s="24">
        <f t="shared" ca="1" si="777"/>
        <v>0</v>
      </c>
      <c r="AV1026" s="25">
        <f t="shared" ca="1" si="778"/>
        <v>0</v>
      </c>
      <c r="AW1026" s="23">
        <f t="array" aca="1" ref="AW1026" ca="1">SUM(IF(rcs_start_date&lt;=AO1026,1,0)*IF(rcs_end_date&gt;=AO1026,1,0)*rcs_amount*(1+rcs_escalation/100)^(INT((AP1026-rcs_months_since_start)/12))*IF(MOD((AP1026-rcs_months_since_start),rcs_frequency)=0,1,0)*IF(rcs_frequency=13,0,1))+SUM(IF(rcs_start_date=AO1026,rcs_amount,0)*IF(rcs_frequency=13,1,0))</f>
        <v>0</v>
      </c>
      <c r="AX1026" s="24">
        <f t="shared" ca="1" si="779"/>
        <v>0</v>
      </c>
      <c r="AY1026" s="24">
        <f t="shared" ca="1" si="780"/>
        <v>0</v>
      </c>
      <c r="AZ1026" s="24">
        <f t="shared" ca="1" si="781"/>
        <v>0</v>
      </c>
      <c r="BA1026" s="25">
        <f t="shared" ca="1" si="782"/>
        <v>0</v>
      </c>
      <c r="BB1026" s="23">
        <f t="array" aca="1" ref="BB1026" ca="1">SUM(IF(w_start_date&lt;=AO1026,1,0)*IF(w_end_date&gt;=AO1026,1,0)*w_amount*(1+w_escalation/100)^(INT((AP1026-w_months_since_start)/12))*IF(MOD(AP1026-w_months_since_start,w_frequency)=0,1,0)*IF(w_frequency=13,0,1))+SUM(IF(w_start_date=AO1026,w_amount,0)*IF(w_frequency=13,1,0))</f>
        <v>0</v>
      </c>
      <c r="BC1026" s="25">
        <f t="shared" ca="1" si="783"/>
        <v>0</v>
      </c>
      <c r="BD1026" s="24" t="b">
        <f t="shared" ca="1" si="784"/>
        <v>1</v>
      </c>
      <c r="BE1026" s="24" t="b">
        <f t="shared" ca="1" si="785"/>
        <v>1</v>
      </c>
      <c r="BF1026" s="23">
        <f t="array" aca="1" ref="BF1026" ca="1">SUM(IF(BD1026,1,0)*IF(ap_start_date&lt;=AO1026,1,0)*IF(ap_end_date&gt;=AO1026,1,0)*ap_amount*(1+ap_escalation/100)^(INT((AP1026-ap_months_since_start)/12))*IF(MOD(AP1026-ap_months_since_start,ap_frequency)=0,1,0))</f>
        <v>613058.35163737764</v>
      </c>
      <c r="BG1026" s="24">
        <f t="shared" ca="1" si="786"/>
        <v>7356700.2196485298</v>
      </c>
      <c r="BH1026" s="24">
        <f t="shared" ca="1" si="787"/>
        <v>54.607365139061187</v>
      </c>
      <c r="BI1026">
        <f t="shared" ca="1" si="788"/>
        <v>0</v>
      </c>
      <c r="BJ1026" s="24">
        <f t="shared" ca="1" si="789"/>
        <v>382.25155597342831</v>
      </c>
      <c r="BK1026">
        <f t="shared" ca="1" si="790"/>
        <v>1</v>
      </c>
      <c r="BL1026" s="25">
        <f t="shared" ca="1" si="791"/>
        <v>31.854296331119034</v>
      </c>
      <c r="BM1026" s="32">
        <f t="shared" ca="1" si="770"/>
        <v>1980.2401161447788</v>
      </c>
      <c r="BN1026" s="23">
        <f t="shared" ca="1" si="792"/>
        <v>0</v>
      </c>
      <c r="BO1026" s="24">
        <f t="shared" ca="1" si="793"/>
        <v>0</v>
      </c>
      <c r="BP1026" s="25">
        <f t="shared" ca="1" si="794"/>
        <v>0</v>
      </c>
      <c r="BQ1026" s="34">
        <f t="shared" ca="1" si="795"/>
        <v>76641</v>
      </c>
      <c r="BR1026" s="23">
        <f t="shared" ca="1" si="796"/>
        <v>1980.2401161447788</v>
      </c>
      <c r="BS1026" s="24">
        <f t="shared" ca="1" si="797"/>
        <v>0</v>
      </c>
      <c r="BT1026" s="24">
        <f t="shared" ca="1" si="802"/>
        <v>0</v>
      </c>
      <c r="BU1026" s="24">
        <f t="shared" ca="1" si="798"/>
        <v>0</v>
      </c>
      <c r="BV1026" s="24">
        <f t="shared" ca="1" si="803"/>
        <v>0</v>
      </c>
      <c r="BW1026" s="24">
        <f t="shared" ca="1" si="799"/>
        <v>-31.854296331119034</v>
      </c>
      <c r="BX1026" s="25">
        <f t="shared" ca="1" si="804"/>
        <v>-382.25155597342842</v>
      </c>
      <c r="BY1026" s="23">
        <f t="shared" ca="1" si="771"/>
        <v>70.84406271507126</v>
      </c>
      <c r="BZ1026" s="24">
        <f t="shared" ca="1" si="772"/>
        <v>0</v>
      </c>
      <c r="CA1026" s="24">
        <f t="shared" ca="1" si="805"/>
        <v>0</v>
      </c>
      <c r="CB1026" s="24">
        <f t="shared" ca="1" si="773"/>
        <v>0</v>
      </c>
      <c r="CC1026" s="24">
        <f t="shared" ca="1" si="806"/>
        <v>0</v>
      </c>
      <c r="CD1026" s="24">
        <f t="shared" ca="1" si="774"/>
        <v>-1.1433338599123937</v>
      </c>
      <c r="CE1026" s="25">
        <f t="shared" ca="1" si="807"/>
        <v>-13.969758575551213</v>
      </c>
      <c r="CF1026" s="23">
        <f t="shared" ca="1" si="808"/>
        <v>7356700.2196485298</v>
      </c>
      <c r="CG1026" s="25">
        <f t="array" aca="1" ref="CG1026" ca="1">SUM(BF1015:BF1026/(1+inflation/100)^(AP1015:AP1026/12))</f>
        <v>267980.53702225391</v>
      </c>
      <c r="CH1026" s="32">
        <f ca="1">IFERROR(IF(MOD(AP1026-ap_months_since_start,12)=0,ap_drawdown/100*(AQ1026+AV1026+BA1026-BC1026),CH1025),0)</f>
        <v>335.71324096661527</v>
      </c>
    </row>
    <row r="1027" spans="40:86" x14ac:dyDescent="0.25">
      <c r="AN1027" s="32">
        <f t="shared" ca="1" si="769"/>
        <v>139.83333333333334</v>
      </c>
      <c r="AO1027" s="53">
        <f t="shared" ca="1" si="800"/>
        <v>76642</v>
      </c>
      <c r="AP1027" s="22">
        <v>1020</v>
      </c>
      <c r="AQ1027" s="32">
        <f t="shared" ca="1" si="801"/>
        <v>1980.2401161447788</v>
      </c>
      <c r="AR1027" s="23">
        <f t="array" aca="1" ref="AR1027" ca="1">SUM(IF(lsc_start_date=AO1027,lsc_amount,0))</f>
        <v>0</v>
      </c>
      <c r="AS1027" s="24">
        <f t="shared" ca="1" si="775"/>
        <v>0</v>
      </c>
      <c r="AT1027" s="24">
        <f t="shared" ca="1" si="776"/>
        <v>0</v>
      </c>
      <c r="AU1027" s="24">
        <f t="shared" ca="1" si="777"/>
        <v>0</v>
      </c>
      <c r="AV1027" s="25">
        <f t="shared" ca="1" si="778"/>
        <v>0</v>
      </c>
      <c r="AW1027" s="23">
        <f t="array" aca="1" ref="AW1027" ca="1">SUM(IF(rcs_start_date&lt;=AO1027,1,0)*IF(rcs_end_date&gt;=AO1027,1,0)*rcs_amount*(1+rcs_escalation/100)^(INT((AP1027-rcs_months_since_start)/12))*IF(MOD((AP1027-rcs_months_since_start),rcs_frequency)=0,1,0)*IF(rcs_frequency=13,0,1))+SUM(IF(rcs_start_date=AO1027,rcs_amount,0)*IF(rcs_frequency=13,1,0))</f>
        <v>0</v>
      </c>
      <c r="AX1027" s="24">
        <f t="shared" ca="1" si="779"/>
        <v>0</v>
      </c>
      <c r="AY1027" s="24">
        <f t="shared" ca="1" si="780"/>
        <v>0</v>
      </c>
      <c r="AZ1027" s="24">
        <f t="shared" ca="1" si="781"/>
        <v>0</v>
      </c>
      <c r="BA1027" s="25">
        <f t="shared" ca="1" si="782"/>
        <v>0</v>
      </c>
      <c r="BB1027" s="23">
        <f t="array" aca="1" ref="BB1027" ca="1">SUM(IF(w_start_date&lt;=AO1027,1,0)*IF(w_end_date&gt;=AO1027,1,0)*w_amount*(1+w_escalation/100)^(INT((AP1027-w_months_since_start)/12))*IF(MOD(AP1027-w_months_since_start,w_frequency)=0,1,0)*IF(w_frequency=13,0,1))+SUM(IF(w_start_date=AO1027,w_amount,0)*IF(w_frequency=13,1,0))</f>
        <v>0</v>
      </c>
      <c r="BC1027" s="25">
        <f t="shared" ca="1" si="783"/>
        <v>0</v>
      </c>
      <c r="BD1027" s="24" t="b">
        <f t="shared" ca="1" si="784"/>
        <v>1</v>
      </c>
      <c r="BE1027" s="24" t="b">
        <f t="shared" ca="1" si="785"/>
        <v>1</v>
      </c>
      <c r="BF1027" s="23">
        <f t="array" aca="1" ref="BF1027" ca="1">SUM(IF(BD1027,1,0)*IF(ap_start_date&lt;=AO1027,1,0)*IF(ap_end_date&gt;=AO1027,1,0)*ap_amount*(1+ap_escalation/100)^(INT((AP1027-ap_months_since_start)/12))*IF(MOD(AP1027-ap_months_since_start,ap_frequency)=0,1,0))</f>
        <v>637580.68570287281</v>
      </c>
      <c r="BG1027" s="24">
        <f t="shared" ca="1" si="786"/>
        <v>7650968.2284344723</v>
      </c>
      <c r="BH1027" s="24">
        <f t="shared" ca="1" si="787"/>
        <v>49.506002903619475</v>
      </c>
      <c r="BI1027">
        <f t="shared" ca="1" si="788"/>
        <v>0</v>
      </c>
      <c r="BJ1027" s="24">
        <f t="shared" ca="1" si="789"/>
        <v>346.54202032533624</v>
      </c>
      <c r="BK1027">
        <f t="shared" ca="1" si="790"/>
        <v>1</v>
      </c>
      <c r="BL1027" s="25">
        <f t="shared" ca="1" si="791"/>
        <v>28.878501693778023</v>
      </c>
      <c r="BM1027" s="32">
        <f t="shared" ca="1" si="770"/>
        <v>1965.4257085130478</v>
      </c>
      <c r="BN1027" s="23">
        <f t="shared" ca="1" si="792"/>
        <v>0</v>
      </c>
      <c r="BO1027" s="24">
        <f t="shared" ca="1" si="793"/>
        <v>0</v>
      </c>
      <c r="BP1027" s="25">
        <f t="shared" ca="1" si="794"/>
        <v>0</v>
      </c>
      <c r="BQ1027" s="34">
        <f t="shared" ca="1" si="795"/>
        <v>76671</v>
      </c>
      <c r="BR1027" s="23">
        <f t="shared" ca="1" si="796"/>
        <v>1965.4257085130478</v>
      </c>
      <c r="BS1027" s="24">
        <f t="shared" ca="1" si="797"/>
        <v>0</v>
      </c>
      <c r="BT1027" s="24">
        <f t="shared" ca="1" si="802"/>
        <v>0</v>
      </c>
      <c r="BU1027" s="24">
        <f t="shared" ca="1" si="798"/>
        <v>0</v>
      </c>
      <c r="BV1027" s="24">
        <f t="shared" ca="1" si="803"/>
        <v>0</v>
      </c>
      <c r="BW1027" s="24">
        <f t="shared" ca="1" si="799"/>
        <v>-28.878501693778023</v>
      </c>
      <c r="BX1027" s="25">
        <f t="shared" ca="1" si="804"/>
        <v>-379.27576133608744</v>
      </c>
      <c r="BY1027" s="23">
        <f t="shared" ca="1" si="771"/>
        <v>70.084631161058383</v>
      </c>
      <c r="BZ1027" s="24">
        <f t="shared" ca="1" si="772"/>
        <v>0</v>
      </c>
      <c r="CA1027" s="24">
        <f t="shared" ca="1" si="805"/>
        <v>0</v>
      </c>
      <c r="CB1027" s="24">
        <f t="shared" ca="1" si="773"/>
        <v>0</v>
      </c>
      <c r="CC1027" s="24">
        <f t="shared" ca="1" si="806"/>
        <v>0</v>
      </c>
      <c r="CD1027" s="24">
        <f t="shared" ca="1" si="774"/>
        <v>-1.0331425812614559</v>
      </c>
      <c r="CE1027" s="25">
        <f t="shared" ca="1" si="807"/>
        <v>-13.817713937054457</v>
      </c>
      <c r="CF1027" s="23">
        <f t="shared" ca="1" si="808"/>
        <v>7381222.5537140248</v>
      </c>
      <c r="CG1027" s="25">
        <f t="array" aca="1" ref="CG1027" ca="1">SUM(BF1016:BF1027/(1+inflation/100)^(AP1016:AP1027/12))</f>
        <v>267980.53702225391</v>
      </c>
      <c r="CH1027" s="32">
        <f ca="1">IFERROR(IF(MOD(AP1027-ap_months_since_start,12)=0,ap_drawdown/100*(AQ1027+AV1027+BA1027-BC1027),CH1026),0)</f>
        <v>304.35126543376174</v>
      </c>
    </row>
    <row r="1028" spans="40:86" x14ac:dyDescent="0.25">
      <c r="AN1028" s="32">
        <f t="shared" ca="1" si="769"/>
        <v>139.91666666666666</v>
      </c>
      <c r="AO1028" s="53">
        <f t="shared" ca="1" si="800"/>
        <v>76672</v>
      </c>
      <c r="AP1028" s="22">
        <v>1021</v>
      </c>
      <c r="AQ1028" s="32">
        <f t="shared" ca="1" si="801"/>
        <v>1965.4257085130478</v>
      </c>
      <c r="AR1028" s="23">
        <f t="array" aca="1" ref="AR1028" ca="1">SUM(IF(lsc_start_date=AO1028,lsc_amount,0))</f>
        <v>0</v>
      </c>
      <c r="AS1028" s="24">
        <f t="shared" ca="1" si="775"/>
        <v>0</v>
      </c>
      <c r="AT1028" s="24">
        <f t="shared" ca="1" si="776"/>
        <v>0</v>
      </c>
      <c r="AU1028" s="24">
        <f t="shared" ca="1" si="777"/>
        <v>0</v>
      </c>
      <c r="AV1028" s="25">
        <f t="shared" ca="1" si="778"/>
        <v>0</v>
      </c>
      <c r="AW1028" s="23">
        <f t="array" aca="1" ref="AW1028" ca="1">SUM(IF(rcs_start_date&lt;=AO1028,1,0)*IF(rcs_end_date&gt;=AO1028,1,0)*rcs_amount*(1+rcs_escalation/100)^(INT((AP1028-rcs_months_since_start)/12))*IF(MOD((AP1028-rcs_months_since_start),rcs_frequency)=0,1,0)*IF(rcs_frequency=13,0,1))+SUM(IF(rcs_start_date=AO1028,rcs_amount,0)*IF(rcs_frequency=13,1,0))</f>
        <v>0</v>
      </c>
      <c r="AX1028" s="24">
        <f t="shared" ca="1" si="779"/>
        <v>0</v>
      </c>
      <c r="AY1028" s="24">
        <f t="shared" ca="1" si="780"/>
        <v>0</v>
      </c>
      <c r="AZ1028" s="24">
        <f t="shared" ca="1" si="781"/>
        <v>0</v>
      </c>
      <c r="BA1028" s="25">
        <f t="shared" ca="1" si="782"/>
        <v>0</v>
      </c>
      <c r="BB1028" s="23">
        <f t="array" aca="1" ref="BB1028" ca="1">SUM(IF(w_start_date&lt;=AO1028,1,0)*IF(w_end_date&gt;=AO1028,1,0)*w_amount*(1+w_escalation/100)^(INT((AP1028-w_months_since_start)/12))*IF(MOD(AP1028-w_months_since_start,w_frequency)=0,1,0)*IF(w_frequency=13,0,1))+SUM(IF(w_start_date=AO1028,w_amount,0)*IF(w_frequency=13,1,0))</f>
        <v>0</v>
      </c>
      <c r="BC1028" s="25">
        <f t="shared" ca="1" si="783"/>
        <v>0</v>
      </c>
      <c r="BD1028" s="24" t="b">
        <f t="shared" ca="1" si="784"/>
        <v>1</v>
      </c>
      <c r="BE1028" s="24" t="b">
        <f t="shared" ca="1" si="785"/>
        <v>1</v>
      </c>
      <c r="BF1028" s="23">
        <f t="array" aca="1" ref="BF1028" ca="1">SUM(IF(BD1028,1,0)*IF(ap_start_date&lt;=AO1028,1,0)*IF(ap_end_date&gt;=AO1028,1,0)*ap_amount*(1+ap_escalation/100)^(INT((AP1028-ap_months_since_start)/12))*IF(MOD(AP1028-ap_months_since_start,ap_frequency)=0,1,0))</f>
        <v>637580.68570287281</v>
      </c>
      <c r="BG1028" s="24">
        <f t="shared" ca="1" si="786"/>
        <v>7650968.2284344723</v>
      </c>
      <c r="BH1028" s="24">
        <f t="shared" ca="1" si="787"/>
        <v>49.506002903619475</v>
      </c>
      <c r="BI1028">
        <f t="shared" ca="1" si="788"/>
        <v>0</v>
      </c>
      <c r="BJ1028" s="24">
        <f t="shared" ca="1" si="789"/>
        <v>346.54202032533624</v>
      </c>
      <c r="BK1028">
        <f t="shared" ca="1" si="790"/>
        <v>1</v>
      </c>
      <c r="BL1028" s="25">
        <f t="shared" ca="1" si="791"/>
        <v>28.878501693778023</v>
      </c>
      <c r="BM1028" s="32">
        <f t="shared" ca="1" si="770"/>
        <v>1950.5045286557777</v>
      </c>
      <c r="BN1028" s="23">
        <f t="shared" ca="1" si="792"/>
        <v>0</v>
      </c>
      <c r="BO1028" s="24">
        <f t="shared" ca="1" si="793"/>
        <v>0</v>
      </c>
      <c r="BP1028" s="25">
        <f t="shared" ca="1" si="794"/>
        <v>0</v>
      </c>
      <c r="BQ1028" s="34">
        <f t="shared" ca="1" si="795"/>
        <v>76702</v>
      </c>
      <c r="BR1028" s="23">
        <f t="shared" ca="1" si="796"/>
        <v>1950.5045286557777</v>
      </c>
      <c r="BS1028" s="24">
        <f t="shared" ca="1" si="797"/>
        <v>0</v>
      </c>
      <c r="BT1028" s="24">
        <f t="shared" ca="1" si="802"/>
        <v>0</v>
      </c>
      <c r="BU1028" s="24">
        <f t="shared" ca="1" si="798"/>
        <v>0</v>
      </c>
      <c r="BV1028" s="24">
        <f t="shared" ca="1" si="803"/>
        <v>0</v>
      </c>
      <c r="BW1028" s="24">
        <f t="shared" ca="1" si="799"/>
        <v>-28.878501693778023</v>
      </c>
      <c r="BX1028" s="25">
        <f t="shared" ca="1" si="804"/>
        <v>-376.29996669874646</v>
      </c>
      <c r="BY1028" s="23">
        <f t="shared" ca="1" si="771"/>
        <v>69.325606488445487</v>
      </c>
      <c r="BZ1028" s="24">
        <f t="shared" ca="1" si="772"/>
        <v>0</v>
      </c>
      <c r="CA1028" s="24">
        <f t="shared" ca="1" si="805"/>
        <v>0</v>
      </c>
      <c r="CB1028" s="24">
        <f t="shared" ca="1" si="773"/>
        <v>0</v>
      </c>
      <c r="CC1028" s="24">
        <f t="shared" ca="1" si="806"/>
        <v>0</v>
      </c>
      <c r="CD1028" s="24">
        <f t="shared" ca="1" si="774"/>
        <v>-1.0297713777355917</v>
      </c>
      <c r="CE1028" s="25">
        <f t="shared" ca="1" si="807"/>
        <v>-13.666165428937653</v>
      </c>
      <c r="CF1028" s="23">
        <f t="shared" ca="1" si="808"/>
        <v>7405744.8877795199</v>
      </c>
      <c r="CG1028" s="25">
        <f t="array" aca="1" ref="CG1028" ca="1">SUM(BF1017:BF1028/(1+inflation/100)^(AP1017:AP1028/12))</f>
        <v>267980.53702225391</v>
      </c>
      <c r="CH1028" s="32">
        <f ca="1">IFERROR(IF(MOD(AP1028-ap_months_since_start,12)=0,ap_drawdown/100*(AQ1028+AV1028+BA1028-BC1028),CH1027),0)</f>
        <v>304.35126543376174</v>
      </c>
    </row>
    <row r="1029" spans="40:86" x14ac:dyDescent="0.25">
      <c r="AN1029" s="32">
        <f t="shared" ca="1" si="769"/>
        <v>140</v>
      </c>
      <c r="AO1029" s="53">
        <f t="shared" ca="1" si="800"/>
        <v>76703</v>
      </c>
      <c r="AP1029" s="22">
        <v>1022</v>
      </c>
      <c r="AQ1029" s="32">
        <f t="shared" ca="1" si="801"/>
        <v>1950.5045286557777</v>
      </c>
      <c r="AR1029" s="23">
        <f t="array" aca="1" ref="AR1029" ca="1">SUM(IF(lsc_start_date=AO1029,lsc_amount,0))</f>
        <v>0</v>
      </c>
      <c r="AS1029" s="24">
        <f t="shared" ca="1" si="775"/>
        <v>0</v>
      </c>
      <c r="AT1029" s="24">
        <f t="shared" ca="1" si="776"/>
        <v>0</v>
      </c>
      <c r="AU1029" s="24">
        <f t="shared" ca="1" si="777"/>
        <v>0</v>
      </c>
      <c r="AV1029" s="25">
        <f t="shared" ca="1" si="778"/>
        <v>0</v>
      </c>
      <c r="AW1029" s="23">
        <f t="array" aca="1" ref="AW1029" ca="1">SUM(IF(rcs_start_date&lt;=AO1029,1,0)*IF(rcs_end_date&gt;=AO1029,1,0)*rcs_amount*(1+rcs_escalation/100)^(INT((AP1029-rcs_months_since_start)/12))*IF(MOD((AP1029-rcs_months_since_start),rcs_frequency)=0,1,0)*IF(rcs_frequency=13,0,1))+SUM(IF(rcs_start_date=AO1029,rcs_amount,0)*IF(rcs_frequency=13,1,0))</f>
        <v>0</v>
      </c>
      <c r="AX1029" s="24">
        <f t="shared" ca="1" si="779"/>
        <v>0</v>
      </c>
      <c r="AY1029" s="24">
        <f t="shared" ca="1" si="780"/>
        <v>0</v>
      </c>
      <c r="AZ1029" s="24">
        <f t="shared" ca="1" si="781"/>
        <v>0</v>
      </c>
      <c r="BA1029" s="25">
        <f t="shared" ca="1" si="782"/>
        <v>0</v>
      </c>
      <c r="BB1029" s="23">
        <f t="array" aca="1" ref="BB1029" ca="1">SUM(IF(w_start_date&lt;=AO1029,1,0)*IF(w_end_date&gt;=AO1029,1,0)*w_amount*(1+w_escalation/100)^(INT((AP1029-w_months_since_start)/12))*IF(MOD(AP1029-w_months_since_start,w_frequency)=0,1,0)*IF(w_frequency=13,0,1))+SUM(IF(w_start_date=AO1029,w_amount,0)*IF(w_frequency=13,1,0))</f>
        <v>0</v>
      </c>
      <c r="BC1029" s="25">
        <f t="shared" ca="1" si="783"/>
        <v>0</v>
      </c>
      <c r="BD1029" s="24" t="b">
        <f t="shared" ca="1" si="784"/>
        <v>1</v>
      </c>
      <c r="BE1029" s="24" t="b">
        <f t="shared" ca="1" si="785"/>
        <v>1</v>
      </c>
      <c r="BF1029" s="23">
        <f t="array" aca="1" ref="BF1029" ca="1">SUM(IF(BD1029,1,0)*IF(ap_start_date&lt;=AO1029,1,0)*IF(ap_end_date&gt;=AO1029,1,0)*ap_amount*(1+ap_escalation/100)^(INT((AP1029-ap_months_since_start)/12))*IF(MOD(AP1029-ap_months_since_start,ap_frequency)=0,1,0))</f>
        <v>637580.68570287281</v>
      </c>
      <c r="BG1029" s="24">
        <f t="shared" ca="1" si="786"/>
        <v>7650968.2284344723</v>
      </c>
      <c r="BH1029" s="24">
        <f t="shared" ca="1" si="787"/>
        <v>49.506002903619475</v>
      </c>
      <c r="BI1029">
        <f t="shared" ca="1" si="788"/>
        <v>0</v>
      </c>
      <c r="BJ1029" s="24">
        <f t="shared" ca="1" si="789"/>
        <v>346.54202032533624</v>
      </c>
      <c r="BK1029">
        <f t="shared" ca="1" si="790"/>
        <v>1</v>
      </c>
      <c r="BL1029" s="25">
        <f t="shared" ca="1" si="791"/>
        <v>28.878501693778023</v>
      </c>
      <c r="BM1029" s="32">
        <f t="shared" ca="1" si="770"/>
        <v>1935.4758070310181</v>
      </c>
      <c r="BN1029" s="23">
        <f t="shared" ca="1" si="792"/>
        <v>0</v>
      </c>
      <c r="BO1029" s="24">
        <f t="shared" ca="1" si="793"/>
        <v>0</v>
      </c>
      <c r="BP1029" s="25">
        <f t="shared" ca="1" si="794"/>
        <v>0</v>
      </c>
      <c r="BQ1029" s="34">
        <f t="shared" ca="1" si="795"/>
        <v>76733</v>
      </c>
      <c r="BR1029" s="23">
        <f t="shared" ca="1" si="796"/>
        <v>1935.4758070310181</v>
      </c>
      <c r="BS1029" s="24">
        <f t="shared" ca="1" si="797"/>
        <v>0</v>
      </c>
      <c r="BT1029" s="24">
        <f t="shared" ca="1" si="802"/>
        <v>0</v>
      </c>
      <c r="BU1029" s="24">
        <f t="shared" ca="1" si="798"/>
        <v>0</v>
      </c>
      <c r="BV1029" s="24">
        <f t="shared" ca="1" si="803"/>
        <v>0</v>
      </c>
      <c r="BW1029" s="24">
        <f t="shared" ca="1" si="799"/>
        <v>-28.878501693778023</v>
      </c>
      <c r="BX1029" s="25">
        <f t="shared" ca="1" si="804"/>
        <v>-373.32417206140548</v>
      </c>
      <c r="BY1029" s="23">
        <f t="shared" ca="1" si="771"/>
        <v>68.566979248951256</v>
      </c>
      <c r="BZ1029" s="24">
        <f t="shared" ca="1" si="772"/>
        <v>0</v>
      </c>
      <c r="CA1029" s="24">
        <f t="shared" ca="1" si="805"/>
        <v>0</v>
      </c>
      <c r="CB1029" s="24">
        <f t="shared" ca="1" si="773"/>
        <v>0</v>
      </c>
      <c r="CC1029" s="24">
        <f t="shared" ca="1" si="806"/>
        <v>0</v>
      </c>
      <c r="CD1029" s="24">
        <f t="shared" ca="1" si="774"/>
        <v>-1.0264111746402795</v>
      </c>
      <c r="CE1029" s="25">
        <f t="shared" ca="1" si="807"/>
        <v>-13.515111432298909</v>
      </c>
      <c r="CF1029" s="23">
        <f t="shared" ca="1" si="808"/>
        <v>7430267.221845015</v>
      </c>
      <c r="CG1029" s="25">
        <f t="array" aca="1" ref="CG1029" ca="1">SUM(BF1018:BF1029/(1+inflation/100)^(AP1018:AP1029/12))</f>
        <v>267980.53702225385</v>
      </c>
      <c r="CH1029" s="32">
        <f ca="1">IFERROR(IF(MOD(AP1029-ap_months_since_start,12)=0,ap_drawdown/100*(AQ1029+AV1029+BA1029-BC1029),CH1028),0)</f>
        <v>304.35126543376174</v>
      </c>
    </row>
    <row r="1030" spans="40:86" x14ac:dyDescent="0.25">
      <c r="AN1030" s="32">
        <f t="shared" ca="1" si="769"/>
        <v>140.08333333333334</v>
      </c>
      <c r="AO1030" s="53">
        <f t="shared" ca="1" si="800"/>
        <v>76734</v>
      </c>
      <c r="AP1030" s="22">
        <v>1023</v>
      </c>
      <c r="AQ1030" s="32">
        <f t="shared" ca="1" si="801"/>
        <v>1935.4758070310181</v>
      </c>
      <c r="AR1030" s="23">
        <f t="array" aca="1" ref="AR1030" ca="1">SUM(IF(lsc_start_date=AO1030,lsc_amount,0))</f>
        <v>0</v>
      </c>
      <c r="AS1030" s="24">
        <f t="shared" ca="1" si="775"/>
        <v>0</v>
      </c>
      <c r="AT1030" s="24">
        <f t="shared" ca="1" si="776"/>
        <v>0</v>
      </c>
      <c r="AU1030" s="24">
        <f t="shared" ca="1" si="777"/>
        <v>0</v>
      </c>
      <c r="AV1030" s="25">
        <f t="shared" ca="1" si="778"/>
        <v>0</v>
      </c>
      <c r="AW1030" s="23">
        <f t="array" aca="1" ref="AW1030" ca="1">SUM(IF(rcs_start_date&lt;=AO1030,1,0)*IF(rcs_end_date&gt;=AO1030,1,0)*rcs_amount*(1+rcs_escalation/100)^(INT((AP1030-rcs_months_since_start)/12))*IF(MOD((AP1030-rcs_months_since_start),rcs_frequency)=0,1,0)*IF(rcs_frequency=13,0,1))+SUM(IF(rcs_start_date=AO1030,rcs_amount,0)*IF(rcs_frequency=13,1,0))</f>
        <v>0</v>
      </c>
      <c r="AX1030" s="24">
        <f t="shared" ca="1" si="779"/>
        <v>0</v>
      </c>
      <c r="AY1030" s="24">
        <f t="shared" ca="1" si="780"/>
        <v>0</v>
      </c>
      <c r="AZ1030" s="24">
        <f t="shared" ca="1" si="781"/>
        <v>0</v>
      </c>
      <c r="BA1030" s="25">
        <f t="shared" ca="1" si="782"/>
        <v>0</v>
      </c>
      <c r="BB1030" s="23">
        <f t="array" aca="1" ref="BB1030" ca="1">SUM(IF(w_start_date&lt;=AO1030,1,0)*IF(w_end_date&gt;=AO1030,1,0)*w_amount*(1+w_escalation/100)^(INT((AP1030-w_months_since_start)/12))*IF(MOD(AP1030-w_months_since_start,w_frequency)=0,1,0)*IF(w_frequency=13,0,1))+SUM(IF(w_start_date=AO1030,w_amount,0)*IF(w_frequency=13,1,0))</f>
        <v>0</v>
      </c>
      <c r="BC1030" s="25">
        <f t="shared" ca="1" si="783"/>
        <v>0</v>
      </c>
      <c r="BD1030" s="24" t="b">
        <f t="shared" ca="1" si="784"/>
        <v>1</v>
      </c>
      <c r="BE1030" s="24" t="b">
        <f t="shared" ca="1" si="785"/>
        <v>1</v>
      </c>
      <c r="BF1030" s="23">
        <f t="array" aca="1" ref="BF1030" ca="1">SUM(IF(BD1030,1,0)*IF(ap_start_date&lt;=AO1030,1,0)*IF(ap_end_date&gt;=AO1030,1,0)*ap_amount*(1+ap_escalation/100)^(INT((AP1030-ap_months_since_start)/12))*IF(MOD(AP1030-ap_months_since_start,ap_frequency)=0,1,0))</f>
        <v>637580.68570287281</v>
      </c>
      <c r="BG1030" s="24">
        <f t="shared" ca="1" si="786"/>
        <v>7650968.2284344723</v>
      </c>
      <c r="BH1030" s="24">
        <f t="shared" ca="1" si="787"/>
        <v>49.506002903619475</v>
      </c>
      <c r="BI1030">
        <f t="shared" ca="1" si="788"/>
        <v>0</v>
      </c>
      <c r="BJ1030" s="24">
        <f t="shared" ca="1" si="789"/>
        <v>346.54202032533624</v>
      </c>
      <c r="BK1030">
        <f t="shared" ca="1" si="790"/>
        <v>1</v>
      </c>
      <c r="BL1030" s="25">
        <f t="shared" ca="1" si="791"/>
        <v>28.878501693778023</v>
      </c>
      <c r="BM1030" s="32">
        <f t="shared" ca="1" si="770"/>
        <v>1920.3387685504806</v>
      </c>
      <c r="BN1030" s="23">
        <f t="shared" ca="1" si="792"/>
        <v>0</v>
      </c>
      <c r="BO1030" s="24">
        <f t="shared" ca="1" si="793"/>
        <v>0</v>
      </c>
      <c r="BP1030" s="25">
        <f t="shared" ca="1" si="794"/>
        <v>0</v>
      </c>
      <c r="BQ1030" s="34">
        <f t="shared" ca="1" si="795"/>
        <v>76761</v>
      </c>
      <c r="BR1030" s="23">
        <f t="shared" ca="1" si="796"/>
        <v>1920.3387685504806</v>
      </c>
      <c r="BS1030" s="24">
        <f t="shared" ca="1" si="797"/>
        <v>0</v>
      </c>
      <c r="BT1030" s="24">
        <f t="shared" ca="1" si="802"/>
        <v>0</v>
      </c>
      <c r="BU1030" s="24">
        <f t="shared" ca="1" si="798"/>
        <v>0</v>
      </c>
      <c r="BV1030" s="24">
        <f t="shared" ca="1" si="803"/>
        <v>0</v>
      </c>
      <c r="BW1030" s="24">
        <f t="shared" ca="1" si="799"/>
        <v>-28.878501693778023</v>
      </c>
      <c r="BX1030" s="25">
        <f t="shared" ca="1" si="804"/>
        <v>-370.34837742406444</v>
      </c>
      <c r="BY1030" s="23">
        <f t="shared" ca="1" si="771"/>
        <v>67.808739993286252</v>
      </c>
      <c r="BZ1030" s="24">
        <f t="shared" ca="1" si="772"/>
        <v>0</v>
      </c>
      <c r="CA1030" s="24">
        <f t="shared" ca="1" si="805"/>
        <v>0</v>
      </c>
      <c r="CB1030" s="24">
        <f t="shared" ca="1" si="773"/>
        <v>0</v>
      </c>
      <c r="CC1030" s="24">
        <f t="shared" ca="1" si="806"/>
        <v>0</v>
      </c>
      <c r="CD1030" s="24">
        <f t="shared" ca="1" si="774"/>
        <v>-1.0230619360804791</v>
      </c>
      <c r="CE1030" s="25">
        <f t="shared" ca="1" si="807"/>
        <v>-13.36455033351889</v>
      </c>
      <c r="CF1030" s="23">
        <f t="shared" ca="1" si="808"/>
        <v>7454789.55591051</v>
      </c>
      <c r="CG1030" s="25">
        <f t="array" aca="1" ref="CG1030" ca="1">SUM(BF1019:BF1030/(1+inflation/100)^(AP1019:AP1030/12))</f>
        <v>267980.53702225385</v>
      </c>
      <c r="CH1030" s="32">
        <f ca="1">IFERROR(IF(MOD(AP1030-ap_months_since_start,12)=0,ap_drawdown/100*(AQ1030+AV1030+BA1030-BC1030),CH1029),0)</f>
        <v>304.35126543376174</v>
      </c>
    </row>
    <row r="1031" spans="40:86" x14ac:dyDescent="0.25">
      <c r="AN1031" s="32">
        <f t="shared" ca="1" si="769"/>
        <v>140.16666666666666</v>
      </c>
      <c r="AO1031" s="53">
        <f t="shared" ca="1" si="800"/>
        <v>76762</v>
      </c>
      <c r="AP1031" s="22">
        <v>1024</v>
      </c>
      <c r="AQ1031" s="32">
        <f t="shared" ca="1" si="801"/>
        <v>1920.3387685504806</v>
      </c>
      <c r="AR1031" s="23">
        <f t="array" aca="1" ref="AR1031" ca="1">SUM(IF(lsc_start_date=AO1031,lsc_amount,0))</f>
        <v>0</v>
      </c>
      <c r="AS1031" s="24">
        <f t="shared" ca="1" si="775"/>
        <v>0</v>
      </c>
      <c r="AT1031" s="24">
        <f t="shared" ca="1" si="776"/>
        <v>0</v>
      </c>
      <c r="AU1031" s="24">
        <f t="shared" ca="1" si="777"/>
        <v>0</v>
      </c>
      <c r="AV1031" s="25">
        <f t="shared" ca="1" si="778"/>
        <v>0</v>
      </c>
      <c r="AW1031" s="23">
        <f t="array" aca="1" ref="AW1031" ca="1">SUM(IF(rcs_start_date&lt;=AO1031,1,0)*IF(rcs_end_date&gt;=AO1031,1,0)*rcs_amount*(1+rcs_escalation/100)^(INT((AP1031-rcs_months_since_start)/12))*IF(MOD((AP1031-rcs_months_since_start),rcs_frequency)=0,1,0)*IF(rcs_frequency=13,0,1))+SUM(IF(rcs_start_date=AO1031,rcs_amount,0)*IF(rcs_frequency=13,1,0))</f>
        <v>0</v>
      </c>
      <c r="AX1031" s="24">
        <f t="shared" ca="1" si="779"/>
        <v>0</v>
      </c>
      <c r="AY1031" s="24">
        <f t="shared" ca="1" si="780"/>
        <v>0</v>
      </c>
      <c r="AZ1031" s="24">
        <f t="shared" ca="1" si="781"/>
        <v>0</v>
      </c>
      <c r="BA1031" s="25">
        <f t="shared" ca="1" si="782"/>
        <v>0</v>
      </c>
      <c r="BB1031" s="23">
        <f t="array" aca="1" ref="BB1031" ca="1">SUM(IF(w_start_date&lt;=AO1031,1,0)*IF(w_end_date&gt;=AO1031,1,0)*w_amount*(1+w_escalation/100)^(INT((AP1031-w_months_since_start)/12))*IF(MOD(AP1031-w_months_since_start,w_frequency)=0,1,0)*IF(w_frequency=13,0,1))+SUM(IF(w_start_date=AO1031,w_amount,0)*IF(w_frequency=13,1,0))</f>
        <v>0</v>
      </c>
      <c r="BC1031" s="25">
        <f t="shared" ca="1" si="783"/>
        <v>0</v>
      </c>
      <c r="BD1031" s="24" t="b">
        <f t="shared" ca="1" si="784"/>
        <v>1</v>
      </c>
      <c r="BE1031" s="24" t="b">
        <f t="shared" ca="1" si="785"/>
        <v>1</v>
      </c>
      <c r="BF1031" s="23">
        <f t="array" aca="1" ref="BF1031" ca="1">SUM(IF(BD1031,1,0)*IF(ap_start_date&lt;=AO1031,1,0)*IF(ap_end_date&gt;=AO1031,1,0)*ap_amount*(1+ap_escalation/100)^(INT((AP1031-ap_months_since_start)/12))*IF(MOD(AP1031-ap_months_since_start,ap_frequency)=0,1,0))</f>
        <v>637580.68570287281</v>
      </c>
      <c r="BG1031" s="24">
        <f t="shared" ca="1" si="786"/>
        <v>7650968.2284344723</v>
      </c>
      <c r="BH1031" s="24">
        <f t="shared" ca="1" si="787"/>
        <v>49.506002903619475</v>
      </c>
      <c r="BI1031">
        <f t="shared" ca="1" si="788"/>
        <v>0</v>
      </c>
      <c r="BJ1031" s="24">
        <f t="shared" ca="1" si="789"/>
        <v>346.54202032533624</v>
      </c>
      <c r="BK1031">
        <f t="shared" ca="1" si="790"/>
        <v>1</v>
      </c>
      <c r="BL1031" s="25">
        <f t="shared" ca="1" si="791"/>
        <v>28.878501693778023</v>
      </c>
      <c r="BM1031" s="32">
        <f t="shared" ca="1" si="770"/>
        <v>1905.0926325395651</v>
      </c>
      <c r="BN1031" s="23">
        <f t="shared" ca="1" si="792"/>
        <v>0</v>
      </c>
      <c r="BO1031" s="24">
        <f t="shared" ca="1" si="793"/>
        <v>0</v>
      </c>
      <c r="BP1031" s="25">
        <f t="shared" ca="1" si="794"/>
        <v>0</v>
      </c>
      <c r="BQ1031" s="34">
        <f t="shared" ca="1" si="795"/>
        <v>76792</v>
      </c>
      <c r="BR1031" s="23">
        <f t="shared" ca="1" si="796"/>
        <v>1905.0926325395651</v>
      </c>
      <c r="BS1031" s="24">
        <f t="shared" ca="1" si="797"/>
        <v>0</v>
      </c>
      <c r="BT1031" s="24">
        <f t="shared" ca="1" si="802"/>
        <v>0</v>
      </c>
      <c r="BU1031" s="24">
        <f t="shared" ca="1" si="798"/>
        <v>0</v>
      </c>
      <c r="BV1031" s="24">
        <f t="shared" ca="1" si="803"/>
        <v>0</v>
      </c>
      <c r="BW1031" s="24">
        <f t="shared" ca="1" si="799"/>
        <v>-28.878501693778023</v>
      </c>
      <c r="BX1031" s="25">
        <f t="shared" ca="1" si="804"/>
        <v>-367.37258278672346</v>
      </c>
      <c r="BY1031" s="23">
        <f t="shared" ca="1" si="771"/>
        <v>67.05087927103078</v>
      </c>
      <c r="BZ1031" s="24">
        <f t="shared" ca="1" si="772"/>
        <v>0</v>
      </c>
      <c r="CA1031" s="24">
        <f t="shared" ca="1" si="805"/>
        <v>0</v>
      </c>
      <c r="CB1031" s="24">
        <f t="shared" ca="1" si="773"/>
        <v>0</v>
      </c>
      <c r="CC1031" s="24">
        <f t="shared" ca="1" si="806"/>
        <v>0</v>
      </c>
      <c r="CD1031" s="24">
        <f t="shared" ca="1" si="774"/>
        <v>-1.0197236262782843</v>
      </c>
      <c r="CE1031" s="25">
        <f t="shared" ca="1" si="807"/>
        <v>-13.214480524243601</v>
      </c>
      <c r="CF1031" s="23">
        <f t="shared" ca="1" si="808"/>
        <v>7479311.8899760051</v>
      </c>
      <c r="CG1031" s="25">
        <f t="array" aca="1" ref="CG1031" ca="1">SUM(BF1020:BF1031/(1+inflation/100)^(AP1020:AP1031/12))</f>
        <v>267980.53702225391</v>
      </c>
      <c r="CH1031" s="32">
        <f ca="1">IFERROR(IF(MOD(AP1031-ap_months_since_start,12)=0,ap_drawdown/100*(AQ1031+AV1031+BA1031-BC1031),CH1030),0)</f>
        <v>304.35126543376174</v>
      </c>
    </row>
    <row r="1032" spans="40:86" x14ac:dyDescent="0.25">
      <c r="AN1032" s="32">
        <f t="shared" ref="AN1032:AN1095" ca="1" si="809">IF(AND(Date_of_birth&lt;&gt;"",Date_of_birth&lt;&gt;"Please enter date of birth"),YEARFRAC(Date_of_birth,AO1032),AP1032/12)</f>
        <v>140.25</v>
      </c>
      <c r="AO1032" s="53">
        <f t="shared" ca="1" si="800"/>
        <v>76793</v>
      </c>
      <c r="AP1032" s="22">
        <v>1025</v>
      </c>
      <c r="AQ1032" s="32">
        <f t="shared" ca="1" si="801"/>
        <v>1905.0926325395651</v>
      </c>
      <c r="AR1032" s="23">
        <f t="array" aca="1" ref="AR1032" ca="1">SUM(IF(lsc_start_date=AO1032,lsc_amount,0))</f>
        <v>0</v>
      </c>
      <c r="AS1032" s="24">
        <f t="shared" ca="1" si="775"/>
        <v>0</v>
      </c>
      <c r="AT1032" s="24">
        <f t="shared" ca="1" si="776"/>
        <v>0</v>
      </c>
      <c r="AU1032" s="24">
        <f t="shared" ca="1" si="777"/>
        <v>0</v>
      </c>
      <c r="AV1032" s="25">
        <f t="shared" ca="1" si="778"/>
        <v>0</v>
      </c>
      <c r="AW1032" s="23">
        <f t="array" aca="1" ref="AW1032" ca="1">SUM(IF(rcs_start_date&lt;=AO1032,1,0)*IF(rcs_end_date&gt;=AO1032,1,0)*rcs_amount*(1+rcs_escalation/100)^(INT((AP1032-rcs_months_since_start)/12))*IF(MOD((AP1032-rcs_months_since_start),rcs_frequency)=0,1,0)*IF(rcs_frequency=13,0,1))+SUM(IF(rcs_start_date=AO1032,rcs_amount,0)*IF(rcs_frequency=13,1,0))</f>
        <v>0</v>
      </c>
      <c r="AX1032" s="24">
        <f t="shared" ca="1" si="779"/>
        <v>0</v>
      </c>
      <c r="AY1032" s="24">
        <f t="shared" ca="1" si="780"/>
        <v>0</v>
      </c>
      <c r="AZ1032" s="24">
        <f t="shared" ca="1" si="781"/>
        <v>0</v>
      </c>
      <c r="BA1032" s="25">
        <f t="shared" ca="1" si="782"/>
        <v>0</v>
      </c>
      <c r="BB1032" s="23">
        <f t="array" aca="1" ref="BB1032" ca="1">SUM(IF(w_start_date&lt;=AO1032,1,0)*IF(w_end_date&gt;=AO1032,1,0)*w_amount*(1+w_escalation/100)^(INT((AP1032-w_months_since_start)/12))*IF(MOD(AP1032-w_months_since_start,w_frequency)=0,1,0)*IF(w_frequency=13,0,1))+SUM(IF(w_start_date=AO1032,w_amount,0)*IF(w_frequency=13,1,0))</f>
        <v>0</v>
      </c>
      <c r="BC1032" s="25">
        <f t="shared" ca="1" si="783"/>
        <v>0</v>
      </c>
      <c r="BD1032" s="24" t="b">
        <f t="shared" ca="1" si="784"/>
        <v>1</v>
      </c>
      <c r="BE1032" s="24" t="b">
        <f t="shared" ca="1" si="785"/>
        <v>1</v>
      </c>
      <c r="BF1032" s="23">
        <f t="array" aca="1" ref="BF1032" ca="1">SUM(IF(BD1032,1,0)*IF(ap_start_date&lt;=AO1032,1,0)*IF(ap_end_date&gt;=AO1032,1,0)*ap_amount*(1+ap_escalation/100)^(INT((AP1032-ap_months_since_start)/12))*IF(MOD(AP1032-ap_months_since_start,ap_frequency)=0,1,0))</f>
        <v>637580.68570287281</v>
      </c>
      <c r="BG1032" s="24">
        <f t="shared" ca="1" si="786"/>
        <v>7650968.2284344723</v>
      </c>
      <c r="BH1032" s="24">
        <f t="shared" ca="1" si="787"/>
        <v>49.506002903619475</v>
      </c>
      <c r="BI1032">
        <f t="shared" ca="1" si="788"/>
        <v>0</v>
      </c>
      <c r="BJ1032" s="24">
        <f t="shared" ca="1" si="789"/>
        <v>346.54202032533624</v>
      </c>
      <c r="BK1032">
        <f t="shared" ca="1" si="790"/>
        <v>1</v>
      </c>
      <c r="BL1032" s="25">
        <f t="shared" ca="1" si="791"/>
        <v>28.878501693778023</v>
      </c>
      <c r="BM1032" s="32">
        <f t="shared" ref="BM1032:BM1095" ca="1" si="810">(AQ1032+AV1032+BA1032-BC1032-BL1032)*(1+NomRetn/100)^(1/12)</f>
        <v>1889.7366126970971</v>
      </c>
      <c r="BN1032" s="23">
        <f t="shared" ca="1" si="792"/>
        <v>0</v>
      </c>
      <c r="BO1032" s="24">
        <f t="shared" ca="1" si="793"/>
        <v>0</v>
      </c>
      <c r="BP1032" s="25">
        <f t="shared" ca="1" si="794"/>
        <v>0</v>
      </c>
      <c r="BQ1032" s="34">
        <f t="shared" ca="1" si="795"/>
        <v>76822</v>
      </c>
      <c r="BR1032" s="23">
        <f t="shared" ca="1" si="796"/>
        <v>1889.7366126970971</v>
      </c>
      <c r="BS1032" s="24">
        <f t="shared" ca="1" si="797"/>
        <v>0</v>
      </c>
      <c r="BT1032" s="24">
        <f t="shared" ca="1" si="802"/>
        <v>0</v>
      </c>
      <c r="BU1032" s="24">
        <f t="shared" ca="1" si="798"/>
        <v>0</v>
      </c>
      <c r="BV1032" s="24">
        <f t="shared" ca="1" si="803"/>
        <v>0</v>
      </c>
      <c r="BW1032" s="24">
        <f t="shared" ca="1" si="799"/>
        <v>-28.878501693778023</v>
      </c>
      <c r="BX1032" s="25">
        <f t="shared" ca="1" si="804"/>
        <v>-364.39678814938242</v>
      </c>
      <c r="BY1032" s="23">
        <f t="shared" ref="BY1032:BY1095" ca="1" si="811">BR1032*(1+inflation/100)^(-$AP1032/12)</f>
        <v>66.293387630513365</v>
      </c>
      <c r="BZ1032" s="24">
        <f t="shared" ref="BZ1032:BZ1095" ca="1" si="812">BS1032*(1+inflation/100)^(-(AP1032-1)/12)</f>
        <v>0</v>
      </c>
      <c r="CA1032" s="24">
        <f t="shared" ca="1" si="805"/>
        <v>0</v>
      </c>
      <c r="CB1032" s="24">
        <f t="shared" ref="CB1032:CB1095" ca="1" si="813">BU1032*(1+inflation/100)^(-($AP1032-1)/12)</f>
        <v>0</v>
      </c>
      <c r="CC1032" s="24">
        <f t="shared" ca="1" si="806"/>
        <v>0</v>
      </c>
      <c r="CD1032" s="24">
        <f t="shared" ref="CD1032:CD1095" ca="1" si="814">BW1032*(1+inflation/100)^(-($AP1032-1)/12)</f>
        <v>-1.0163962095725307</v>
      </c>
      <c r="CE1032" s="25">
        <f t="shared" ca="1" si="807"/>
        <v>-13.064900401367197</v>
      </c>
      <c r="CF1032" s="23">
        <f t="shared" ca="1" si="808"/>
        <v>7503834.2240415001</v>
      </c>
      <c r="CG1032" s="25">
        <f t="array" aca="1" ref="CG1032" ca="1">SUM(BF1021:BF1032/(1+inflation/100)^(AP1021:AP1032/12))</f>
        <v>267980.53702225391</v>
      </c>
      <c r="CH1032" s="32">
        <f ca="1">IFERROR(IF(MOD(AP1032-ap_months_since_start,12)=0,ap_drawdown/100*(AQ1032+AV1032+BA1032-BC1032),CH1031),0)</f>
        <v>304.35126543376174</v>
      </c>
    </row>
    <row r="1033" spans="40:86" x14ac:dyDescent="0.25">
      <c r="AN1033" s="32">
        <f t="shared" ca="1" si="809"/>
        <v>140.33333333333334</v>
      </c>
      <c r="AO1033" s="53">
        <f t="shared" ca="1" si="800"/>
        <v>76823</v>
      </c>
      <c r="AP1033" s="22">
        <v>1026</v>
      </c>
      <c r="AQ1033" s="32">
        <f t="shared" ca="1" si="801"/>
        <v>1889.7366126970971</v>
      </c>
      <c r="AR1033" s="23">
        <f t="array" aca="1" ref="AR1033" ca="1">SUM(IF(lsc_start_date=AO1033,lsc_amount,0))</f>
        <v>0</v>
      </c>
      <c r="AS1033" s="24">
        <f t="shared" ref="AS1033:AS1096" ca="1" si="815">AR1033*$D$34/100</f>
        <v>0</v>
      </c>
      <c r="AT1033" s="24">
        <f t="shared" ref="AT1033:AT1096" ca="1" si="816">AR1033*$D$33/100</f>
        <v>0</v>
      </c>
      <c r="AU1033" s="24">
        <f t="shared" ref="AU1033:AU1096" ca="1" si="817">AR1033*$D$35/100</f>
        <v>0</v>
      </c>
      <c r="AV1033" s="25">
        <f t="shared" ref="AV1033:AV1096" ca="1" si="818">AR1033-AS1033-AT1033-AU1033</f>
        <v>0</v>
      </c>
      <c r="AW1033" s="23">
        <f t="array" aca="1" ref="AW1033" ca="1">SUM(IF(rcs_start_date&lt;=AO1033,1,0)*IF(rcs_end_date&gt;=AO1033,1,0)*rcs_amount*(1+rcs_escalation/100)^(INT((AP1033-rcs_months_since_start)/12))*IF(MOD((AP1033-rcs_months_since_start),rcs_frequency)=0,1,0)*IF(rcs_frequency=13,0,1))+SUM(IF(rcs_start_date=AO1033,rcs_amount,0)*IF(rcs_frequency=13,1,0))</f>
        <v>0</v>
      </c>
      <c r="AX1033" s="24">
        <f t="shared" ref="AX1033:AX1096" ca="1" si="819">AW1033*$D$34/100</f>
        <v>0</v>
      </c>
      <c r="AY1033" s="24">
        <f t="shared" ref="AY1033:AY1096" ca="1" si="820">AW1033*$D$33/100</f>
        <v>0</v>
      </c>
      <c r="AZ1033" s="24">
        <f t="shared" ref="AZ1033:AZ1096" ca="1" si="821">AW1033*$D$35/100</f>
        <v>0</v>
      </c>
      <c r="BA1033" s="25">
        <f t="shared" ref="BA1033:BA1096" ca="1" si="822">AW1033-AX1033-AY1033-AZ1033</f>
        <v>0</v>
      </c>
      <c r="BB1033" s="23">
        <f t="array" aca="1" ref="BB1033" ca="1">SUM(IF(w_start_date&lt;=AO1033,1,0)*IF(w_end_date&gt;=AO1033,1,0)*w_amount*(1+w_escalation/100)^(INT((AP1033-w_months_since_start)/12))*IF(MOD(AP1033-w_months_since_start,w_frequency)=0,1,0)*IF(w_frequency=13,0,1))+SUM(IF(w_start_date=AO1033,w_amount,0)*IF(w_frequency=13,1,0))</f>
        <v>0</v>
      </c>
      <c r="BC1033" s="25">
        <f t="shared" ref="BC1033:BC1096" ca="1" si="823">IF(BB1033&gt;AQ1033+AV1033+BA1033,AQ1033+AV1033+BA1033,BB1033)</f>
        <v>0</v>
      </c>
      <c r="BD1033" s="24" t="b">
        <f t="shared" ref="BD1033:BD1096" ca="1" si="824">AND($DV$11&lt;=AO1033,$DV$11&lt;&gt;0)</f>
        <v>1</v>
      </c>
      <c r="BE1033" s="24" t="b">
        <f t="shared" ref="BE1033:BE1096" ca="1" si="825">$DW$11&lt;&gt;""</f>
        <v>1</v>
      </c>
      <c r="BF1033" s="23">
        <f t="array" aca="1" ref="BF1033" ca="1">SUM(IF(BD1033,1,0)*IF(ap_start_date&lt;=AO1033,1,0)*IF(ap_end_date&gt;=AO1033,1,0)*ap_amount*(1+ap_escalation/100)^(INT((AP1033-ap_months_since_start)/12))*IF(MOD(AP1033-ap_months_since_start,ap_frequency)=0,1,0))</f>
        <v>637580.68570287281</v>
      </c>
      <c r="BG1033" s="24">
        <f t="shared" ref="BG1033:BG1096" ca="1" si="826">IF(MOD(YEAR(AO1033)*12+MONTH(AO1033)-YEAR(Earliest_annuity_payment)*12-MONTH(Earliest_annuity_payment),12)=0,SUM(BF1033:BF1044),BG1032)</f>
        <v>7650968.2284344723</v>
      </c>
      <c r="BH1033" s="24">
        <f t="shared" ref="BH1033:BH1096" ca="1" si="827">IF(AO1033&gt;=Earliest_annuity_payment,IF(MOD(YEAR(AO1033)*12+MONTH(AO1033)-YEAR(Earliest_annuity_payment)*12-MONTH(Earliest_annuity_payment),12)=0,(AQ1033+AV1033+BA1033-BC1033)*Annuity_min,BH1032),0)</f>
        <v>49.506002903619475</v>
      </c>
      <c r="BI1033">
        <f t="shared" ref="BI1033:BI1096" ca="1" si="828">IF(AND(BH1033&gt;BG1033,BD1033),1,0)</f>
        <v>0</v>
      </c>
      <c r="BJ1033" s="24">
        <f t="shared" ref="BJ1033:BJ1096" ca="1" si="829">IF(AO1033&gt;=Earliest_annuity_payment,IF(MOD(YEAR(AO1033)*12+MONTH(AO1033)-YEAR(Earliest_annuity_payment)*12-MONTH(Earliest_annuity_payment),12)=0,(AQ1033+AV1033+BA1033-BC1033)*Annuity_cap,BJ1032),0)</f>
        <v>346.54202032533624</v>
      </c>
      <c r="BK1033">
        <f t="shared" ref="BK1033:BK1096" ca="1" si="830">IF(BJ1033&lt;BG1033,1,0)</f>
        <v>1</v>
      </c>
      <c r="BL1033" s="25">
        <f t="shared" ref="BL1033:BL1096" ca="1" si="831">IF(BJ1033&lt;BG1033,BF1033/BG1033*BJ1033,IF(AND(BH1033&gt;BG1033,BG1033&lt;&gt;0),BF1033/BG1033*BH1033,BF1033))</f>
        <v>28.878501693778023</v>
      </c>
      <c r="BM1033" s="32">
        <f t="shared" ca="1" si="810"/>
        <v>1874.2699170547755</v>
      </c>
      <c r="BN1033" s="23">
        <f t="shared" ref="BN1033:BN1096" ca="1" si="832">BM1033*$E$34/1200</f>
        <v>0</v>
      </c>
      <c r="BO1033" s="24">
        <f t="shared" ref="BO1033:BO1096" ca="1" si="833">BM1033*$E$33/1200</f>
        <v>0</v>
      </c>
      <c r="BP1033" s="25">
        <f t="shared" ref="BP1033:BP1096" ca="1" si="834">BM1033*$E$35/1200</f>
        <v>0</v>
      </c>
      <c r="BQ1033" s="34">
        <f t="shared" ref="BQ1033:BQ1096" ca="1" si="835">EOMONTH(AO1033,0)</f>
        <v>76853</v>
      </c>
      <c r="BR1033" s="23">
        <f t="shared" ref="BR1033:BR1096" ca="1" si="836">BM1033-BN1033-BO1033-BP1033</f>
        <v>1874.2699170547755</v>
      </c>
      <c r="BS1033" s="24">
        <f t="shared" ref="BS1033:BS1096" ca="1" si="837">AV1033+BA1033</f>
        <v>0</v>
      </c>
      <c r="BT1033" s="24">
        <f t="shared" ca="1" si="802"/>
        <v>0</v>
      </c>
      <c r="BU1033" s="24">
        <f t="shared" ref="BU1033:BU1096" ca="1" si="838">-BC1033</f>
        <v>0</v>
      </c>
      <c r="BV1033" s="24">
        <f t="shared" ca="1" si="803"/>
        <v>0</v>
      </c>
      <c r="BW1033" s="24">
        <f t="shared" ref="BW1033:BW1096" ca="1" si="839">-BL1033</f>
        <v>-28.878501693778023</v>
      </c>
      <c r="BX1033" s="25">
        <f t="shared" ca="1" si="804"/>
        <v>-361.42099351204143</v>
      </c>
      <c r="BY1033" s="23">
        <f t="shared" ca="1" si="811"/>
        <v>65.536255618689239</v>
      </c>
      <c r="BZ1033" s="24">
        <f t="shared" ca="1" si="812"/>
        <v>0</v>
      </c>
      <c r="CA1033" s="24">
        <f t="shared" ca="1" si="805"/>
        <v>0</v>
      </c>
      <c r="CB1033" s="24">
        <f t="shared" ca="1" si="813"/>
        <v>0</v>
      </c>
      <c r="CC1033" s="24">
        <f t="shared" ca="1" si="806"/>
        <v>0</v>
      </c>
      <c r="CD1033" s="24">
        <f t="shared" ca="1" si="814"/>
        <v>-1.0130796504184196</v>
      </c>
      <c r="CE1033" s="25">
        <f t="shared" ca="1" si="807"/>
        <v>-12.915808367014868</v>
      </c>
      <c r="CF1033" s="23">
        <f t="shared" ca="1" si="808"/>
        <v>7528356.5581069961</v>
      </c>
      <c r="CG1033" s="25">
        <f t="array" aca="1" ref="CG1033" ca="1">SUM(BF1022:BF1033/(1+inflation/100)^(AP1022:AP1033/12))</f>
        <v>267980.53702225396</v>
      </c>
      <c r="CH1033" s="32">
        <f ca="1">IFERROR(IF(MOD(AP1033-ap_months_since_start,12)=0,ap_drawdown/100*(AQ1033+AV1033+BA1033-BC1033),CH1032),0)</f>
        <v>304.35126543376174</v>
      </c>
    </row>
    <row r="1034" spans="40:86" x14ac:dyDescent="0.25">
      <c r="AN1034" s="32">
        <f t="shared" ca="1" si="809"/>
        <v>140.41666666666666</v>
      </c>
      <c r="AO1034" s="53">
        <f t="shared" ref="AO1034:AO1097" ca="1" si="840">DATE(YEAR(AO1033),MONTH(AO1033)+1,1)</f>
        <v>76854</v>
      </c>
      <c r="AP1034" s="22">
        <v>1027</v>
      </c>
      <c r="AQ1034" s="32">
        <f t="shared" ref="AQ1034:AQ1097" ca="1" si="841">IF(BR1033&lt;0,0,BR1033)</f>
        <v>1874.2699170547755</v>
      </c>
      <c r="AR1034" s="23">
        <f t="array" aca="1" ref="AR1034" ca="1">SUM(IF(lsc_start_date=AO1034,lsc_amount,0))</f>
        <v>0</v>
      </c>
      <c r="AS1034" s="24">
        <f t="shared" ca="1" si="815"/>
        <v>0</v>
      </c>
      <c r="AT1034" s="24">
        <f t="shared" ca="1" si="816"/>
        <v>0</v>
      </c>
      <c r="AU1034" s="24">
        <f t="shared" ca="1" si="817"/>
        <v>0</v>
      </c>
      <c r="AV1034" s="25">
        <f t="shared" ca="1" si="818"/>
        <v>0</v>
      </c>
      <c r="AW1034" s="23">
        <f t="array" aca="1" ref="AW1034" ca="1">SUM(IF(rcs_start_date&lt;=AO1034,1,0)*IF(rcs_end_date&gt;=AO1034,1,0)*rcs_amount*(1+rcs_escalation/100)^(INT((AP1034-rcs_months_since_start)/12))*IF(MOD((AP1034-rcs_months_since_start),rcs_frequency)=0,1,0)*IF(rcs_frequency=13,0,1))+SUM(IF(rcs_start_date=AO1034,rcs_amount,0)*IF(rcs_frequency=13,1,0))</f>
        <v>0</v>
      </c>
      <c r="AX1034" s="24">
        <f t="shared" ca="1" si="819"/>
        <v>0</v>
      </c>
      <c r="AY1034" s="24">
        <f t="shared" ca="1" si="820"/>
        <v>0</v>
      </c>
      <c r="AZ1034" s="24">
        <f t="shared" ca="1" si="821"/>
        <v>0</v>
      </c>
      <c r="BA1034" s="25">
        <f t="shared" ca="1" si="822"/>
        <v>0</v>
      </c>
      <c r="BB1034" s="23">
        <f t="array" aca="1" ref="BB1034" ca="1">SUM(IF(w_start_date&lt;=AO1034,1,0)*IF(w_end_date&gt;=AO1034,1,0)*w_amount*(1+w_escalation/100)^(INT((AP1034-w_months_since_start)/12))*IF(MOD(AP1034-w_months_since_start,w_frequency)=0,1,0)*IF(w_frequency=13,0,1))+SUM(IF(w_start_date=AO1034,w_amount,0)*IF(w_frequency=13,1,0))</f>
        <v>0</v>
      </c>
      <c r="BC1034" s="25">
        <f t="shared" ca="1" si="823"/>
        <v>0</v>
      </c>
      <c r="BD1034" s="24" t="b">
        <f t="shared" ca="1" si="824"/>
        <v>1</v>
      </c>
      <c r="BE1034" s="24" t="b">
        <f t="shared" ca="1" si="825"/>
        <v>1</v>
      </c>
      <c r="BF1034" s="23">
        <f t="array" aca="1" ref="BF1034" ca="1">SUM(IF(BD1034,1,0)*IF(ap_start_date&lt;=AO1034,1,0)*IF(ap_end_date&gt;=AO1034,1,0)*ap_amount*(1+ap_escalation/100)^(INT((AP1034-ap_months_since_start)/12))*IF(MOD(AP1034-ap_months_since_start,ap_frequency)=0,1,0))</f>
        <v>637580.68570287281</v>
      </c>
      <c r="BG1034" s="24">
        <f t="shared" ca="1" si="826"/>
        <v>7650968.2284344723</v>
      </c>
      <c r="BH1034" s="24">
        <f t="shared" ca="1" si="827"/>
        <v>49.506002903619475</v>
      </c>
      <c r="BI1034">
        <f t="shared" ca="1" si="828"/>
        <v>0</v>
      </c>
      <c r="BJ1034" s="24">
        <f t="shared" ca="1" si="829"/>
        <v>346.54202032533624</v>
      </c>
      <c r="BK1034">
        <f t="shared" ca="1" si="830"/>
        <v>1</v>
      </c>
      <c r="BL1034" s="25">
        <f t="shared" ca="1" si="831"/>
        <v>28.878501693778023</v>
      </c>
      <c r="BM1034" s="32">
        <f t="shared" ca="1" si="810"/>
        <v>1858.6917479363274</v>
      </c>
      <c r="BN1034" s="23">
        <f t="shared" ca="1" si="832"/>
        <v>0</v>
      </c>
      <c r="BO1034" s="24">
        <f t="shared" ca="1" si="833"/>
        <v>0</v>
      </c>
      <c r="BP1034" s="25">
        <f t="shared" ca="1" si="834"/>
        <v>0</v>
      </c>
      <c r="BQ1034" s="34">
        <f t="shared" ca="1" si="835"/>
        <v>76883</v>
      </c>
      <c r="BR1034" s="23">
        <f t="shared" ca="1" si="836"/>
        <v>1858.6917479363274</v>
      </c>
      <c r="BS1034" s="24">
        <f t="shared" ca="1" si="837"/>
        <v>0</v>
      </c>
      <c r="BT1034" s="24">
        <f t="shared" ca="1" si="802"/>
        <v>0</v>
      </c>
      <c r="BU1034" s="24">
        <f t="shared" ca="1" si="838"/>
        <v>0</v>
      </c>
      <c r="BV1034" s="24">
        <f t="shared" ca="1" si="803"/>
        <v>0</v>
      </c>
      <c r="BW1034" s="24">
        <f t="shared" ca="1" si="839"/>
        <v>-28.878501693778023</v>
      </c>
      <c r="BX1034" s="25">
        <f t="shared" ca="1" si="804"/>
        <v>-358.4451988747004</v>
      </c>
      <c r="BY1034" s="23">
        <f t="shared" ca="1" si="811"/>
        <v>64.779473781018183</v>
      </c>
      <c r="BZ1034" s="24">
        <f t="shared" ca="1" si="812"/>
        <v>0</v>
      </c>
      <c r="CA1034" s="24">
        <f t="shared" ca="1" si="805"/>
        <v>0</v>
      </c>
      <c r="CB1034" s="24">
        <f t="shared" ca="1" si="813"/>
        <v>0</v>
      </c>
      <c r="CC1034" s="24">
        <f t="shared" ca="1" si="806"/>
        <v>0</v>
      </c>
      <c r="CD1034" s="24">
        <f t="shared" ca="1" si="814"/>
        <v>-1.0097739133871375</v>
      </c>
      <c r="CE1034" s="25">
        <f t="shared" ca="1" si="807"/>
        <v>-12.767202828525742</v>
      </c>
      <c r="CF1034" s="23">
        <f t="shared" ca="1" si="808"/>
        <v>7552878.8921724912</v>
      </c>
      <c r="CG1034" s="25">
        <f t="array" aca="1" ref="CG1034" ca="1">SUM(BF1023:BF1034/(1+inflation/100)^(AP1023:AP1034/12))</f>
        <v>267980.53702225391</v>
      </c>
      <c r="CH1034" s="32">
        <f ca="1">IFERROR(IF(MOD(AP1034-ap_months_since_start,12)=0,ap_drawdown/100*(AQ1034+AV1034+BA1034-BC1034),CH1033),0)</f>
        <v>304.35126543376174</v>
      </c>
    </row>
    <row r="1035" spans="40:86" x14ac:dyDescent="0.25">
      <c r="AN1035" s="32">
        <f t="shared" ca="1" si="809"/>
        <v>140.5</v>
      </c>
      <c r="AO1035" s="53">
        <f t="shared" ca="1" si="840"/>
        <v>76884</v>
      </c>
      <c r="AP1035" s="22">
        <v>1028</v>
      </c>
      <c r="AQ1035" s="32">
        <f t="shared" ca="1" si="841"/>
        <v>1858.6917479363274</v>
      </c>
      <c r="AR1035" s="23">
        <f t="array" aca="1" ref="AR1035" ca="1">SUM(IF(lsc_start_date=AO1035,lsc_amount,0))</f>
        <v>0</v>
      </c>
      <c r="AS1035" s="24">
        <f t="shared" ca="1" si="815"/>
        <v>0</v>
      </c>
      <c r="AT1035" s="24">
        <f t="shared" ca="1" si="816"/>
        <v>0</v>
      </c>
      <c r="AU1035" s="24">
        <f t="shared" ca="1" si="817"/>
        <v>0</v>
      </c>
      <c r="AV1035" s="25">
        <f t="shared" ca="1" si="818"/>
        <v>0</v>
      </c>
      <c r="AW1035" s="23">
        <f t="array" aca="1" ref="AW1035" ca="1">SUM(IF(rcs_start_date&lt;=AO1035,1,0)*IF(rcs_end_date&gt;=AO1035,1,0)*rcs_amount*(1+rcs_escalation/100)^(INT((AP1035-rcs_months_since_start)/12))*IF(MOD((AP1035-rcs_months_since_start),rcs_frequency)=0,1,0)*IF(rcs_frequency=13,0,1))+SUM(IF(rcs_start_date=AO1035,rcs_amount,0)*IF(rcs_frequency=13,1,0))</f>
        <v>0</v>
      </c>
      <c r="AX1035" s="24">
        <f t="shared" ca="1" si="819"/>
        <v>0</v>
      </c>
      <c r="AY1035" s="24">
        <f t="shared" ca="1" si="820"/>
        <v>0</v>
      </c>
      <c r="AZ1035" s="24">
        <f t="shared" ca="1" si="821"/>
        <v>0</v>
      </c>
      <c r="BA1035" s="25">
        <f t="shared" ca="1" si="822"/>
        <v>0</v>
      </c>
      <c r="BB1035" s="23">
        <f t="array" aca="1" ref="BB1035" ca="1">SUM(IF(w_start_date&lt;=AO1035,1,0)*IF(w_end_date&gt;=AO1035,1,0)*w_amount*(1+w_escalation/100)^(INT((AP1035-w_months_since_start)/12))*IF(MOD(AP1035-w_months_since_start,w_frequency)=0,1,0)*IF(w_frequency=13,0,1))+SUM(IF(w_start_date=AO1035,w_amount,0)*IF(w_frequency=13,1,0))</f>
        <v>0</v>
      </c>
      <c r="BC1035" s="25">
        <f t="shared" ca="1" si="823"/>
        <v>0</v>
      </c>
      <c r="BD1035" s="24" t="b">
        <f t="shared" ca="1" si="824"/>
        <v>1</v>
      </c>
      <c r="BE1035" s="24" t="b">
        <f t="shared" ca="1" si="825"/>
        <v>1</v>
      </c>
      <c r="BF1035" s="23">
        <f t="array" aca="1" ref="BF1035" ca="1">SUM(IF(BD1035,1,0)*IF(ap_start_date&lt;=AO1035,1,0)*IF(ap_end_date&gt;=AO1035,1,0)*ap_amount*(1+ap_escalation/100)^(INT((AP1035-ap_months_since_start)/12))*IF(MOD(AP1035-ap_months_since_start,ap_frequency)=0,1,0))</f>
        <v>637580.68570287281</v>
      </c>
      <c r="BG1035" s="24">
        <f t="shared" ca="1" si="826"/>
        <v>7650968.2284344723</v>
      </c>
      <c r="BH1035" s="24">
        <f t="shared" ca="1" si="827"/>
        <v>49.506002903619475</v>
      </c>
      <c r="BI1035">
        <f t="shared" ca="1" si="828"/>
        <v>0</v>
      </c>
      <c r="BJ1035" s="24">
        <f t="shared" ca="1" si="829"/>
        <v>346.54202032533624</v>
      </c>
      <c r="BK1035">
        <f t="shared" ca="1" si="830"/>
        <v>1</v>
      </c>
      <c r="BL1035" s="25">
        <f t="shared" ca="1" si="831"/>
        <v>28.878501693778023</v>
      </c>
      <c r="BM1035" s="32">
        <f t="shared" ca="1" si="810"/>
        <v>1843.0013019163691</v>
      </c>
      <c r="BN1035" s="23">
        <f t="shared" ca="1" si="832"/>
        <v>0</v>
      </c>
      <c r="BO1035" s="24">
        <f t="shared" ca="1" si="833"/>
        <v>0</v>
      </c>
      <c r="BP1035" s="25">
        <f t="shared" ca="1" si="834"/>
        <v>0</v>
      </c>
      <c r="BQ1035" s="34">
        <f t="shared" ca="1" si="835"/>
        <v>76914</v>
      </c>
      <c r="BR1035" s="23">
        <f t="shared" ca="1" si="836"/>
        <v>1843.0013019163691</v>
      </c>
      <c r="BS1035" s="24">
        <f t="shared" ca="1" si="837"/>
        <v>0</v>
      </c>
      <c r="BT1035" s="24">
        <f t="shared" ca="1" si="802"/>
        <v>0</v>
      </c>
      <c r="BU1035" s="24">
        <f t="shared" ca="1" si="838"/>
        <v>0</v>
      </c>
      <c r="BV1035" s="24">
        <f t="shared" ca="1" si="803"/>
        <v>0</v>
      </c>
      <c r="BW1035" s="24">
        <f t="shared" ca="1" si="839"/>
        <v>-28.878501693778023</v>
      </c>
      <c r="BX1035" s="25">
        <f t="shared" ca="1" si="804"/>
        <v>-355.46940423735941</v>
      </c>
      <c r="BY1035" s="23">
        <f t="shared" ca="1" si="811"/>
        <v>64.023032661342782</v>
      </c>
      <c r="BZ1035" s="24">
        <f t="shared" ca="1" si="812"/>
        <v>0</v>
      </c>
      <c r="CA1035" s="24">
        <f t="shared" ca="1" si="805"/>
        <v>0</v>
      </c>
      <c r="CB1035" s="24">
        <f t="shared" ca="1" si="813"/>
        <v>0</v>
      </c>
      <c r="CC1035" s="24">
        <f t="shared" ca="1" si="806"/>
        <v>0</v>
      </c>
      <c r="CD1035" s="24">
        <f t="shared" ca="1" si="814"/>
        <v>-1.0064789631654769</v>
      </c>
      <c r="CE1035" s="25">
        <f t="shared" ca="1" si="807"/>
        <v>-12.619082198435907</v>
      </c>
      <c r="CF1035" s="23">
        <f t="shared" ca="1" si="808"/>
        <v>7577401.2262379862</v>
      </c>
      <c r="CG1035" s="25">
        <f t="array" aca="1" ref="CG1035" ca="1">SUM(BF1024:BF1035/(1+inflation/100)^(AP1024:AP1035/12))</f>
        <v>267980.53702225396</v>
      </c>
      <c r="CH1035" s="32">
        <f ca="1">IFERROR(IF(MOD(AP1035-ap_months_since_start,12)=0,ap_drawdown/100*(AQ1035+AV1035+BA1035-BC1035),CH1034),0)</f>
        <v>304.35126543376174</v>
      </c>
    </row>
    <row r="1036" spans="40:86" x14ac:dyDescent="0.25">
      <c r="AN1036" s="32">
        <f t="shared" ca="1" si="809"/>
        <v>140.58333333333334</v>
      </c>
      <c r="AO1036" s="53">
        <f t="shared" ca="1" si="840"/>
        <v>76915</v>
      </c>
      <c r="AP1036" s="22">
        <v>1029</v>
      </c>
      <c r="AQ1036" s="32">
        <f t="shared" ca="1" si="841"/>
        <v>1843.0013019163691</v>
      </c>
      <c r="AR1036" s="23">
        <f t="array" aca="1" ref="AR1036" ca="1">SUM(IF(lsc_start_date=AO1036,lsc_amount,0))</f>
        <v>0</v>
      </c>
      <c r="AS1036" s="24">
        <f t="shared" ca="1" si="815"/>
        <v>0</v>
      </c>
      <c r="AT1036" s="24">
        <f t="shared" ca="1" si="816"/>
        <v>0</v>
      </c>
      <c r="AU1036" s="24">
        <f t="shared" ca="1" si="817"/>
        <v>0</v>
      </c>
      <c r="AV1036" s="25">
        <f t="shared" ca="1" si="818"/>
        <v>0</v>
      </c>
      <c r="AW1036" s="23">
        <f t="array" aca="1" ref="AW1036" ca="1">SUM(IF(rcs_start_date&lt;=AO1036,1,0)*IF(rcs_end_date&gt;=AO1036,1,0)*rcs_amount*(1+rcs_escalation/100)^(INT((AP1036-rcs_months_since_start)/12))*IF(MOD((AP1036-rcs_months_since_start),rcs_frequency)=0,1,0)*IF(rcs_frequency=13,0,1))+SUM(IF(rcs_start_date=AO1036,rcs_amount,0)*IF(rcs_frequency=13,1,0))</f>
        <v>0</v>
      </c>
      <c r="AX1036" s="24">
        <f t="shared" ca="1" si="819"/>
        <v>0</v>
      </c>
      <c r="AY1036" s="24">
        <f t="shared" ca="1" si="820"/>
        <v>0</v>
      </c>
      <c r="AZ1036" s="24">
        <f t="shared" ca="1" si="821"/>
        <v>0</v>
      </c>
      <c r="BA1036" s="25">
        <f t="shared" ca="1" si="822"/>
        <v>0</v>
      </c>
      <c r="BB1036" s="23">
        <f t="array" aca="1" ref="BB1036" ca="1">SUM(IF(w_start_date&lt;=AO1036,1,0)*IF(w_end_date&gt;=AO1036,1,0)*w_amount*(1+w_escalation/100)^(INT((AP1036-w_months_since_start)/12))*IF(MOD(AP1036-w_months_since_start,w_frequency)=0,1,0)*IF(w_frequency=13,0,1))+SUM(IF(w_start_date=AO1036,w_amount,0)*IF(w_frequency=13,1,0))</f>
        <v>0</v>
      </c>
      <c r="BC1036" s="25">
        <f t="shared" ca="1" si="823"/>
        <v>0</v>
      </c>
      <c r="BD1036" s="24" t="b">
        <f t="shared" ca="1" si="824"/>
        <v>1</v>
      </c>
      <c r="BE1036" s="24" t="b">
        <f t="shared" ca="1" si="825"/>
        <v>1</v>
      </c>
      <c r="BF1036" s="23">
        <f t="array" aca="1" ref="BF1036" ca="1">SUM(IF(BD1036,1,0)*IF(ap_start_date&lt;=AO1036,1,0)*IF(ap_end_date&gt;=AO1036,1,0)*ap_amount*(1+ap_escalation/100)^(INT((AP1036-ap_months_since_start)/12))*IF(MOD(AP1036-ap_months_since_start,ap_frequency)=0,1,0))</f>
        <v>637580.68570287281</v>
      </c>
      <c r="BG1036" s="24">
        <f t="shared" ca="1" si="826"/>
        <v>7650968.2284344723</v>
      </c>
      <c r="BH1036" s="24">
        <f t="shared" ca="1" si="827"/>
        <v>49.506002903619475</v>
      </c>
      <c r="BI1036">
        <f t="shared" ca="1" si="828"/>
        <v>0</v>
      </c>
      <c r="BJ1036" s="24">
        <f t="shared" ca="1" si="829"/>
        <v>346.54202032533624</v>
      </c>
      <c r="BK1036">
        <f t="shared" ca="1" si="830"/>
        <v>1</v>
      </c>
      <c r="BL1036" s="25">
        <f t="shared" ca="1" si="831"/>
        <v>28.878501693778023</v>
      </c>
      <c r="BM1036" s="32">
        <f t="shared" ca="1" si="810"/>
        <v>1827.1977697789707</v>
      </c>
      <c r="BN1036" s="23">
        <f t="shared" ca="1" si="832"/>
        <v>0</v>
      </c>
      <c r="BO1036" s="24">
        <f t="shared" ca="1" si="833"/>
        <v>0</v>
      </c>
      <c r="BP1036" s="25">
        <f t="shared" ca="1" si="834"/>
        <v>0</v>
      </c>
      <c r="BQ1036" s="34">
        <f t="shared" ca="1" si="835"/>
        <v>76945</v>
      </c>
      <c r="BR1036" s="23">
        <f t="shared" ca="1" si="836"/>
        <v>1827.1977697789707</v>
      </c>
      <c r="BS1036" s="24">
        <f t="shared" ca="1" si="837"/>
        <v>0</v>
      </c>
      <c r="BT1036" s="24">
        <f t="shared" ca="1" si="802"/>
        <v>0</v>
      </c>
      <c r="BU1036" s="24">
        <f t="shared" ca="1" si="838"/>
        <v>0</v>
      </c>
      <c r="BV1036" s="24">
        <f t="shared" ca="1" si="803"/>
        <v>0</v>
      </c>
      <c r="BW1036" s="24">
        <f t="shared" ca="1" si="839"/>
        <v>-28.878501693778023</v>
      </c>
      <c r="BX1036" s="25">
        <f t="shared" ca="1" si="804"/>
        <v>-352.49360960001837</v>
      </c>
      <c r="BY1036" s="23">
        <f t="shared" ca="1" si="811"/>
        <v>63.266922801766569</v>
      </c>
      <c r="BZ1036" s="24">
        <f t="shared" ca="1" si="812"/>
        <v>0</v>
      </c>
      <c r="CA1036" s="24">
        <f t="shared" ca="1" si="805"/>
        <v>0</v>
      </c>
      <c r="CB1036" s="24">
        <f t="shared" ca="1" si="813"/>
        <v>0</v>
      </c>
      <c r="CC1036" s="24">
        <f t="shared" ca="1" si="806"/>
        <v>0</v>
      </c>
      <c r="CD1036" s="24">
        <f t="shared" ca="1" si="814"/>
        <v>-1.0031947645554573</v>
      </c>
      <c r="CE1036" s="25">
        <f t="shared" ca="1" si="807"/>
        <v>-12.471444894461429</v>
      </c>
      <c r="CF1036" s="23">
        <f t="shared" ca="1" si="808"/>
        <v>7601923.5603034822</v>
      </c>
      <c r="CG1036" s="25">
        <f t="array" aca="1" ref="CG1036" ca="1">SUM(BF1025:BF1036/(1+inflation/100)^(AP1025:AP1036/12))</f>
        <v>267980.53702225396</v>
      </c>
      <c r="CH1036" s="32">
        <f ca="1">IFERROR(IF(MOD(AP1036-ap_months_since_start,12)=0,ap_drawdown/100*(AQ1036+AV1036+BA1036-BC1036),CH1035),0)</f>
        <v>304.35126543376174</v>
      </c>
    </row>
    <row r="1037" spans="40:86" x14ac:dyDescent="0.25">
      <c r="AN1037" s="32">
        <f t="shared" ca="1" si="809"/>
        <v>140.66666666666666</v>
      </c>
      <c r="AO1037" s="53">
        <f t="shared" ca="1" si="840"/>
        <v>76946</v>
      </c>
      <c r="AP1037" s="22">
        <v>1030</v>
      </c>
      <c r="AQ1037" s="32">
        <f t="shared" ca="1" si="841"/>
        <v>1827.1977697789707</v>
      </c>
      <c r="AR1037" s="23">
        <f t="array" aca="1" ref="AR1037" ca="1">SUM(IF(lsc_start_date=AO1037,lsc_amount,0))</f>
        <v>0</v>
      </c>
      <c r="AS1037" s="24">
        <f t="shared" ca="1" si="815"/>
        <v>0</v>
      </c>
      <c r="AT1037" s="24">
        <f t="shared" ca="1" si="816"/>
        <v>0</v>
      </c>
      <c r="AU1037" s="24">
        <f t="shared" ca="1" si="817"/>
        <v>0</v>
      </c>
      <c r="AV1037" s="25">
        <f t="shared" ca="1" si="818"/>
        <v>0</v>
      </c>
      <c r="AW1037" s="23">
        <f t="array" aca="1" ref="AW1037" ca="1">SUM(IF(rcs_start_date&lt;=AO1037,1,0)*IF(rcs_end_date&gt;=AO1037,1,0)*rcs_amount*(1+rcs_escalation/100)^(INT((AP1037-rcs_months_since_start)/12))*IF(MOD((AP1037-rcs_months_since_start),rcs_frequency)=0,1,0)*IF(rcs_frequency=13,0,1))+SUM(IF(rcs_start_date=AO1037,rcs_amount,0)*IF(rcs_frequency=13,1,0))</f>
        <v>0</v>
      </c>
      <c r="AX1037" s="24">
        <f t="shared" ca="1" si="819"/>
        <v>0</v>
      </c>
      <c r="AY1037" s="24">
        <f t="shared" ca="1" si="820"/>
        <v>0</v>
      </c>
      <c r="AZ1037" s="24">
        <f t="shared" ca="1" si="821"/>
        <v>0</v>
      </c>
      <c r="BA1037" s="25">
        <f t="shared" ca="1" si="822"/>
        <v>0</v>
      </c>
      <c r="BB1037" s="23">
        <f t="array" aca="1" ref="BB1037" ca="1">SUM(IF(w_start_date&lt;=AO1037,1,0)*IF(w_end_date&gt;=AO1037,1,0)*w_amount*(1+w_escalation/100)^(INT((AP1037-w_months_since_start)/12))*IF(MOD(AP1037-w_months_since_start,w_frequency)=0,1,0)*IF(w_frequency=13,0,1))+SUM(IF(w_start_date=AO1037,w_amount,0)*IF(w_frequency=13,1,0))</f>
        <v>0</v>
      </c>
      <c r="BC1037" s="25">
        <f t="shared" ca="1" si="823"/>
        <v>0</v>
      </c>
      <c r="BD1037" s="24" t="b">
        <f t="shared" ca="1" si="824"/>
        <v>1</v>
      </c>
      <c r="BE1037" s="24" t="b">
        <f t="shared" ca="1" si="825"/>
        <v>1</v>
      </c>
      <c r="BF1037" s="23">
        <f t="array" aca="1" ref="BF1037" ca="1">SUM(IF(BD1037,1,0)*IF(ap_start_date&lt;=AO1037,1,0)*IF(ap_end_date&gt;=AO1037,1,0)*ap_amount*(1+ap_escalation/100)^(INT((AP1037-ap_months_since_start)/12))*IF(MOD(AP1037-ap_months_since_start,ap_frequency)=0,1,0))</f>
        <v>637580.68570287281</v>
      </c>
      <c r="BG1037" s="24">
        <f t="shared" ca="1" si="826"/>
        <v>7650968.2284344723</v>
      </c>
      <c r="BH1037" s="24">
        <f t="shared" ca="1" si="827"/>
        <v>49.506002903619475</v>
      </c>
      <c r="BI1037">
        <f t="shared" ca="1" si="828"/>
        <v>0</v>
      </c>
      <c r="BJ1037" s="24">
        <f t="shared" ca="1" si="829"/>
        <v>346.54202032533624</v>
      </c>
      <c r="BK1037">
        <f t="shared" ca="1" si="830"/>
        <v>1</v>
      </c>
      <c r="BL1037" s="25">
        <f t="shared" ca="1" si="831"/>
        <v>28.878501693778023</v>
      </c>
      <c r="BM1037" s="32">
        <f t="shared" ca="1" si="810"/>
        <v>1811.2803364759211</v>
      </c>
      <c r="BN1037" s="23">
        <f t="shared" ca="1" si="832"/>
        <v>0</v>
      </c>
      <c r="BO1037" s="24">
        <f t="shared" ca="1" si="833"/>
        <v>0</v>
      </c>
      <c r="BP1037" s="25">
        <f t="shared" ca="1" si="834"/>
        <v>0</v>
      </c>
      <c r="BQ1037" s="34">
        <f t="shared" ca="1" si="835"/>
        <v>76975</v>
      </c>
      <c r="BR1037" s="23">
        <f t="shared" ca="1" si="836"/>
        <v>1811.2803364759211</v>
      </c>
      <c r="BS1037" s="24">
        <f t="shared" ca="1" si="837"/>
        <v>0</v>
      </c>
      <c r="BT1037" s="24">
        <f t="shared" ca="1" si="802"/>
        <v>0</v>
      </c>
      <c r="BU1037" s="24">
        <f t="shared" ca="1" si="838"/>
        <v>0</v>
      </c>
      <c r="BV1037" s="24">
        <f t="shared" ca="1" si="803"/>
        <v>0</v>
      </c>
      <c r="BW1037" s="24">
        <f t="shared" ca="1" si="839"/>
        <v>-28.878501693778023</v>
      </c>
      <c r="BX1037" s="25">
        <f t="shared" ca="1" si="804"/>
        <v>-349.51781496267739</v>
      </c>
      <c r="BY1037" s="23">
        <f t="shared" ca="1" si="811"/>
        <v>62.511134742531524</v>
      </c>
      <c r="BZ1037" s="24">
        <f t="shared" ca="1" si="812"/>
        <v>0</v>
      </c>
      <c r="CA1037" s="24">
        <f t="shared" ca="1" si="805"/>
        <v>0</v>
      </c>
      <c r="CB1037" s="24">
        <f t="shared" ca="1" si="813"/>
        <v>0</v>
      </c>
      <c r="CC1037" s="24">
        <f t="shared" ca="1" si="806"/>
        <v>0</v>
      </c>
      <c r="CD1037" s="24">
        <f t="shared" ca="1" si="814"/>
        <v>-0.99992128247395529</v>
      </c>
      <c r="CE1037" s="25">
        <f t="shared" ca="1" si="807"/>
        <v>-12.324289339481462</v>
      </c>
      <c r="CF1037" s="23">
        <f t="shared" ca="1" si="808"/>
        <v>7626445.8943689773</v>
      </c>
      <c r="CG1037" s="25">
        <f t="array" aca="1" ref="CG1037" ca="1">SUM(BF1026:BF1037/(1+inflation/100)^(AP1026:AP1037/12))</f>
        <v>267980.53702225391</v>
      </c>
      <c r="CH1037" s="32">
        <f ca="1">IFERROR(IF(MOD(AP1037-ap_months_since_start,12)=0,ap_drawdown/100*(AQ1037+AV1037+BA1037-BC1037),CH1036),0)</f>
        <v>304.35126543376174</v>
      </c>
    </row>
    <row r="1038" spans="40:86" x14ac:dyDescent="0.25">
      <c r="AN1038" s="32">
        <f t="shared" ca="1" si="809"/>
        <v>140.75</v>
      </c>
      <c r="AO1038" s="53">
        <f t="shared" ca="1" si="840"/>
        <v>76976</v>
      </c>
      <c r="AP1038" s="22">
        <v>1031</v>
      </c>
      <c r="AQ1038" s="32">
        <f t="shared" ca="1" si="841"/>
        <v>1811.2803364759211</v>
      </c>
      <c r="AR1038" s="23">
        <f t="array" aca="1" ref="AR1038" ca="1">SUM(IF(lsc_start_date=AO1038,lsc_amount,0))</f>
        <v>0</v>
      </c>
      <c r="AS1038" s="24">
        <f t="shared" ca="1" si="815"/>
        <v>0</v>
      </c>
      <c r="AT1038" s="24">
        <f t="shared" ca="1" si="816"/>
        <v>0</v>
      </c>
      <c r="AU1038" s="24">
        <f t="shared" ca="1" si="817"/>
        <v>0</v>
      </c>
      <c r="AV1038" s="25">
        <f t="shared" ca="1" si="818"/>
        <v>0</v>
      </c>
      <c r="AW1038" s="23">
        <f t="array" aca="1" ref="AW1038" ca="1">SUM(IF(rcs_start_date&lt;=AO1038,1,0)*IF(rcs_end_date&gt;=AO1038,1,0)*rcs_amount*(1+rcs_escalation/100)^(INT((AP1038-rcs_months_since_start)/12))*IF(MOD((AP1038-rcs_months_since_start),rcs_frequency)=0,1,0)*IF(rcs_frequency=13,0,1))+SUM(IF(rcs_start_date=AO1038,rcs_amount,0)*IF(rcs_frequency=13,1,0))</f>
        <v>0</v>
      </c>
      <c r="AX1038" s="24">
        <f t="shared" ca="1" si="819"/>
        <v>0</v>
      </c>
      <c r="AY1038" s="24">
        <f t="shared" ca="1" si="820"/>
        <v>0</v>
      </c>
      <c r="AZ1038" s="24">
        <f t="shared" ca="1" si="821"/>
        <v>0</v>
      </c>
      <c r="BA1038" s="25">
        <f t="shared" ca="1" si="822"/>
        <v>0</v>
      </c>
      <c r="BB1038" s="23">
        <f t="array" aca="1" ref="BB1038" ca="1">SUM(IF(w_start_date&lt;=AO1038,1,0)*IF(w_end_date&gt;=AO1038,1,0)*w_amount*(1+w_escalation/100)^(INT((AP1038-w_months_since_start)/12))*IF(MOD(AP1038-w_months_since_start,w_frequency)=0,1,0)*IF(w_frequency=13,0,1))+SUM(IF(w_start_date=AO1038,w_amount,0)*IF(w_frequency=13,1,0))</f>
        <v>0</v>
      </c>
      <c r="BC1038" s="25">
        <f t="shared" ca="1" si="823"/>
        <v>0</v>
      </c>
      <c r="BD1038" s="24" t="b">
        <f t="shared" ca="1" si="824"/>
        <v>1</v>
      </c>
      <c r="BE1038" s="24" t="b">
        <f t="shared" ca="1" si="825"/>
        <v>1</v>
      </c>
      <c r="BF1038" s="23">
        <f t="array" aca="1" ref="BF1038" ca="1">SUM(IF(BD1038,1,0)*IF(ap_start_date&lt;=AO1038,1,0)*IF(ap_end_date&gt;=AO1038,1,0)*ap_amount*(1+ap_escalation/100)^(INT((AP1038-ap_months_since_start)/12))*IF(MOD(AP1038-ap_months_since_start,ap_frequency)=0,1,0))</f>
        <v>637580.68570287281</v>
      </c>
      <c r="BG1038" s="24">
        <f t="shared" ca="1" si="826"/>
        <v>7650968.2284344723</v>
      </c>
      <c r="BH1038" s="24">
        <f t="shared" ca="1" si="827"/>
        <v>49.506002903619475</v>
      </c>
      <c r="BI1038">
        <f t="shared" ca="1" si="828"/>
        <v>0</v>
      </c>
      <c r="BJ1038" s="24">
        <f t="shared" ca="1" si="829"/>
        <v>346.54202032533624</v>
      </c>
      <c r="BK1038">
        <f t="shared" ca="1" si="830"/>
        <v>1</v>
      </c>
      <c r="BL1038" s="25">
        <f t="shared" ca="1" si="831"/>
        <v>28.878501693778023</v>
      </c>
      <c r="BM1038" s="32">
        <f t="shared" ca="1" si="810"/>
        <v>1795.2481810846934</v>
      </c>
      <c r="BN1038" s="23">
        <f t="shared" ca="1" si="832"/>
        <v>0</v>
      </c>
      <c r="BO1038" s="24">
        <f t="shared" ca="1" si="833"/>
        <v>0</v>
      </c>
      <c r="BP1038" s="25">
        <f t="shared" ca="1" si="834"/>
        <v>0</v>
      </c>
      <c r="BQ1038" s="34">
        <f t="shared" ca="1" si="835"/>
        <v>77006</v>
      </c>
      <c r="BR1038" s="23">
        <f t="shared" ca="1" si="836"/>
        <v>1795.2481810846934</v>
      </c>
      <c r="BS1038" s="24">
        <f t="shared" ca="1" si="837"/>
        <v>0</v>
      </c>
      <c r="BT1038" s="24">
        <f t="shared" ca="1" si="802"/>
        <v>0</v>
      </c>
      <c r="BU1038" s="24">
        <f t="shared" ca="1" si="838"/>
        <v>0</v>
      </c>
      <c r="BV1038" s="24">
        <f t="shared" ca="1" si="803"/>
        <v>0</v>
      </c>
      <c r="BW1038" s="24">
        <f t="shared" ca="1" si="839"/>
        <v>-28.878501693778023</v>
      </c>
      <c r="BX1038" s="25">
        <f t="shared" ca="1" si="804"/>
        <v>-346.54202032533635</v>
      </c>
      <c r="BY1038" s="23">
        <f t="shared" ca="1" si="811"/>
        <v>61.755659021896101</v>
      </c>
      <c r="BZ1038" s="24">
        <f t="shared" ca="1" si="812"/>
        <v>0</v>
      </c>
      <c r="CA1038" s="24">
        <f t="shared" ca="1" si="805"/>
        <v>0</v>
      </c>
      <c r="CB1038" s="24">
        <f t="shared" ca="1" si="813"/>
        <v>0</v>
      </c>
      <c r="CC1038" s="24">
        <f t="shared" ca="1" si="806"/>
        <v>0</v>
      </c>
      <c r="CD1038" s="24">
        <f t="shared" ca="1" si="814"/>
        <v>-0.99665848195232221</v>
      </c>
      <c r="CE1038" s="25">
        <f t="shared" ca="1" si="807"/>
        <v>-12.177613961521391</v>
      </c>
      <c r="CF1038" s="23">
        <f t="shared" ca="1" si="808"/>
        <v>7650968.2284344723</v>
      </c>
      <c r="CG1038" s="25">
        <f t="array" aca="1" ref="CG1038" ca="1">SUM(BF1027:BF1038/(1+inflation/100)^(AP1027:AP1038/12))</f>
        <v>267980.53702225391</v>
      </c>
      <c r="CH1038" s="32">
        <f ca="1">IFERROR(IF(MOD(AP1038-ap_months_since_start,12)=0,ap_drawdown/100*(AQ1038+AV1038+BA1038-BC1038),CH1037),0)</f>
        <v>304.35126543376174</v>
      </c>
    </row>
    <row r="1039" spans="40:86" x14ac:dyDescent="0.25">
      <c r="AN1039" s="32">
        <f t="shared" ca="1" si="809"/>
        <v>140.83333333333334</v>
      </c>
      <c r="AO1039" s="53">
        <f t="shared" ca="1" si="840"/>
        <v>77007</v>
      </c>
      <c r="AP1039" s="22">
        <v>1032</v>
      </c>
      <c r="AQ1039" s="32">
        <f t="shared" ca="1" si="841"/>
        <v>1795.2481810846934</v>
      </c>
      <c r="AR1039" s="23">
        <f t="array" aca="1" ref="AR1039" ca="1">SUM(IF(lsc_start_date=AO1039,lsc_amount,0))</f>
        <v>0</v>
      </c>
      <c r="AS1039" s="24">
        <f t="shared" ca="1" si="815"/>
        <v>0</v>
      </c>
      <c r="AT1039" s="24">
        <f t="shared" ca="1" si="816"/>
        <v>0</v>
      </c>
      <c r="AU1039" s="24">
        <f t="shared" ca="1" si="817"/>
        <v>0</v>
      </c>
      <c r="AV1039" s="25">
        <f t="shared" ca="1" si="818"/>
        <v>0</v>
      </c>
      <c r="AW1039" s="23">
        <f t="array" aca="1" ref="AW1039" ca="1">SUM(IF(rcs_start_date&lt;=AO1039,1,0)*IF(rcs_end_date&gt;=AO1039,1,0)*rcs_amount*(1+rcs_escalation/100)^(INT((AP1039-rcs_months_since_start)/12))*IF(MOD((AP1039-rcs_months_since_start),rcs_frequency)=0,1,0)*IF(rcs_frequency=13,0,1))+SUM(IF(rcs_start_date=AO1039,rcs_amount,0)*IF(rcs_frequency=13,1,0))</f>
        <v>0</v>
      </c>
      <c r="AX1039" s="24">
        <f t="shared" ca="1" si="819"/>
        <v>0</v>
      </c>
      <c r="AY1039" s="24">
        <f t="shared" ca="1" si="820"/>
        <v>0</v>
      </c>
      <c r="AZ1039" s="24">
        <f t="shared" ca="1" si="821"/>
        <v>0</v>
      </c>
      <c r="BA1039" s="25">
        <f t="shared" ca="1" si="822"/>
        <v>0</v>
      </c>
      <c r="BB1039" s="23">
        <f t="array" aca="1" ref="BB1039" ca="1">SUM(IF(w_start_date&lt;=AO1039,1,0)*IF(w_end_date&gt;=AO1039,1,0)*w_amount*(1+w_escalation/100)^(INT((AP1039-w_months_since_start)/12))*IF(MOD(AP1039-w_months_since_start,w_frequency)=0,1,0)*IF(w_frequency=13,0,1))+SUM(IF(w_start_date=AO1039,w_amount,0)*IF(w_frequency=13,1,0))</f>
        <v>0</v>
      </c>
      <c r="BC1039" s="25">
        <f t="shared" ca="1" si="823"/>
        <v>0</v>
      </c>
      <c r="BD1039" s="24" t="b">
        <f t="shared" ca="1" si="824"/>
        <v>1</v>
      </c>
      <c r="BE1039" s="24" t="b">
        <f t="shared" ca="1" si="825"/>
        <v>1</v>
      </c>
      <c r="BF1039" s="23">
        <f t="array" aca="1" ref="BF1039" ca="1">SUM(IF(BD1039,1,0)*IF(ap_start_date&lt;=AO1039,1,0)*IF(ap_end_date&gt;=AO1039,1,0)*ap_amount*(1+ap_escalation/100)^(INT((AP1039-ap_months_since_start)/12))*IF(MOD(AP1039-ap_months_since_start,ap_frequency)=0,1,0))</f>
        <v>663083.91313098767</v>
      </c>
      <c r="BG1039" s="24">
        <f t="shared" ca="1" si="826"/>
        <v>7957006.9575718502</v>
      </c>
      <c r="BH1039" s="24">
        <f t="shared" ca="1" si="827"/>
        <v>44.88120452711734</v>
      </c>
      <c r="BI1039">
        <f t="shared" ca="1" si="828"/>
        <v>0</v>
      </c>
      <c r="BJ1039" s="24">
        <f t="shared" ca="1" si="829"/>
        <v>314.16843168982132</v>
      </c>
      <c r="BK1039">
        <f t="shared" ca="1" si="830"/>
        <v>1</v>
      </c>
      <c r="BL1039" s="25">
        <f t="shared" ca="1" si="831"/>
        <v>26.180702640818449</v>
      </c>
      <c r="BM1039" s="32">
        <f t="shared" ca="1" si="810"/>
        <v>1781.8177197290827</v>
      </c>
      <c r="BN1039" s="23">
        <f t="shared" ca="1" si="832"/>
        <v>0</v>
      </c>
      <c r="BO1039" s="24">
        <f t="shared" ca="1" si="833"/>
        <v>0</v>
      </c>
      <c r="BP1039" s="25">
        <f t="shared" ca="1" si="834"/>
        <v>0</v>
      </c>
      <c r="BQ1039" s="34">
        <f t="shared" ca="1" si="835"/>
        <v>77036</v>
      </c>
      <c r="BR1039" s="23">
        <f t="shared" ca="1" si="836"/>
        <v>1781.8177197290827</v>
      </c>
      <c r="BS1039" s="24">
        <f t="shared" ca="1" si="837"/>
        <v>0</v>
      </c>
      <c r="BT1039" s="24">
        <f t="shared" ca="1" si="802"/>
        <v>0</v>
      </c>
      <c r="BU1039" s="24">
        <f t="shared" ca="1" si="838"/>
        <v>0</v>
      </c>
      <c r="BV1039" s="24">
        <f t="shared" ca="1" si="803"/>
        <v>0</v>
      </c>
      <c r="BW1039" s="24">
        <f t="shared" ca="1" si="839"/>
        <v>-26.180702640818449</v>
      </c>
      <c r="BX1039" s="25">
        <f t="shared" ca="1" si="804"/>
        <v>-343.84422127237673</v>
      </c>
      <c r="BY1039" s="23">
        <f t="shared" ca="1" si="811"/>
        <v>61.093653000464066</v>
      </c>
      <c r="BZ1039" s="24">
        <f t="shared" ca="1" si="812"/>
        <v>0</v>
      </c>
      <c r="CA1039" s="24">
        <f t="shared" ca="1" si="805"/>
        <v>0</v>
      </c>
      <c r="CB1039" s="24">
        <f t="shared" ca="1" si="813"/>
        <v>0</v>
      </c>
      <c r="CC1039" s="24">
        <f t="shared" ca="1" si="806"/>
        <v>0</v>
      </c>
      <c r="CD1039" s="24">
        <f t="shared" ca="1" si="814"/>
        <v>-0.9006033607359849</v>
      </c>
      <c r="CE1039" s="25">
        <f t="shared" ca="1" si="807"/>
        <v>-12.04507474099592</v>
      </c>
      <c r="CF1039" s="23">
        <f t="shared" ca="1" si="808"/>
        <v>7676471.4558625873</v>
      </c>
      <c r="CG1039" s="25">
        <f t="array" aca="1" ref="CG1039" ca="1">SUM(BF1028:BF1039/(1+inflation/100)^(AP1028:AP1039/12))</f>
        <v>267980.53702225391</v>
      </c>
      <c r="CH1039" s="32">
        <f ca="1">IFERROR(IF(MOD(AP1039-ap_months_since_start,12)=0,ap_drawdown/100*(AQ1039+AV1039+BA1039-BC1039),CH1038),0)</f>
        <v>275.9190924505229</v>
      </c>
    </row>
    <row r="1040" spans="40:86" x14ac:dyDescent="0.25">
      <c r="AN1040" s="32">
        <f t="shared" ca="1" si="809"/>
        <v>140.91666666666666</v>
      </c>
      <c r="AO1040" s="53">
        <f t="shared" ca="1" si="840"/>
        <v>77037</v>
      </c>
      <c r="AP1040" s="22">
        <v>1033</v>
      </c>
      <c r="AQ1040" s="32">
        <f t="shared" ca="1" si="841"/>
        <v>1781.8177197290827</v>
      </c>
      <c r="AR1040" s="23">
        <f t="array" aca="1" ref="AR1040" ca="1">SUM(IF(lsc_start_date=AO1040,lsc_amount,0))</f>
        <v>0</v>
      </c>
      <c r="AS1040" s="24">
        <f t="shared" ca="1" si="815"/>
        <v>0</v>
      </c>
      <c r="AT1040" s="24">
        <f t="shared" ca="1" si="816"/>
        <v>0</v>
      </c>
      <c r="AU1040" s="24">
        <f t="shared" ca="1" si="817"/>
        <v>0</v>
      </c>
      <c r="AV1040" s="25">
        <f t="shared" ca="1" si="818"/>
        <v>0</v>
      </c>
      <c r="AW1040" s="23">
        <f t="array" aca="1" ref="AW1040" ca="1">SUM(IF(rcs_start_date&lt;=AO1040,1,0)*IF(rcs_end_date&gt;=AO1040,1,0)*rcs_amount*(1+rcs_escalation/100)^(INT((AP1040-rcs_months_since_start)/12))*IF(MOD((AP1040-rcs_months_since_start),rcs_frequency)=0,1,0)*IF(rcs_frequency=13,0,1))+SUM(IF(rcs_start_date=AO1040,rcs_amount,0)*IF(rcs_frequency=13,1,0))</f>
        <v>0</v>
      </c>
      <c r="AX1040" s="24">
        <f t="shared" ca="1" si="819"/>
        <v>0</v>
      </c>
      <c r="AY1040" s="24">
        <f t="shared" ca="1" si="820"/>
        <v>0</v>
      </c>
      <c r="AZ1040" s="24">
        <f t="shared" ca="1" si="821"/>
        <v>0</v>
      </c>
      <c r="BA1040" s="25">
        <f t="shared" ca="1" si="822"/>
        <v>0</v>
      </c>
      <c r="BB1040" s="23">
        <f t="array" aca="1" ref="BB1040" ca="1">SUM(IF(w_start_date&lt;=AO1040,1,0)*IF(w_end_date&gt;=AO1040,1,0)*w_amount*(1+w_escalation/100)^(INT((AP1040-w_months_since_start)/12))*IF(MOD(AP1040-w_months_since_start,w_frequency)=0,1,0)*IF(w_frequency=13,0,1))+SUM(IF(w_start_date=AO1040,w_amount,0)*IF(w_frequency=13,1,0))</f>
        <v>0</v>
      </c>
      <c r="BC1040" s="25">
        <f t="shared" ca="1" si="823"/>
        <v>0</v>
      </c>
      <c r="BD1040" s="24" t="b">
        <f t="shared" ca="1" si="824"/>
        <v>1</v>
      </c>
      <c r="BE1040" s="24" t="b">
        <f t="shared" ca="1" si="825"/>
        <v>1</v>
      </c>
      <c r="BF1040" s="23">
        <f t="array" aca="1" ref="BF1040" ca="1">SUM(IF(BD1040,1,0)*IF(ap_start_date&lt;=AO1040,1,0)*IF(ap_end_date&gt;=AO1040,1,0)*ap_amount*(1+ap_escalation/100)^(INT((AP1040-ap_months_since_start)/12))*IF(MOD(AP1040-ap_months_since_start,ap_frequency)=0,1,0))</f>
        <v>663083.91313098767</v>
      </c>
      <c r="BG1040" s="24">
        <f t="shared" ca="1" si="826"/>
        <v>7957006.9575718502</v>
      </c>
      <c r="BH1040" s="24">
        <f t="shared" ca="1" si="827"/>
        <v>44.88120452711734</v>
      </c>
      <c r="BI1040">
        <f t="shared" ca="1" si="828"/>
        <v>0</v>
      </c>
      <c r="BJ1040" s="24">
        <f t="shared" ca="1" si="829"/>
        <v>314.16843168982132</v>
      </c>
      <c r="BK1040">
        <f t="shared" ca="1" si="830"/>
        <v>1</v>
      </c>
      <c r="BL1040" s="25">
        <f t="shared" ca="1" si="831"/>
        <v>26.180702640818449</v>
      </c>
      <c r="BM1040" s="32">
        <f t="shared" ca="1" si="810"/>
        <v>1768.2904606961972</v>
      </c>
      <c r="BN1040" s="23">
        <f t="shared" ca="1" si="832"/>
        <v>0</v>
      </c>
      <c r="BO1040" s="24">
        <f t="shared" ca="1" si="833"/>
        <v>0</v>
      </c>
      <c r="BP1040" s="25">
        <f t="shared" ca="1" si="834"/>
        <v>0</v>
      </c>
      <c r="BQ1040" s="34">
        <f t="shared" ca="1" si="835"/>
        <v>77067</v>
      </c>
      <c r="BR1040" s="23">
        <f t="shared" ca="1" si="836"/>
        <v>1768.2904606961972</v>
      </c>
      <c r="BS1040" s="24">
        <f t="shared" ca="1" si="837"/>
        <v>0</v>
      </c>
      <c r="BT1040" s="24">
        <f t="shared" ca="1" si="802"/>
        <v>0</v>
      </c>
      <c r="BU1040" s="24">
        <f t="shared" ca="1" si="838"/>
        <v>0</v>
      </c>
      <c r="BV1040" s="24">
        <f t="shared" ca="1" si="803"/>
        <v>0</v>
      </c>
      <c r="BW1040" s="24">
        <f t="shared" ca="1" si="839"/>
        <v>-26.180702640818449</v>
      </c>
      <c r="BX1040" s="25">
        <f t="shared" ca="1" si="804"/>
        <v>-341.1464222194171</v>
      </c>
      <c r="BY1040" s="23">
        <f t="shared" ca="1" si="811"/>
        <v>60.432001662657377</v>
      </c>
      <c r="BZ1040" s="24">
        <f t="shared" ca="1" si="812"/>
        <v>0</v>
      </c>
      <c r="CA1040" s="24">
        <f t="shared" ca="1" si="805"/>
        <v>0</v>
      </c>
      <c r="CB1040" s="24">
        <f t="shared" ca="1" si="813"/>
        <v>0</v>
      </c>
      <c r="CC1040" s="24">
        <f t="shared" ca="1" si="806"/>
        <v>0</v>
      </c>
      <c r="CD1040" s="24">
        <f t="shared" ca="1" si="814"/>
        <v>-0.897664640291987</v>
      </c>
      <c r="CE1040" s="25">
        <f t="shared" ca="1" si="807"/>
        <v>-11.912968003552315</v>
      </c>
      <c r="CF1040" s="23">
        <f t="shared" ca="1" si="808"/>
        <v>7701974.6832907023</v>
      </c>
      <c r="CG1040" s="25">
        <f t="array" aca="1" ref="CG1040" ca="1">SUM(BF1029:BF1040/(1+inflation/100)^(AP1029:AP1040/12))</f>
        <v>267980.53702225391</v>
      </c>
      <c r="CH1040" s="32">
        <f ca="1">IFERROR(IF(MOD(AP1040-ap_months_since_start,12)=0,ap_drawdown/100*(AQ1040+AV1040+BA1040-BC1040),CH1039),0)</f>
        <v>275.9190924505229</v>
      </c>
    </row>
    <row r="1041" spans="40:86" x14ac:dyDescent="0.25">
      <c r="AN1041" s="32">
        <f t="shared" ca="1" si="809"/>
        <v>141</v>
      </c>
      <c r="AO1041" s="53">
        <f t="shared" ca="1" si="840"/>
        <v>77068</v>
      </c>
      <c r="AP1041" s="22">
        <v>1034</v>
      </c>
      <c r="AQ1041" s="32">
        <f t="shared" ca="1" si="841"/>
        <v>1768.2904606961972</v>
      </c>
      <c r="AR1041" s="23">
        <f t="array" aca="1" ref="AR1041" ca="1">SUM(IF(lsc_start_date=AO1041,lsc_amount,0))</f>
        <v>0</v>
      </c>
      <c r="AS1041" s="24">
        <f t="shared" ca="1" si="815"/>
        <v>0</v>
      </c>
      <c r="AT1041" s="24">
        <f t="shared" ca="1" si="816"/>
        <v>0</v>
      </c>
      <c r="AU1041" s="24">
        <f t="shared" ca="1" si="817"/>
        <v>0</v>
      </c>
      <c r="AV1041" s="25">
        <f t="shared" ca="1" si="818"/>
        <v>0</v>
      </c>
      <c r="AW1041" s="23">
        <f t="array" aca="1" ref="AW1041" ca="1">SUM(IF(rcs_start_date&lt;=AO1041,1,0)*IF(rcs_end_date&gt;=AO1041,1,0)*rcs_amount*(1+rcs_escalation/100)^(INT((AP1041-rcs_months_since_start)/12))*IF(MOD((AP1041-rcs_months_since_start),rcs_frequency)=0,1,0)*IF(rcs_frequency=13,0,1))+SUM(IF(rcs_start_date=AO1041,rcs_amount,0)*IF(rcs_frequency=13,1,0))</f>
        <v>0</v>
      </c>
      <c r="AX1041" s="24">
        <f t="shared" ca="1" si="819"/>
        <v>0</v>
      </c>
      <c r="AY1041" s="24">
        <f t="shared" ca="1" si="820"/>
        <v>0</v>
      </c>
      <c r="AZ1041" s="24">
        <f t="shared" ca="1" si="821"/>
        <v>0</v>
      </c>
      <c r="BA1041" s="25">
        <f t="shared" ca="1" si="822"/>
        <v>0</v>
      </c>
      <c r="BB1041" s="23">
        <f t="array" aca="1" ref="BB1041" ca="1">SUM(IF(w_start_date&lt;=AO1041,1,0)*IF(w_end_date&gt;=AO1041,1,0)*w_amount*(1+w_escalation/100)^(INT((AP1041-w_months_since_start)/12))*IF(MOD(AP1041-w_months_since_start,w_frequency)=0,1,0)*IF(w_frequency=13,0,1))+SUM(IF(w_start_date=AO1041,w_amount,0)*IF(w_frequency=13,1,0))</f>
        <v>0</v>
      </c>
      <c r="BC1041" s="25">
        <f t="shared" ca="1" si="823"/>
        <v>0</v>
      </c>
      <c r="BD1041" s="24" t="b">
        <f t="shared" ca="1" si="824"/>
        <v>1</v>
      </c>
      <c r="BE1041" s="24" t="b">
        <f t="shared" ca="1" si="825"/>
        <v>1</v>
      </c>
      <c r="BF1041" s="23">
        <f t="array" aca="1" ref="BF1041" ca="1">SUM(IF(BD1041,1,0)*IF(ap_start_date&lt;=AO1041,1,0)*IF(ap_end_date&gt;=AO1041,1,0)*ap_amount*(1+ap_escalation/100)^(INT((AP1041-ap_months_since_start)/12))*IF(MOD(AP1041-ap_months_since_start,ap_frequency)=0,1,0))</f>
        <v>663083.91313098767</v>
      </c>
      <c r="BG1041" s="24">
        <f t="shared" ca="1" si="826"/>
        <v>7957006.9575718502</v>
      </c>
      <c r="BH1041" s="24">
        <f t="shared" ca="1" si="827"/>
        <v>44.88120452711734</v>
      </c>
      <c r="BI1041">
        <f t="shared" ca="1" si="828"/>
        <v>0</v>
      </c>
      <c r="BJ1041" s="24">
        <f t="shared" ca="1" si="829"/>
        <v>314.16843168982132</v>
      </c>
      <c r="BK1041">
        <f t="shared" ca="1" si="830"/>
        <v>1</v>
      </c>
      <c r="BL1041" s="25">
        <f t="shared" ca="1" si="831"/>
        <v>26.180702640818449</v>
      </c>
      <c r="BM1041" s="32">
        <f t="shared" ca="1" si="810"/>
        <v>1754.6657063338805</v>
      </c>
      <c r="BN1041" s="23">
        <f t="shared" ca="1" si="832"/>
        <v>0</v>
      </c>
      <c r="BO1041" s="24">
        <f t="shared" ca="1" si="833"/>
        <v>0</v>
      </c>
      <c r="BP1041" s="25">
        <f t="shared" ca="1" si="834"/>
        <v>0</v>
      </c>
      <c r="BQ1041" s="34">
        <f t="shared" ca="1" si="835"/>
        <v>77098</v>
      </c>
      <c r="BR1041" s="23">
        <f t="shared" ca="1" si="836"/>
        <v>1754.6657063338805</v>
      </c>
      <c r="BS1041" s="24">
        <f t="shared" ca="1" si="837"/>
        <v>0</v>
      </c>
      <c r="BT1041" s="24">
        <f t="shared" ca="1" si="802"/>
        <v>0</v>
      </c>
      <c r="BU1041" s="24">
        <f t="shared" ca="1" si="838"/>
        <v>0</v>
      </c>
      <c r="BV1041" s="24">
        <f t="shared" ca="1" si="803"/>
        <v>0</v>
      </c>
      <c r="BW1041" s="24">
        <f t="shared" ca="1" si="839"/>
        <v>-26.180702640818449</v>
      </c>
      <c r="BX1041" s="25">
        <f t="shared" ca="1" si="804"/>
        <v>-338.44862316645748</v>
      </c>
      <c r="BY1041" s="23">
        <f t="shared" ca="1" si="811"/>
        <v>59.770696772290592</v>
      </c>
      <c r="BZ1041" s="24">
        <f t="shared" ca="1" si="812"/>
        <v>0</v>
      </c>
      <c r="CA1041" s="24">
        <f t="shared" ca="1" si="805"/>
        <v>0</v>
      </c>
      <c r="CB1041" s="24">
        <f t="shared" ca="1" si="813"/>
        <v>0</v>
      </c>
      <c r="CC1041" s="24">
        <f t="shared" ca="1" si="806"/>
        <v>0</v>
      </c>
      <c r="CD1041" s="24">
        <f t="shared" ca="1" si="814"/>
        <v>-0.89473550906142785</v>
      </c>
      <c r="CE1041" s="25">
        <f t="shared" ca="1" si="807"/>
        <v>-11.781292337973463</v>
      </c>
      <c r="CF1041" s="23">
        <f t="shared" ca="1" si="808"/>
        <v>7727477.9107188173</v>
      </c>
      <c r="CG1041" s="25">
        <f t="array" aca="1" ref="CG1041" ca="1">SUM(BF1030:BF1041/(1+inflation/100)^(AP1030:AP1041/12))</f>
        <v>267980.53702225391</v>
      </c>
      <c r="CH1041" s="32">
        <f ca="1">IFERROR(IF(MOD(AP1041-ap_months_since_start,12)=0,ap_drawdown/100*(AQ1041+AV1041+BA1041-BC1041),CH1040),0)</f>
        <v>275.9190924505229</v>
      </c>
    </row>
    <row r="1042" spans="40:86" x14ac:dyDescent="0.25">
      <c r="AN1042" s="32">
        <f t="shared" ca="1" si="809"/>
        <v>141.08333333333334</v>
      </c>
      <c r="AO1042" s="53">
        <f t="shared" ca="1" si="840"/>
        <v>77099</v>
      </c>
      <c r="AP1042" s="22">
        <v>1035</v>
      </c>
      <c r="AQ1042" s="32">
        <f t="shared" ca="1" si="841"/>
        <v>1754.6657063338805</v>
      </c>
      <c r="AR1042" s="23">
        <f t="array" aca="1" ref="AR1042" ca="1">SUM(IF(lsc_start_date=AO1042,lsc_amount,0))</f>
        <v>0</v>
      </c>
      <c r="AS1042" s="24">
        <f t="shared" ca="1" si="815"/>
        <v>0</v>
      </c>
      <c r="AT1042" s="24">
        <f t="shared" ca="1" si="816"/>
        <v>0</v>
      </c>
      <c r="AU1042" s="24">
        <f t="shared" ca="1" si="817"/>
        <v>0</v>
      </c>
      <c r="AV1042" s="25">
        <f t="shared" ca="1" si="818"/>
        <v>0</v>
      </c>
      <c r="AW1042" s="23">
        <f t="array" aca="1" ref="AW1042" ca="1">SUM(IF(rcs_start_date&lt;=AO1042,1,0)*IF(rcs_end_date&gt;=AO1042,1,0)*rcs_amount*(1+rcs_escalation/100)^(INT((AP1042-rcs_months_since_start)/12))*IF(MOD((AP1042-rcs_months_since_start),rcs_frequency)=0,1,0)*IF(rcs_frequency=13,0,1))+SUM(IF(rcs_start_date=AO1042,rcs_amount,0)*IF(rcs_frequency=13,1,0))</f>
        <v>0</v>
      </c>
      <c r="AX1042" s="24">
        <f t="shared" ca="1" si="819"/>
        <v>0</v>
      </c>
      <c r="AY1042" s="24">
        <f t="shared" ca="1" si="820"/>
        <v>0</v>
      </c>
      <c r="AZ1042" s="24">
        <f t="shared" ca="1" si="821"/>
        <v>0</v>
      </c>
      <c r="BA1042" s="25">
        <f t="shared" ca="1" si="822"/>
        <v>0</v>
      </c>
      <c r="BB1042" s="23">
        <f t="array" aca="1" ref="BB1042" ca="1">SUM(IF(w_start_date&lt;=AO1042,1,0)*IF(w_end_date&gt;=AO1042,1,0)*w_amount*(1+w_escalation/100)^(INT((AP1042-w_months_since_start)/12))*IF(MOD(AP1042-w_months_since_start,w_frequency)=0,1,0)*IF(w_frequency=13,0,1))+SUM(IF(w_start_date=AO1042,w_amount,0)*IF(w_frequency=13,1,0))</f>
        <v>0</v>
      </c>
      <c r="BC1042" s="25">
        <f t="shared" ca="1" si="823"/>
        <v>0</v>
      </c>
      <c r="BD1042" s="24" t="b">
        <f t="shared" ca="1" si="824"/>
        <v>1</v>
      </c>
      <c r="BE1042" s="24" t="b">
        <f t="shared" ca="1" si="825"/>
        <v>1</v>
      </c>
      <c r="BF1042" s="23">
        <f t="array" aca="1" ref="BF1042" ca="1">SUM(IF(BD1042,1,0)*IF(ap_start_date&lt;=AO1042,1,0)*IF(ap_end_date&gt;=AO1042,1,0)*ap_amount*(1+ap_escalation/100)^(INT((AP1042-ap_months_since_start)/12))*IF(MOD(AP1042-ap_months_since_start,ap_frequency)=0,1,0))</f>
        <v>663083.91313098767</v>
      </c>
      <c r="BG1042" s="24">
        <f t="shared" ca="1" si="826"/>
        <v>7957006.9575718502</v>
      </c>
      <c r="BH1042" s="24">
        <f t="shared" ca="1" si="827"/>
        <v>44.88120452711734</v>
      </c>
      <c r="BI1042">
        <f t="shared" ca="1" si="828"/>
        <v>0</v>
      </c>
      <c r="BJ1042" s="24">
        <f t="shared" ca="1" si="829"/>
        <v>314.16843168982132</v>
      </c>
      <c r="BK1042">
        <f t="shared" ca="1" si="830"/>
        <v>1</v>
      </c>
      <c r="BL1042" s="25">
        <f t="shared" ca="1" si="831"/>
        <v>26.180702640818449</v>
      </c>
      <c r="BM1042" s="32">
        <f t="shared" ca="1" si="810"/>
        <v>1740.9427539617716</v>
      </c>
      <c r="BN1042" s="23">
        <f t="shared" ca="1" si="832"/>
        <v>0</v>
      </c>
      <c r="BO1042" s="24">
        <f t="shared" ca="1" si="833"/>
        <v>0</v>
      </c>
      <c r="BP1042" s="25">
        <f t="shared" ca="1" si="834"/>
        <v>0</v>
      </c>
      <c r="BQ1042" s="34">
        <f t="shared" ca="1" si="835"/>
        <v>77126</v>
      </c>
      <c r="BR1042" s="23">
        <f t="shared" ca="1" si="836"/>
        <v>1740.9427539617716</v>
      </c>
      <c r="BS1042" s="24">
        <f t="shared" ca="1" si="837"/>
        <v>0</v>
      </c>
      <c r="BT1042" s="24">
        <f t="shared" ca="1" si="802"/>
        <v>0</v>
      </c>
      <c r="BU1042" s="24">
        <f t="shared" ca="1" si="838"/>
        <v>0</v>
      </c>
      <c r="BV1042" s="24">
        <f t="shared" ca="1" si="803"/>
        <v>0</v>
      </c>
      <c r="BW1042" s="24">
        <f t="shared" ca="1" si="839"/>
        <v>-26.180702640818449</v>
      </c>
      <c r="BX1042" s="25">
        <f t="shared" ca="1" si="804"/>
        <v>-335.75082411349791</v>
      </c>
      <c r="BY1042" s="23">
        <f t="shared" ca="1" si="811"/>
        <v>59.109730092299458</v>
      </c>
      <c r="BZ1042" s="24">
        <f t="shared" ca="1" si="812"/>
        <v>0</v>
      </c>
      <c r="CA1042" s="24">
        <f t="shared" ca="1" si="805"/>
        <v>0</v>
      </c>
      <c r="CB1042" s="24">
        <f t="shared" ca="1" si="813"/>
        <v>0</v>
      </c>
      <c r="CC1042" s="24">
        <f t="shared" ca="1" si="806"/>
        <v>0</v>
      </c>
      <c r="CD1042" s="24">
        <f t="shared" ca="1" si="814"/>
        <v>-0.89181593575415041</v>
      </c>
      <c r="CE1042" s="25">
        <f t="shared" ca="1" si="807"/>
        <v>-11.650046337647135</v>
      </c>
      <c r="CF1042" s="23">
        <f t="shared" ca="1" si="808"/>
        <v>7752981.1381469322</v>
      </c>
      <c r="CG1042" s="25">
        <f t="array" aca="1" ref="CG1042" ca="1">SUM(BF1031:BF1042/(1+inflation/100)^(AP1031:AP1042/12))</f>
        <v>267980.53702225391</v>
      </c>
      <c r="CH1042" s="32">
        <f ca="1">IFERROR(IF(MOD(AP1042-ap_months_since_start,12)=0,ap_drawdown/100*(AQ1042+AV1042+BA1042-BC1042),CH1041),0)</f>
        <v>275.9190924505229</v>
      </c>
    </row>
    <row r="1043" spans="40:86" x14ac:dyDescent="0.25">
      <c r="AN1043" s="32">
        <f t="shared" ca="1" si="809"/>
        <v>141.16666666666666</v>
      </c>
      <c r="AO1043" s="53">
        <f t="shared" ca="1" si="840"/>
        <v>77127</v>
      </c>
      <c r="AP1043" s="22">
        <v>1036</v>
      </c>
      <c r="AQ1043" s="32">
        <f t="shared" ca="1" si="841"/>
        <v>1740.9427539617716</v>
      </c>
      <c r="AR1043" s="23">
        <f t="array" aca="1" ref="AR1043" ca="1">SUM(IF(lsc_start_date=AO1043,lsc_amount,0))</f>
        <v>0</v>
      </c>
      <c r="AS1043" s="24">
        <f t="shared" ca="1" si="815"/>
        <v>0</v>
      </c>
      <c r="AT1043" s="24">
        <f t="shared" ca="1" si="816"/>
        <v>0</v>
      </c>
      <c r="AU1043" s="24">
        <f t="shared" ca="1" si="817"/>
        <v>0</v>
      </c>
      <c r="AV1043" s="25">
        <f t="shared" ca="1" si="818"/>
        <v>0</v>
      </c>
      <c r="AW1043" s="23">
        <f t="array" aca="1" ref="AW1043" ca="1">SUM(IF(rcs_start_date&lt;=AO1043,1,0)*IF(rcs_end_date&gt;=AO1043,1,0)*rcs_amount*(1+rcs_escalation/100)^(INT((AP1043-rcs_months_since_start)/12))*IF(MOD((AP1043-rcs_months_since_start),rcs_frequency)=0,1,0)*IF(rcs_frequency=13,0,1))+SUM(IF(rcs_start_date=AO1043,rcs_amount,0)*IF(rcs_frequency=13,1,0))</f>
        <v>0</v>
      </c>
      <c r="AX1043" s="24">
        <f t="shared" ca="1" si="819"/>
        <v>0</v>
      </c>
      <c r="AY1043" s="24">
        <f t="shared" ca="1" si="820"/>
        <v>0</v>
      </c>
      <c r="AZ1043" s="24">
        <f t="shared" ca="1" si="821"/>
        <v>0</v>
      </c>
      <c r="BA1043" s="25">
        <f t="shared" ca="1" si="822"/>
        <v>0</v>
      </c>
      <c r="BB1043" s="23">
        <f t="array" aca="1" ref="BB1043" ca="1">SUM(IF(w_start_date&lt;=AO1043,1,0)*IF(w_end_date&gt;=AO1043,1,0)*w_amount*(1+w_escalation/100)^(INT((AP1043-w_months_since_start)/12))*IF(MOD(AP1043-w_months_since_start,w_frequency)=0,1,0)*IF(w_frequency=13,0,1))+SUM(IF(w_start_date=AO1043,w_amount,0)*IF(w_frequency=13,1,0))</f>
        <v>0</v>
      </c>
      <c r="BC1043" s="25">
        <f t="shared" ca="1" si="823"/>
        <v>0</v>
      </c>
      <c r="BD1043" s="24" t="b">
        <f t="shared" ca="1" si="824"/>
        <v>1</v>
      </c>
      <c r="BE1043" s="24" t="b">
        <f t="shared" ca="1" si="825"/>
        <v>1</v>
      </c>
      <c r="BF1043" s="23">
        <f t="array" aca="1" ref="BF1043" ca="1">SUM(IF(BD1043,1,0)*IF(ap_start_date&lt;=AO1043,1,0)*IF(ap_end_date&gt;=AO1043,1,0)*ap_amount*(1+ap_escalation/100)^(INT((AP1043-ap_months_since_start)/12))*IF(MOD(AP1043-ap_months_since_start,ap_frequency)=0,1,0))</f>
        <v>663083.91313098767</v>
      </c>
      <c r="BG1043" s="24">
        <f t="shared" ca="1" si="826"/>
        <v>7957006.9575718502</v>
      </c>
      <c r="BH1043" s="24">
        <f t="shared" ca="1" si="827"/>
        <v>44.88120452711734</v>
      </c>
      <c r="BI1043">
        <f t="shared" ca="1" si="828"/>
        <v>0</v>
      </c>
      <c r="BJ1043" s="24">
        <f t="shared" ca="1" si="829"/>
        <v>314.16843168982132</v>
      </c>
      <c r="BK1043">
        <f t="shared" ca="1" si="830"/>
        <v>1</v>
      </c>
      <c r="BL1043" s="25">
        <f t="shared" ca="1" si="831"/>
        <v>26.180702640818449</v>
      </c>
      <c r="BM1043" s="32">
        <f t="shared" ca="1" si="810"/>
        <v>1727.1208958350651</v>
      </c>
      <c r="BN1043" s="23">
        <f t="shared" ca="1" si="832"/>
        <v>0</v>
      </c>
      <c r="BO1043" s="24">
        <f t="shared" ca="1" si="833"/>
        <v>0</v>
      </c>
      <c r="BP1043" s="25">
        <f t="shared" ca="1" si="834"/>
        <v>0</v>
      </c>
      <c r="BQ1043" s="34">
        <f t="shared" ca="1" si="835"/>
        <v>77157</v>
      </c>
      <c r="BR1043" s="23">
        <f t="shared" ca="1" si="836"/>
        <v>1727.1208958350651</v>
      </c>
      <c r="BS1043" s="24">
        <f t="shared" ca="1" si="837"/>
        <v>0</v>
      </c>
      <c r="BT1043" s="24">
        <f t="shared" ca="1" si="802"/>
        <v>0</v>
      </c>
      <c r="BU1043" s="24">
        <f t="shared" ca="1" si="838"/>
        <v>0</v>
      </c>
      <c r="BV1043" s="24">
        <f t="shared" ca="1" si="803"/>
        <v>0</v>
      </c>
      <c r="BW1043" s="24">
        <f t="shared" ca="1" si="839"/>
        <v>-26.180702640818449</v>
      </c>
      <c r="BX1043" s="25">
        <f t="shared" ca="1" si="804"/>
        <v>-333.05302506053835</v>
      </c>
      <c r="BY1043" s="23">
        <f t="shared" ca="1" si="811"/>
        <v>58.449093384634452</v>
      </c>
      <c r="BZ1043" s="24">
        <f t="shared" ca="1" si="812"/>
        <v>0</v>
      </c>
      <c r="CA1043" s="24">
        <f t="shared" ca="1" si="805"/>
        <v>0</v>
      </c>
      <c r="CB1043" s="24">
        <f t="shared" ca="1" si="813"/>
        <v>0</v>
      </c>
      <c r="CC1043" s="24">
        <f t="shared" ca="1" si="806"/>
        <v>0</v>
      </c>
      <c r="CD1043" s="24">
        <f t="shared" ca="1" si="814"/>
        <v>-0.88890588918210434</v>
      </c>
      <c r="CE1043" s="25">
        <f t="shared" ca="1" si="807"/>
        <v>-11.519228600550957</v>
      </c>
      <c r="CF1043" s="23">
        <f t="shared" ca="1" si="808"/>
        <v>7778484.3655750472</v>
      </c>
      <c r="CG1043" s="25">
        <f t="array" aca="1" ref="CG1043" ca="1">SUM(BF1032:BF1043/(1+inflation/100)^(AP1032:AP1043/12))</f>
        <v>267980.53702225391</v>
      </c>
      <c r="CH1043" s="32">
        <f ca="1">IFERROR(IF(MOD(AP1043-ap_months_since_start,12)=0,ap_drawdown/100*(AQ1043+AV1043+BA1043-BC1043),CH1042),0)</f>
        <v>275.9190924505229</v>
      </c>
    </row>
    <row r="1044" spans="40:86" x14ac:dyDescent="0.25">
      <c r="AN1044" s="32">
        <f t="shared" ca="1" si="809"/>
        <v>141.25</v>
      </c>
      <c r="AO1044" s="53">
        <f t="shared" ca="1" si="840"/>
        <v>77158</v>
      </c>
      <c r="AP1044" s="22">
        <v>1037</v>
      </c>
      <c r="AQ1044" s="32">
        <f t="shared" ca="1" si="841"/>
        <v>1727.1208958350651</v>
      </c>
      <c r="AR1044" s="23">
        <f t="array" aca="1" ref="AR1044" ca="1">SUM(IF(lsc_start_date=AO1044,lsc_amount,0))</f>
        <v>0</v>
      </c>
      <c r="AS1044" s="24">
        <f t="shared" ca="1" si="815"/>
        <v>0</v>
      </c>
      <c r="AT1044" s="24">
        <f t="shared" ca="1" si="816"/>
        <v>0</v>
      </c>
      <c r="AU1044" s="24">
        <f t="shared" ca="1" si="817"/>
        <v>0</v>
      </c>
      <c r="AV1044" s="25">
        <f t="shared" ca="1" si="818"/>
        <v>0</v>
      </c>
      <c r="AW1044" s="23">
        <f t="array" aca="1" ref="AW1044" ca="1">SUM(IF(rcs_start_date&lt;=AO1044,1,0)*IF(rcs_end_date&gt;=AO1044,1,0)*rcs_amount*(1+rcs_escalation/100)^(INT((AP1044-rcs_months_since_start)/12))*IF(MOD((AP1044-rcs_months_since_start),rcs_frequency)=0,1,0)*IF(rcs_frequency=13,0,1))+SUM(IF(rcs_start_date=AO1044,rcs_amount,0)*IF(rcs_frequency=13,1,0))</f>
        <v>0</v>
      </c>
      <c r="AX1044" s="24">
        <f t="shared" ca="1" si="819"/>
        <v>0</v>
      </c>
      <c r="AY1044" s="24">
        <f t="shared" ca="1" si="820"/>
        <v>0</v>
      </c>
      <c r="AZ1044" s="24">
        <f t="shared" ca="1" si="821"/>
        <v>0</v>
      </c>
      <c r="BA1044" s="25">
        <f t="shared" ca="1" si="822"/>
        <v>0</v>
      </c>
      <c r="BB1044" s="23">
        <f t="array" aca="1" ref="BB1044" ca="1">SUM(IF(w_start_date&lt;=AO1044,1,0)*IF(w_end_date&gt;=AO1044,1,0)*w_amount*(1+w_escalation/100)^(INT((AP1044-w_months_since_start)/12))*IF(MOD(AP1044-w_months_since_start,w_frequency)=0,1,0)*IF(w_frequency=13,0,1))+SUM(IF(w_start_date=AO1044,w_amount,0)*IF(w_frequency=13,1,0))</f>
        <v>0</v>
      </c>
      <c r="BC1044" s="25">
        <f t="shared" ca="1" si="823"/>
        <v>0</v>
      </c>
      <c r="BD1044" s="24" t="b">
        <f t="shared" ca="1" si="824"/>
        <v>1</v>
      </c>
      <c r="BE1044" s="24" t="b">
        <f t="shared" ca="1" si="825"/>
        <v>1</v>
      </c>
      <c r="BF1044" s="23">
        <f t="array" aca="1" ref="BF1044" ca="1">SUM(IF(BD1044,1,0)*IF(ap_start_date&lt;=AO1044,1,0)*IF(ap_end_date&gt;=AO1044,1,0)*ap_amount*(1+ap_escalation/100)^(INT((AP1044-ap_months_since_start)/12))*IF(MOD(AP1044-ap_months_since_start,ap_frequency)=0,1,0))</f>
        <v>663083.91313098767</v>
      </c>
      <c r="BG1044" s="24">
        <f t="shared" ca="1" si="826"/>
        <v>7957006.9575718502</v>
      </c>
      <c r="BH1044" s="24">
        <f t="shared" ca="1" si="827"/>
        <v>44.88120452711734</v>
      </c>
      <c r="BI1044">
        <f t="shared" ca="1" si="828"/>
        <v>0</v>
      </c>
      <c r="BJ1044" s="24">
        <f t="shared" ca="1" si="829"/>
        <v>314.16843168982132</v>
      </c>
      <c r="BK1044">
        <f t="shared" ca="1" si="830"/>
        <v>1</v>
      </c>
      <c r="BL1044" s="25">
        <f t="shared" ca="1" si="831"/>
        <v>26.180702640818449</v>
      </c>
      <c r="BM1044" s="32">
        <f t="shared" ca="1" si="810"/>
        <v>1713.1994191080096</v>
      </c>
      <c r="BN1044" s="23">
        <f t="shared" ca="1" si="832"/>
        <v>0</v>
      </c>
      <c r="BO1044" s="24">
        <f t="shared" ca="1" si="833"/>
        <v>0</v>
      </c>
      <c r="BP1044" s="25">
        <f t="shared" ca="1" si="834"/>
        <v>0</v>
      </c>
      <c r="BQ1044" s="34">
        <f t="shared" ca="1" si="835"/>
        <v>77187</v>
      </c>
      <c r="BR1044" s="23">
        <f t="shared" ca="1" si="836"/>
        <v>1713.1994191080096</v>
      </c>
      <c r="BS1044" s="24">
        <f t="shared" ca="1" si="837"/>
        <v>0</v>
      </c>
      <c r="BT1044" s="24">
        <f t="shared" ref="BT1044:BT1107" ca="1" si="842">SUM(BS1033:BS1044)</f>
        <v>0</v>
      </c>
      <c r="BU1044" s="24">
        <f t="shared" ca="1" si="838"/>
        <v>0</v>
      </c>
      <c r="BV1044" s="24">
        <f t="shared" ref="BV1044:BV1107" ca="1" si="843">SUM(BU1033:BU1044)</f>
        <v>0</v>
      </c>
      <c r="BW1044" s="24">
        <f t="shared" ca="1" si="839"/>
        <v>-26.180702640818449</v>
      </c>
      <c r="BX1044" s="25">
        <f t="shared" ref="BX1044:BX1107" ca="1" si="844">SUM(BW1033:BW1044)</f>
        <v>-330.35522600757878</v>
      </c>
      <c r="BY1044" s="23">
        <f t="shared" ca="1" si="811"/>
        <v>57.788778410154876</v>
      </c>
      <c r="BZ1044" s="24">
        <f t="shared" ca="1" si="812"/>
        <v>0</v>
      </c>
      <c r="CA1044" s="24">
        <f t="shared" ref="CA1044:CA1107" ca="1" si="845">SUM(BZ1033:BZ1044)</f>
        <v>0</v>
      </c>
      <c r="CB1044" s="24">
        <f t="shared" ca="1" si="813"/>
        <v>0</v>
      </c>
      <c r="CC1044" s="24">
        <f t="shared" ref="CC1044:CC1107" ca="1" si="846">SUM(CB1033:CB1044)</f>
        <v>0</v>
      </c>
      <c r="CD1044" s="24">
        <f t="shared" ca="1" si="814"/>
        <v>-0.88600533825900551</v>
      </c>
      <c r="CE1044" s="25">
        <f t="shared" ref="CE1044:CE1107" ca="1" si="847">SUM(CD1033:CD1044)</f>
        <v>-11.388837729237432</v>
      </c>
      <c r="CF1044" s="23">
        <f t="shared" ref="CF1044:CF1107" ca="1" si="848">SUM(BF1033:BF1044)</f>
        <v>7803987.5930031622</v>
      </c>
      <c r="CG1044" s="25">
        <f t="array" aca="1" ref="CG1044" ca="1">SUM(BF1033:BF1044/(1+inflation/100)^(AP1033:AP1044/12))</f>
        <v>267980.53702225391</v>
      </c>
      <c r="CH1044" s="32">
        <f ca="1">IFERROR(IF(MOD(AP1044-ap_months_since_start,12)=0,ap_drawdown/100*(AQ1044+AV1044+BA1044-BC1044),CH1043),0)</f>
        <v>275.9190924505229</v>
      </c>
    </row>
    <row r="1045" spans="40:86" x14ac:dyDescent="0.25">
      <c r="AN1045" s="32">
        <f t="shared" ca="1" si="809"/>
        <v>141.33333333333334</v>
      </c>
      <c r="AO1045" s="53">
        <f t="shared" ca="1" si="840"/>
        <v>77188</v>
      </c>
      <c r="AP1045" s="22">
        <v>1038</v>
      </c>
      <c r="AQ1045" s="32">
        <f t="shared" ca="1" si="841"/>
        <v>1713.1994191080096</v>
      </c>
      <c r="AR1045" s="23">
        <f t="array" aca="1" ref="AR1045" ca="1">SUM(IF(lsc_start_date=AO1045,lsc_amount,0))</f>
        <v>0</v>
      </c>
      <c r="AS1045" s="24">
        <f t="shared" ca="1" si="815"/>
        <v>0</v>
      </c>
      <c r="AT1045" s="24">
        <f t="shared" ca="1" si="816"/>
        <v>0</v>
      </c>
      <c r="AU1045" s="24">
        <f t="shared" ca="1" si="817"/>
        <v>0</v>
      </c>
      <c r="AV1045" s="25">
        <f t="shared" ca="1" si="818"/>
        <v>0</v>
      </c>
      <c r="AW1045" s="23">
        <f t="array" aca="1" ref="AW1045" ca="1">SUM(IF(rcs_start_date&lt;=AO1045,1,0)*IF(rcs_end_date&gt;=AO1045,1,0)*rcs_amount*(1+rcs_escalation/100)^(INT((AP1045-rcs_months_since_start)/12))*IF(MOD((AP1045-rcs_months_since_start),rcs_frequency)=0,1,0)*IF(rcs_frequency=13,0,1))+SUM(IF(rcs_start_date=AO1045,rcs_amount,0)*IF(rcs_frequency=13,1,0))</f>
        <v>0</v>
      </c>
      <c r="AX1045" s="24">
        <f t="shared" ca="1" si="819"/>
        <v>0</v>
      </c>
      <c r="AY1045" s="24">
        <f t="shared" ca="1" si="820"/>
        <v>0</v>
      </c>
      <c r="AZ1045" s="24">
        <f t="shared" ca="1" si="821"/>
        <v>0</v>
      </c>
      <c r="BA1045" s="25">
        <f t="shared" ca="1" si="822"/>
        <v>0</v>
      </c>
      <c r="BB1045" s="23">
        <f t="array" aca="1" ref="BB1045" ca="1">SUM(IF(w_start_date&lt;=AO1045,1,0)*IF(w_end_date&gt;=AO1045,1,0)*w_amount*(1+w_escalation/100)^(INT((AP1045-w_months_since_start)/12))*IF(MOD(AP1045-w_months_since_start,w_frequency)=0,1,0)*IF(w_frequency=13,0,1))+SUM(IF(w_start_date=AO1045,w_amount,0)*IF(w_frequency=13,1,0))</f>
        <v>0</v>
      </c>
      <c r="BC1045" s="25">
        <f t="shared" ca="1" si="823"/>
        <v>0</v>
      </c>
      <c r="BD1045" s="24" t="b">
        <f t="shared" ca="1" si="824"/>
        <v>1</v>
      </c>
      <c r="BE1045" s="24" t="b">
        <f t="shared" ca="1" si="825"/>
        <v>1</v>
      </c>
      <c r="BF1045" s="23">
        <f t="array" aca="1" ref="BF1045" ca="1">SUM(IF(BD1045,1,0)*IF(ap_start_date&lt;=AO1045,1,0)*IF(ap_end_date&gt;=AO1045,1,0)*ap_amount*(1+ap_escalation/100)^(INT((AP1045-ap_months_since_start)/12))*IF(MOD(AP1045-ap_months_since_start,ap_frequency)=0,1,0))</f>
        <v>663083.91313098767</v>
      </c>
      <c r="BG1045" s="24">
        <f t="shared" ca="1" si="826"/>
        <v>7957006.9575718502</v>
      </c>
      <c r="BH1045" s="24">
        <f t="shared" ca="1" si="827"/>
        <v>44.88120452711734</v>
      </c>
      <c r="BI1045">
        <f t="shared" ca="1" si="828"/>
        <v>0</v>
      </c>
      <c r="BJ1045" s="24">
        <f t="shared" ca="1" si="829"/>
        <v>314.16843168982132</v>
      </c>
      <c r="BK1045">
        <f t="shared" ca="1" si="830"/>
        <v>1</v>
      </c>
      <c r="BL1045" s="25">
        <f t="shared" ca="1" si="831"/>
        <v>26.180702640818449</v>
      </c>
      <c r="BM1045" s="32">
        <f t="shared" ca="1" si="810"/>
        <v>1699.1776057971442</v>
      </c>
      <c r="BN1045" s="23">
        <f t="shared" ca="1" si="832"/>
        <v>0</v>
      </c>
      <c r="BO1045" s="24">
        <f t="shared" ca="1" si="833"/>
        <v>0</v>
      </c>
      <c r="BP1045" s="25">
        <f t="shared" ca="1" si="834"/>
        <v>0</v>
      </c>
      <c r="BQ1045" s="34">
        <f t="shared" ca="1" si="835"/>
        <v>77218</v>
      </c>
      <c r="BR1045" s="23">
        <f t="shared" ca="1" si="836"/>
        <v>1699.1776057971442</v>
      </c>
      <c r="BS1045" s="24">
        <f t="shared" ca="1" si="837"/>
        <v>0</v>
      </c>
      <c r="BT1045" s="24">
        <f t="shared" ca="1" si="842"/>
        <v>0</v>
      </c>
      <c r="BU1045" s="24">
        <f t="shared" ca="1" si="838"/>
        <v>0</v>
      </c>
      <c r="BV1045" s="24">
        <f t="shared" ca="1" si="843"/>
        <v>0</v>
      </c>
      <c r="BW1045" s="24">
        <f t="shared" ca="1" si="839"/>
        <v>-26.180702640818449</v>
      </c>
      <c r="BX1045" s="25">
        <f t="shared" ca="1" si="844"/>
        <v>-327.65742695461921</v>
      </c>
      <c r="BY1045" s="23">
        <f t="shared" ca="1" si="811"/>
        <v>57.128776928522932</v>
      </c>
      <c r="BZ1045" s="24">
        <f t="shared" ca="1" si="812"/>
        <v>0</v>
      </c>
      <c r="CA1045" s="24">
        <f t="shared" ca="1" si="845"/>
        <v>0</v>
      </c>
      <c r="CB1045" s="24">
        <f t="shared" ca="1" si="813"/>
        <v>0</v>
      </c>
      <c r="CC1045" s="24">
        <f t="shared" ca="1" si="846"/>
        <v>0</v>
      </c>
      <c r="CD1045" s="24">
        <f t="shared" ca="1" si="814"/>
        <v>-0.8831142520000056</v>
      </c>
      <c r="CE1045" s="25">
        <f t="shared" ca="1" si="847"/>
        <v>-11.258872330819015</v>
      </c>
      <c r="CF1045" s="23">
        <f t="shared" ca="1" si="848"/>
        <v>7829490.8204312762</v>
      </c>
      <c r="CG1045" s="25">
        <f t="array" aca="1" ref="CG1045" ca="1">SUM(BF1034:BF1045/(1+inflation/100)^(AP1034:AP1045/12))</f>
        <v>267980.53702225385</v>
      </c>
      <c r="CH1045" s="32">
        <f ca="1">IFERROR(IF(MOD(AP1045-ap_months_since_start,12)=0,ap_drawdown/100*(AQ1045+AV1045+BA1045-BC1045),CH1044),0)</f>
        <v>275.9190924505229</v>
      </c>
    </row>
    <row r="1046" spans="40:86" x14ac:dyDescent="0.25">
      <c r="AN1046" s="32">
        <f t="shared" ca="1" si="809"/>
        <v>141.41666666666666</v>
      </c>
      <c r="AO1046" s="53">
        <f t="shared" ca="1" si="840"/>
        <v>77219</v>
      </c>
      <c r="AP1046" s="22">
        <v>1039</v>
      </c>
      <c r="AQ1046" s="32">
        <f t="shared" ca="1" si="841"/>
        <v>1699.1776057971442</v>
      </c>
      <c r="AR1046" s="23">
        <f t="array" aca="1" ref="AR1046" ca="1">SUM(IF(lsc_start_date=AO1046,lsc_amount,0))</f>
        <v>0</v>
      </c>
      <c r="AS1046" s="24">
        <f t="shared" ca="1" si="815"/>
        <v>0</v>
      </c>
      <c r="AT1046" s="24">
        <f t="shared" ca="1" si="816"/>
        <v>0</v>
      </c>
      <c r="AU1046" s="24">
        <f t="shared" ca="1" si="817"/>
        <v>0</v>
      </c>
      <c r="AV1046" s="25">
        <f t="shared" ca="1" si="818"/>
        <v>0</v>
      </c>
      <c r="AW1046" s="23">
        <f t="array" aca="1" ref="AW1046" ca="1">SUM(IF(rcs_start_date&lt;=AO1046,1,0)*IF(rcs_end_date&gt;=AO1046,1,0)*rcs_amount*(1+rcs_escalation/100)^(INT((AP1046-rcs_months_since_start)/12))*IF(MOD((AP1046-rcs_months_since_start),rcs_frequency)=0,1,0)*IF(rcs_frequency=13,0,1))+SUM(IF(rcs_start_date=AO1046,rcs_amount,0)*IF(rcs_frequency=13,1,0))</f>
        <v>0</v>
      </c>
      <c r="AX1046" s="24">
        <f t="shared" ca="1" si="819"/>
        <v>0</v>
      </c>
      <c r="AY1046" s="24">
        <f t="shared" ca="1" si="820"/>
        <v>0</v>
      </c>
      <c r="AZ1046" s="24">
        <f t="shared" ca="1" si="821"/>
        <v>0</v>
      </c>
      <c r="BA1046" s="25">
        <f t="shared" ca="1" si="822"/>
        <v>0</v>
      </c>
      <c r="BB1046" s="23">
        <f t="array" aca="1" ref="BB1046" ca="1">SUM(IF(w_start_date&lt;=AO1046,1,0)*IF(w_end_date&gt;=AO1046,1,0)*w_amount*(1+w_escalation/100)^(INT((AP1046-w_months_since_start)/12))*IF(MOD(AP1046-w_months_since_start,w_frequency)=0,1,0)*IF(w_frequency=13,0,1))+SUM(IF(w_start_date=AO1046,w_amount,0)*IF(w_frequency=13,1,0))</f>
        <v>0</v>
      </c>
      <c r="BC1046" s="25">
        <f t="shared" ca="1" si="823"/>
        <v>0</v>
      </c>
      <c r="BD1046" s="24" t="b">
        <f t="shared" ca="1" si="824"/>
        <v>1</v>
      </c>
      <c r="BE1046" s="24" t="b">
        <f t="shared" ca="1" si="825"/>
        <v>1</v>
      </c>
      <c r="BF1046" s="23">
        <f t="array" aca="1" ref="BF1046" ca="1">SUM(IF(BD1046,1,0)*IF(ap_start_date&lt;=AO1046,1,0)*IF(ap_end_date&gt;=AO1046,1,0)*ap_amount*(1+ap_escalation/100)^(INT((AP1046-ap_months_since_start)/12))*IF(MOD(AP1046-ap_months_since_start,ap_frequency)=0,1,0))</f>
        <v>663083.91313098767</v>
      </c>
      <c r="BG1046" s="24">
        <f t="shared" ca="1" si="826"/>
        <v>7957006.9575718502</v>
      </c>
      <c r="BH1046" s="24">
        <f t="shared" ca="1" si="827"/>
        <v>44.88120452711734</v>
      </c>
      <c r="BI1046">
        <f t="shared" ca="1" si="828"/>
        <v>0</v>
      </c>
      <c r="BJ1046" s="24">
        <f t="shared" ca="1" si="829"/>
        <v>314.16843168982132</v>
      </c>
      <c r="BK1046">
        <f t="shared" ca="1" si="830"/>
        <v>1</v>
      </c>
      <c r="BL1046" s="25">
        <f t="shared" ca="1" si="831"/>
        <v>26.180702640818449</v>
      </c>
      <c r="BM1046" s="32">
        <f t="shared" ca="1" si="810"/>
        <v>1685.0547327442689</v>
      </c>
      <c r="BN1046" s="23">
        <f t="shared" ca="1" si="832"/>
        <v>0</v>
      </c>
      <c r="BO1046" s="24">
        <f t="shared" ca="1" si="833"/>
        <v>0</v>
      </c>
      <c r="BP1046" s="25">
        <f t="shared" ca="1" si="834"/>
        <v>0</v>
      </c>
      <c r="BQ1046" s="34">
        <f t="shared" ca="1" si="835"/>
        <v>77248</v>
      </c>
      <c r="BR1046" s="23">
        <f t="shared" ca="1" si="836"/>
        <v>1685.0547327442689</v>
      </c>
      <c r="BS1046" s="24">
        <f t="shared" ca="1" si="837"/>
        <v>0</v>
      </c>
      <c r="BT1046" s="24">
        <f t="shared" ca="1" si="842"/>
        <v>0</v>
      </c>
      <c r="BU1046" s="24">
        <f t="shared" ca="1" si="838"/>
        <v>0</v>
      </c>
      <c r="BV1046" s="24">
        <f t="shared" ca="1" si="843"/>
        <v>0</v>
      </c>
      <c r="BW1046" s="24">
        <f t="shared" ca="1" si="839"/>
        <v>-26.180702640818449</v>
      </c>
      <c r="BX1046" s="25">
        <f t="shared" ca="1" si="844"/>
        <v>-324.95962790165964</v>
      </c>
      <c r="BY1046" s="23">
        <f t="shared" ca="1" si="811"/>
        <v>56.469080698097187</v>
      </c>
      <c r="BZ1046" s="24">
        <f t="shared" ca="1" si="812"/>
        <v>0</v>
      </c>
      <c r="CA1046" s="24">
        <f t="shared" ca="1" si="845"/>
        <v>0</v>
      </c>
      <c r="CB1046" s="24">
        <f t="shared" ca="1" si="813"/>
        <v>0</v>
      </c>
      <c r="CC1046" s="24">
        <f t="shared" ca="1" si="846"/>
        <v>0</v>
      </c>
      <c r="CD1046" s="24">
        <f t="shared" ca="1" si="814"/>
        <v>-0.88023259952136435</v>
      </c>
      <c r="CE1046" s="25">
        <f t="shared" ca="1" si="847"/>
        <v>-11.129331016953241</v>
      </c>
      <c r="CF1046" s="23">
        <f t="shared" ca="1" si="848"/>
        <v>7854994.0478593912</v>
      </c>
      <c r="CG1046" s="25">
        <f t="array" aca="1" ref="CG1046" ca="1">SUM(BF1035:BF1046/(1+inflation/100)^(AP1035:AP1046/12))</f>
        <v>267980.53702225385</v>
      </c>
      <c r="CH1046" s="32">
        <f ca="1">IFERROR(IF(MOD(AP1046-ap_months_since_start,12)=0,ap_drawdown/100*(AQ1046+AV1046+BA1046-BC1046),CH1045),0)</f>
        <v>275.9190924505229</v>
      </c>
    </row>
    <row r="1047" spans="40:86" x14ac:dyDescent="0.25">
      <c r="AN1047" s="32">
        <f t="shared" ca="1" si="809"/>
        <v>141.5</v>
      </c>
      <c r="AO1047" s="53">
        <f t="shared" ca="1" si="840"/>
        <v>77249</v>
      </c>
      <c r="AP1047" s="22">
        <v>1040</v>
      </c>
      <c r="AQ1047" s="32">
        <f t="shared" ca="1" si="841"/>
        <v>1685.0547327442689</v>
      </c>
      <c r="AR1047" s="23">
        <f t="array" aca="1" ref="AR1047" ca="1">SUM(IF(lsc_start_date=AO1047,lsc_amount,0))</f>
        <v>0</v>
      </c>
      <c r="AS1047" s="24">
        <f t="shared" ca="1" si="815"/>
        <v>0</v>
      </c>
      <c r="AT1047" s="24">
        <f t="shared" ca="1" si="816"/>
        <v>0</v>
      </c>
      <c r="AU1047" s="24">
        <f t="shared" ca="1" si="817"/>
        <v>0</v>
      </c>
      <c r="AV1047" s="25">
        <f t="shared" ca="1" si="818"/>
        <v>0</v>
      </c>
      <c r="AW1047" s="23">
        <f t="array" aca="1" ref="AW1047" ca="1">SUM(IF(rcs_start_date&lt;=AO1047,1,0)*IF(rcs_end_date&gt;=AO1047,1,0)*rcs_amount*(1+rcs_escalation/100)^(INT((AP1047-rcs_months_since_start)/12))*IF(MOD((AP1047-rcs_months_since_start),rcs_frequency)=0,1,0)*IF(rcs_frequency=13,0,1))+SUM(IF(rcs_start_date=AO1047,rcs_amount,0)*IF(rcs_frequency=13,1,0))</f>
        <v>0</v>
      </c>
      <c r="AX1047" s="24">
        <f t="shared" ca="1" si="819"/>
        <v>0</v>
      </c>
      <c r="AY1047" s="24">
        <f t="shared" ca="1" si="820"/>
        <v>0</v>
      </c>
      <c r="AZ1047" s="24">
        <f t="shared" ca="1" si="821"/>
        <v>0</v>
      </c>
      <c r="BA1047" s="25">
        <f t="shared" ca="1" si="822"/>
        <v>0</v>
      </c>
      <c r="BB1047" s="23">
        <f t="array" aca="1" ref="BB1047" ca="1">SUM(IF(w_start_date&lt;=AO1047,1,0)*IF(w_end_date&gt;=AO1047,1,0)*w_amount*(1+w_escalation/100)^(INT((AP1047-w_months_since_start)/12))*IF(MOD(AP1047-w_months_since_start,w_frequency)=0,1,0)*IF(w_frequency=13,0,1))+SUM(IF(w_start_date=AO1047,w_amount,0)*IF(w_frequency=13,1,0))</f>
        <v>0</v>
      </c>
      <c r="BC1047" s="25">
        <f t="shared" ca="1" si="823"/>
        <v>0</v>
      </c>
      <c r="BD1047" s="24" t="b">
        <f t="shared" ca="1" si="824"/>
        <v>1</v>
      </c>
      <c r="BE1047" s="24" t="b">
        <f t="shared" ca="1" si="825"/>
        <v>1</v>
      </c>
      <c r="BF1047" s="23">
        <f t="array" aca="1" ref="BF1047" ca="1">SUM(IF(BD1047,1,0)*IF(ap_start_date&lt;=AO1047,1,0)*IF(ap_end_date&gt;=AO1047,1,0)*ap_amount*(1+ap_escalation/100)^(INT((AP1047-ap_months_since_start)/12))*IF(MOD(AP1047-ap_months_since_start,ap_frequency)=0,1,0))</f>
        <v>663083.91313098767</v>
      </c>
      <c r="BG1047" s="24">
        <f t="shared" ca="1" si="826"/>
        <v>7957006.9575718502</v>
      </c>
      <c r="BH1047" s="24">
        <f t="shared" ca="1" si="827"/>
        <v>44.88120452711734</v>
      </c>
      <c r="BI1047">
        <f t="shared" ca="1" si="828"/>
        <v>0</v>
      </c>
      <c r="BJ1047" s="24">
        <f t="shared" ca="1" si="829"/>
        <v>314.16843168982132</v>
      </c>
      <c r="BK1047">
        <f t="shared" ca="1" si="830"/>
        <v>1</v>
      </c>
      <c r="BL1047" s="25">
        <f t="shared" ca="1" si="831"/>
        <v>26.180702640818449</v>
      </c>
      <c r="BM1047" s="32">
        <f t="shared" ca="1" si="810"/>
        <v>1670.8300715791488</v>
      </c>
      <c r="BN1047" s="23">
        <f t="shared" ca="1" si="832"/>
        <v>0</v>
      </c>
      <c r="BO1047" s="24">
        <f t="shared" ca="1" si="833"/>
        <v>0</v>
      </c>
      <c r="BP1047" s="25">
        <f t="shared" ca="1" si="834"/>
        <v>0</v>
      </c>
      <c r="BQ1047" s="34">
        <f t="shared" ca="1" si="835"/>
        <v>77279</v>
      </c>
      <c r="BR1047" s="23">
        <f t="shared" ca="1" si="836"/>
        <v>1670.8300715791488</v>
      </c>
      <c r="BS1047" s="24">
        <f t="shared" ca="1" si="837"/>
        <v>0</v>
      </c>
      <c r="BT1047" s="24">
        <f t="shared" ca="1" si="842"/>
        <v>0</v>
      </c>
      <c r="BU1047" s="24">
        <f t="shared" ca="1" si="838"/>
        <v>0</v>
      </c>
      <c r="BV1047" s="24">
        <f t="shared" ca="1" si="843"/>
        <v>0</v>
      </c>
      <c r="BW1047" s="24">
        <f t="shared" ca="1" si="839"/>
        <v>-26.180702640818449</v>
      </c>
      <c r="BX1047" s="25">
        <f t="shared" ca="1" si="844"/>
        <v>-322.26182884870008</v>
      </c>
      <c r="BY1047" s="23">
        <f t="shared" ca="1" si="811"/>
        <v>55.809681475826501</v>
      </c>
      <c r="BZ1047" s="24">
        <f t="shared" ca="1" si="812"/>
        <v>0</v>
      </c>
      <c r="CA1047" s="24">
        <f t="shared" ca="1" si="845"/>
        <v>0</v>
      </c>
      <c r="CB1047" s="24">
        <f t="shared" ca="1" si="813"/>
        <v>0</v>
      </c>
      <c r="CC1047" s="24">
        <f t="shared" ca="1" si="846"/>
        <v>0</v>
      </c>
      <c r="CD1047" s="24">
        <f t="shared" ca="1" si="814"/>
        <v>-0.87736035004011437</v>
      </c>
      <c r="CE1047" s="25">
        <f t="shared" ca="1" si="847"/>
        <v>-11.000212403827877</v>
      </c>
      <c r="CF1047" s="23">
        <f t="shared" ca="1" si="848"/>
        <v>7880497.2752875052</v>
      </c>
      <c r="CG1047" s="25">
        <f t="array" aca="1" ref="CG1047" ca="1">SUM(BF1036:BF1047/(1+inflation/100)^(AP1036:AP1047/12))</f>
        <v>267980.53702225391</v>
      </c>
      <c r="CH1047" s="32">
        <f ca="1">IFERROR(IF(MOD(AP1047-ap_months_since_start,12)=0,ap_drawdown/100*(AQ1047+AV1047+BA1047-BC1047),CH1046),0)</f>
        <v>275.9190924505229</v>
      </c>
    </row>
    <row r="1048" spans="40:86" x14ac:dyDescent="0.25">
      <c r="AN1048" s="32">
        <f t="shared" ca="1" si="809"/>
        <v>141.58333333333334</v>
      </c>
      <c r="AO1048" s="53">
        <f t="shared" ca="1" si="840"/>
        <v>77280</v>
      </c>
      <c r="AP1048" s="22">
        <v>1041</v>
      </c>
      <c r="AQ1048" s="32">
        <f t="shared" ca="1" si="841"/>
        <v>1670.8300715791488</v>
      </c>
      <c r="AR1048" s="23">
        <f t="array" aca="1" ref="AR1048" ca="1">SUM(IF(lsc_start_date=AO1048,lsc_amount,0))</f>
        <v>0</v>
      </c>
      <c r="AS1048" s="24">
        <f t="shared" ca="1" si="815"/>
        <v>0</v>
      </c>
      <c r="AT1048" s="24">
        <f t="shared" ca="1" si="816"/>
        <v>0</v>
      </c>
      <c r="AU1048" s="24">
        <f t="shared" ca="1" si="817"/>
        <v>0</v>
      </c>
      <c r="AV1048" s="25">
        <f t="shared" ca="1" si="818"/>
        <v>0</v>
      </c>
      <c r="AW1048" s="23">
        <f t="array" aca="1" ref="AW1048" ca="1">SUM(IF(rcs_start_date&lt;=AO1048,1,0)*IF(rcs_end_date&gt;=AO1048,1,0)*rcs_amount*(1+rcs_escalation/100)^(INT((AP1048-rcs_months_since_start)/12))*IF(MOD((AP1048-rcs_months_since_start),rcs_frequency)=0,1,0)*IF(rcs_frequency=13,0,1))+SUM(IF(rcs_start_date=AO1048,rcs_amount,0)*IF(rcs_frequency=13,1,0))</f>
        <v>0</v>
      </c>
      <c r="AX1048" s="24">
        <f t="shared" ca="1" si="819"/>
        <v>0</v>
      </c>
      <c r="AY1048" s="24">
        <f t="shared" ca="1" si="820"/>
        <v>0</v>
      </c>
      <c r="AZ1048" s="24">
        <f t="shared" ca="1" si="821"/>
        <v>0</v>
      </c>
      <c r="BA1048" s="25">
        <f t="shared" ca="1" si="822"/>
        <v>0</v>
      </c>
      <c r="BB1048" s="23">
        <f t="array" aca="1" ref="BB1048" ca="1">SUM(IF(w_start_date&lt;=AO1048,1,0)*IF(w_end_date&gt;=AO1048,1,0)*w_amount*(1+w_escalation/100)^(INT((AP1048-w_months_since_start)/12))*IF(MOD(AP1048-w_months_since_start,w_frequency)=0,1,0)*IF(w_frequency=13,0,1))+SUM(IF(w_start_date=AO1048,w_amount,0)*IF(w_frequency=13,1,0))</f>
        <v>0</v>
      </c>
      <c r="BC1048" s="25">
        <f t="shared" ca="1" si="823"/>
        <v>0</v>
      </c>
      <c r="BD1048" s="24" t="b">
        <f t="shared" ca="1" si="824"/>
        <v>1</v>
      </c>
      <c r="BE1048" s="24" t="b">
        <f t="shared" ca="1" si="825"/>
        <v>1</v>
      </c>
      <c r="BF1048" s="23">
        <f t="array" aca="1" ref="BF1048" ca="1">SUM(IF(BD1048,1,0)*IF(ap_start_date&lt;=AO1048,1,0)*IF(ap_end_date&gt;=AO1048,1,0)*ap_amount*(1+ap_escalation/100)^(INT((AP1048-ap_months_since_start)/12))*IF(MOD(AP1048-ap_months_since_start,ap_frequency)=0,1,0))</f>
        <v>663083.91313098767</v>
      </c>
      <c r="BG1048" s="24">
        <f t="shared" ca="1" si="826"/>
        <v>7957006.9575718502</v>
      </c>
      <c r="BH1048" s="24">
        <f t="shared" ca="1" si="827"/>
        <v>44.88120452711734</v>
      </c>
      <c r="BI1048">
        <f t="shared" ca="1" si="828"/>
        <v>0</v>
      </c>
      <c r="BJ1048" s="24">
        <f t="shared" ca="1" si="829"/>
        <v>314.16843168982132</v>
      </c>
      <c r="BK1048">
        <f t="shared" ca="1" si="830"/>
        <v>1</v>
      </c>
      <c r="BL1048" s="25">
        <f t="shared" ca="1" si="831"/>
        <v>26.180702640818449</v>
      </c>
      <c r="BM1048" s="32">
        <f t="shared" ca="1" si="810"/>
        <v>1656.5028886819491</v>
      </c>
      <c r="BN1048" s="23">
        <f t="shared" ca="1" si="832"/>
        <v>0</v>
      </c>
      <c r="BO1048" s="24">
        <f t="shared" ca="1" si="833"/>
        <v>0</v>
      </c>
      <c r="BP1048" s="25">
        <f t="shared" ca="1" si="834"/>
        <v>0</v>
      </c>
      <c r="BQ1048" s="34">
        <f t="shared" ca="1" si="835"/>
        <v>77310</v>
      </c>
      <c r="BR1048" s="23">
        <f t="shared" ca="1" si="836"/>
        <v>1656.5028886819491</v>
      </c>
      <c r="BS1048" s="24">
        <f t="shared" ca="1" si="837"/>
        <v>0</v>
      </c>
      <c r="BT1048" s="24">
        <f t="shared" ca="1" si="842"/>
        <v>0</v>
      </c>
      <c r="BU1048" s="24">
        <f t="shared" ca="1" si="838"/>
        <v>0</v>
      </c>
      <c r="BV1048" s="24">
        <f t="shared" ca="1" si="843"/>
        <v>0</v>
      </c>
      <c r="BW1048" s="24">
        <f t="shared" ca="1" si="839"/>
        <v>-26.180702640818449</v>
      </c>
      <c r="BX1048" s="25">
        <f t="shared" ca="1" si="844"/>
        <v>-319.56402979574051</v>
      </c>
      <c r="BY1048" s="23">
        <f t="shared" ca="1" si="811"/>
        <v>55.150571017143712</v>
      </c>
      <c r="BZ1048" s="24">
        <f t="shared" ca="1" si="812"/>
        <v>0</v>
      </c>
      <c r="CA1048" s="24">
        <f t="shared" ca="1" si="845"/>
        <v>0</v>
      </c>
      <c r="CB1048" s="24">
        <f t="shared" ca="1" si="813"/>
        <v>0</v>
      </c>
      <c r="CC1048" s="24">
        <f t="shared" ca="1" si="846"/>
        <v>0</v>
      </c>
      <c r="CD1048" s="24">
        <f t="shared" ca="1" si="814"/>
        <v>-0.87449747287373503</v>
      </c>
      <c r="CE1048" s="25">
        <f t="shared" ca="1" si="847"/>
        <v>-10.871515112146154</v>
      </c>
      <c r="CF1048" s="23">
        <f t="shared" ca="1" si="848"/>
        <v>7906000.5027156202</v>
      </c>
      <c r="CG1048" s="25">
        <f t="array" aca="1" ref="CG1048" ca="1">SUM(BF1037:BF1048/(1+inflation/100)^(AP1037:AP1048/12))</f>
        <v>267980.53702225391</v>
      </c>
      <c r="CH1048" s="32">
        <f ca="1">IFERROR(IF(MOD(AP1048-ap_months_since_start,12)=0,ap_drawdown/100*(AQ1048+AV1048+BA1048-BC1048),CH1047),0)</f>
        <v>275.9190924505229</v>
      </c>
    </row>
    <row r="1049" spans="40:86" x14ac:dyDescent="0.25">
      <c r="AN1049" s="32">
        <f t="shared" ca="1" si="809"/>
        <v>141.66666666666666</v>
      </c>
      <c r="AO1049" s="53">
        <f t="shared" ca="1" si="840"/>
        <v>77311</v>
      </c>
      <c r="AP1049" s="22">
        <v>1042</v>
      </c>
      <c r="AQ1049" s="32">
        <f t="shared" ca="1" si="841"/>
        <v>1656.5028886819491</v>
      </c>
      <c r="AR1049" s="23">
        <f t="array" aca="1" ref="AR1049" ca="1">SUM(IF(lsc_start_date=AO1049,lsc_amount,0))</f>
        <v>0</v>
      </c>
      <c r="AS1049" s="24">
        <f t="shared" ca="1" si="815"/>
        <v>0</v>
      </c>
      <c r="AT1049" s="24">
        <f t="shared" ca="1" si="816"/>
        <v>0</v>
      </c>
      <c r="AU1049" s="24">
        <f t="shared" ca="1" si="817"/>
        <v>0</v>
      </c>
      <c r="AV1049" s="25">
        <f t="shared" ca="1" si="818"/>
        <v>0</v>
      </c>
      <c r="AW1049" s="23">
        <f t="array" aca="1" ref="AW1049" ca="1">SUM(IF(rcs_start_date&lt;=AO1049,1,0)*IF(rcs_end_date&gt;=AO1049,1,0)*rcs_amount*(1+rcs_escalation/100)^(INT((AP1049-rcs_months_since_start)/12))*IF(MOD((AP1049-rcs_months_since_start),rcs_frequency)=0,1,0)*IF(rcs_frequency=13,0,1))+SUM(IF(rcs_start_date=AO1049,rcs_amount,0)*IF(rcs_frequency=13,1,0))</f>
        <v>0</v>
      </c>
      <c r="AX1049" s="24">
        <f t="shared" ca="1" si="819"/>
        <v>0</v>
      </c>
      <c r="AY1049" s="24">
        <f t="shared" ca="1" si="820"/>
        <v>0</v>
      </c>
      <c r="AZ1049" s="24">
        <f t="shared" ca="1" si="821"/>
        <v>0</v>
      </c>
      <c r="BA1049" s="25">
        <f t="shared" ca="1" si="822"/>
        <v>0</v>
      </c>
      <c r="BB1049" s="23">
        <f t="array" aca="1" ref="BB1049" ca="1">SUM(IF(w_start_date&lt;=AO1049,1,0)*IF(w_end_date&gt;=AO1049,1,0)*w_amount*(1+w_escalation/100)^(INT((AP1049-w_months_since_start)/12))*IF(MOD(AP1049-w_months_since_start,w_frequency)=0,1,0)*IF(w_frequency=13,0,1))+SUM(IF(w_start_date=AO1049,w_amount,0)*IF(w_frequency=13,1,0))</f>
        <v>0</v>
      </c>
      <c r="BC1049" s="25">
        <f t="shared" ca="1" si="823"/>
        <v>0</v>
      </c>
      <c r="BD1049" s="24" t="b">
        <f t="shared" ca="1" si="824"/>
        <v>1</v>
      </c>
      <c r="BE1049" s="24" t="b">
        <f t="shared" ca="1" si="825"/>
        <v>1</v>
      </c>
      <c r="BF1049" s="23">
        <f t="array" aca="1" ref="BF1049" ca="1">SUM(IF(BD1049,1,0)*IF(ap_start_date&lt;=AO1049,1,0)*IF(ap_end_date&gt;=AO1049,1,0)*ap_amount*(1+ap_escalation/100)^(INT((AP1049-ap_months_since_start)/12))*IF(MOD(AP1049-ap_months_since_start,ap_frequency)=0,1,0))</f>
        <v>663083.91313098767</v>
      </c>
      <c r="BG1049" s="24">
        <f t="shared" ca="1" si="826"/>
        <v>7957006.9575718502</v>
      </c>
      <c r="BH1049" s="24">
        <f t="shared" ca="1" si="827"/>
        <v>44.88120452711734</v>
      </c>
      <c r="BI1049">
        <f t="shared" ca="1" si="828"/>
        <v>0</v>
      </c>
      <c r="BJ1049" s="24">
        <f t="shared" ca="1" si="829"/>
        <v>314.16843168982132</v>
      </c>
      <c r="BK1049">
        <f t="shared" ca="1" si="830"/>
        <v>1</v>
      </c>
      <c r="BL1049" s="25">
        <f t="shared" ca="1" si="831"/>
        <v>26.180702640818449</v>
      </c>
      <c r="BM1049" s="32">
        <f t="shared" ca="1" si="810"/>
        <v>1642.0724451453998</v>
      </c>
      <c r="BN1049" s="23">
        <f t="shared" ca="1" si="832"/>
        <v>0</v>
      </c>
      <c r="BO1049" s="24">
        <f t="shared" ca="1" si="833"/>
        <v>0</v>
      </c>
      <c r="BP1049" s="25">
        <f t="shared" ca="1" si="834"/>
        <v>0</v>
      </c>
      <c r="BQ1049" s="34">
        <f t="shared" ca="1" si="835"/>
        <v>77340</v>
      </c>
      <c r="BR1049" s="23">
        <f t="shared" ca="1" si="836"/>
        <v>1642.0724451453998</v>
      </c>
      <c r="BS1049" s="24">
        <f t="shared" ca="1" si="837"/>
        <v>0</v>
      </c>
      <c r="BT1049" s="24">
        <f t="shared" ca="1" si="842"/>
        <v>0</v>
      </c>
      <c r="BU1049" s="24">
        <f t="shared" ca="1" si="838"/>
        <v>0</v>
      </c>
      <c r="BV1049" s="24">
        <f t="shared" ca="1" si="843"/>
        <v>0</v>
      </c>
      <c r="BW1049" s="24">
        <f t="shared" ca="1" si="839"/>
        <v>-26.180702640818449</v>
      </c>
      <c r="BX1049" s="25">
        <f t="shared" ca="1" si="844"/>
        <v>-316.86623074278094</v>
      </c>
      <c r="BY1049" s="23">
        <f t="shared" ca="1" si="811"/>
        <v>54.491741075859011</v>
      </c>
      <c r="BZ1049" s="24">
        <f t="shared" ca="1" si="812"/>
        <v>0</v>
      </c>
      <c r="CA1049" s="24">
        <f t="shared" ca="1" si="845"/>
        <v>0</v>
      </c>
      <c r="CB1049" s="24">
        <f t="shared" ca="1" si="813"/>
        <v>0</v>
      </c>
      <c r="CC1049" s="24">
        <f t="shared" ca="1" si="846"/>
        <v>0</v>
      </c>
      <c r="CD1049" s="24">
        <f t="shared" ca="1" si="814"/>
        <v>-0.87164393743982593</v>
      </c>
      <c r="CE1049" s="25">
        <f t="shared" ca="1" si="847"/>
        <v>-10.743237767112026</v>
      </c>
      <c r="CF1049" s="23">
        <f t="shared" ca="1" si="848"/>
        <v>7931503.7301437352</v>
      </c>
      <c r="CG1049" s="25">
        <f t="array" aca="1" ref="CG1049" ca="1">SUM(BF1038:BF1049/(1+inflation/100)^(AP1038:AP1049/12))</f>
        <v>267980.53702225385</v>
      </c>
      <c r="CH1049" s="32">
        <f ca="1">IFERROR(IF(MOD(AP1049-ap_months_since_start,12)=0,ap_drawdown/100*(AQ1049+AV1049+BA1049-BC1049),CH1048),0)</f>
        <v>275.9190924505229</v>
      </c>
    </row>
    <row r="1050" spans="40:86" x14ac:dyDescent="0.25">
      <c r="AN1050" s="32">
        <f t="shared" ca="1" si="809"/>
        <v>141.75</v>
      </c>
      <c r="AO1050" s="53">
        <f t="shared" ca="1" si="840"/>
        <v>77341</v>
      </c>
      <c r="AP1050" s="22">
        <v>1043</v>
      </c>
      <c r="AQ1050" s="32">
        <f t="shared" ca="1" si="841"/>
        <v>1642.0724451453998</v>
      </c>
      <c r="AR1050" s="23">
        <f t="array" aca="1" ref="AR1050" ca="1">SUM(IF(lsc_start_date=AO1050,lsc_amount,0))</f>
        <v>0</v>
      </c>
      <c r="AS1050" s="24">
        <f t="shared" ca="1" si="815"/>
        <v>0</v>
      </c>
      <c r="AT1050" s="24">
        <f t="shared" ca="1" si="816"/>
        <v>0</v>
      </c>
      <c r="AU1050" s="24">
        <f t="shared" ca="1" si="817"/>
        <v>0</v>
      </c>
      <c r="AV1050" s="25">
        <f t="shared" ca="1" si="818"/>
        <v>0</v>
      </c>
      <c r="AW1050" s="23">
        <f t="array" aca="1" ref="AW1050" ca="1">SUM(IF(rcs_start_date&lt;=AO1050,1,0)*IF(rcs_end_date&gt;=AO1050,1,0)*rcs_amount*(1+rcs_escalation/100)^(INT((AP1050-rcs_months_since_start)/12))*IF(MOD((AP1050-rcs_months_since_start),rcs_frequency)=0,1,0)*IF(rcs_frequency=13,0,1))+SUM(IF(rcs_start_date=AO1050,rcs_amount,0)*IF(rcs_frequency=13,1,0))</f>
        <v>0</v>
      </c>
      <c r="AX1050" s="24">
        <f t="shared" ca="1" si="819"/>
        <v>0</v>
      </c>
      <c r="AY1050" s="24">
        <f t="shared" ca="1" si="820"/>
        <v>0</v>
      </c>
      <c r="AZ1050" s="24">
        <f t="shared" ca="1" si="821"/>
        <v>0</v>
      </c>
      <c r="BA1050" s="25">
        <f t="shared" ca="1" si="822"/>
        <v>0</v>
      </c>
      <c r="BB1050" s="23">
        <f t="array" aca="1" ref="BB1050" ca="1">SUM(IF(w_start_date&lt;=AO1050,1,0)*IF(w_end_date&gt;=AO1050,1,0)*w_amount*(1+w_escalation/100)^(INT((AP1050-w_months_since_start)/12))*IF(MOD(AP1050-w_months_since_start,w_frequency)=0,1,0)*IF(w_frequency=13,0,1))+SUM(IF(w_start_date=AO1050,w_amount,0)*IF(w_frequency=13,1,0))</f>
        <v>0</v>
      </c>
      <c r="BC1050" s="25">
        <f t="shared" ca="1" si="823"/>
        <v>0</v>
      </c>
      <c r="BD1050" s="24" t="b">
        <f t="shared" ca="1" si="824"/>
        <v>1</v>
      </c>
      <c r="BE1050" s="24" t="b">
        <f t="shared" ca="1" si="825"/>
        <v>1</v>
      </c>
      <c r="BF1050" s="23">
        <f t="array" aca="1" ref="BF1050" ca="1">SUM(IF(BD1050,1,0)*IF(ap_start_date&lt;=AO1050,1,0)*IF(ap_end_date&gt;=AO1050,1,0)*ap_amount*(1+ap_escalation/100)^(INT((AP1050-ap_months_since_start)/12))*IF(MOD(AP1050-ap_months_since_start,ap_frequency)=0,1,0))</f>
        <v>663083.91313098767</v>
      </c>
      <c r="BG1050" s="24">
        <f t="shared" ca="1" si="826"/>
        <v>7957006.9575718502</v>
      </c>
      <c r="BH1050" s="24">
        <f t="shared" ca="1" si="827"/>
        <v>44.88120452711734</v>
      </c>
      <c r="BI1050">
        <f t="shared" ca="1" si="828"/>
        <v>0</v>
      </c>
      <c r="BJ1050" s="24">
        <f t="shared" ca="1" si="829"/>
        <v>314.16843168982132</v>
      </c>
      <c r="BK1050">
        <f t="shared" ca="1" si="830"/>
        <v>1</v>
      </c>
      <c r="BL1050" s="25">
        <f t="shared" ca="1" si="831"/>
        <v>26.180702640818449</v>
      </c>
      <c r="BM1050" s="32">
        <f t="shared" ca="1" si="810"/>
        <v>1627.5379967366873</v>
      </c>
      <c r="BN1050" s="23">
        <f t="shared" ca="1" si="832"/>
        <v>0</v>
      </c>
      <c r="BO1050" s="24">
        <f t="shared" ca="1" si="833"/>
        <v>0</v>
      </c>
      <c r="BP1050" s="25">
        <f t="shared" ca="1" si="834"/>
        <v>0</v>
      </c>
      <c r="BQ1050" s="34">
        <f t="shared" ca="1" si="835"/>
        <v>77371</v>
      </c>
      <c r="BR1050" s="23">
        <f t="shared" ca="1" si="836"/>
        <v>1627.5379967366873</v>
      </c>
      <c r="BS1050" s="24">
        <f t="shared" ca="1" si="837"/>
        <v>0</v>
      </c>
      <c r="BT1050" s="24">
        <f t="shared" ca="1" si="842"/>
        <v>0</v>
      </c>
      <c r="BU1050" s="24">
        <f t="shared" ca="1" si="838"/>
        <v>0</v>
      </c>
      <c r="BV1050" s="24">
        <f t="shared" ca="1" si="843"/>
        <v>0</v>
      </c>
      <c r="BW1050" s="24">
        <f t="shared" ca="1" si="839"/>
        <v>-26.180702640818449</v>
      </c>
      <c r="BX1050" s="25">
        <f t="shared" ca="1" si="844"/>
        <v>-314.16843168982132</v>
      </c>
      <c r="BY1050" s="23">
        <f t="shared" ca="1" si="811"/>
        <v>53.833183404053472</v>
      </c>
      <c r="BZ1050" s="24">
        <f t="shared" ca="1" si="812"/>
        <v>0</v>
      </c>
      <c r="CA1050" s="24">
        <f t="shared" ca="1" si="845"/>
        <v>0</v>
      </c>
      <c r="CB1050" s="24">
        <f t="shared" ca="1" si="813"/>
        <v>0</v>
      </c>
      <c r="CC1050" s="24">
        <f t="shared" ca="1" si="846"/>
        <v>0</v>
      </c>
      <c r="CD1050" s="24">
        <f t="shared" ca="1" si="814"/>
        <v>-0.86879971325577776</v>
      </c>
      <c r="CE1050" s="25">
        <f t="shared" ca="1" si="847"/>
        <v>-10.615378998415482</v>
      </c>
      <c r="CF1050" s="23">
        <f t="shared" ca="1" si="848"/>
        <v>7957006.9575718502</v>
      </c>
      <c r="CG1050" s="25">
        <f t="array" aca="1" ref="CG1050" ca="1">SUM(BF1039:BF1050/(1+inflation/100)^(AP1039:AP1050/12))</f>
        <v>267980.53702225385</v>
      </c>
      <c r="CH1050" s="32">
        <f ca="1">IFERROR(IF(MOD(AP1050-ap_months_since_start,12)=0,ap_drawdown/100*(AQ1050+AV1050+BA1050-BC1050),CH1049),0)</f>
        <v>275.9190924505229</v>
      </c>
    </row>
    <row r="1051" spans="40:86" x14ac:dyDescent="0.25">
      <c r="AN1051" s="32">
        <f t="shared" ca="1" si="809"/>
        <v>141.83333333333334</v>
      </c>
      <c r="AO1051" s="53">
        <f t="shared" ca="1" si="840"/>
        <v>77372</v>
      </c>
      <c r="AP1051" s="22">
        <v>1044</v>
      </c>
      <c r="AQ1051" s="32">
        <f t="shared" ca="1" si="841"/>
        <v>1627.5379967366873</v>
      </c>
      <c r="AR1051" s="23">
        <f t="array" aca="1" ref="AR1051" ca="1">SUM(IF(lsc_start_date=AO1051,lsc_amount,0))</f>
        <v>0</v>
      </c>
      <c r="AS1051" s="24">
        <f t="shared" ca="1" si="815"/>
        <v>0</v>
      </c>
      <c r="AT1051" s="24">
        <f t="shared" ca="1" si="816"/>
        <v>0</v>
      </c>
      <c r="AU1051" s="24">
        <f t="shared" ca="1" si="817"/>
        <v>0</v>
      </c>
      <c r="AV1051" s="25">
        <f t="shared" ca="1" si="818"/>
        <v>0</v>
      </c>
      <c r="AW1051" s="23">
        <f t="array" aca="1" ref="AW1051" ca="1">SUM(IF(rcs_start_date&lt;=AO1051,1,0)*IF(rcs_end_date&gt;=AO1051,1,0)*rcs_amount*(1+rcs_escalation/100)^(INT((AP1051-rcs_months_since_start)/12))*IF(MOD((AP1051-rcs_months_since_start),rcs_frequency)=0,1,0)*IF(rcs_frequency=13,0,1))+SUM(IF(rcs_start_date=AO1051,rcs_amount,0)*IF(rcs_frequency=13,1,0))</f>
        <v>0</v>
      </c>
      <c r="AX1051" s="24">
        <f t="shared" ca="1" si="819"/>
        <v>0</v>
      </c>
      <c r="AY1051" s="24">
        <f t="shared" ca="1" si="820"/>
        <v>0</v>
      </c>
      <c r="AZ1051" s="24">
        <f t="shared" ca="1" si="821"/>
        <v>0</v>
      </c>
      <c r="BA1051" s="25">
        <f t="shared" ca="1" si="822"/>
        <v>0</v>
      </c>
      <c r="BB1051" s="23">
        <f t="array" aca="1" ref="BB1051" ca="1">SUM(IF(w_start_date&lt;=AO1051,1,0)*IF(w_end_date&gt;=AO1051,1,0)*w_amount*(1+w_escalation/100)^(INT((AP1051-w_months_since_start)/12))*IF(MOD(AP1051-w_months_since_start,w_frequency)=0,1,0)*IF(w_frequency=13,0,1))+SUM(IF(w_start_date=AO1051,w_amount,0)*IF(w_frequency=13,1,0))</f>
        <v>0</v>
      </c>
      <c r="BC1051" s="25">
        <f t="shared" ca="1" si="823"/>
        <v>0</v>
      </c>
      <c r="BD1051" s="24" t="b">
        <f t="shared" ca="1" si="824"/>
        <v>1</v>
      </c>
      <c r="BE1051" s="24" t="b">
        <f t="shared" ca="1" si="825"/>
        <v>1</v>
      </c>
      <c r="BF1051" s="23">
        <f t="array" aca="1" ref="BF1051" ca="1">SUM(IF(BD1051,1,0)*IF(ap_start_date&lt;=AO1051,1,0)*IF(ap_end_date&gt;=AO1051,1,0)*ap_amount*(1+ap_escalation/100)^(INT((AP1051-ap_months_since_start)/12))*IF(MOD(AP1051-ap_months_since_start,ap_frequency)=0,1,0))</f>
        <v>689607.2696562272</v>
      </c>
      <c r="BG1051" s="24">
        <f t="shared" ca="1" si="826"/>
        <v>8275287.2358747246</v>
      </c>
      <c r="BH1051" s="24">
        <f t="shared" ca="1" si="827"/>
        <v>40.688449918417184</v>
      </c>
      <c r="BI1051">
        <f t="shared" ca="1" si="828"/>
        <v>0</v>
      </c>
      <c r="BJ1051" s="24">
        <f t="shared" ca="1" si="829"/>
        <v>284.81914942892024</v>
      </c>
      <c r="BK1051">
        <f t="shared" ca="1" si="830"/>
        <v>1</v>
      </c>
      <c r="BL1051" s="25">
        <f t="shared" ca="1" si="831"/>
        <v>23.734929119076693</v>
      </c>
      <c r="BM1051" s="32">
        <f t="shared" ca="1" si="810"/>
        <v>1615.3621948613427</v>
      </c>
      <c r="BN1051" s="23">
        <f t="shared" ca="1" si="832"/>
        <v>0</v>
      </c>
      <c r="BO1051" s="24">
        <f t="shared" ca="1" si="833"/>
        <v>0</v>
      </c>
      <c r="BP1051" s="25">
        <f t="shared" ca="1" si="834"/>
        <v>0</v>
      </c>
      <c r="BQ1051" s="34">
        <f t="shared" ca="1" si="835"/>
        <v>77401</v>
      </c>
      <c r="BR1051" s="23">
        <f t="shared" ca="1" si="836"/>
        <v>1615.3621948613427</v>
      </c>
      <c r="BS1051" s="24">
        <f t="shared" ca="1" si="837"/>
        <v>0</v>
      </c>
      <c r="BT1051" s="24">
        <f t="shared" ca="1" si="842"/>
        <v>0</v>
      </c>
      <c r="BU1051" s="24">
        <f t="shared" ca="1" si="838"/>
        <v>0</v>
      </c>
      <c r="BV1051" s="24">
        <f t="shared" ca="1" si="843"/>
        <v>0</v>
      </c>
      <c r="BW1051" s="24">
        <f t="shared" ca="1" si="839"/>
        <v>-23.734929119076693</v>
      </c>
      <c r="BX1051" s="25">
        <f t="shared" ca="1" si="844"/>
        <v>-311.72265816807959</v>
      </c>
      <c r="BY1051" s="23">
        <f t="shared" ca="1" si="811"/>
        <v>53.256104442695417</v>
      </c>
      <c r="BZ1051" s="24">
        <f t="shared" ca="1" si="812"/>
        <v>0</v>
      </c>
      <c r="CA1051" s="24">
        <f t="shared" ca="1" si="845"/>
        <v>0</v>
      </c>
      <c r="CB1051" s="24">
        <f t="shared" ca="1" si="813"/>
        <v>0</v>
      </c>
      <c r="CC1051" s="24">
        <f t="shared" ca="1" si="846"/>
        <v>0</v>
      </c>
      <c r="CD1051" s="24">
        <f t="shared" ca="1" si="814"/>
        <v>-0.78506725797577992</v>
      </c>
      <c r="CE1051" s="25">
        <f t="shared" ca="1" si="847"/>
        <v>-10.499842895655275</v>
      </c>
      <c r="CF1051" s="23">
        <f t="shared" ca="1" si="848"/>
        <v>7983530.3140970897</v>
      </c>
      <c r="CG1051" s="25">
        <f t="array" aca="1" ref="CG1051" ca="1">SUM(BF1040:BF1051/(1+inflation/100)^(AP1040:AP1051/12))</f>
        <v>267980.53702225385</v>
      </c>
      <c r="CH1051" s="32">
        <f ca="1">IFERROR(IF(MOD(AP1051-ap_months_since_start,12)=0,ap_drawdown/100*(AQ1051+AV1051+BA1051-BC1051),CH1050),0)</f>
        <v>250.14302296465797</v>
      </c>
    </row>
    <row r="1052" spans="40:86" x14ac:dyDescent="0.25">
      <c r="AN1052" s="32">
        <f t="shared" ca="1" si="809"/>
        <v>141.91666666666666</v>
      </c>
      <c r="AO1052" s="53">
        <f t="shared" ca="1" si="840"/>
        <v>77402</v>
      </c>
      <c r="AP1052" s="22">
        <v>1045</v>
      </c>
      <c r="AQ1052" s="32">
        <f t="shared" ca="1" si="841"/>
        <v>1615.3621948613427</v>
      </c>
      <c r="AR1052" s="23">
        <f t="array" aca="1" ref="AR1052" ca="1">SUM(IF(lsc_start_date=AO1052,lsc_amount,0))</f>
        <v>0</v>
      </c>
      <c r="AS1052" s="24">
        <f t="shared" ca="1" si="815"/>
        <v>0</v>
      </c>
      <c r="AT1052" s="24">
        <f t="shared" ca="1" si="816"/>
        <v>0</v>
      </c>
      <c r="AU1052" s="24">
        <f t="shared" ca="1" si="817"/>
        <v>0</v>
      </c>
      <c r="AV1052" s="25">
        <f t="shared" ca="1" si="818"/>
        <v>0</v>
      </c>
      <c r="AW1052" s="23">
        <f t="array" aca="1" ref="AW1052" ca="1">SUM(IF(rcs_start_date&lt;=AO1052,1,0)*IF(rcs_end_date&gt;=AO1052,1,0)*rcs_amount*(1+rcs_escalation/100)^(INT((AP1052-rcs_months_since_start)/12))*IF(MOD((AP1052-rcs_months_since_start),rcs_frequency)=0,1,0)*IF(rcs_frequency=13,0,1))+SUM(IF(rcs_start_date=AO1052,rcs_amount,0)*IF(rcs_frequency=13,1,0))</f>
        <v>0</v>
      </c>
      <c r="AX1052" s="24">
        <f t="shared" ca="1" si="819"/>
        <v>0</v>
      </c>
      <c r="AY1052" s="24">
        <f t="shared" ca="1" si="820"/>
        <v>0</v>
      </c>
      <c r="AZ1052" s="24">
        <f t="shared" ca="1" si="821"/>
        <v>0</v>
      </c>
      <c r="BA1052" s="25">
        <f t="shared" ca="1" si="822"/>
        <v>0</v>
      </c>
      <c r="BB1052" s="23">
        <f t="array" aca="1" ref="BB1052" ca="1">SUM(IF(w_start_date&lt;=AO1052,1,0)*IF(w_end_date&gt;=AO1052,1,0)*w_amount*(1+w_escalation/100)^(INT((AP1052-w_months_since_start)/12))*IF(MOD(AP1052-w_months_since_start,w_frequency)=0,1,0)*IF(w_frequency=13,0,1))+SUM(IF(w_start_date=AO1052,w_amount,0)*IF(w_frequency=13,1,0))</f>
        <v>0</v>
      </c>
      <c r="BC1052" s="25">
        <f t="shared" ca="1" si="823"/>
        <v>0</v>
      </c>
      <c r="BD1052" s="24" t="b">
        <f t="shared" ca="1" si="824"/>
        <v>1</v>
      </c>
      <c r="BE1052" s="24" t="b">
        <f t="shared" ca="1" si="825"/>
        <v>1</v>
      </c>
      <c r="BF1052" s="23">
        <f t="array" aca="1" ref="BF1052" ca="1">SUM(IF(BD1052,1,0)*IF(ap_start_date&lt;=AO1052,1,0)*IF(ap_end_date&gt;=AO1052,1,0)*ap_amount*(1+ap_escalation/100)^(INT((AP1052-ap_months_since_start)/12))*IF(MOD(AP1052-ap_months_since_start,ap_frequency)=0,1,0))</f>
        <v>689607.2696562272</v>
      </c>
      <c r="BG1052" s="24">
        <f t="shared" ca="1" si="826"/>
        <v>8275287.2358747246</v>
      </c>
      <c r="BH1052" s="24">
        <f t="shared" ca="1" si="827"/>
        <v>40.688449918417184</v>
      </c>
      <c r="BI1052">
        <f t="shared" ca="1" si="828"/>
        <v>0</v>
      </c>
      <c r="BJ1052" s="24">
        <f t="shared" ca="1" si="829"/>
        <v>284.81914942892024</v>
      </c>
      <c r="BK1052">
        <f t="shared" ca="1" si="830"/>
        <v>1</v>
      </c>
      <c r="BL1052" s="25">
        <f t="shared" ca="1" si="831"/>
        <v>23.734929119076693</v>
      </c>
      <c r="BM1052" s="32">
        <f t="shared" ca="1" si="810"/>
        <v>1603.0986380452491</v>
      </c>
      <c r="BN1052" s="23">
        <f t="shared" ca="1" si="832"/>
        <v>0</v>
      </c>
      <c r="BO1052" s="24">
        <f t="shared" ca="1" si="833"/>
        <v>0</v>
      </c>
      <c r="BP1052" s="25">
        <f t="shared" ca="1" si="834"/>
        <v>0</v>
      </c>
      <c r="BQ1052" s="34">
        <f t="shared" ca="1" si="835"/>
        <v>77432</v>
      </c>
      <c r="BR1052" s="23">
        <f t="shared" ca="1" si="836"/>
        <v>1603.0986380452491</v>
      </c>
      <c r="BS1052" s="24">
        <f t="shared" ca="1" si="837"/>
        <v>0</v>
      </c>
      <c r="BT1052" s="24">
        <f t="shared" ca="1" si="842"/>
        <v>0</v>
      </c>
      <c r="BU1052" s="24">
        <f t="shared" ca="1" si="838"/>
        <v>0</v>
      </c>
      <c r="BV1052" s="24">
        <f t="shared" ca="1" si="843"/>
        <v>0</v>
      </c>
      <c r="BW1052" s="24">
        <f t="shared" ca="1" si="839"/>
        <v>-23.734929119076693</v>
      </c>
      <c r="BX1052" s="25">
        <f t="shared" ca="1" si="844"/>
        <v>-309.27688464633786</v>
      </c>
      <c r="BY1052" s="23">
        <f t="shared" ca="1" si="811"/>
        <v>52.679334663507149</v>
      </c>
      <c r="BZ1052" s="24">
        <f t="shared" ca="1" si="812"/>
        <v>0</v>
      </c>
      <c r="CA1052" s="24">
        <f t="shared" ca="1" si="845"/>
        <v>0</v>
      </c>
      <c r="CB1052" s="24">
        <f t="shared" ca="1" si="813"/>
        <v>0</v>
      </c>
      <c r="CC1052" s="24">
        <f t="shared" ca="1" si="846"/>
        <v>0</v>
      </c>
      <c r="CD1052" s="24">
        <f t="shared" ca="1" si="814"/>
        <v>-0.78250553846471638</v>
      </c>
      <c r="CE1052" s="25">
        <f t="shared" ca="1" si="847"/>
        <v>-10.384683793828007</v>
      </c>
      <c r="CF1052" s="23">
        <f t="shared" ca="1" si="848"/>
        <v>8010053.6706223292</v>
      </c>
      <c r="CG1052" s="25">
        <f t="array" aca="1" ref="CG1052" ca="1">SUM(BF1041:BF1052/(1+inflation/100)^(AP1041:AP1052/12))</f>
        <v>267980.53702225391</v>
      </c>
      <c r="CH1052" s="32">
        <f ca="1">IFERROR(IF(MOD(AP1052-ap_months_since_start,12)=0,ap_drawdown/100*(AQ1052+AV1052+BA1052-BC1052),CH1051),0)</f>
        <v>250.14302296465797</v>
      </c>
    </row>
    <row r="1053" spans="40:86" x14ac:dyDescent="0.25">
      <c r="AN1053" s="32">
        <f t="shared" ca="1" si="809"/>
        <v>142</v>
      </c>
      <c r="AO1053" s="53">
        <f t="shared" ca="1" si="840"/>
        <v>77433</v>
      </c>
      <c r="AP1053" s="22">
        <v>1046</v>
      </c>
      <c r="AQ1053" s="32">
        <f t="shared" ca="1" si="841"/>
        <v>1603.0986380452491</v>
      </c>
      <c r="AR1053" s="23">
        <f t="array" aca="1" ref="AR1053" ca="1">SUM(IF(lsc_start_date=AO1053,lsc_amount,0))</f>
        <v>0</v>
      </c>
      <c r="AS1053" s="24">
        <f t="shared" ca="1" si="815"/>
        <v>0</v>
      </c>
      <c r="AT1053" s="24">
        <f t="shared" ca="1" si="816"/>
        <v>0</v>
      </c>
      <c r="AU1053" s="24">
        <f t="shared" ca="1" si="817"/>
        <v>0</v>
      </c>
      <c r="AV1053" s="25">
        <f t="shared" ca="1" si="818"/>
        <v>0</v>
      </c>
      <c r="AW1053" s="23">
        <f t="array" aca="1" ref="AW1053" ca="1">SUM(IF(rcs_start_date&lt;=AO1053,1,0)*IF(rcs_end_date&gt;=AO1053,1,0)*rcs_amount*(1+rcs_escalation/100)^(INT((AP1053-rcs_months_since_start)/12))*IF(MOD((AP1053-rcs_months_since_start),rcs_frequency)=0,1,0)*IF(rcs_frequency=13,0,1))+SUM(IF(rcs_start_date=AO1053,rcs_amount,0)*IF(rcs_frequency=13,1,0))</f>
        <v>0</v>
      </c>
      <c r="AX1053" s="24">
        <f t="shared" ca="1" si="819"/>
        <v>0</v>
      </c>
      <c r="AY1053" s="24">
        <f t="shared" ca="1" si="820"/>
        <v>0</v>
      </c>
      <c r="AZ1053" s="24">
        <f t="shared" ca="1" si="821"/>
        <v>0</v>
      </c>
      <c r="BA1053" s="25">
        <f t="shared" ca="1" si="822"/>
        <v>0</v>
      </c>
      <c r="BB1053" s="23">
        <f t="array" aca="1" ref="BB1053" ca="1">SUM(IF(w_start_date&lt;=AO1053,1,0)*IF(w_end_date&gt;=AO1053,1,0)*w_amount*(1+w_escalation/100)^(INT((AP1053-w_months_since_start)/12))*IF(MOD(AP1053-w_months_since_start,w_frequency)=0,1,0)*IF(w_frequency=13,0,1))+SUM(IF(w_start_date=AO1053,w_amount,0)*IF(w_frequency=13,1,0))</f>
        <v>0</v>
      </c>
      <c r="BC1053" s="25">
        <f t="shared" ca="1" si="823"/>
        <v>0</v>
      </c>
      <c r="BD1053" s="24" t="b">
        <f t="shared" ca="1" si="824"/>
        <v>1</v>
      </c>
      <c r="BE1053" s="24" t="b">
        <f t="shared" ca="1" si="825"/>
        <v>1</v>
      </c>
      <c r="BF1053" s="23">
        <f t="array" aca="1" ref="BF1053" ca="1">SUM(IF(BD1053,1,0)*IF(ap_start_date&lt;=AO1053,1,0)*IF(ap_end_date&gt;=AO1053,1,0)*ap_amount*(1+ap_escalation/100)^(INT((AP1053-ap_months_since_start)/12))*IF(MOD(AP1053-ap_months_since_start,ap_frequency)=0,1,0))</f>
        <v>689607.2696562272</v>
      </c>
      <c r="BG1053" s="24">
        <f t="shared" ca="1" si="826"/>
        <v>8275287.2358747246</v>
      </c>
      <c r="BH1053" s="24">
        <f t="shared" ca="1" si="827"/>
        <v>40.688449918417184</v>
      </c>
      <c r="BI1053">
        <f t="shared" ca="1" si="828"/>
        <v>0</v>
      </c>
      <c r="BJ1053" s="24">
        <f t="shared" ca="1" si="829"/>
        <v>284.81914942892024</v>
      </c>
      <c r="BK1053">
        <f t="shared" ca="1" si="830"/>
        <v>1</v>
      </c>
      <c r="BL1053" s="25">
        <f t="shared" ca="1" si="831"/>
        <v>23.734929119076693</v>
      </c>
      <c r="BM1053" s="32">
        <f t="shared" ca="1" si="810"/>
        <v>1590.7466938101761</v>
      </c>
      <c r="BN1053" s="23">
        <f t="shared" ca="1" si="832"/>
        <v>0</v>
      </c>
      <c r="BO1053" s="24">
        <f t="shared" ca="1" si="833"/>
        <v>0</v>
      </c>
      <c r="BP1053" s="25">
        <f t="shared" ca="1" si="834"/>
        <v>0</v>
      </c>
      <c r="BQ1053" s="34">
        <f t="shared" ca="1" si="835"/>
        <v>77463</v>
      </c>
      <c r="BR1053" s="23">
        <f t="shared" ca="1" si="836"/>
        <v>1590.7466938101761</v>
      </c>
      <c r="BS1053" s="24">
        <f t="shared" ca="1" si="837"/>
        <v>0</v>
      </c>
      <c r="BT1053" s="24">
        <f t="shared" ca="1" si="842"/>
        <v>0</v>
      </c>
      <c r="BU1053" s="24">
        <f t="shared" ca="1" si="838"/>
        <v>0</v>
      </c>
      <c r="BV1053" s="24">
        <f t="shared" ca="1" si="843"/>
        <v>0</v>
      </c>
      <c r="BW1053" s="24">
        <f t="shared" ca="1" si="839"/>
        <v>-23.734929119076693</v>
      </c>
      <c r="BX1053" s="25">
        <f t="shared" ca="1" si="844"/>
        <v>-306.83111112459613</v>
      </c>
      <c r="BY1053" s="23">
        <f t="shared" ca="1" si="811"/>
        <v>52.102866886902383</v>
      </c>
      <c r="BZ1053" s="24">
        <f t="shared" ca="1" si="812"/>
        <v>0</v>
      </c>
      <c r="CA1053" s="24">
        <f t="shared" ca="1" si="845"/>
        <v>0</v>
      </c>
      <c r="CB1053" s="24">
        <f t="shared" ca="1" si="813"/>
        <v>0</v>
      </c>
      <c r="CC1053" s="24">
        <f t="shared" ca="1" si="846"/>
        <v>0</v>
      </c>
      <c r="CD1053" s="24">
        <f t="shared" ca="1" si="814"/>
        <v>-0.77995217799141436</v>
      </c>
      <c r="CE1053" s="25">
        <f t="shared" ca="1" si="847"/>
        <v>-10.269900462757995</v>
      </c>
      <c r="CF1053" s="23">
        <f t="shared" ca="1" si="848"/>
        <v>8036577.0271475688</v>
      </c>
      <c r="CG1053" s="25">
        <f t="array" aca="1" ref="CG1053" ca="1">SUM(BF1042:BF1053/(1+inflation/100)^(AP1042:AP1053/12))</f>
        <v>267980.53702225385</v>
      </c>
      <c r="CH1053" s="32">
        <f ca="1">IFERROR(IF(MOD(AP1053-ap_months_since_start,12)=0,ap_drawdown/100*(AQ1053+AV1053+BA1053-BC1053),CH1052),0)</f>
        <v>250.14302296465797</v>
      </c>
    </row>
    <row r="1054" spans="40:86" x14ac:dyDescent="0.25">
      <c r="AN1054" s="32">
        <f t="shared" ca="1" si="809"/>
        <v>142.08333333333334</v>
      </c>
      <c r="AO1054" s="53">
        <f t="shared" ca="1" si="840"/>
        <v>77464</v>
      </c>
      <c r="AP1054" s="22">
        <v>1047</v>
      </c>
      <c r="AQ1054" s="32">
        <f t="shared" ca="1" si="841"/>
        <v>1590.7466938101761</v>
      </c>
      <c r="AR1054" s="23">
        <f t="array" aca="1" ref="AR1054" ca="1">SUM(IF(lsc_start_date=AO1054,lsc_amount,0))</f>
        <v>0</v>
      </c>
      <c r="AS1054" s="24">
        <f t="shared" ca="1" si="815"/>
        <v>0</v>
      </c>
      <c r="AT1054" s="24">
        <f t="shared" ca="1" si="816"/>
        <v>0</v>
      </c>
      <c r="AU1054" s="24">
        <f t="shared" ca="1" si="817"/>
        <v>0</v>
      </c>
      <c r="AV1054" s="25">
        <f t="shared" ca="1" si="818"/>
        <v>0</v>
      </c>
      <c r="AW1054" s="23">
        <f t="array" aca="1" ref="AW1054" ca="1">SUM(IF(rcs_start_date&lt;=AO1054,1,0)*IF(rcs_end_date&gt;=AO1054,1,0)*rcs_amount*(1+rcs_escalation/100)^(INT((AP1054-rcs_months_since_start)/12))*IF(MOD((AP1054-rcs_months_since_start),rcs_frequency)=0,1,0)*IF(rcs_frequency=13,0,1))+SUM(IF(rcs_start_date=AO1054,rcs_amount,0)*IF(rcs_frequency=13,1,0))</f>
        <v>0</v>
      </c>
      <c r="AX1054" s="24">
        <f t="shared" ca="1" si="819"/>
        <v>0</v>
      </c>
      <c r="AY1054" s="24">
        <f t="shared" ca="1" si="820"/>
        <v>0</v>
      </c>
      <c r="AZ1054" s="24">
        <f t="shared" ca="1" si="821"/>
        <v>0</v>
      </c>
      <c r="BA1054" s="25">
        <f t="shared" ca="1" si="822"/>
        <v>0</v>
      </c>
      <c r="BB1054" s="23">
        <f t="array" aca="1" ref="BB1054" ca="1">SUM(IF(w_start_date&lt;=AO1054,1,0)*IF(w_end_date&gt;=AO1054,1,0)*w_amount*(1+w_escalation/100)^(INT((AP1054-w_months_since_start)/12))*IF(MOD(AP1054-w_months_since_start,w_frequency)=0,1,0)*IF(w_frequency=13,0,1))+SUM(IF(w_start_date=AO1054,w_amount,0)*IF(w_frequency=13,1,0))</f>
        <v>0</v>
      </c>
      <c r="BC1054" s="25">
        <f t="shared" ca="1" si="823"/>
        <v>0</v>
      </c>
      <c r="BD1054" s="24" t="b">
        <f t="shared" ca="1" si="824"/>
        <v>1</v>
      </c>
      <c r="BE1054" s="24" t="b">
        <f t="shared" ca="1" si="825"/>
        <v>1</v>
      </c>
      <c r="BF1054" s="23">
        <f t="array" aca="1" ref="BF1054" ca="1">SUM(IF(BD1054,1,0)*IF(ap_start_date&lt;=AO1054,1,0)*IF(ap_end_date&gt;=AO1054,1,0)*ap_amount*(1+ap_escalation/100)^(INT((AP1054-ap_months_since_start)/12))*IF(MOD(AP1054-ap_months_since_start,ap_frequency)=0,1,0))</f>
        <v>689607.2696562272</v>
      </c>
      <c r="BG1054" s="24">
        <f t="shared" ca="1" si="826"/>
        <v>8275287.2358747246</v>
      </c>
      <c r="BH1054" s="24">
        <f t="shared" ca="1" si="827"/>
        <v>40.688449918417184</v>
      </c>
      <c r="BI1054">
        <f t="shared" ca="1" si="828"/>
        <v>0</v>
      </c>
      <c r="BJ1054" s="24">
        <f t="shared" ca="1" si="829"/>
        <v>284.81914942892024</v>
      </c>
      <c r="BK1054">
        <f t="shared" ca="1" si="830"/>
        <v>1</v>
      </c>
      <c r="BL1054" s="25">
        <f t="shared" ca="1" si="831"/>
        <v>23.734929119076693</v>
      </c>
      <c r="BM1054" s="32">
        <f t="shared" ca="1" si="810"/>
        <v>1578.3057251194182</v>
      </c>
      <c r="BN1054" s="23">
        <f t="shared" ca="1" si="832"/>
        <v>0</v>
      </c>
      <c r="BO1054" s="24">
        <f t="shared" ca="1" si="833"/>
        <v>0</v>
      </c>
      <c r="BP1054" s="25">
        <f t="shared" ca="1" si="834"/>
        <v>0</v>
      </c>
      <c r="BQ1054" s="34">
        <f t="shared" ca="1" si="835"/>
        <v>77492</v>
      </c>
      <c r="BR1054" s="23">
        <f t="shared" ca="1" si="836"/>
        <v>1578.3057251194182</v>
      </c>
      <c r="BS1054" s="24">
        <f t="shared" ca="1" si="837"/>
        <v>0</v>
      </c>
      <c r="BT1054" s="24">
        <f t="shared" ca="1" si="842"/>
        <v>0</v>
      </c>
      <c r="BU1054" s="24">
        <f t="shared" ca="1" si="838"/>
        <v>0</v>
      </c>
      <c r="BV1054" s="24">
        <f t="shared" ca="1" si="843"/>
        <v>0</v>
      </c>
      <c r="BW1054" s="24">
        <f t="shared" ca="1" si="839"/>
        <v>-23.734929119076693</v>
      </c>
      <c r="BX1054" s="25">
        <f t="shared" ca="1" si="844"/>
        <v>-304.38533760285435</v>
      </c>
      <c r="BY1054" s="23">
        <f t="shared" ca="1" si="811"/>
        <v>51.526693932528836</v>
      </c>
      <c r="BZ1054" s="24">
        <f t="shared" ca="1" si="812"/>
        <v>0</v>
      </c>
      <c r="CA1054" s="24">
        <f t="shared" ca="1" si="845"/>
        <v>0</v>
      </c>
      <c r="CB1054" s="24">
        <f t="shared" ca="1" si="813"/>
        <v>0</v>
      </c>
      <c r="CC1054" s="24">
        <f t="shared" ca="1" si="846"/>
        <v>0</v>
      </c>
      <c r="CD1054" s="24">
        <f t="shared" ca="1" si="814"/>
        <v>-0.77740714927985044</v>
      </c>
      <c r="CE1054" s="25">
        <f t="shared" ca="1" si="847"/>
        <v>-10.155491676283695</v>
      </c>
      <c r="CF1054" s="23">
        <f t="shared" ca="1" si="848"/>
        <v>8063100.3836728083</v>
      </c>
      <c r="CG1054" s="25">
        <f t="array" aca="1" ref="CG1054" ca="1">SUM(BF1043:BF1054/(1+inflation/100)^(AP1043:AP1054/12))</f>
        <v>267980.53702225385</v>
      </c>
      <c r="CH1054" s="32">
        <f ca="1">IFERROR(IF(MOD(AP1054-ap_months_since_start,12)=0,ap_drawdown/100*(AQ1054+AV1054+BA1054-BC1054),CH1053),0)</f>
        <v>250.14302296465797</v>
      </c>
    </row>
    <row r="1055" spans="40:86" x14ac:dyDescent="0.25">
      <c r="AN1055" s="32">
        <f t="shared" ca="1" si="809"/>
        <v>142.16666666666666</v>
      </c>
      <c r="AO1055" s="53">
        <f t="shared" ca="1" si="840"/>
        <v>77493</v>
      </c>
      <c r="AP1055" s="22">
        <v>1048</v>
      </c>
      <c r="AQ1055" s="32">
        <f t="shared" ca="1" si="841"/>
        <v>1578.3057251194182</v>
      </c>
      <c r="AR1055" s="23">
        <f t="array" aca="1" ref="AR1055" ca="1">SUM(IF(lsc_start_date=AO1055,lsc_amount,0))</f>
        <v>0</v>
      </c>
      <c r="AS1055" s="24">
        <f t="shared" ca="1" si="815"/>
        <v>0</v>
      </c>
      <c r="AT1055" s="24">
        <f t="shared" ca="1" si="816"/>
        <v>0</v>
      </c>
      <c r="AU1055" s="24">
        <f t="shared" ca="1" si="817"/>
        <v>0</v>
      </c>
      <c r="AV1055" s="25">
        <f t="shared" ca="1" si="818"/>
        <v>0</v>
      </c>
      <c r="AW1055" s="23">
        <f t="array" aca="1" ref="AW1055" ca="1">SUM(IF(rcs_start_date&lt;=AO1055,1,0)*IF(rcs_end_date&gt;=AO1055,1,0)*rcs_amount*(1+rcs_escalation/100)^(INT((AP1055-rcs_months_since_start)/12))*IF(MOD((AP1055-rcs_months_since_start),rcs_frequency)=0,1,0)*IF(rcs_frequency=13,0,1))+SUM(IF(rcs_start_date=AO1055,rcs_amount,0)*IF(rcs_frequency=13,1,0))</f>
        <v>0</v>
      </c>
      <c r="AX1055" s="24">
        <f t="shared" ca="1" si="819"/>
        <v>0</v>
      </c>
      <c r="AY1055" s="24">
        <f t="shared" ca="1" si="820"/>
        <v>0</v>
      </c>
      <c r="AZ1055" s="24">
        <f t="shared" ca="1" si="821"/>
        <v>0</v>
      </c>
      <c r="BA1055" s="25">
        <f t="shared" ca="1" si="822"/>
        <v>0</v>
      </c>
      <c r="BB1055" s="23">
        <f t="array" aca="1" ref="BB1055" ca="1">SUM(IF(w_start_date&lt;=AO1055,1,0)*IF(w_end_date&gt;=AO1055,1,0)*w_amount*(1+w_escalation/100)^(INT((AP1055-w_months_since_start)/12))*IF(MOD(AP1055-w_months_since_start,w_frequency)=0,1,0)*IF(w_frequency=13,0,1))+SUM(IF(w_start_date=AO1055,w_amount,0)*IF(w_frequency=13,1,0))</f>
        <v>0</v>
      </c>
      <c r="BC1055" s="25">
        <f t="shared" ca="1" si="823"/>
        <v>0</v>
      </c>
      <c r="BD1055" s="24" t="b">
        <f t="shared" ca="1" si="824"/>
        <v>1</v>
      </c>
      <c r="BE1055" s="24" t="b">
        <f t="shared" ca="1" si="825"/>
        <v>1</v>
      </c>
      <c r="BF1055" s="23">
        <f t="array" aca="1" ref="BF1055" ca="1">SUM(IF(BD1055,1,0)*IF(ap_start_date&lt;=AO1055,1,0)*IF(ap_end_date&gt;=AO1055,1,0)*ap_amount*(1+ap_escalation/100)^(INT((AP1055-ap_months_since_start)/12))*IF(MOD(AP1055-ap_months_since_start,ap_frequency)=0,1,0))</f>
        <v>689607.2696562272</v>
      </c>
      <c r="BG1055" s="24">
        <f t="shared" ca="1" si="826"/>
        <v>8275287.2358747246</v>
      </c>
      <c r="BH1055" s="24">
        <f t="shared" ca="1" si="827"/>
        <v>40.688449918417184</v>
      </c>
      <c r="BI1055">
        <f t="shared" ca="1" si="828"/>
        <v>0</v>
      </c>
      <c r="BJ1055" s="24">
        <f t="shared" ca="1" si="829"/>
        <v>284.81914942892024</v>
      </c>
      <c r="BK1055">
        <f t="shared" ca="1" si="830"/>
        <v>1</v>
      </c>
      <c r="BL1055" s="25">
        <f t="shared" ca="1" si="831"/>
        <v>23.734929119076693</v>
      </c>
      <c r="BM1055" s="32">
        <f t="shared" ca="1" si="810"/>
        <v>1565.7750903449401</v>
      </c>
      <c r="BN1055" s="23">
        <f t="shared" ca="1" si="832"/>
        <v>0</v>
      </c>
      <c r="BO1055" s="24">
        <f t="shared" ca="1" si="833"/>
        <v>0</v>
      </c>
      <c r="BP1055" s="25">
        <f t="shared" ca="1" si="834"/>
        <v>0</v>
      </c>
      <c r="BQ1055" s="34">
        <f t="shared" ca="1" si="835"/>
        <v>77523</v>
      </c>
      <c r="BR1055" s="23">
        <f t="shared" ca="1" si="836"/>
        <v>1565.7750903449401</v>
      </c>
      <c r="BS1055" s="24">
        <f t="shared" ca="1" si="837"/>
        <v>0</v>
      </c>
      <c r="BT1055" s="24">
        <f t="shared" ca="1" si="842"/>
        <v>0</v>
      </c>
      <c r="BU1055" s="24">
        <f t="shared" ca="1" si="838"/>
        <v>0</v>
      </c>
      <c r="BV1055" s="24">
        <f t="shared" ca="1" si="843"/>
        <v>0</v>
      </c>
      <c r="BW1055" s="24">
        <f t="shared" ca="1" si="839"/>
        <v>-23.734929119076693</v>
      </c>
      <c r="BX1055" s="25">
        <f t="shared" ca="1" si="844"/>
        <v>-301.93956408111262</v>
      </c>
      <c r="BY1055" s="23">
        <f t="shared" ca="1" si="811"/>
        <v>50.950808619175284</v>
      </c>
      <c r="BZ1055" s="24">
        <f t="shared" ca="1" si="812"/>
        <v>0</v>
      </c>
      <c r="CA1055" s="24">
        <f t="shared" ca="1" si="845"/>
        <v>0</v>
      </c>
      <c r="CB1055" s="24">
        <f t="shared" ca="1" si="813"/>
        <v>0</v>
      </c>
      <c r="CC1055" s="24">
        <f t="shared" ca="1" si="846"/>
        <v>0</v>
      </c>
      <c r="CD1055" s="24">
        <f t="shared" ca="1" si="814"/>
        <v>-0.77487042514301052</v>
      </c>
      <c r="CE1055" s="25">
        <f t="shared" ca="1" si="847"/>
        <v>-10.041456212244601</v>
      </c>
      <c r="CF1055" s="23">
        <f t="shared" ca="1" si="848"/>
        <v>8089623.7401980478</v>
      </c>
      <c r="CG1055" s="25">
        <f t="array" aca="1" ref="CG1055" ca="1">SUM(BF1044:BF1055/(1+inflation/100)^(AP1044:AP1055/12))</f>
        <v>267980.53702225385</v>
      </c>
      <c r="CH1055" s="32">
        <f ca="1">IFERROR(IF(MOD(AP1055-ap_months_since_start,12)=0,ap_drawdown/100*(AQ1055+AV1055+BA1055-BC1055),CH1054),0)</f>
        <v>250.14302296465797</v>
      </c>
    </row>
    <row r="1056" spans="40:86" x14ac:dyDescent="0.25">
      <c r="AN1056" s="32">
        <f t="shared" ca="1" si="809"/>
        <v>142.25</v>
      </c>
      <c r="AO1056" s="53">
        <f t="shared" ca="1" si="840"/>
        <v>77524</v>
      </c>
      <c r="AP1056" s="22">
        <v>1049</v>
      </c>
      <c r="AQ1056" s="32">
        <f t="shared" ca="1" si="841"/>
        <v>1565.7750903449401</v>
      </c>
      <c r="AR1056" s="23">
        <f t="array" aca="1" ref="AR1056" ca="1">SUM(IF(lsc_start_date=AO1056,lsc_amount,0))</f>
        <v>0</v>
      </c>
      <c r="AS1056" s="24">
        <f t="shared" ca="1" si="815"/>
        <v>0</v>
      </c>
      <c r="AT1056" s="24">
        <f t="shared" ca="1" si="816"/>
        <v>0</v>
      </c>
      <c r="AU1056" s="24">
        <f t="shared" ca="1" si="817"/>
        <v>0</v>
      </c>
      <c r="AV1056" s="25">
        <f t="shared" ca="1" si="818"/>
        <v>0</v>
      </c>
      <c r="AW1056" s="23">
        <f t="array" aca="1" ref="AW1056" ca="1">SUM(IF(rcs_start_date&lt;=AO1056,1,0)*IF(rcs_end_date&gt;=AO1056,1,0)*rcs_amount*(1+rcs_escalation/100)^(INT((AP1056-rcs_months_since_start)/12))*IF(MOD((AP1056-rcs_months_since_start),rcs_frequency)=0,1,0)*IF(rcs_frequency=13,0,1))+SUM(IF(rcs_start_date=AO1056,rcs_amount,0)*IF(rcs_frequency=13,1,0))</f>
        <v>0</v>
      </c>
      <c r="AX1056" s="24">
        <f t="shared" ca="1" si="819"/>
        <v>0</v>
      </c>
      <c r="AY1056" s="24">
        <f t="shared" ca="1" si="820"/>
        <v>0</v>
      </c>
      <c r="AZ1056" s="24">
        <f t="shared" ca="1" si="821"/>
        <v>0</v>
      </c>
      <c r="BA1056" s="25">
        <f t="shared" ca="1" si="822"/>
        <v>0</v>
      </c>
      <c r="BB1056" s="23">
        <f t="array" aca="1" ref="BB1056" ca="1">SUM(IF(w_start_date&lt;=AO1056,1,0)*IF(w_end_date&gt;=AO1056,1,0)*w_amount*(1+w_escalation/100)^(INT((AP1056-w_months_since_start)/12))*IF(MOD(AP1056-w_months_since_start,w_frequency)=0,1,0)*IF(w_frequency=13,0,1))+SUM(IF(w_start_date=AO1056,w_amount,0)*IF(w_frequency=13,1,0))</f>
        <v>0</v>
      </c>
      <c r="BC1056" s="25">
        <f t="shared" ca="1" si="823"/>
        <v>0</v>
      </c>
      <c r="BD1056" s="24" t="b">
        <f t="shared" ca="1" si="824"/>
        <v>1</v>
      </c>
      <c r="BE1056" s="24" t="b">
        <f t="shared" ca="1" si="825"/>
        <v>1</v>
      </c>
      <c r="BF1056" s="23">
        <f t="array" aca="1" ref="BF1056" ca="1">SUM(IF(BD1056,1,0)*IF(ap_start_date&lt;=AO1056,1,0)*IF(ap_end_date&gt;=AO1056,1,0)*ap_amount*(1+ap_escalation/100)^(INT((AP1056-ap_months_since_start)/12))*IF(MOD(AP1056-ap_months_since_start,ap_frequency)=0,1,0))</f>
        <v>689607.2696562272</v>
      </c>
      <c r="BG1056" s="24">
        <f t="shared" ca="1" si="826"/>
        <v>8275287.2358747246</v>
      </c>
      <c r="BH1056" s="24">
        <f t="shared" ca="1" si="827"/>
        <v>40.688449918417184</v>
      </c>
      <c r="BI1056">
        <f t="shared" ca="1" si="828"/>
        <v>0</v>
      </c>
      <c r="BJ1056" s="24">
        <f t="shared" ca="1" si="829"/>
        <v>284.81914942892024</v>
      </c>
      <c r="BK1056">
        <f t="shared" ca="1" si="830"/>
        <v>1</v>
      </c>
      <c r="BL1056" s="25">
        <f t="shared" ca="1" si="831"/>
        <v>23.734929119076693</v>
      </c>
      <c r="BM1056" s="32">
        <f t="shared" ca="1" si="810"/>
        <v>1553.1541432342858</v>
      </c>
      <c r="BN1056" s="23">
        <f t="shared" ca="1" si="832"/>
        <v>0</v>
      </c>
      <c r="BO1056" s="24">
        <f t="shared" ca="1" si="833"/>
        <v>0</v>
      </c>
      <c r="BP1056" s="25">
        <f t="shared" ca="1" si="834"/>
        <v>0</v>
      </c>
      <c r="BQ1056" s="34">
        <f t="shared" ca="1" si="835"/>
        <v>77553</v>
      </c>
      <c r="BR1056" s="23">
        <f t="shared" ca="1" si="836"/>
        <v>1553.1541432342858</v>
      </c>
      <c r="BS1056" s="24">
        <f t="shared" ca="1" si="837"/>
        <v>0</v>
      </c>
      <c r="BT1056" s="24">
        <f t="shared" ca="1" si="842"/>
        <v>0</v>
      </c>
      <c r="BU1056" s="24">
        <f t="shared" ca="1" si="838"/>
        <v>0</v>
      </c>
      <c r="BV1056" s="24">
        <f t="shared" ca="1" si="843"/>
        <v>0</v>
      </c>
      <c r="BW1056" s="24">
        <f t="shared" ca="1" si="839"/>
        <v>-23.734929119076693</v>
      </c>
      <c r="BX1056" s="25">
        <f t="shared" ca="1" si="844"/>
        <v>-299.49379055937084</v>
      </c>
      <c r="BY1056" s="23">
        <f t="shared" ca="1" si="811"/>
        <v>50.375203764679341</v>
      </c>
      <c r="BZ1056" s="24">
        <f t="shared" ca="1" si="812"/>
        <v>0</v>
      </c>
      <c r="CA1056" s="24">
        <f t="shared" ca="1" si="845"/>
        <v>0</v>
      </c>
      <c r="CB1056" s="24">
        <f t="shared" ca="1" si="813"/>
        <v>0</v>
      </c>
      <c r="CC1056" s="24">
        <f t="shared" ca="1" si="846"/>
        <v>0</v>
      </c>
      <c r="CD1056" s="24">
        <f t="shared" ca="1" si="814"/>
        <v>-0.77234197848259012</v>
      </c>
      <c r="CE1056" s="25">
        <f t="shared" ca="1" si="847"/>
        <v>-9.9277928524681851</v>
      </c>
      <c r="CF1056" s="23">
        <f t="shared" ca="1" si="848"/>
        <v>8116147.0967232874</v>
      </c>
      <c r="CG1056" s="25">
        <f t="array" aca="1" ref="CG1056" ca="1">SUM(BF1045:BF1056/(1+inflation/100)^(AP1045:AP1056/12))</f>
        <v>267980.53702225391</v>
      </c>
      <c r="CH1056" s="32">
        <f ca="1">IFERROR(IF(MOD(AP1056-ap_months_since_start,12)=0,ap_drawdown/100*(AQ1056+AV1056+BA1056-BC1056),CH1055),0)</f>
        <v>250.14302296465797</v>
      </c>
    </row>
    <row r="1057" spans="40:86" x14ac:dyDescent="0.25">
      <c r="AN1057" s="32">
        <f t="shared" ca="1" si="809"/>
        <v>142.33333333333334</v>
      </c>
      <c r="AO1057" s="53">
        <f t="shared" ca="1" si="840"/>
        <v>77554</v>
      </c>
      <c r="AP1057" s="22">
        <v>1050</v>
      </c>
      <c r="AQ1057" s="32">
        <f t="shared" ca="1" si="841"/>
        <v>1553.1541432342858</v>
      </c>
      <c r="AR1057" s="23">
        <f t="array" aca="1" ref="AR1057" ca="1">SUM(IF(lsc_start_date=AO1057,lsc_amount,0))</f>
        <v>0</v>
      </c>
      <c r="AS1057" s="24">
        <f t="shared" ca="1" si="815"/>
        <v>0</v>
      </c>
      <c r="AT1057" s="24">
        <f t="shared" ca="1" si="816"/>
        <v>0</v>
      </c>
      <c r="AU1057" s="24">
        <f t="shared" ca="1" si="817"/>
        <v>0</v>
      </c>
      <c r="AV1057" s="25">
        <f t="shared" ca="1" si="818"/>
        <v>0</v>
      </c>
      <c r="AW1057" s="23">
        <f t="array" aca="1" ref="AW1057" ca="1">SUM(IF(rcs_start_date&lt;=AO1057,1,0)*IF(rcs_end_date&gt;=AO1057,1,0)*rcs_amount*(1+rcs_escalation/100)^(INT((AP1057-rcs_months_since_start)/12))*IF(MOD((AP1057-rcs_months_since_start),rcs_frequency)=0,1,0)*IF(rcs_frequency=13,0,1))+SUM(IF(rcs_start_date=AO1057,rcs_amount,0)*IF(rcs_frequency=13,1,0))</f>
        <v>0</v>
      </c>
      <c r="AX1057" s="24">
        <f t="shared" ca="1" si="819"/>
        <v>0</v>
      </c>
      <c r="AY1057" s="24">
        <f t="shared" ca="1" si="820"/>
        <v>0</v>
      </c>
      <c r="AZ1057" s="24">
        <f t="shared" ca="1" si="821"/>
        <v>0</v>
      </c>
      <c r="BA1057" s="25">
        <f t="shared" ca="1" si="822"/>
        <v>0</v>
      </c>
      <c r="BB1057" s="23">
        <f t="array" aca="1" ref="BB1057" ca="1">SUM(IF(w_start_date&lt;=AO1057,1,0)*IF(w_end_date&gt;=AO1057,1,0)*w_amount*(1+w_escalation/100)^(INT((AP1057-w_months_since_start)/12))*IF(MOD(AP1057-w_months_since_start,w_frequency)=0,1,0)*IF(w_frequency=13,0,1))+SUM(IF(w_start_date=AO1057,w_amount,0)*IF(w_frequency=13,1,0))</f>
        <v>0</v>
      </c>
      <c r="BC1057" s="25">
        <f t="shared" ca="1" si="823"/>
        <v>0</v>
      </c>
      <c r="BD1057" s="24" t="b">
        <f t="shared" ca="1" si="824"/>
        <v>1</v>
      </c>
      <c r="BE1057" s="24" t="b">
        <f t="shared" ca="1" si="825"/>
        <v>1</v>
      </c>
      <c r="BF1057" s="23">
        <f t="array" aca="1" ref="BF1057" ca="1">SUM(IF(BD1057,1,0)*IF(ap_start_date&lt;=AO1057,1,0)*IF(ap_end_date&gt;=AO1057,1,0)*ap_amount*(1+ap_escalation/100)^(INT((AP1057-ap_months_since_start)/12))*IF(MOD(AP1057-ap_months_since_start,ap_frequency)=0,1,0))</f>
        <v>689607.2696562272</v>
      </c>
      <c r="BG1057" s="24">
        <f t="shared" ca="1" si="826"/>
        <v>8275287.2358747246</v>
      </c>
      <c r="BH1057" s="24">
        <f t="shared" ca="1" si="827"/>
        <v>40.688449918417184</v>
      </c>
      <c r="BI1057">
        <f t="shared" ca="1" si="828"/>
        <v>0</v>
      </c>
      <c r="BJ1057" s="24">
        <f t="shared" ca="1" si="829"/>
        <v>284.81914942892024</v>
      </c>
      <c r="BK1057">
        <f t="shared" ca="1" si="830"/>
        <v>1</v>
      </c>
      <c r="BL1057" s="25">
        <f t="shared" ca="1" si="831"/>
        <v>23.734929119076693</v>
      </c>
      <c r="BM1057" s="32">
        <f t="shared" ca="1" si="810"/>
        <v>1540.4422328772491</v>
      </c>
      <c r="BN1057" s="23">
        <f t="shared" ca="1" si="832"/>
        <v>0</v>
      </c>
      <c r="BO1057" s="24">
        <f t="shared" ca="1" si="833"/>
        <v>0</v>
      </c>
      <c r="BP1057" s="25">
        <f t="shared" ca="1" si="834"/>
        <v>0</v>
      </c>
      <c r="BQ1057" s="34">
        <f t="shared" ca="1" si="835"/>
        <v>77584</v>
      </c>
      <c r="BR1057" s="23">
        <f t="shared" ca="1" si="836"/>
        <v>1540.4422328772491</v>
      </c>
      <c r="BS1057" s="24">
        <f t="shared" ca="1" si="837"/>
        <v>0</v>
      </c>
      <c r="BT1057" s="24">
        <f t="shared" ca="1" si="842"/>
        <v>0</v>
      </c>
      <c r="BU1057" s="24">
        <f t="shared" ca="1" si="838"/>
        <v>0</v>
      </c>
      <c r="BV1057" s="24">
        <f t="shared" ca="1" si="843"/>
        <v>0</v>
      </c>
      <c r="BW1057" s="24">
        <f t="shared" ca="1" si="839"/>
        <v>-23.734929119076693</v>
      </c>
      <c r="BX1057" s="25">
        <f t="shared" ca="1" si="844"/>
        <v>-297.04801703762911</v>
      </c>
      <c r="BY1057" s="23">
        <f t="shared" ca="1" si="811"/>
        <v>49.799872185835</v>
      </c>
      <c r="BZ1057" s="24">
        <f t="shared" ca="1" si="812"/>
        <v>0</v>
      </c>
      <c r="CA1057" s="24">
        <f t="shared" ca="1" si="845"/>
        <v>0</v>
      </c>
      <c r="CB1057" s="24">
        <f t="shared" ca="1" si="813"/>
        <v>0</v>
      </c>
      <c r="CC1057" s="24">
        <f t="shared" ca="1" si="846"/>
        <v>0</v>
      </c>
      <c r="CD1057" s="24">
        <f t="shared" ca="1" si="814"/>
        <v>-0.76982178228870823</v>
      </c>
      <c r="CE1057" s="25">
        <f t="shared" ca="1" si="847"/>
        <v>-9.8145003827568882</v>
      </c>
      <c r="CF1057" s="23">
        <f t="shared" ca="1" si="848"/>
        <v>8142670.4532485269</v>
      </c>
      <c r="CG1057" s="25">
        <f t="array" aca="1" ref="CG1057" ca="1">SUM(BF1046:BF1057/(1+inflation/100)^(AP1046:AP1057/12))</f>
        <v>267980.53702225396</v>
      </c>
      <c r="CH1057" s="32">
        <f ca="1">IFERROR(IF(MOD(AP1057-ap_months_since_start,12)=0,ap_drawdown/100*(AQ1057+AV1057+BA1057-BC1057),CH1056),0)</f>
        <v>250.14302296465797</v>
      </c>
    </row>
    <row r="1058" spans="40:86" x14ac:dyDescent="0.25">
      <c r="AN1058" s="32">
        <f t="shared" ca="1" si="809"/>
        <v>142.41666666666666</v>
      </c>
      <c r="AO1058" s="53">
        <f t="shared" ca="1" si="840"/>
        <v>77585</v>
      </c>
      <c r="AP1058" s="22">
        <v>1051</v>
      </c>
      <c r="AQ1058" s="32">
        <f t="shared" ca="1" si="841"/>
        <v>1540.4422328772491</v>
      </c>
      <c r="AR1058" s="23">
        <f t="array" aca="1" ref="AR1058" ca="1">SUM(IF(lsc_start_date=AO1058,lsc_amount,0))</f>
        <v>0</v>
      </c>
      <c r="AS1058" s="24">
        <f t="shared" ca="1" si="815"/>
        <v>0</v>
      </c>
      <c r="AT1058" s="24">
        <f t="shared" ca="1" si="816"/>
        <v>0</v>
      </c>
      <c r="AU1058" s="24">
        <f t="shared" ca="1" si="817"/>
        <v>0</v>
      </c>
      <c r="AV1058" s="25">
        <f t="shared" ca="1" si="818"/>
        <v>0</v>
      </c>
      <c r="AW1058" s="23">
        <f t="array" aca="1" ref="AW1058" ca="1">SUM(IF(rcs_start_date&lt;=AO1058,1,0)*IF(rcs_end_date&gt;=AO1058,1,0)*rcs_amount*(1+rcs_escalation/100)^(INT((AP1058-rcs_months_since_start)/12))*IF(MOD((AP1058-rcs_months_since_start),rcs_frequency)=0,1,0)*IF(rcs_frequency=13,0,1))+SUM(IF(rcs_start_date=AO1058,rcs_amount,0)*IF(rcs_frequency=13,1,0))</f>
        <v>0</v>
      </c>
      <c r="AX1058" s="24">
        <f t="shared" ca="1" si="819"/>
        <v>0</v>
      </c>
      <c r="AY1058" s="24">
        <f t="shared" ca="1" si="820"/>
        <v>0</v>
      </c>
      <c r="AZ1058" s="24">
        <f t="shared" ca="1" si="821"/>
        <v>0</v>
      </c>
      <c r="BA1058" s="25">
        <f t="shared" ca="1" si="822"/>
        <v>0</v>
      </c>
      <c r="BB1058" s="23">
        <f t="array" aca="1" ref="BB1058" ca="1">SUM(IF(w_start_date&lt;=AO1058,1,0)*IF(w_end_date&gt;=AO1058,1,0)*w_amount*(1+w_escalation/100)^(INT((AP1058-w_months_since_start)/12))*IF(MOD(AP1058-w_months_since_start,w_frequency)=0,1,0)*IF(w_frequency=13,0,1))+SUM(IF(w_start_date=AO1058,w_amount,0)*IF(w_frequency=13,1,0))</f>
        <v>0</v>
      </c>
      <c r="BC1058" s="25">
        <f t="shared" ca="1" si="823"/>
        <v>0</v>
      </c>
      <c r="BD1058" s="24" t="b">
        <f t="shared" ca="1" si="824"/>
        <v>1</v>
      </c>
      <c r="BE1058" s="24" t="b">
        <f t="shared" ca="1" si="825"/>
        <v>1</v>
      </c>
      <c r="BF1058" s="23">
        <f t="array" aca="1" ref="BF1058" ca="1">SUM(IF(BD1058,1,0)*IF(ap_start_date&lt;=AO1058,1,0)*IF(ap_end_date&gt;=AO1058,1,0)*ap_amount*(1+ap_escalation/100)^(INT((AP1058-ap_months_since_start)/12))*IF(MOD(AP1058-ap_months_since_start,ap_frequency)=0,1,0))</f>
        <v>689607.2696562272</v>
      </c>
      <c r="BG1058" s="24">
        <f t="shared" ca="1" si="826"/>
        <v>8275287.2358747246</v>
      </c>
      <c r="BH1058" s="24">
        <f t="shared" ca="1" si="827"/>
        <v>40.688449918417184</v>
      </c>
      <c r="BI1058">
        <f t="shared" ca="1" si="828"/>
        <v>0</v>
      </c>
      <c r="BJ1058" s="24">
        <f t="shared" ca="1" si="829"/>
        <v>284.81914942892024</v>
      </c>
      <c r="BK1058">
        <f t="shared" ca="1" si="830"/>
        <v>1</v>
      </c>
      <c r="BL1058" s="25">
        <f t="shared" ca="1" si="831"/>
        <v>23.734929119076693</v>
      </c>
      <c r="BM1058" s="32">
        <f t="shared" ca="1" si="810"/>
        <v>1527.6387036723036</v>
      </c>
      <c r="BN1058" s="23">
        <f t="shared" ca="1" si="832"/>
        <v>0</v>
      </c>
      <c r="BO1058" s="24">
        <f t="shared" ca="1" si="833"/>
        <v>0</v>
      </c>
      <c r="BP1058" s="25">
        <f t="shared" ca="1" si="834"/>
        <v>0</v>
      </c>
      <c r="BQ1058" s="34">
        <f t="shared" ca="1" si="835"/>
        <v>77614</v>
      </c>
      <c r="BR1058" s="23">
        <f t="shared" ca="1" si="836"/>
        <v>1527.6387036723036</v>
      </c>
      <c r="BS1058" s="24">
        <f t="shared" ca="1" si="837"/>
        <v>0</v>
      </c>
      <c r="BT1058" s="24">
        <f t="shared" ca="1" si="842"/>
        <v>0</v>
      </c>
      <c r="BU1058" s="24">
        <f t="shared" ca="1" si="838"/>
        <v>0</v>
      </c>
      <c r="BV1058" s="24">
        <f t="shared" ca="1" si="843"/>
        <v>0</v>
      </c>
      <c r="BW1058" s="24">
        <f t="shared" ca="1" si="839"/>
        <v>-23.734929119076693</v>
      </c>
      <c r="BX1058" s="25">
        <f t="shared" ca="1" si="844"/>
        <v>-294.60224351588732</v>
      </c>
      <c r="BY1058" s="23">
        <f t="shared" ca="1" si="811"/>
        <v>49.224806698300007</v>
      </c>
      <c r="BZ1058" s="24">
        <f t="shared" ca="1" si="812"/>
        <v>0</v>
      </c>
      <c r="CA1058" s="24">
        <f t="shared" ca="1" si="845"/>
        <v>0</v>
      </c>
      <c r="CB1058" s="24">
        <f t="shared" ca="1" si="813"/>
        <v>0</v>
      </c>
      <c r="CC1058" s="24">
        <f t="shared" ca="1" si="846"/>
        <v>0</v>
      </c>
      <c r="CD1058" s="24">
        <f t="shared" ca="1" si="814"/>
        <v>-0.76730980963961959</v>
      </c>
      <c r="CE1058" s="25">
        <f t="shared" ca="1" si="847"/>
        <v>-9.7015775928751431</v>
      </c>
      <c r="CF1058" s="23">
        <f t="shared" ca="1" si="848"/>
        <v>8169193.8097737664</v>
      </c>
      <c r="CG1058" s="25">
        <f t="array" aca="1" ref="CG1058" ca="1">SUM(BF1047:BF1058/(1+inflation/100)^(AP1047:AP1058/12))</f>
        <v>267980.53702225391</v>
      </c>
      <c r="CH1058" s="32">
        <f ca="1">IFERROR(IF(MOD(AP1058-ap_months_since_start,12)=0,ap_drawdown/100*(AQ1058+AV1058+BA1058-BC1058),CH1057),0)</f>
        <v>250.14302296465797</v>
      </c>
    </row>
    <row r="1059" spans="40:86" x14ac:dyDescent="0.25">
      <c r="AN1059" s="32">
        <f t="shared" ca="1" si="809"/>
        <v>142.5</v>
      </c>
      <c r="AO1059" s="53">
        <f t="shared" ca="1" si="840"/>
        <v>77615</v>
      </c>
      <c r="AP1059" s="22">
        <v>1052</v>
      </c>
      <c r="AQ1059" s="32">
        <f t="shared" ca="1" si="841"/>
        <v>1527.6387036723036</v>
      </c>
      <c r="AR1059" s="23">
        <f t="array" aca="1" ref="AR1059" ca="1">SUM(IF(lsc_start_date=AO1059,lsc_amount,0))</f>
        <v>0</v>
      </c>
      <c r="AS1059" s="24">
        <f t="shared" ca="1" si="815"/>
        <v>0</v>
      </c>
      <c r="AT1059" s="24">
        <f t="shared" ca="1" si="816"/>
        <v>0</v>
      </c>
      <c r="AU1059" s="24">
        <f t="shared" ca="1" si="817"/>
        <v>0</v>
      </c>
      <c r="AV1059" s="25">
        <f t="shared" ca="1" si="818"/>
        <v>0</v>
      </c>
      <c r="AW1059" s="23">
        <f t="array" aca="1" ref="AW1059" ca="1">SUM(IF(rcs_start_date&lt;=AO1059,1,0)*IF(rcs_end_date&gt;=AO1059,1,0)*rcs_amount*(1+rcs_escalation/100)^(INT((AP1059-rcs_months_since_start)/12))*IF(MOD((AP1059-rcs_months_since_start),rcs_frequency)=0,1,0)*IF(rcs_frequency=13,0,1))+SUM(IF(rcs_start_date=AO1059,rcs_amount,0)*IF(rcs_frequency=13,1,0))</f>
        <v>0</v>
      </c>
      <c r="AX1059" s="24">
        <f t="shared" ca="1" si="819"/>
        <v>0</v>
      </c>
      <c r="AY1059" s="24">
        <f t="shared" ca="1" si="820"/>
        <v>0</v>
      </c>
      <c r="AZ1059" s="24">
        <f t="shared" ca="1" si="821"/>
        <v>0</v>
      </c>
      <c r="BA1059" s="25">
        <f t="shared" ca="1" si="822"/>
        <v>0</v>
      </c>
      <c r="BB1059" s="23">
        <f t="array" aca="1" ref="BB1059" ca="1">SUM(IF(w_start_date&lt;=AO1059,1,0)*IF(w_end_date&gt;=AO1059,1,0)*w_amount*(1+w_escalation/100)^(INT((AP1059-w_months_since_start)/12))*IF(MOD(AP1059-w_months_since_start,w_frequency)=0,1,0)*IF(w_frequency=13,0,1))+SUM(IF(w_start_date=AO1059,w_amount,0)*IF(w_frequency=13,1,0))</f>
        <v>0</v>
      </c>
      <c r="BC1059" s="25">
        <f t="shared" ca="1" si="823"/>
        <v>0</v>
      </c>
      <c r="BD1059" s="24" t="b">
        <f t="shared" ca="1" si="824"/>
        <v>1</v>
      </c>
      <c r="BE1059" s="24" t="b">
        <f t="shared" ca="1" si="825"/>
        <v>1</v>
      </c>
      <c r="BF1059" s="23">
        <f t="array" aca="1" ref="BF1059" ca="1">SUM(IF(BD1059,1,0)*IF(ap_start_date&lt;=AO1059,1,0)*IF(ap_end_date&gt;=AO1059,1,0)*ap_amount*(1+ap_escalation/100)^(INT((AP1059-ap_months_since_start)/12))*IF(MOD(AP1059-ap_months_since_start,ap_frequency)=0,1,0))</f>
        <v>689607.2696562272</v>
      </c>
      <c r="BG1059" s="24">
        <f t="shared" ca="1" si="826"/>
        <v>8275287.2358747246</v>
      </c>
      <c r="BH1059" s="24">
        <f t="shared" ca="1" si="827"/>
        <v>40.688449918417184</v>
      </c>
      <c r="BI1059">
        <f t="shared" ca="1" si="828"/>
        <v>0</v>
      </c>
      <c r="BJ1059" s="24">
        <f t="shared" ca="1" si="829"/>
        <v>284.81914942892024</v>
      </c>
      <c r="BK1059">
        <f t="shared" ca="1" si="830"/>
        <v>1</v>
      </c>
      <c r="BL1059" s="25">
        <f t="shared" ca="1" si="831"/>
        <v>23.734929119076693</v>
      </c>
      <c r="BM1059" s="32">
        <f t="shared" ca="1" si="810"/>
        <v>1514.7428952927903</v>
      </c>
      <c r="BN1059" s="23">
        <f t="shared" ca="1" si="832"/>
        <v>0</v>
      </c>
      <c r="BO1059" s="24">
        <f t="shared" ca="1" si="833"/>
        <v>0</v>
      </c>
      <c r="BP1059" s="25">
        <f t="shared" ca="1" si="834"/>
        <v>0</v>
      </c>
      <c r="BQ1059" s="34">
        <f t="shared" ca="1" si="835"/>
        <v>77645</v>
      </c>
      <c r="BR1059" s="23">
        <f t="shared" ca="1" si="836"/>
        <v>1514.7428952927903</v>
      </c>
      <c r="BS1059" s="24">
        <f t="shared" ca="1" si="837"/>
        <v>0</v>
      </c>
      <c r="BT1059" s="24">
        <f t="shared" ca="1" si="842"/>
        <v>0</v>
      </c>
      <c r="BU1059" s="24">
        <f t="shared" ca="1" si="838"/>
        <v>0</v>
      </c>
      <c r="BV1059" s="24">
        <f t="shared" ca="1" si="843"/>
        <v>0</v>
      </c>
      <c r="BW1059" s="24">
        <f t="shared" ca="1" si="839"/>
        <v>-23.734929119076693</v>
      </c>
      <c r="BX1059" s="25">
        <f t="shared" ca="1" si="844"/>
        <v>-292.1564699941456</v>
      </c>
      <c r="BY1059" s="23">
        <f t="shared" ca="1" si="811"/>
        <v>48.650000116503151</v>
      </c>
      <c r="BZ1059" s="24">
        <f t="shared" ca="1" si="812"/>
        <v>0</v>
      </c>
      <c r="CA1059" s="24">
        <f t="shared" ca="1" si="845"/>
        <v>0</v>
      </c>
      <c r="CB1059" s="24">
        <f t="shared" ca="1" si="813"/>
        <v>0</v>
      </c>
      <c r="CC1059" s="24">
        <f t="shared" ca="1" si="846"/>
        <v>0</v>
      </c>
      <c r="CD1059" s="24">
        <f t="shared" ca="1" si="814"/>
        <v>-0.76480603370142575</v>
      </c>
      <c r="CE1059" s="25">
        <f t="shared" ca="1" si="847"/>
        <v>-9.5890232765364551</v>
      </c>
      <c r="CF1059" s="23">
        <f t="shared" ca="1" si="848"/>
        <v>8195717.166299006</v>
      </c>
      <c r="CG1059" s="25">
        <f t="array" aca="1" ref="CG1059" ca="1">SUM(BF1048:BF1059/(1+inflation/100)^(AP1048:AP1059/12))</f>
        <v>267980.53702225391</v>
      </c>
      <c r="CH1059" s="32">
        <f ca="1">IFERROR(IF(MOD(AP1059-ap_months_since_start,12)=0,ap_drawdown/100*(AQ1059+AV1059+BA1059-BC1059),CH1058),0)</f>
        <v>250.14302296465797</v>
      </c>
    </row>
    <row r="1060" spans="40:86" x14ac:dyDescent="0.25">
      <c r="AN1060" s="32">
        <f t="shared" ca="1" si="809"/>
        <v>142.58333333333334</v>
      </c>
      <c r="AO1060" s="53">
        <f t="shared" ca="1" si="840"/>
        <v>77646</v>
      </c>
      <c r="AP1060" s="22">
        <v>1053</v>
      </c>
      <c r="AQ1060" s="32">
        <f t="shared" ca="1" si="841"/>
        <v>1514.7428952927903</v>
      </c>
      <c r="AR1060" s="23">
        <f t="array" aca="1" ref="AR1060" ca="1">SUM(IF(lsc_start_date=AO1060,lsc_amount,0))</f>
        <v>0</v>
      </c>
      <c r="AS1060" s="24">
        <f t="shared" ca="1" si="815"/>
        <v>0</v>
      </c>
      <c r="AT1060" s="24">
        <f t="shared" ca="1" si="816"/>
        <v>0</v>
      </c>
      <c r="AU1060" s="24">
        <f t="shared" ca="1" si="817"/>
        <v>0</v>
      </c>
      <c r="AV1060" s="25">
        <f t="shared" ca="1" si="818"/>
        <v>0</v>
      </c>
      <c r="AW1060" s="23">
        <f t="array" aca="1" ref="AW1060" ca="1">SUM(IF(rcs_start_date&lt;=AO1060,1,0)*IF(rcs_end_date&gt;=AO1060,1,0)*rcs_amount*(1+rcs_escalation/100)^(INT((AP1060-rcs_months_since_start)/12))*IF(MOD((AP1060-rcs_months_since_start),rcs_frequency)=0,1,0)*IF(rcs_frequency=13,0,1))+SUM(IF(rcs_start_date=AO1060,rcs_amount,0)*IF(rcs_frequency=13,1,0))</f>
        <v>0</v>
      </c>
      <c r="AX1060" s="24">
        <f t="shared" ca="1" si="819"/>
        <v>0</v>
      </c>
      <c r="AY1060" s="24">
        <f t="shared" ca="1" si="820"/>
        <v>0</v>
      </c>
      <c r="AZ1060" s="24">
        <f t="shared" ca="1" si="821"/>
        <v>0</v>
      </c>
      <c r="BA1060" s="25">
        <f t="shared" ca="1" si="822"/>
        <v>0</v>
      </c>
      <c r="BB1060" s="23">
        <f t="array" aca="1" ref="BB1060" ca="1">SUM(IF(w_start_date&lt;=AO1060,1,0)*IF(w_end_date&gt;=AO1060,1,0)*w_amount*(1+w_escalation/100)^(INT((AP1060-w_months_since_start)/12))*IF(MOD(AP1060-w_months_since_start,w_frequency)=0,1,0)*IF(w_frequency=13,0,1))+SUM(IF(w_start_date=AO1060,w_amount,0)*IF(w_frequency=13,1,0))</f>
        <v>0</v>
      </c>
      <c r="BC1060" s="25">
        <f t="shared" ca="1" si="823"/>
        <v>0</v>
      </c>
      <c r="BD1060" s="24" t="b">
        <f t="shared" ca="1" si="824"/>
        <v>1</v>
      </c>
      <c r="BE1060" s="24" t="b">
        <f t="shared" ca="1" si="825"/>
        <v>1</v>
      </c>
      <c r="BF1060" s="23">
        <f t="array" aca="1" ref="BF1060" ca="1">SUM(IF(BD1060,1,0)*IF(ap_start_date&lt;=AO1060,1,0)*IF(ap_end_date&gt;=AO1060,1,0)*ap_amount*(1+ap_escalation/100)^(INT((AP1060-ap_months_since_start)/12))*IF(MOD(AP1060-ap_months_since_start,ap_frequency)=0,1,0))</f>
        <v>689607.2696562272</v>
      </c>
      <c r="BG1060" s="24">
        <f t="shared" ca="1" si="826"/>
        <v>8275287.2358747246</v>
      </c>
      <c r="BH1060" s="24">
        <f t="shared" ca="1" si="827"/>
        <v>40.688449918417184</v>
      </c>
      <c r="BI1060">
        <f t="shared" ca="1" si="828"/>
        <v>0</v>
      </c>
      <c r="BJ1060" s="24">
        <f t="shared" ca="1" si="829"/>
        <v>284.81914942892024</v>
      </c>
      <c r="BK1060">
        <f t="shared" ca="1" si="830"/>
        <v>1</v>
      </c>
      <c r="BL1060" s="25">
        <f t="shared" ca="1" si="831"/>
        <v>23.734929119076693</v>
      </c>
      <c r="BM1060" s="32">
        <f t="shared" ca="1" si="810"/>
        <v>1501.754142652863</v>
      </c>
      <c r="BN1060" s="23">
        <f t="shared" ca="1" si="832"/>
        <v>0</v>
      </c>
      <c r="BO1060" s="24">
        <f t="shared" ca="1" si="833"/>
        <v>0</v>
      </c>
      <c r="BP1060" s="25">
        <f t="shared" ca="1" si="834"/>
        <v>0</v>
      </c>
      <c r="BQ1060" s="34">
        <f t="shared" ca="1" si="835"/>
        <v>77676</v>
      </c>
      <c r="BR1060" s="23">
        <f t="shared" ca="1" si="836"/>
        <v>1501.754142652863</v>
      </c>
      <c r="BS1060" s="24">
        <f t="shared" ca="1" si="837"/>
        <v>0</v>
      </c>
      <c r="BT1060" s="24">
        <f t="shared" ca="1" si="842"/>
        <v>0</v>
      </c>
      <c r="BU1060" s="24">
        <f t="shared" ca="1" si="838"/>
        <v>0</v>
      </c>
      <c r="BV1060" s="24">
        <f t="shared" ca="1" si="843"/>
        <v>0</v>
      </c>
      <c r="BW1060" s="24">
        <f t="shared" ca="1" si="839"/>
        <v>-23.734929119076693</v>
      </c>
      <c r="BX1060" s="25">
        <f t="shared" ca="1" si="844"/>
        <v>-289.71069647240381</v>
      </c>
      <c r="BY1060" s="23">
        <f t="shared" ca="1" si="811"/>
        <v>48.075445253551699</v>
      </c>
      <c r="BZ1060" s="24">
        <f t="shared" ca="1" si="812"/>
        <v>0</v>
      </c>
      <c r="CA1060" s="24">
        <f t="shared" ca="1" si="845"/>
        <v>0</v>
      </c>
      <c r="CB1060" s="24">
        <f t="shared" ca="1" si="813"/>
        <v>0</v>
      </c>
      <c r="CC1060" s="24">
        <f t="shared" ca="1" si="846"/>
        <v>0</v>
      </c>
      <c r="CD1060" s="24">
        <f t="shared" ca="1" si="814"/>
        <v>-0.76231042772778801</v>
      </c>
      <c r="CE1060" s="25">
        <f t="shared" ca="1" si="847"/>
        <v>-9.4768362313905072</v>
      </c>
      <c r="CF1060" s="23">
        <f t="shared" ca="1" si="848"/>
        <v>8222240.5228242455</v>
      </c>
      <c r="CG1060" s="25">
        <f t="array" aca="1" ref="CG1060" ca="1">SUM(BF1049:BF1060/(1+inflation/100)^(AP1049:AP1060/12))</f>
        <v>267980.53702225391</v>
      </c>
      <c r="CH1060" s="32">
        <f ca="1">IFERROR(IF(MOD(AP1060-ap_months_since_start,12)=0,ap_drawdown/100*(AQ1060+AV1060+BA1060-BC1060),CH1059),0)</f>
        <v>250.14302296465797</v>
      </c>
    </row>
    <row r="1061" spans="40:86" x14ac:dyDescent="0.25">
      <c r="AN1061" s="32">
        <f t="shared" ca="1" si="809"/>
        <v>142.66666666666666</v>
      </c>
      <c r="AO1061" s="53">
        <f t="shared" ca="1" si="840"/>
        <v>77677</v>
      </c>
      <c r="AP1061" s="22">
        <v>1054</v>
      </c>
      <c r="AQ1061" s="32">
        <f t="shared" ca="1" si="841"/>
        <v>1501.754142652863</v>
      </c>
      <c r="AR1061" s="23">
        <f t="array" aca="1" ref="AR1061" ca="1">SUM(IF(lsc_start_date=AO1061,lsc_amount,0))</f>
        <v>0</v>
      </c>
      <c r="AS1061" s="24">
        <f t="shared" ca="1" si="815"/>
        <v>0</v>
      </c>
      <c r="AT1061" s="24">
        <f t="shared" ca="1" si="816"/>
        <v>0</v>
      </c>
      <c r="AU1061" s="24">
        <f t="shared" ca="1" si="817"/>
        <v>0</v>
      </c>
      <c r="AV1061" s="25">
        <f t="shared" ca="1" si="818"/>
        <v>0</v>
      </c>
      <c r="AW1061" s="23">
        <f t="array" aca="1" ref="AW1061" ca="1">SUM(IF(rcs_start_date&lt;=AO1061,1,0)*IF(rcs_end_date&gt;=AO1061,1,0)*rcs_amount*(1+rcs_escalation/100)^(INT((AP1061-rcs_months_since_start)/12))*IF(MOD((AP1061-rcs_months_since_start),rcs_frequency)=0,1,0)*IF(rcs_frequency=13,0,1))+SUM(IF(rcs_start_date=AO1061,rcs_amount,0)*IF(rcs_frequency=13,1,0))</f>
        <v>0</v>
      </c>
      <c r="AX1061" s="24">
        <f t="shared" ca="1" si="819"/>
        <v>0</v>
      </c>
      <c r="AY1061" s="24">
        <f t="shared" ca="1" si="820"/>
        <v>0</v>
      </c>
      <c r="AZ1061" s="24">
        <f t="shared" ca="1" si="821"/>
        <v>0</v>
      </c>
      <c r="BA1061" s="25">
        <f t="shared" ca="1" si="822"/>
        <v>0</v>
      </c>
      <c r="BB1061" s="23">
        <f t="array" aca="1" ref="BB1061" ca="1">SUM(IF(w_start_date&lt;=AO1061,1,0)*IF(w_end_date&gt;=AO1061,1,0)*w_amount*(1+w_escalation/100)^(INT((AP1061-w_months_since_start)/12))*IF(MOD(AP1061-w_months_since_start,w_frequency)=0,1,0)*IF(w_frequency=13,0,1))+SUM(IF(w_start_date=AO1061,w_amount,0)*IF(w_frequency=13,1,0))</f>
        <v>0</v>
      </c>
      <c r="BC1061" s="25">
        <f t="shared" ca="1" si="823"/>
        <v>0</v>
      </c>
      <c r="BD1061" s="24" t="b">
        <f t="shared" ca="1" si="824"/>
        <v>1</v>
      </c>
      <c r="BE1061" s="24" t="b">
        <f t="shared" ca="1" si="825"/>
        <v>1</v>
      </c>
      <c r="BF1061" s="23">
        <f t="array" aca="1" ref="BF1061" ca="1">SUM(IF(BD1061,1,0)*IF(ap_start_date&lt;=AO1061,1,0)*IF(ap_end_date&gt;=AO1061,1,0)*ap_amount*(1+ap_escalation/100)^(INT((AP1061-ap_months_since_start)/12))*IF(MOD(AP1061-ap_months_since_start,ap_frequency)=0,1,0))</f>
        <v>689607.2696562272</v>
      </c>
      <c r="BG1061" s="24">
        <f t="shared" ca="1" si="826"/>
        <v>8275287.2358747246</v>
      </c>
      <c r="BH1061" s="24">
        <f t="shared" ca="1" si="827"/>
        <v>40.688449918417184</v>
      </c>
      <c r="BI1061">
        <f t="shared" ca="1" si="828"/>
        <v>0</v>
      </c>
      <c r="BJ1061" s="24">
        <f t="shared" ca="1" si="829"/>
        <v>284.81914942892024</v>
      </c>
      <c r="BK1061">
        <f t="shared" ca="1" si="830"/>
        <v>1</v>
      </c>
      <c r="BL1061" s="25">
        <f t="shared" ca="1" si="831"/>
        <v>23.734929119076693</v>
      </c>
      <c r="BM1061" s="32">
        <f t="shared" ca="1" si="810"/>
        <v>1488.6717758731866</v>
      </c>
      <c r="BN1061" s="23">
        <f t="shared" ca="1" si="832"/>
        <v>0</v>
      </c>
      <c r="BO1061" s="24">
        <f t="shared" ca="1" si="833"/>
        <v>0</v>
      </c>
      <c r="BP1061" s="25">
        <f t="shared" ca="1" si="834"/>
        <v>0</v>
      </c>
      <c r="BQ1061" s="34">
        <f t="shared" ca="1" si="835"/>
        <v>77706</v>
      </c>
      <c r="BR1061" s="23">
        <f t="shared" ca="1" si="836"/>
        <v>1488.6717758731866</v>
      </c>
      <c r="BS1061" s="24">
        <f t="shared" ca="1" si="837"/>
        <v>0</v>
      </c>
      <c r="BT1061" s="24">
        <f t="shared" ca="1" si="842"/>
        <v>0</v>
      </c>
      <c r="BU1061" s="24">
        <f t="shared" ca="1" si="838"/>
        <v>0</v>
      </c>
      <c r="BV1061" s="24">
        <f t="shared" ca="1" si="843"/>
        <v>0</v>
      </c>
      <c r="BW1061" s="24">
        <f t="shared" ca="1" si="839"/>
        <v>-23.734929119076693</v>
      </c>
      <c r="BX1061" s="25">
        <f t="shared" ca="1" si="844"/>
        <v>-287.26492295066208</v>
      </c>
      <c r="BY1061" s="23">
        <f t="shared" ca="1" si="811"/>
        <v>47.501134921138508</v>
      </c>
      <c r="BZ1061" s="24">
        <f t="shared" ca="1" si="812"/>
        <v>0</v>
      </c>
      <c r="CA1061" s="24">
        <f t="shared" ca="1" si="845"/>
        <v>0</v>
      </c>
      <c r="CB1061" s="24">
        <f t="shared" ca="1" si="813"/>
        <v>0</v>
      </c>
      <c r="CC1061" s="24">
        <f t="shared" ca="1" si="846"/>
        <v>0</v>
      </c>
      <c r="CD1061" s="24">
        <f t="shared" ca="1" si="814"/>
        <v>-0.75982296505964375</v>
      </c>
      <c r="CE1061" s="25">
        <f t="shared" ca="1" si="847"/>
        <v>-9.3650152590103257</v>
      </c>
      <c r="CF1061" s="23">
        <f t="shared" ca="1" si="848"/>
        <v>8248763.879349485</v>
      </c>
      <c r="CG1061" s="25">
        <f t="array" aca="1" ref="CG1061" ca="1">SUM(BF1050:BF1061/(1+inflation/100)^(AP1050:AP1061/12))</f>
        <v>267980.53702225385</v>
      </c>
      <c r="CH1061" s="32">
        <f ca="1">IFERROR(IF(MOD(AP1061-ap_months_since_start,12)=0,ap_drawdown/100*(AQ1061+AV1061+BA1061-BC1061),CH1060),0)</f>
        <v>250.14302296465797</v>
      </c>
    </row>
    <row r="1062" spans="40:86" x14ac:dyDescent="0.25">
      <c r="AN1062" s="32">
        <f t="shared" ca="1" si="809"/>
        <v>142.75</v>
      </c>
      <c r="AO1062" s="53">
        <f t="shared" ca="1" si="840"/>
        <v>77707</v>
      </c>
      <c r="AP1062" s="22">
        <v>1055</v>
      </c>
      <c r="AQ1062" s="32">
        <f t="shared" ca="1" si="841"/>
        <v>1488.6717758731866</v>
      </c>
      <c r="AR1062" s="23">
        <f t="array" aca="1" ref="AR1062" ca="1">SUM(IF(lsc_start_date=AO1062,lsc_amount,0))</f>
        <v>0</v>
      </c>
      <c r="AS1062" s="24">
        <f t="shared" ca="1" si="815"/>
        <v>0</v>
      </c>
      <c r="AT1062" s="24">
        <f t="shared" ca="1" si="816"/>
        <v>0</v>
      </c>
      <c r="AU1062" s="24">
        <f t="shared" ca="1" si="817"/>
        <v>0</v>
      </c>
      <c r="AV1062" s="25">
        <f t="shared" ca="1" si="818"/>
        <v>0</v>
      </c>
      <c r="AW1062" s="23">
        <f t="array" aca="1" ref="AW1062" ca="1">SUM(IF(rcs_start_date&lt;=AO1062,1,0)*IF(rcs_end_date&gt;=AO1062,1,0)*rcs_amount*(1+rcs_escalation/100)^(INT((AP1062-rcs_months_since_start)/12))*IF(MOD((AP1062-rcs_months_since_start),rcs_frequency)=0,1,0)*IF(rcs_frequency=13,0,1))+SUM(IF(rcs_start_date=AO1062,rcs_amount,0)*IF(rcs_frequency=13,1,0))</f>
        <v>0</v>
      </c>
      <c r="AX1062" s="24">
        <f t="shared" ca="1" si="819"/>
        <v>0</v>
      </c>
      <c r="AY1062" s="24">
        <f t="shared" ca="1" si="820"/>
        <v>0</v>
      </c>
      <c r="AZ1062" s="24">
        <f t="shared" ca="1" si="821"/>
        <v>0</v>
      </c>
      <c r="BA1062" s="25">
        <f t="shared" ca="1" si="822"/>
        <v>0</v>
      </c>
      <c r="BB1062" s="23">
        <f t="array" aca="1" ref="BB1062" ca="1">SUM(IF(w_start_date&lt;=AO1062,1,0)*IF(w_end_date&gt;=AO1062,1,0)*w_amount*(1+w_escalation/100)^(INT((AP1062-w_months_since_start)/12))*IF(MOD(AP1062-w_months_since_start,w_frequency)=0,1,0)*IF(w_frequency=13,0,1))+SUM(IF(w_start_date=AO1062,w_amount,0)*IF(w_frequency=13,1,0))</f>
        <v>0</v>
      </c>
      <c r="BC1062" s="25">
        <f t="shared" ca="1" si="823"/>
        <v>0</v>
      </c>
      <c r="BD1062" s="24" t="b">
        <f t="shared" ca="1" si="824"/>
        <v>1</v>
      </c>
      <c r="BE1062" s="24" t="b">
        <f t="shared" ca="1" si="825"/>
        <v>1</v>
      </c>
      <c r="BF1062" s="23">
        <f t="array" aca="1" ref="BF1062" ca="1">SUM(IF(BD1062,1,0)*IF(ap_start_date&lt;=AO1062,1,0)*IF(ap_end_date&gt;=AO1062,1,0)*ap_amount*(1+ap_escalation/100)^(INT((AP1062-ap_months_since_start)/12))*IF(MOD(AP1062-ap_months_since_start,ap_frequency)=0,1,0))</f>
        <v>689607.2696562272</v>
      </c>
      <c r="BG1062" s="24">
        <f t="shared" ca="1" si="826"/>
        <v>8275287.2358747246</v>
      </c>
      <c r="BH1062" s="24">
        <f t="shared" ca="1" si="827"/>
        <v>40.688449918417184</v>
      </c>
      <c r="BI1062">
        <f t="shared" ca="1" si="828"/>
        <v>0</v>
      </c>
      <c r="BJ1062" s="24">
        <f t="shared" ca="1" si="829"/>
        <v>284.81914942892024</v>
      </c>
      <c r="BK1062">
        <f t="shared" ca="1" si="830"/>
        <v>1</v>
      </c>
      <c r="BL1062" s="25">
        <f t="shared" ca="1" si="831"/>
        <v>23.734929119076693</v>
      </c>
      <c r="BM1062" s="32">
        <f t="shared" ca="1" si="810"/>
        <v>1475.4951202463885</v>
      </c>
      <c r="BN1062" s="23">
        <f t="shared" ca="1" si="832"/>
        <v>0</v>
      </c>
      <c r="BO1062" s="24">
        <f t="shared" ca="1" si="833"/>
        <v>0</v>
      </c>
      <c r="BP1062" s="25">
        <f t="shared" ca="1" si="834"/>
        <v>0</v>
      </c>
      <c r="BQ1062" s="34">
        <f t="shared" ca="1" si="835"/>
        <v>77737</v>
      </c>
      <c r="BR1062" s="23">
        <f t="shared" ca="1" si="836"/>
        <v>1475.4951202463885</v>
      </c>
      <c r="BS1062" s="24">
        <f t="shared" ca="1" si="837"/>
        <v>0</v>
      </c>
      <c r="BT1062" s="24">
        <f t="shared" ca="1" si="842"/>
        <v>0</v>
      </c>
      <c r="BU1062" s="24">
        <f t="shared" ca="1" si="838"/>
        <v>0</v>
      </c>
      <c r="BV1062" s="24">
        <f t="shared" ca="1" si="843"/>
        <v>0</v>
      </c>
      <c r="BW1062" s="24">
        <f t="shared" ca="1" si="839"/>
        <v>-23.734929119076693</v>
      </c>
      <c r="BX1062" s="25">
        <f t="shared" ca="1" si="844"/>
        <v>-284.8191494289203</v>
      </c>
      <c r="BY1062" s="23">
        <f t="shared" ca="1" si="811"/>
        <v>46.927061929449067</v>
      </c>
      <c r="BZ1062" s="24">
        <f t="shared" ca="1" si="812"/>
        <v>0</v>
      </c>
      <c r="CA1062" s="24">
        <f t="shared" ca="1" si="845"/>
        <v>0</v>
      </c>
      <c r="CB1062" s="24">
        <f t="shared" ca="1" si="813"/>
        <v>0</v>
      </c>
      <c r="CC1062" s="24">
        <f t="shared" ca="1" si="846"/>
        <v>0</v>
      </c>
      <c r="CD1062" s="24">
        <f t="shared" ca="1" si="814"/>
        <v>-0.75734361912492021</v>
      </c>
      <c r="CE1062" s="25">
        <f t="shared" ca="1" si="847"/>
        <v>-9.2535591648794675</v>
      </c>
      <c r="CF1062" s="23">
        <f t="shared" ca="1" si="848"/>
        <v>8275287.2358747246</v>
      </c>
      <c r="CG1062" s="25">
        <f t="array" aca="1" ref="CG1062" ca="1">SUM(BF1051:BF1062/(1+inflation/100)^(AP1051:AP1062/12))</f>
        <v>267980.53702225391</v>
      </c>
      <c r="CH1062" s="32">
        <f ca="1">IFERROR(IF(MOD(AP1062-ap_months_since_start,12)=0,ap_drawdown/100*(AQ1062+AV1062+BA1062-BC1062),CH1061),0)</f>
        <v>250.14302296465797</v>
      </c>
    </row>
    <row r="1063" spans="40:86" x14ac:dyDescent="0.25">
      <c r="AN1063" s="32">
        <f t="shared" ca="1" si="809"/>
        <v>142.83333333333334</v>
      </c>
      <c r="AO1063" s="53">
        <f t="shared" ca="1" si="840"/>
        <v>77738</v>
      </c>
      <c r="AP1063" s="22">
        <v>1056</v>
      </c>
      <c r="AQ1063" s="32">
        <f t="shared" ca="1" si="841"/>
        <v>1475.4951202463885</v>
      </c>
      <c r="AR1063" s="23">
        <f t="array" aca="1" ref="AR1063" ca="1">SUM(IF(lsc_start_date=AO1063,lsc_amount,0))</f>
        <v>0</v>
      </c>
      <c r="AS1063" s="24">
        <f t="shared" ca="1" si="815"/>
        <v>0</v>
      </c>
      <c r="AT1063" s="24">
        <f t="shared" ca="1" si="816"/>
        <v>0</v>
      </c>
      <c r="AU1063" s="24">
        <f t="shared" ca="1" si="817"/>
        <v>0</v>
      </c>
      <c r="AV1063" s="25">
        <f t="shared" ca="1" si="818"/>
        <v>0</v>
      </c>
      <c r="AW1063" s="23">
        <f t="array" aca="1" ref="AW1063" ca="1">SUM(IF(rcs_start_date&lt;=AO1063,1,0)*IF(rcs_end_date&gt;=AO1063,1,0)*rcs_amount*(1+rcs_escalation/100)^(INT((AP1063-rcs_months_since_start)/12))*IF(MOD((AP1063-rcs_months_since_start),rcs_frequency)=0,1,0)*IF(rcs_frequency=13,0,1))+SUM(IF(rcs_start_date=AO1063,rcs_amount,0)*IF(rcs_frequency=13,1,0))</f>
        <v>0</v>
      </c>
      <c r="AX1063" s="24">
        <f t="shared" ca="1" si="819"/>
        <v>0</v>
      </c>
      <c r="AY1063" s="24">
        <f t="shared" ca="1" si="820"/>
        <v>0</v>
      </c>
      <c r="AZ1063" s="24">
        <f t="shared" ca="1" si="821"/>
        <v>0</v>
      </c>
      <c r="BA1063" s="25">
        <f t="shared" ca="1" si="822"/>
        <v>0</v>
      </c>
      <c r="BB1063" s="23">
        <f t="array" aca="1" ref="BB1063" ca="1">SUM(IF(w_start_date&lt;=AO1063,1,0)*IF(w_end_date&gt;=AO1063,1,0)*w_amount*(1+w_escalation/100)^(INT((AP1063-w_months_since_start)/12))*IF(MOD(AP1063-w_months_since_start,w_frequency)=0,1,0)*IF(w_frequency=13,0,1))+SUM(IF(w_start_date=AO1063,w_amount,0)*IF(w_frequency=13,1,0))</f>
        <v>0</v>
      </c>
      <c r="BC1063" s="25">
        <f t="shared" ca="1" si="823"/>
        <v>0</v>
      </c>
      <c r="BD1063" s="24" t="b">
        <f t="shared" ca="1" si="824"/>
        <v>1</v>
      </c>
      <c r="BE1063" s="24" t="b">
        <f t="shared" ca="1" si="825"/>
        <v>1</v>
      </c>
      <c r="BF1063" s="23">
        <f t="array" aca="1" ref="BF1063" ca="1">SUM(IF(BD1063,1,0)*IF(ap_start_date&lt;=AO1063,1,0)*IF(ap_end_date&gt;=AO1063,1,0)*ap_amount*(1+ap_escalation/100)^(INT((AP1063-ap_months_since_start)/12))*IF(MOD(AP1063-ap_months_since_start,ap_frequency)=0,1,0))</f>
        <v>717191.56044247642</v>
      </c>
      <c r="BG1063" s="24">
        <f t="shared" ca="1" si="826"/>
        <v>8606298.7253097165</v>
      </c>
      <c r="BH1063" s="24">
        <f t="shared" ca="1" si="827"/>
        <v>36.887378006159715</v>
      </c>
      <c r="BI1063">
        <f t="shared" ca="1" si="828"/>
        <v>0</v>
      </c>
      <c r="BJ1063" s="24">
        <f t="shared" ca="1" si="829"/>
        <v>258.21164604311798</v>
      </c>
      <c r="BK1063">
        <f t="shared" ca="1" si="830"/>
        <v>1</v>
      </c>
      <c r="BL1063" s="25">
        <f t="shared" ca="1" si="831"/>
        <v>21.517637170259835</v>
      </c>
      <c r="BM1063" s="32">
        <f t="shared" ca="1" si="810"/>
        <v>1464.4567688910411</v>
      </c>
      <c r="BN1063" s="23">
        <f t="shared" ca="1" si="832"/>
        <v>0</v>
      </c>
      <c r="BO1063" s="24">
        <f t="shared" ca="1" si="833"/>
        <v>0</v>
      </c>
      <c r="BP1063" s="25">
        <f t="shared" ca="1" si="834"/>
        <v>0</v>
      </c>
      <c r="BQ1063" s="34">
        <f t="shared" ca="1" si="835"/>
        <v>77767</v>
      </c>
      <c r="BR1063" s="23">
        <f t="shared" ca="1" si="836"/>
        <v>1464.4567688910411</v>
      </c>
      <c r="BS1063" s="24">
        <f t="shared" ca="1" si="837"/>
        <v>0</v>
      </c>
      <c r="BT1063" s="24">
        <f t="shared" ca="1" si="842"/>
        <v>0</v>
      </c>
      <c r="BU1063" s="24">
        <f t="shared" ca="1" si="838"/>
        <v>0</v>
      </c>
      <c r="BV1063" s="24">
        <f t="shared" ca="1" si="843"/>
        <v>0</v>
      </c>
      <c r="BW1063" s="24">
        <f t="shared" ca="1" si="839"/>
        <v>-21.517637170259835</v>
      </c>
      <c r="BX1063" s="25">
        <f t="shared" ca="1" si="844"/>
        <v>-282.60185748010343</v>
      </c>
      <c r="BY1063" s="23">
        <f t="shared" ca="1" si="811"/>
        <v>46.424014952743747</v>
      </c>
      <c r="BZ1063" s="24">
        <f t="shared" ca="1" si="812"/>
        <v>0</v>
      </c>
      <c r="CA1063" s="24">
        <f t="shared" ca="1" si="845"/>
        <v>0</v>
      </c>
      <c r="CB1063" s="24">
        <f t="shared" ca="1" si="813"/>
        <v>0</v>
      </c>
      <c r="CC1063" s="24">
        <f t="shared" ca="1" si="846"/>
        <v>0</v>
      </c>
      <c r="CD1063" s="24">
        <f t="shared" ca="1" si="814"/>
        <v>-0.6843529864711323</v>
      </c>
      <c r="CE1063" s="25">
        <f t="shared" ca="1" si="847"/>
        <v>-9.1528448933748194</v>
      </c>
      <c r="CF1063" s="23">
        <f t="shared" ca="1" si="848"/>
        <v>8302871.5266609741</v>
      </c>
      <c r="CG1063" s="25">
        <f t="array" aca="1" ref="CG1063" ca="1">SUM(BF1052:BF1063/(1+inflation/100)^(AP1052:AP1063/12))</f>
        <v>267980.53702225385</v>
      </c>
      <c r="CH1063" s="32">
        <f ca="1">IFERROR(IF(MOD(AP1063-ap_months_since_start,12)=0,ap_drawdown/100*(AQ1063+AV1063+BA1063-BC1063),CH1062),0)</f>
        <v>226.77492659960666</v>
      </c>
    </row>
    <row r="1064" spans="40:86" x14ac:dyDescent="0.25">
      <c r="AN1064" s="32">
        <f t="shared" ca="1" si="809"/>
        <v>142.91666666666666</v>
      </c>
      <c r="AO1064" s="53">
        <f t="shared" ca="1" si="840"/>
        <v>77768</v>
      </c>
      <c r="AP1064" s="22">
        <v>1057</v>
      </c>
      <c r="AQ1064" s="32">
        <f t="shared" ca="1" si="841"/>
        <v>1464.4567688910411</v>
      </c>
      <c r="AR1064" s="23">
        <f t="array" aca="1" ref="AR1064" ca="1">SUM(IF(lsc_start_date=AO1064,lsc_amount,0))</f>
        <v>0</v>
      </c>
      <c r="AS1064" s="24">
        <f t="shared" ca="1" si="815"/>
        <v>0</v>
      </c>
      <c r="AT1064" s="24">
        <f t="shared" ca="1" si="816"/>
        <v>0</v>
      </c>
      <c r="AU1064" s="24">
        <f t="shared" ca="1" si="817"/>
        <v>0</v>
      </c>
      <c r="AV1064" s="25">
        <f t="shared" ca="1" si="818"/>
        <v>0</v>
      </c>
      <c r="AW1064" s="23">
        <f t="array" aca="1" ref="AW1064" ca="1">SUM(IF(rcs_start_date&lt;=AO1064,1,0)*IF(rcs_end_date&gt;=AO1064,1,0)*rcs_amount*(1+rcs_escalation/100)^(INT((AP1064-rcs_months_since_start)/12))*IF(MOD((AP1064-rcs_months_since_start),rcs_frequency)=0,1,0)*IF(rcs_frequency=13,0,1))+SUM(IF(rcs_start_date=AO1064,rcs_amount,0)*IF(rcs_frequency=13,1,0))</f>
        <v>0</v>
      </c>
      <c r="AX1064" s="24">
        <f t="shared" ca="1" si="819"/>
        <v>0</v>
      </c>
      <c r="AY1064" s="24">
        <f t="shared" ca="1" si="820"/>
        <v>0</v>
      </c>
      <c r="AZ1064" s="24">
        <f t="shared" ca="1" si="821"/>
        <v>0</v>
      </c>
      <c r="BA1064" s="25">
        <f t="shared" ca="1" si="822"/>
        <v>0</v>
      </c>
      <c r="BB1064" s="23">
        <f t="array" aca="1" ref="BB1064" ca="1">SUM(IF(w_start_date&lt;=AO1064,1,0)*IF(w_end_date&gt;=AO1064,1,0)*w_amount*(1+w_escalation/100)^(INT((AP1064-w_months_since_start)/12))*IF(MOD(AP1064-w_months_since_start,w_frequency)=0,1,0)*IF(w_frequency=13,0,1))+SUM(IF(w_start_date=AO1064,w_amount,0)*IF(w_frequency=13,1,0))</f>
        <v>0</v>
      </c>
      <c r="BC1064" s="25">
        <f t="shared" ca="1" si="823"/>
        <v>0</v>
      </c>
      <c r="BD1064" s="24" t="b">
        <f t="shared" ca="1" si="824"/>
        <v>1</v>
      </c>
      <c r="BE1064" s="24" t="b">
        <f t="shared" ca="1" si="825"/>
        <v>1</v>
      </c>
      <c r="BF1064" s="23">
        <f t="array" aca="1" ref="BF1064" ca="1">SUM(IF(BD1064,1,0)*IF(ap_start_date&lt;=AO1064,1,0)*IF(ap_end_date&gt;=AO1064,1,0)*ap_amount*(1+ap_escalation/100)^(INT((AP1064-ap_months_since_start)/12))*IF(MOD(AP1064-ap_months_since_start,ap_frequency)=0,1,0))</f>
        <v>717191.56044247642</v>
      </c>
      <c r="BG1064" s="24">
        <f t="shared" ca="1" si="826"/>
        <v>8606298.7253097165</v>
      </c>
      <c r="BH1064" s="24">
        <f t="shared" ca="1" si="827"/>
        <v>36.887378006159715</v>
      </c>
      <c r="BI1064">
        <f t="shared" ca="1" si="828"/>
        <v>0</v>
      </c>
      <c r="BJ1064" s="24">
        <f t="shared" ca="1" si="829"/>
        <v>258.21164604311798</v>
      </c>
      <c r="BK1064">
        <f t="shared" ca="1" si="830"/>
        <v>1</v>
      </c>
      <c r="BL1064" s="25">
        <f t="shared" ca="1" si="831"/>
        <v>21.517637170259835</v>
      </c>
      <c r="BM1064" s="32">
        <f t="shared" ca="1" si="810"/>
        <v>1453.3388605685984</v>
      </c>
      <c r="BN1064" s="23">
        <f t="shared" ca="1" si="832"/>
        <v>0</v>
      </c>
      <c r="BO1064" s="24">
        <f t="shared" ca="1" si="833"/>
        <v>0</v>
      </c>
      <c r="BP1064" s="25">
        <f t="shared" ca="1" si="834"/>
        <v>0</v>
      </c>
      <c r="BQ1064" s="34">
        <f t="shared" ca="1" si="835"/>
        <v>77798</v>
      </c>
      <c r="BR1064" s="23">
        <f t="shared" ca="1" si="836"/>
        <v>1453.3388605685984</v>
      </c>
      <c r="BS1064" s="24">
        <f t="shared" ca="1" si="837"/>
        <v>0</v>
      </c>
      <c r="BT1064" s="24">
        <f t="shared" ca="1" si="842"/>
        <v>0</v>
      </c>
      <c r="BU1064" s="24">
        <f t="shared" ca="1" si="838"/>
        <v>0</v>
      </c>
      <c r="BV1064" s="24">
        <f t="shared" ca="1" si="843"/>
        <v>0</v>
      </c>
      <c r="BW1064" s="24">
        <f t="shared" ca="1" si="839"/>
        <v>-21.517637170259835</v>
      </c>
      <c r="BX1064" s="25">
        <f t="shared" ca="1" si="844"/>
        <v>-280.38456553128663</v>
      </c>
      <c r="BY1064" s="23">
        <f t="shared" ca="1" si="811"/>
        <v>45.921237494018079</v>
      </c>
      <c r="BZ1064" s="24">
        <f t="shared" ca="1" si="812"/>
        <v>0</v>
      </c>
      <c r="CA1064" s="24">
        <f t="shared" ca="1" si="845"/>
        <v>0</v>
      </c>
      <c r="CB1064" s="24">
        <f t="shared" ca="1" si="813"/>
        <v>0</v>
      </c>
      <c r="CC1064" s="24">
        <f t="shared" ca="1" si="846"/>
        <v>0</v>
      </c>
      <c r="CD1064" s="24">
        <f t="shared" ca="1" si="814"/>
        <v>-0.68211990340711814</v>
      </c>
      <c r="CE1064" s="25">
        <f t="shared" ca="1" si="847"/>
        <v>-9.0524592583172208</v>
      </c>
      <c r="CF1064" s="23">
        <f t="shared" ca="1" si="848"/>
        <v>8330455.8174472237</v>
      </c>
      <c r="CG1064" s="25">
        <f t="array" aca="1" ref="CG1064" ca="1">SUM(BF1053:BF1064/(1+inflation/100)^(AP1053:AP1064/12))</f>
        <v>267980.53702225391</v>
      </c>
      <c r="CH1064" s="32">
        <f ca="1">IFERROR(IF(MOD(AP1064-ap_months_since_start,12)=0,ap_drawdown/100*(AQ1064+AV1064+BA1064-BC1064),CH1063),0)</f>
        <v>226.77492659960666</v>
      </c>
    </row>
    <row r="1065" spans="40:86" x14ac:dyDescent="0.25">
      <c r="AN1065" s="32">
        <f t="shared" ca="1" si="809"/>
        <v>143</v>
      </c>
      <c r="AO1065" s="53">
        <f t="shared" ca="1" si="840"/>
        <v>77799</v>
      </c>
      <c r="AP1065" s="22">
        <v>1058</v>
      </c>
      <c r="AQ1065" s="32">
        <f t="shared" ca="1" si="841"/>
        <v>1453.3388605685984</v>
      </c>
      <c r="AR1065" s="23">
        <f t="array" aca="1" ref="AR1065" ca="1">SUM(IF(lsc_start_date=AO1065,lsc_amount,0))</f>
        <v>0</v>
      </c>
      <c r="AS1065" s="24">
        <f t="shared" ca="1" si="815"/>
        <v>0</v>
      </c>
      <c r="AT1065" s="24">
        <f t="shared" ca="1" si="816"/>
        <v>0</v>
      </c>
      <c r="AU1065" s="24">
        <f t="shared" ca="1" si="817"/>
        <v>0</v>
      </c>
      <c r="AV1065" s="25">
        <f t="shared" ca="1" si="818"/>
        <v>0</v>
      </c>
      <c r="AW1065" s="23">
        <f t="array" aca="1" ref="AW1065" ca="1">SUM(IF(rcs_start_date&lt;=AO1065,1,0)*IF(rcs_end_date&gt;=AO1065,1,0)*rcs_amount*(1+rcs_escalation/100)^(INT((AP1065-rcs_months_since_start)/12))*IF(MOD((AP1065-rcs_months_since_start),rcs_frequency)=0,1,0)*IF(rcs_frequency=13,0,1))+SUM(IF(rcs_start_date=AO1065,rcs_amount,0)*IF(rcs_frequency=13,1,0))</f>
        <v>0</v>
      </c>
      <c r="AX1065" s="24">
        <f t="shared" ca="1" si="819"/>
        <v>0</v>
      </c>
      <c r="AY1065" s="24">
        <f t="shared" ca="1" si="820"/>
        <v>0</v>
      </c>
      <c r="AZ1065" s="24">
        <f t="shared" ca="1" si="821"/>
        <v>0</v>
      </c>
      <c r="BA1065" s="25">
        <f t="shared" ca="1" si="822"/>
        <v>0</v>
      </c>
      <c r="BB1065" s="23">
        <f t="array" aca="1" ref="BB1065" ca="1">SUM(IF(w_start_date&lt;=AO1065,1,0)*IF(w_end_date&gt;=AO1065,1,0)*w_amount*(1+w_escalation/100)^(INT((AP1065-w_months_since_start)/12))*IF(MOD(AP1065-w_months_since_start,w_frequency)=0,1,0)*IF(w_frequency=13,0,1))+SUM(IF(w_start_date=AO1065,w_amount,0)*IF(w_frequency=13,1,0))</f>
        <v>0</v>
      </c>
      <c r="BC1065" s="25">
        <f t="shared" ca="1" si="823"/>
        <v>0</v>
      </c>
      <c r="BD1065" s="24" t="b">
        <f t="shared" ca="1" si="824"/>
        <v>1</v>
      </c>
      <c r="BE1065" s="24" t="b">
        <f t="shared" ca="1" si="825"/>
        <v>1</v>
      </c>
      <c r="BF1065" s="23">
        <f t="array" aca="1" ref="BF1065" ca="1">SUM(IF(BD1065,1,0)*IF(ap_start_date&lt;=AO1065,1,0)*IF(ap_end_date&gt;=AO1065,1,0)*ap_amount*(1+ap_escalation/100)^(INT((AP1065-ap_months_since_start)/12))*IF(MOD(AP1065-ap_months_since_start,ap_frequency)=0,1,0))</f>
        <v>717191.56044247642</v>
      </c>
      <c r="BG1065" s="24">
        <f t="shared" ca="1" si="826"/>
        <v>8606298.7253097165</v>
      </c>
      <c r="BH1065" s="24">
        <f t="shared" ca="1" si="827"/>
        <v>36.887378006159715</v>
      </c>
      <c r="BI1065">
        <f t="shared" ca="1" si="828"/>
        <v>0</v>
      </c>
      <c r="BJ1065" s="24">
        <f t="shared" ca="1" si="829"/>
        <v>258.21164604311798</v>
      </c>
      <c r="BK1065">
        <f t="shared" ca="1" si="830"/>
        <v>1</v>
      </c>
      <c r="BL1065" s="25">
        <f t="shared" ca="1" si="831"/>
        <v>21.517637170259835</v>
      </c>
      <c r="BM1065" s="32">
        <f t="shared" ca="1" si="810"/>
        <v>1442.1408218862769</v>
      </c>
      <c r="BN1065" s="23">
        <f t="shared" ca="1" si="832"/>
        <v>0</v>
      </c>
      <c r="BO1065" s="24">
        <f t="shared" ca="1" si="833"/>
        <v>0</v>
      </c>
      <c r="BP1065" s="25">
        <f t="shared" ca="1" si="834"/>
        <v>0</v>
      </c>
      <c r="BQ1065" s="34">
        <f t="shared" ca="1" si="835"/>
        <v>77829</v>
      </c>
      <c r="BR1065" s="23">
        <f t="shared" ca="1" si="836"/>
        <v>1442.1408218862769</v>
      </c>
      <c r="BS1065" s="24">
        <f t="shared" ca="1" si="837"/>
        <v>0</v>
      </c>
      <c r="BT1065" s="24">
        <f t="shared" ca="1" si="842"/>
        <v>0</v>
      </c>
      <c r="BU1065" s="24">
        <f t="shared" ca="1" si="838"/>
        <v>0</v>
      </c>
      <c r="BV1065" s="24">
        <f t="shared" ca="1" si="843"/>
        <v>0</v>
      </c>
      <c r="BW1065" s="24">
        <f t="shared" ca="1" si="839"/>
        <v>-21.517637170259835</v>
      </c>
      <c r="BX1065" s="25">
        <f t="shared" ca="1" si="844"/>
        <v>-278.16727358246976</v>
      </c>
      <c r="BY1065" s="23">
        <f t="shared" ca="1" si="811"/>
        <v>45.418723294736573</v>
      </c>
      <c r="BZ1065" s="24">
        <f t="shared" ca="1" si="812"/>
        <v>0</v>
      </c>
      <c r="CA1065" s="24">
        <f t="shared" ca="1" si="845"/>
        <v>0</v>
      </c>
      <c r="CB1065" s="24">
        <f t="shared" ca="1" si="813"/>
        <v>0</v>
      </c>
      <c r="CC1065" s="24">
        <f t="shared" ca="1" si="846"/>
        <v>0</v>
      </c>
      <c r="CD1065" s="24">
        <f t="shared" ca="1" si="814"/>
        <v>-0.67989410702128084</v>
      </c>
      <c r="CE1065" s="25">
        <f t="shared" ca="1" si="847"/>
        <v>-8.9524011873470872</v>
      </c>
      <c r="CF1065" s="23">
        <f t="shared" ca="1" si="848"/>
        <v>8358040.1082334733</v>
      </c>
      <c r="CG1065" s="25">
        <f t="array" aca="1" ref="CG1065" ca="1">SUM(BF1054:BF1065/(1+inflation/100)^(AP1054:AP1065/12))</f>
        <v>267980.53702225391</v>
      </c>
      <c r="CH1065" s="32">
        <f ca="1">IFERROR(IF(MOD(AP1065-ap_months_since_start,12)=0,ap_drawdown/100*(AQ1065+AV1065+BA1065-BC1065),CH1064),0)</f>
        <v>226.77492659960666</v>
      </c>
    </row>
    <row r="1066" spans="40:86" x14ac:dyDescent="0.25">
      <c r="AN1066" s="32">
        <f t="shared" ca="1" si="809"/>
        <v>143.08333333333334</v>
      </c>
      <c r="AO1066" s="53">
        <f t="shared" ca="1" si="840"/>
        <v>77830</v>
      </c>
      <c r="AP1066" s="22">
        <v>1059</v>
      </c>
      <c r="AQ1066" s="32">
        <f t="shared" ca="1" si="841"/>
        <v>1442.1408218862769</v>
      </c>
      <c r="AR1066" s="23">
        <f t="array" aca="1" ref="AR1066" ca="1">SUM(IF(lsc_start_date=AO1066,lsc_amount,0))</f>
        <v>0</v>
      </c>
      <c r="AS1066" s="24">
        <f t="shared" ca="1" si="815"/>
        <v>0</v>
      </c>
      <c r="AT1066" s="24">
        <f t="shared" ca="1" si="816"/>
        <v>0</v>
      </c>
      <c r="AU1066" s="24">
        <f t="shared" ca="1" si="817"/>
        <v>0</v>
      </c>
      <c r="AV1066" s="25">
        <f t="shared" ca="1" si="818"/>
        <v>0</v>
      </c>
      <c r="AW1066" s="23">
        <f t="array" aca="1" ref="AW1066" ca="1">SUM(IF(rcs_start_date&lt;=AO1066,1,0)*IF(rcs_end_date&gt;=AO1066,1,0)*rcs_amount*(1+rcs_escalation/100)^(INT((AP1066-rcs_months_since_start)/12))*IF(MOD((AP1066-rcs_months_since_start),rcs_frequency)=0,1,0)*IF(rcs_frequency=13,0,1))+SUM(IF(rcs_start_date=AO1066,rcs_amount,0)*IF(rcs_frequency=13,1,0))</f>
        <v>0</v>
      </c>
      <c r="AX1066" s="24">
        <f t="shared" ca="1" si="819"/>
        <v>0</v>
      </c>
      <c r="AY1066" s="24">
        <f t="shared" ca="1" si="820"/>
        <v>0</v>
      </c>
      <c r="AZ1066" s="24">
        <f t="shared" ca="1" si="821"/>
        <v>0</v>
      </c>
      <c r="BA1066" s="25">
        <f t="shared" ca="1" si="822"/>
        <v>0</v>
      </c>
      <c r="BB1066" s="23">
        <f t="array" aca="1" ref="BB1066" ca="1">SUM(IF(w_start_date&lt;=AO1066,1,0)*IF(w_end_date&gt;=AO1066,1,0)*w_amount*(1+w_escalation/100)^(INT((AP1066-w_months_since_start)/12))*IF(MOD(AP1066-w_months_since_start,w_frequency)=0,1,0)*IF(w_frequency=13,0,1))+SUM(IF(w_start_date=AO1066,w_amount,0)*IF(w_frequency=13,1,0))</f>
        <v>0</v>
      </c>
      <c r="BC1066" s="25">
        <f t="shared" ca="1" si="823"/>
        <v>0</v>
      </c>
      <c r="BD1066" s="24" t="b">
        <f t="shared" ca="1" si="824"/>
        <v>1</v>
      </c>
      <c r="BE1066" s="24" t="b">
        <f t="shared" ca="1" si="825"/>
        <v>1</v>
      </c>
      <c r="BF1066" s="23">
        <f t="array" aca="1" ref="BF1066" ca="1">SUM(IF(BD1066,1,0)*IF(ap_start_date&lt;=AO1066,1,0)*IF(ap_end_date&gt;=AO1066,1,0)*ap_amount*(1+ap_escalation/100)^(INT((AP1066-ap_months_since_start)/12))*IF(MOD(AP1066-ap_months_since_start,ap_frequency)=0,1,0))</f>
        <v>717191.56044247642</v>
      </c>
      <c r="BG1066" s="24">
        <f t="shared" ca="1" si="826"/>
        <v>8606298.7253097165</v>
      </c>
      <c r="BH1066" s="24">
        <f t="shared" ca="1" si="827"/>
        <v>36.887378006159715</v>
      </c>
      <c r="BI1066">
        <f t="shared" ca="1" si="828"/>
        <v>0</v>
      </c>
      <c r="BJ1066" s="24">
        <f t="shared" ca="1" si="829"/>
        <v>258.21164604311798</v>
      </c>
      <c r="BK1066">
        <f t="shared" ca="1" si="830"/>
        <v>1</v>
      </c>
      <c r="BL1066" s="25">
        <f t="shared" ca="1" si="831"/>
        <v>21.517637170259835</v>
      </c>
      <c r="BM1066" s="32">
        <f t="shared" ca="1" si="810"/>
        <v>1430.8620753186651</v>
      </c>
      <c r="BN1066" s="23">
        <f t="shared" ca="1" si="832"/>
        <v>0</v>
      </c>
      <c r="BO1066" s="24">
        <f t="shared" ca="1" si="833"/>
        <v>0</v>
      </c>
      <c r="BP1066" s="25">
        <f t="shared" ca="1" si="834"/>
        <v>0</v>
      </c>
      <c r="BQ1066" s="34">
        <f t="shared" ca="1" si="835"/>
        <v>77857</v>
      </c>
      <c r="BR1066" s="23">
        <f t="shared" ca="1" si="836"/>
        <v>1430.8620753186651</v>
      </c>
      <c r="BS1066" s="24">
        <f t="shared" ca="1" si="837"/>
        <v>0</v>
      </c>
      <c r="BT1066" s="24">
        <f t="shared" ca="1" si="842"/>
        <v>0</v>
      </c>
      <c r="BU1066" s="24">
        <f t="shared" ca="1" si="838"/>
        <v>0</v>
      </c>
      <c r="BV1066" s="24">
        <f t="shared" ca="1" si="843"/>
        <v>0</v>
      </c>
      <c r="BW1066" s="24">
        <f t="shared" ca="1" si="839"/>
        <v>-21.517637170259835</v>
      </c>
      <c r="BX1066" s="25">
        <f t="shared" ca="1" si="844"/>
        <v>-275.9499816336529</v>
      </c>
      <c r="BY1066" s="23">
        <f t="shared" ca="1" si="811"/>
        <v>44.916466095695938</v>
      </c>
      <c r="BZ1066" s="24">
        <f t="shared" ca="1" si="812"/>
        <v>0</v>
      </c>
      <c r="CA1066" s="24">
        <f t="shared" ca="1" si="845"/>
        <v>0</v>
      </c>
      <c r="CB1066" s="24">
        <f t="shared" ca="1" si="813"/>
        <v>0</v>
      </c>
      <c r="CC1066" s="24">
        <f t="shared" ca="1" si="846"/>
        <v>0</v>
      </c>
      <c r="CD1066" s="24">
        <f t="shared" ca="1" si="814"/>
        <v>-0.67767557353676888</v>
      </c>
      <c r="CE1066" s="25">
        <f t="shared" ca="1" si="847"/>
        <v>-8.8526696116040053</v>
      </c>
      <c r="CF1066" s="23">
        <f t="shared" ca="1" si="848"/>
        <v>8385624.3990197228</v>
      </c>
      <c r="CG1066" s="25">
        <f t="array" aca="1" ref="CG1066" ca="1">SUM(BF1055:BF1066/(1+inflation/100)^(AP1055:AP1066/12))</f>
        <v>267980.53702225391</v>
      </c>
      <c r="CH1066" s="32">
        <f ca="1">IFERROR(IF(MOD(AP1066-ap_months_since_start,12)=0,ap_drawdown/100*(AQ1066+AV1066+BA1066-BC1066),CH1065),0)</f>
        <v>226.77492659960666</v>
      </c>
    </row>
    <row r="1067" spans="40:86" x14ac:dyDescent="0.25">
      <c r="AN1067" s="32">
        <f t="shared" ca="1" si="809"/>
        <v>143.16666666666666</v>
      </c>
      <c r="AO1067" s="53">
        <f t="shared" ca="1" si="840"/>
        <v>77858</v>
      </c>
      <c r="AP1067" s="22">
        <v>1060</v>
      </c>
      <c r="AQ1067" s="32">
        <f t="shared" ca="1" si="841"/>
        <v>1430.8620753186651</v>
      </c>
      <c r="AR1067" s="23">
        <f t="array" aca="1" ref="AR1067" ca="1">SUM(IF(lsc_start_date=AO1067,lsc_amount,0))</f>
        <v>0</v>
      </c>
      <c r="AS1067" s="24">
        <f t="shared" ca="1" si="815"/>
        <v>0</v>
      </c>
      <c r="AT1067" s="24">
        <f t="shared" ca="1" si="816"/>
        <v>0</v>
      </c>
      <c r="AU1067" s="24">
        <f t="shared" ca="1" si="817"/>
        <v>0</v>
      </c>
      <c r="AV1067" s="25">
        <f t="shared" ca="1" si="818"/>
        <v>0</v>
      </c>
      <c r="AW1067" s="23">
        <f t="array" aca="1" ref="AW1067" ca="1">SUM(IF(rcs_start_date&lt;=AO1067,1,0)*IF(rcs_end_date&gt;=AO1067,1,0)*rcs_amount*(1+rcs_escalation/100)^(INT((AP1067-rcs_months_since_start)/12))*IF(MOD((AP1067-rcs_months_since_start),rcs_frequency)=0,1,0)*IF(rcs_frequency=13,0,1))+SUM(IF(rcs_start_date=AO1067,rcs_amount,0)*IF(rcs_frequency=13,1,0))</f>
        <v>0</v>
      </c>
      <c r="AX1067" s="24">
        <f t="shared" ca="1" si="819"/>
        <v>0</v>
      </c>
      <c r="AY1067" s="24">
        <f t="shared" ca="1" si="820"/>
        <v>0</v>
      </c>
      <c r="AZ1067" s="24">
        <f t="shared" ca="1" si="821"/>
        <v>0</v>
      </c>
      <c r="BA1067" s="25">
        <f t="shared" ca="1" si="822"/>
        <v>0</v>
      </c>
      <c r="BB1067" s="23">
        <f t="array" aca="1" ref="BB1067" ca="1">SUM(IF(w_start_date&lt;=AO1067,1,0)*IF(w_end_date&gt;=AO1067,1,0)*w_amount*(1+w_escalation/100)^(INT((AP1067-w_months_since_start)/12))*IF(MOD(AP1067-w_months_since_start,w_frequency)=0,1,0)*IF(w_frequency=13,0,1))+SUM(IF(w_start_date=AO1067,w_amount,0)*IF(w_frequency=13,1,0))</f>
        <v>0</v>
      </c>
      <c r="BC1067" s="25">
        <f t="shared" ca="1" si="823"/>
        <v>0</v>
      </c>
      <c r="BD1067" s="24" t="b">
        <f t="shared" ca="1" si="824"/>
        <v>1</v>
      </c>
      <c r="BE1067" s="24" t="b">
        <f t="shared" ca="1" si="825"/>
        <v>1</v>
      </c>
      <c r="BF1067" s="23">
        <f t="array" aca="1" ref="BF1067" ca="1">SUM(IF(BD1067,1,0)*IF(ap_start_date&lt;=AO1067,1,0)*IF(ap_end_date&gt;=AO1067,1,0)*ap_amount*(1+ap_escalation/100)^(INT((AP1067-ap_months_since_start)/12))*IF(MOD(AP1067-ap_months_since_start,ap_frequency)=0,1,0))</f>
        <v>717191.56044247642</v>
      </c>
      <c r="BG1067" s="24">
        <f t="shared" ca="1" si="826"/>
        <v>8606298.7253097165</v>
      </c>
      <c r="BH1067" s="24">
        <f t="shared" ca="1" si="827"/>
        <v>36.887378006159715</v>
      </c>
      <c r="BI1067">
        <f t="shared" ca="1" si="828"/>
        <v>0</v>
      </c>
      <c r="BJ1067" s="24">
        <f t="shared" ca="1" si="829"/>
        <v>258.21164604311798</v>
      </c>
      <c r="BK1067">
        <f t="shared" ca="1" si="830"/>
        <v>1</v>
      </c>
      <c r="BL1067" s="25">
        <f t="shared" ca="1" si="831"/>
        <v>21.517637170259835</v>
      </c>
      <c r="BM1067" s="32">
        <f t="shared" ca="1" si="810"/>
        <v>1419.5020391779399</v>
      </c>
      <c r="BN1067" s="23">
        <f t="shared" ca="1" si="832"/>
        <v>0</v>
      </c>
      <c r="BO1067" s="24">
        <f t="shared" ca="1" si="833"/>
        <v>0</v>
      </c>
      <c r="BP1067" s="25">
        <f t="shared" ca="1" si="834"/>
        <v>0</v>
      </c>
      <c r="BQ1067" s="34">
        <f t="shared" ca="1" si="835"/>
        <v>77888</v>
      </c>
      <c r="BR1067" s="23">
        <f t="shared" ca="1" si="836"/>
        <v>1419.5020391779399</v>
      </c>
      <c r="BS1067" s="24">
        <f t="shared" ca="1" si="837"/>
        <v>0</v>
      </c>
      <c r="BT1067" s="24">
        <f t="shared" ca="1" si="842"/>
        <v>0</v>
      </c>
      <c r="BU1067" s="24">
        <f t="shared" ca="1" si="838"/>
        <v>0</v>
      </c>
      <c r="BV1067" s="24">
        <f t="shared" ca="1" si="843"/>
        <v>0</v>
      </c>
      <c r="BW1067" s="24">
        <f t="shared" ca="1" si="839"/>
        <v>-21.517637170259835</v>
      </c>
      <c r="BX1067" s="25">
        <f t="shared" ca="1" si="844"/>
        <v>-273.73268968483603</v>
      </c>
      <c r="BY1067" s="23">
        <f t="shared" ca="1" si="811"/>
        <v>44.41445963694418</v>
      </c>
      <c r="BZ1067" s="24">
        <f t="shared" ca="1" si="812"/>
        <v>0</v>
      </c>
      <c r="CA1067" s="24">
        <f t="shared" ca="1" si="845"/>
        <v>0</v>
      </c>
      <c r="CB1067" s="24">
        <f t="shared" ca="1" si="813"/>
        <v>0</v>
      </c>
      <c r="CC1067" s="24">
        <f t="shared" ca="1" si="846"/>
        <v>0</v>
      </c>
      <c r="CD1067" s="24">
        <f t="shared" ca="1" si="814"/>
        <v>-0.67546427925431995</v>
      </c>
      <c r="CE1067" s="25">
        <f t="shared" ca="1" si="847"/>
        <v>-8.7532634657153139</v>
      </c>
      <c r="CF1067" s="23">
        <f t="shared" ca="1" si="848"/>
        <v>8413208.6898059715</v>
      </c>
      <c r="CG1067" s="25">
        <f t="array" aca="1" ref="CG1067" ca="1">SUM(BF1056:BF1067/(1+inflation/100)^(AP1056:AP1067/12))</f>
        <v>267980.53702225385</v>
      </c>
      <c r="CH1067" s="32">
        <f ca="1">IFERROR(IF(MOD(AP1067-ap_months_since_start,12)=0,ap_drawdown/100*(AQ1067+AV1067+BA1067-BC1067),CH1066),0)</f>
        <v>226.77492659960666</v>
      </c>
    </row>
    <row r="1068" spans="40:86" x14ac:dyDescent="0.25">
      <c r="AN1068" s="32">
        <f t="shared" ca="1" si="809"/>
        <v>143.25</v>
      </c>
      <c r="AO1068" s="53">
        <f t="shared" ca="1" si="840"/>
        <v>77889</v>
      </c>
      <c r="AP1068" s="22">
        <v>1061</v>
      </c>
      <c r="AQ1068" s="32">
        <f t="shared" ca="1" si="841"/>
        <v>1419.5020391779399</v>
      </c>
      <c r="AR1068" s="23">
        <f t="array" aca="1" ref="AR1068" ca="1">SUM(IF(lsc_start_date=AO1068,lsc_amount,0))</f>
        <v>0</v>
      </c>
      <c r="AS1068" s="24">
        <f t="shared" ca="1" si="815"/>
        <v>0</v>
      </c>
      <c r="AT1068" s="24">
        <f t="shared" ca="1" si="816"/>
        <v>0</v>
      </c>
      <c r="AU1068" s="24">
        <f t="shared" ca="1" si="817"/>
        <v>0</v>
      </c>
      <c r="AV1068" s="25">
        <f t="shared" ca="1" si="818"/>
        <v>0</v>
      </c>
      <c r="AW1068" s="23">
        <f t="array" aca="1" ref="AW1068" ca="1">SUM(IF(rcs_start_date&lt;=AO1068,1,0)*IF(rcs_end_date&gt;=AO1068,1,0)*rcs_amount*(1+rcs_escalation/100)^(INT((AP1068-rcs_months_since_start)/12))*IF(MOD((AP1068-rcs_months_since_start),rcs_frequency)=0,1,0)*IF(rcs_frequency=13,0,1))+SUM(IF(rcs_start_date=AO1068,rcs_amount,0)*IF(rcs_frequency=13,1,0))</f>
        <v>0</v>
      </c>
      <c r="AX1068" s="24">
        <f t="shared" ca="1" si="819"/>
        <v>0</v>
      </c>
      <c r="AY1068" s="24">
        <f t="shared" ca="1" si="820"/>
        <v>0</v>
      </c>
      <c r="AZ1068" s="24">
        <f t="shared" ca="1" si="821"/>
        <v>0</v>
      </c>
      <c r="BA1068" s="25">
        <f t="shared" ca="1" si="822"/>
        <v>0</v>
      </c>
      <c r="BB1068" s="23">
        <f t="array" aca="1" ref="BB1068" ca="1">SUM(IF(w_start_date&lt;=AO1068,1,0)*IF(w_end_date&gt;=AO1068,1,0)*w_amount*(1+w_escalation/100)^(INT((AP1068-w_months_since_start)/12))*IF(MOD(AP1068-w_months_since_start,w_frequency)=0,1,0)*IF(w_frequency=13,0,1))+SUM(IF(w_start_date=AO1068,w_amount,0)*IF(w_frequency=13,1,0))</f>
        <v>0</v>
      </c>
      <c r="BC1068" s="25">
        <f t="shared" ca="1" si="823"/>
        <v>0</v>
      </c>
      <c r="BD1068" s="24" t="b">
        <f t="shared" ca="1" si="824"/>
        <v>1</v>
      </c>
      <c r="BE1068" s="24" t="b">
        <f t="shared" ca="1" si="825"/>
        <v>1</v>
      </c>
      <c r="BF1068" s="23">
        <f t="array" aca="1" ref="BF1068" ca="1">SUM(IF(BD1068,1,0)*IF(ap_start_date&lt;=AO1068,1,0)*IF(ap_end_date&gt;=AO1068,1,0)*ap_amount*(1+ap_escalation/100)^(INT((AP1068-ap_months_since_start)/12))*IF(MOD(AP1068-ap_months_since_start,ap_frequency)=0,1,0))</f>
        <v>717191.56044247642</v>
      </c>
      <c r="BG1068" s="24">
        <f t="shared" ca="1" si="826"/>
        <v>8606298.7253097165</v>
      </c>
      <c r="BH1068" s="24">
        <f t="shared" ca="1" si="827"/>
        <v>36.887378006159715</v>
      </c>
      <c r="BI1068">
        <f t="shared" ca="1" si="828"/>
        <v>0</v>
      </c>
      <c r="BJ1068" s="24">
        <f t="shared" ca="1" si="829"/>
        <v>258.21164604311798</v>
      </c>
      <c r="BK1068">
        <f t="shared" ca="1" si="830"/>
        <v>1</v>
      </c>
      <c r="BL1068" s="25">
        <f t="shared" ca="1" si="831"/>
        <v>21.517637170259835</v>
      </c>
      <c r="BM1068" s="32">
        <f t="shared" ca="1" si="810"/>
        <v>1408.0601275838656</v>
      </c>
      <c r="BN1068" s="23">
        <f t="shared" ca="1" si="832"/>
        <v>0</v>
      </c>
      <c r="BO1068" s="24">
        <f t="shared" ca="1" si="833"/>
        <v>0</v>
      </c>
      <c r="BP1068" s="25">
        <f t="shared" ca="1" si="834"/>
        <v>0</v>
      </c>
      <c r="BQ1068" s="34">
        <f t="shared" ca="1" si="835"/>
        <v>77918</v>
      </c>
      <c r="BR1068" s="23">
        <f t="shared" ca="1" si="836"/>
        <v>1408.0601275838656</v>
      </c>
      <c r="BS1068" s="24">
        <f t="shared" ca="1" si="837"/>
        <v>0</v>
      </c>
      <c r="BT1068" s="24">
        <f t="shared" ca="1" si="842"/>
        <v>0</v>
      </c>
      <c r="BU1068" s="24">
        <f t="shared" ca="1" si="838"/>
        <v>0</v>
      </c>
      <c r="BV1068" s="24">
        <f t="shared" ca="1" si="843"/>
        <v>0</v>
      </c>
      <c r="BW1068" s="24">
        <f t="shared" ca="1" si="839"/>
        <v>-21.517637170259835</v>
      </c>
      <c r="BX1068" s="25">
        <f t="shared" ca="1" si="844"/>
        <v>-271.51539773601917</v>
      </c>
      <c r="BY1068" s="23">
        <f t="shared" ca="1" si="811"/>
        <v>43.912697657700164</v>
      </c>
      <c r="BZ1068" s="24">
        <f t="shared" ca="1" si="812"/>
        <v>0</v>
      </c>
      <c r="CA1068" s="24">
        <f t="shared" ca="1" si="845"/>
        <v>0</v>
      </c>
      <c r="CB1068" s="24">
        <f t="shared" ca="1" si="813"/>
        <v>0</v>
      </c>
      <c r="CC1068" s="24">
        <f t="shared" ca="1" si="846"/>
        <v>0</v>
      </c>
      <c r="CD1068" s="24">
        <f t="shared" ca="1" si="814"/>
        <v>-0.67326020055200175</v>
      </c>
      <c r="CE1068" s="25">
        <f t="shared" ca="1" si="847"/>
        <v>-8.6541816877847264</v>
      </c>
      <c r="CF1068" s="23">
        <f t="shared" ca="1" si="848"/>
        <v>8440792.980592221</v>
      </c>
      <c r="CG1068" s="25">
        <f t="array" aca="1" ref="CG1068" ca="1">SUM(BF1057:BF1068/(1+inflation/100)^(AP1057:AP1068/12))</f>
        <v>267980.53702225391</v>
      </c>
      <c r="CH1068" s="32">
        <f ca="1">IFERROR(IF(MOD(AP1068-ap_months_since_start,12)=0,ap_drawdown/100*(AQ1068+AV1068+BA1068-BC1068),CH1067),0)</f>
        <v>226.77492659960666</v>
      </c>
    </row>
    <row r="1069" spans="40:86" x14ac:dyDescent="0.25">
      <c r="AN1069" s="32">
        <f t="shared" ca="1" si="809"/>
        <v>143.33333333333334</v>
      </c>
      <c r="AO1069" s="53">
        <f t="shared" ca="1" si="840"/>
        <v>77919</v>
      </c>
      <c r="AP1069" s="22">
        <v>1062</v>
      </c>
      <c r="AQ1069" s="32">
        <f t="shared" ca="1" si="841"/>
        <v>1408.0601275838656</v>
      </c>
      <c r="AR1069" s="23">
        <f t="array" aca="1" ref="AR1069" ca="1">SUM(IF(lsc_start_date=AO1069,lsc_amount,0))</f>
        <v>0</v>
      </c>
      <c r="AS1069" s="24">
        <f t="shared" ca="1" si="815"/>
        <v>0</v>
      </c>
      <c r="AT1069" s="24">
        <f t="shared" ca="1" si="816"/>
        <v>0</v>
      </c>
      <c r="AU1069" s="24">
        <f t="shared" ca="1" si="817"/>
        <v>0</v>
      </c>
      <c r="AV1069" s="25">
        <f t="shared" ca="1" si="818"/>
        <v>0</v>
      </c>
      <c r="AW1069" s="23">
        <f t="array" aca="1" ref="AW1069" ca="1">SUM(IF(rcs_start_date&lt;=AO1069,1,0)*IF(rcs_end_date&gt;=AO1069,1,0)*rcs_amount*(1+rcs_escalation/100)^(INT((AP1069-rcs_months_since_start)/12))*IF(MOD((AP1069-rcs_months_since_start),rcs_frequency)=0,1,0)*IF(rcs_frequency=13,0,1))+SUM(IF(rcs_start_date=AO1069,rcs_amount,0)*IF(rcs_frequency=13,1,0))</f>
        <v>0</v>
      </c>
      <c r="AX1069" s="24">
        <f t="shared" ca="1" si="819"/>
        <v>0</v>
      </c>
      <c r="AY1069" s="24">
        <f t="shared" ca="1" si="820"/>
        <v>0</v>
      </c>
      <c r="AZ1069" s="24">
        <f t="shared" ca="1" si="821"/>
        <v>0</v>
      </c>
      <c r="BA1069" s="25">
        <f t="shared" ca="1" si="822"/>
        <v>0</v>
      </c>
      <c r="BB1069" s="23">
        <f t="array" aca="1" ref="BB1069" ca="1">SUM(IF(w_start_date&lt;=AO1069,1,0)*IF(w_end_date&gt;=AO1069,1,0)*w_amount*(1+w_escalation/100)^(INT((AP1069-w_months_since_start)/12))*IF(MOD(AP1069-w_months_since_start,w_frequency)=0,1,0)*IF(w_frequency=13,0,1))+SUM(IF(w_start_date=AO1069,w_amount,0)*IF(w_frequency=13,1,0))</f>
        <v>0</v>
      </c>
      <c r="BC1069" s="25">
        <f t="shared" ca="1" si="823"/>
        <v>0</v>
      </c>
      <c r="BD1069" s="24" t="b">
        <f t="shared" ca="1" si="824"/>
        <v>1</v>
      </c>
      <c r="BE1069" s="24" t="b">
        <f t="shared" ca="1" si="825"/>
        <v>1</v>
      </c>
      <c r="BF1069" s="23">
        <f t="array" aca="1" ref="BF1069" ca="1">SUM(IF(BD1069,1,0)*IF(ap_start_date&lt;=AO1069,1,0)*IF(ap_end_date&gt;=AO1069,1,0)*ap_amount*(1+ap_escalation/100)^(INT((AP1069-ap_months_since_start)/12))*IF(MOD(AP1069-ap_months_since_start,ap_frequency)=0,1,0))</f>
        <v>717191.56044247642</v>
      </c>
      <c r="BG1069" s="24">
        <f t="shared" ca="1" si="826"/>
        <v>8606298.7253097165</v>
      </c>
      <c r="BH1069" s="24">
        <f t="shared" ca="1" si="827"/>
        <v>36.887378006159715</v>
      </c>
      <c r="BI1069">
        <f t="shared" ca="1" si="828"/>
        <v>0</v>
      </c>
      <c r="BJ1069" s="24">
        <f t="shared" ca="1" si="829"/>
        <v>258.21164604311798</v>
      </c>
      <c r="BK1069">
        <f t="shared" ca="1" si="830"/>
        <v>1</v>
      </c>
      <c r="BL1069" s="25">
        <f t="shared" ca="1" si="831"/>
        <v>21.517637170259835</v>
      </c>
      <c r="BM1069" s="32">
        <f t="shared" ca="1" si="810"/>
        <v>1396.535750433578</v>
      </c>
      <c r="BN1069" s="23">
        <f t="shared" ca="1" si="832"/>
        <v>0</v>
      </c>
      <c r="BO1069" s="24">
        <f t="shared" ca="1" si="833"/>
        <v>0</v>
      </c>
      <c r="BP1069" s="25">
        <f t="shared" ca="1" si="834"/>
        <v>0</v>
      </c>
      <c r="BQ1069" s="34">
        <f t="shared" ca="1" si="835"/>
        <v>77949</v>
      </c>
      <c r="BR1069" s="23">
        <f t="shared" ca="1" si="836"/>
        <v>1396.535750433578</v>
      </c>
      <c r="BS1069" s="24">
        <f t="shared" ca="1" si="837"/>
        <v>0</v>
      </c>
      <c r="BT1069" s="24">
        <f t="shared" ca="1" si="842"/>
        <v>0</v>
      </c>
      <c r="BU1069" s="24">
        <f t="shared" ca="1" si="838"/>
        <v>0</v>
      </c>
      <c r="BV1069" s="24">
        <f t="shared" ca="1" si="843"/>
        <v>0</v>
      </c>
      <c r="BW1069" s="24">
        <f t="shared" ca="1" si="839"/>
        <v>-21.517637170259835</v>
      </c>
      <c r="BX1069" s="25">
        <f t="shared" ca="1" si="844"/>
        <v>-269.2981057872023</v>
      </c>
      <c r="BY1069" s="23">
        <f t="shared" ca="1" si="811"/>
        <v>43.41117389627307</v>
      </c>
      <c r="BZ1069" s="24">
        <f t="shared" ca="1" si="812"/>
        <v>0</v>
      </c>
      <c r="CA1069" s="24">
        <f t="shared" ca="1" si="845"/>
        <v>0</v>
      </c>
      <c r="CB1069" s="24">
        <f t="shared" ca="1" si="813"/>
        <v>0</v>
      </c>
      <c r="CC1069" s="24">
        <f t="shared" ca="1" si="846"/>
        <v>0</v>
      </c>
      <c r="CD1069" s="24">
        <f t="shared" ca="1" si="814"/>
        <v>-0.67106331388496199</v>
      </c>
      <c r="CE1069" s="25">
        <f t="shared" ca="1" si="847"/>
        <v>-8.555423219380982</v>
      </c>
      <c r="CF1069" s="23">
        <f t="shared" ca="1" si="848"/>
        <v>8468377.2713784706</v>
      </c>
      <c r="CG1069" s="25">
        <f t="array" aca="1" ref="CG1069" ca="1">SUM(BF1058:BF1069/(1+inflation/100)^(AP1058:AP1069/12))</f>
        <v>267980.53702225385</v>
      </c>
      <c r="CH1069" s="32">
        <f ca="1">IFERROR(IF(MOD(AP1069-ap_months_since_start,12)=0,ap_drawdown/100*(AQ1069+AV1069+BA1069-BC1069),CH1068),0)</f>
        <v>226.77492659960666</v>
      </c>
    </row>
    <row r="1070" spans="40:86" x14ac:dyDescent="0.25">
      <c r="AN1070" s="32">
        <f t="shared" ca="1" si="809"/>
        <v>143.41666666666666</v>
      </c>
      <c r="AO1070" s="53">
        <f t="shared" ca="1" si="840"/>
        <v>77950</v>
      </c>
      <c r="AP1070" s="22">
        <v>1063</v>
      </c>
      <c r="AQ1070" s="32">
        <f t="shared" ca="1" si="841"/>
        <v>1396.535750433578</v>
      </c>
      <c r="AR1070" s="23">
        <f t="array" aca="1" ref="AR1070" ca="1">SUM(IF(lsc_start_date=AO1070,lsc_amount,0))</f>
        <v>0</v>
      </c>
      <c r="AS1070" s="24">
        <f t="shared" ca="1" si="815"/>
        <v>0</v>
      </c>
      <c r="AT1070" s="24">
        <f t="shared" ca="1" si="816"/>
        <v>0</v>
      </c>
      <c r="AU1070" s="24">
        <f t="shared" ca="1" si="817"/>
        <v>0</v>
      </c>
      <c r="AV1070" s="25">
        <f t="shared" ca="1" si="818"/>
        <v>0</v>
      </c>
      <c r="AW1070" s="23">
        <f t="array" aca="1" ref="AW1070" ca="1">SUM(IF(rcs_start_date&lt;=AO1070,1,0)*IF(rcs_end_date&gt;=AO1070,1,0)*rcs_amount*(1+rcs_escalation/100)^(INT((AP1070-rcs_months_since_start)/12))*IF(MOD((AP1070-rcs_months_since_start),rcs_frequency)=0,1,0)*IF(rcs_frequency=13,0,1))+SUM(IF(rcs_start_date=AO1070,rcs_amount,0)*IF(rcs_frequency=13,1,0))</f>
        <v>0</v>
      </c>
      <c r="AX1070" s="24">
        <f t="shared" ca="1" si="819"/>
        <v>0</v>
      </c>
      <c r="AY1070" s="24">
        <f t="shared" ca="1" si="820"/>
        <v>0</v>
      </c>
      <c r="AZ1070" s="24">
        <f t="shared" ca="1" si="821"/>
        <v>0</v>
      </c>
      <c r="BA1070" s="25">
        <f t="shared" ca="1" si="822"/>
        <v>0</v>
      </c>
      <c r="BB1070" s="23">
        <f t="array" aca="1" ref="BB1070" ca="1">SUM(IF(w_start_date&lt;=AO1070,1,0)*IF(w_end_date&gt;=AO1070,1,0)*w_amount*(1+w_escalation/100)^(INT((AP1070-w_months_since_start)/12))*IF(MOD(AP1070-w_months_since_start,w_frequency)=0,1,0)*IF(w_frequency=13,0,1))+SUM(IF(w_start_date=AO1070,w_amount,0)*IF(w_frequency=13,1,0))</f>
        <v>0</v>
      </c>
      <c r="BC1070" s="25">
        <f t="shared" ca="1" si="823"/>
        <v>0</v>
      </c>
      <c r="BD1070" s="24" t="b">
        <f t="shared" ca="1" si="824"/>
        <v>1</v>
      </c>
      <c r="BE1070" s="24" t="b">
        <f t="shared" ca="1" si="825"/>
        <v>1</v>
      </c>
      <c r="BF1070" s="23">
        <f t="array" aca="1" ref="BF1070" ca="1">SUM(IF(BD1070,1,0)*IF(ap_start_date&lt;=AO1070,1,0)*IF(ap_end_date&gt;=AO1070,1,0)*ap_amount*(1+ap_escalation/100)^(INT((AP1070-ap_months_since_start)/12))*IF(MOD(AP1070-ap_months_since_start,ap_frequency)=0,1,0))</f>
        <v>717191.56044247642</v>
      </c>
      <c r="BG1070" s="24">
        <f t="shared" ca="1" si="826"/>
        <v>8606298.7253097165</v>
      </c>
      <c r="BH1070" s="24">
        <f t="shared" ca="1" si="827"/>
        <v>36.887378006159715</v>
      </c>
      <c r="BI1070">
        <f t="shared" ca="1" si="828"/>
        <v>0</v>
      </c>
      <c r="BJ1070" s="24">
        <f t="shared" ca="1" si="829"/>
        <v>258.21164604311798</v>
      </c>
      <c r="BK1070">
        <f t="shared" ca="1" si="830"/>
        <v>1</v>
      </c>
      <c r="BL1070" s="25">
        <f t="shared" ca="1" si="831"/>
        <v>21.517637170259835</v>
      </c>
      <c r="BM1070" s="32">
        <f t="shared" ca="1" si="810"/>
        <v>1384.9283133711513</v>
      </c>
      <c r="BN1070" s="23">
        <f t="shared" ca="1" si="832"/>
        <v>0</v>
      </c>
      <c r="BO1070" s="24">
        <f t="shared" ca="1" si="833"/>
        <v>0</v>
      </c>
      <c r="BP1070" s="25">
        <f t="shared" ca="1" si="834"/>
        <v>0</v>
      </c>
      <c r="BQ1070" s="34">
        <f t="shared" ca="1" si="835"/>
        <v>77979</v>
      </c>
      <c r="BR1070" s="23">
        <f t="shared" ca="1" si="836"/>
        <v>1384.9283133711513</v>
      </c>
      <c r="BS1070" s="24">
        <f t="shared" ca="1" si="837"/>
        <v>0</v>
      </c>
      <c r="BT1070" s="24">
        <f t="shared" ca="1" si="842"/>
        <v>0</v>
      </c>
      <c r="BU1070" s="24">
        <f t="shared" ca="1" si="838"/>
        <v>0</v>
      </c>
      <c r="BV1070" s="24">
        <f t="shared" ca="1" si="843"/>
        <v>0</v>
      </c>
      <c r="BW1070" s="24">
        <f t="shared" ca="1" si="839"/>
        <v>-21.517637170259835</v>
      </c>
      <c r="BX1070" s="25">
        <f t="shared" ca="1" si="844"/>
        <v>-267.08081383838544</v>
      </c>
      <c r="BY1070" s="23">
        <f t="shared" ca="1" si="811"/>
        <v>42.909882089981494</v>
      </c>
      <c r="BZ1070" s="24">
        <f t="shared" ca="1" si="812"/>
        <v>0</v>
      </c>
      <c r="CA1070" s="24">
        <f t="shared" ca="1" si="845"/>
        <v>0</v>
      </c>
      <c r="CB1070" s="24">
        <f t="shared" ca="1" si="813"/>
        <v>0</v>
      </c>
      <c r="CC1070" s="24">
        <f t="shared" ca="1" si="846"/>
        <v>0</v>
      </c>
      <c r="CD1070" s="24">
        <f t="shared" ca="1" si="814"/>
        <v>-0.66887359578517769</v>
      </c>
      <c r="CE1070" s="25">
        <f t="shared" ca="1" si="847"/>
        <v>-8.456987005526539</v>
      </c>
      <c r="CF1070" s="23">
        <f t="shared" ca="1" si="848"/>
        <v>8495961.5621647201</v>
      </c>
      <c r="CG1070" s="25">
        <f t="array" aca="1" ref="CG1070" ca="1">SUM(BF1059:BF1070/(1+inflation/100)^(AP1059:AP1070/12))</f>
        <v>267980.53702225391</v>
      </c>
      <c r="CH1070" s="32">
        <f ca="1">IFERROR(IF(MOD(AP1070-ap_months_since_start,12)=0,ap_drawdown/100*(AQ1070+AV1070+BA1070-BC1070),CH1069),0)</f>
        <v>226.77492659960666</v>
      </c>
    </row>
    <row r="1071" spans="40:86" x14ac:dyDescent="0.25">
      <c r="AN1071" s="32">
        <f t="shared" ca="1" si="809"/>
        <v>143.5</v>
      </c>
      <c r="AO1071" s="53">
        <f t="shared" ca="1" si="840"/>
        <v>77980</v>
      </c>
      <c r="AP1071" s="22">
        <v>1064</v>
      </c>
      <c r="AQ1071" s="32">
        <f t="shared" ca="1" si="841"/>
        <v>1384.9283133711513</v>
      </c>
      <c r="AR1071" s="23">
        <f t="array" aca="1" ref="AR1071" ca="1">SUM(IF(lsc_start_date=AO1071,lsc_amount,0))</f>
        <v>0</v>
      </c>
      <c r="AS1071" s="24">
        <f t="shared" ca="1" si="815"/>
        <v>0</v>
      </c>
      <c r="AT1071" s="24">
        <f t="shared" ca="1" si="816"/>
        <v>0</v>
      </c>
      <c r="AU1071" s="24">
        <f t="shared" ca="1" si="817"/>
        <v>0</v>
      </c>
      <c r="AV1071" s="25">
        <f t="shared" ca="1" si="818"/>
        <v>0</v>
      </c>
      <c r="AW1071" s="23">
        <f t="array" aca="1" ref="AW1071" ca="1">SUM(IF(rcs_start_date&lt;=AO1071,1,0)*IF(rcs_end_date&gt;=AO1071,1,0)*rcs_amount*(1+rcs_escalation/100)^(INT((AP1071-rcs_months_since_start)/12))*IF(MOD((AP1071-rcs_months_since_start),rcs_frequency)=0,1,0)*IF(rcs_frequency=13,0,1))+SUM(IF(rcs_start_date=AO1071,rcs_amount,0)*IF(rcs_frequency=13,1,0))</f>
        <v>0</v>
      </c>
      <c r="AX1071" s="24">
        <f t="shared" ca="1" si="819"/>
        <v>0</v>
      </c>
      <c r="AY1071" s="24">
        <f t="shared" ca="1" si="820"/>
        <v>0</v>
      </c>
      <c r="AZ1071" s="24">
        <f t="shared" ca="1" si="821"/>
        <v>0</v>
      </c>
      <c r="BA1071" s="25">
        <f t="shared" ca="1" si="822"/>
        <v>0</v>
      </c>
      <c r="BB1071" s="23">
        <f t="array" aca="1" ref="BB1071" ca="1">SUM(IF(w_start_date&lt;=AO1071,1,0)*IF(w_end_date&gt;=AO1071,1,0)*w_amount*(1+w_escalation/100)^(INT((AP1071-w_months_since_start)/12))*IF(MOD(AP1071-w_months_since_start,w_frequency)=0,1,0)*IF(w_frequency=13,0,1))+SUM(IF(w_start_date=AO1071,w_amount,0)*IF(w_frequency=13,1,0))</f>
        <v>0</v>
      </c>
      <c r="BC1071" s="25">
        <f t="shared" ca="1" si="823"/>
        <v>0</v>
      </c>
      <c r="BD1071" s="24" t="b">
        <f t="shared" ca="1" si="824"/>
        <v>1</v>
      </c>
      <c r="BE1071" s="24" t="b">
        <f t="shared" ca="1" si="825"/>
        <v>1</v>
      </c>
      <c r="BF1071" s="23">
        <f t="array" aca="1" ref="BF1071" ca="1">SUM(IF(BD1071,1,0)*IF(ap_start_date&lt;=AO1071,1,0)*IF(ap_end_date&gt;=AO1071,1,0)*ap_amount*(1+ap_escalation/100)^(INT((AP1071-ap_months_since_start)/12))*IF(MOD(AP1071-ap_months_since_start,ap_frequency)=0,1,0))</f>
        <v>717191.56044247642</v>
      </c>
      <c r="BG1071" s="24">
        <f t="shared" ca="1" si="826"/>
        <v>8606298.7253097165</v>
      </c>
      <c r="BH1071" s="24">
        <f t="shared" ca="1" si="827"/>
        <v>36.887378006159715</v>
      </c>
      <c r="BI1071">
        <f t="shared" ca="1" si="828"/>
        <v>0</v>
      </c>
      <c r="BJ1071" s="24">
        <f t="shared" ca="1" si="829"/>
        <v>258.21164604311798</v>
      </c>
      <c r="BK1071">
        <f t="shared" ca="1" si="830"/>
        <v>1</v>
      </c>
      <c r="BL1071" s="25">
        <f t="shared" ca="1" si="831"/>
        <v>21.517637170259835</v>
      </c>
      <c r="BM1071" s="32">
        <f t="shared" ca="1" si="810"/>
        <v>1373.2372177569439</v>
      </c>
      <c r="BN1071" s="23">
        <f t="shared" ca="1" si="832"/>
        <v>0</v>
      </c>
      <c r="BO1071" s="24">
        <f t="shared" ca="1" si="833"/>
        <v>0</v>
      </c>
      <c r="BP1071" s="25">
        <f t="shared" ca="1" si="834"/>
        <v>0</v>
      </c>
      <c r="BQ1071" s="34">
        <f t="shared" ca="1" si="835"/>
        <v>78010</v>
      </c>
      <c r="BR1071" s="23">
        <f t="shared" ca="1" si="836"/>
        <v>1373.2372177569439</v>
      </c>
      <c r="BS1071" s="24">
        <f t="shared" ca="1" si="837"/>
        <v>0</v>
      </c>
      <c r="BT1071" s="24">
        <f t="shared" ca="1" si="842"/>
        <v>0</v>
      </c>
      <c r="BU1071" s="24">
        <f t="shared" ca="1" si="838"/>
        <v>0</v>
      </c>
      <c r="BV1071" s="24">
        <f t="shared" ca="1" si="843"/>
        <v>0</v>
      </c>
      <c r="BW1071" s="24">
        <f t="shared" ca="1" si="839"/>
        <v>-21.517637170259835</v>
      </c>
      <c r="BX1071" s="25">
        <f t="shared" ca="1" si="844"/>
        <v>-264.86352188956857</v>
      </c>
      <c r="BY1071" s="23">
        <f t="shared" ca="1" si="811"/>
        <v>42.408815975072805</v>
      </c>
      <c r="BZ1071" s="24">
        <f t="shared" ca="1" si="812"/>
        <v>0</v>
      </c>
      <c r="CA1071" s="24">
        <f t="shared" ca="1" si="845"/>
        <v>0</v>
      </c>
      <c r="CB1071" s="24">
        <f t="shared" ca="1" si="813"/>
        <v>0</v>
      </c>
      <c r="CC1071" s="24">
        <f t="shared" ca="1" si="846"/>
        <v>0</v>
      </c>
      <c r="CD1071" s="24">
        <f t="shared" ca="1" si="814"/>
        <v>-0.66669102286120241</v>
      </c>
      <c r="CE1071" s="25">
        <f t="shared" ca="1" si="847"/>
        <v>-8.3588719946863161</v>
      </c>
      <c r="CF1071" s="23">
        <f t="shared" ca="1" si="848"/>
        <v>8523545.8529509697</v>
      </c>
      <c r="CG1071" s="25">
        <f t="array" aca="1" ref="CG1071" ca="1">SUM(BF1060:BF1071/(1+inflation/100)^(AP1060:AP1071/12))</f>
        <v>267980.53702225391</v>
      </c>
      <c r="CH1071" s="32">
        <f ca="1">IFERROR(IF(MOD(AP1071-ap_months_since_start,12)=0,ap_drawdown/100*(AQ1071+AV1071+BA1071-BC1071),CH1070),0)</f>
        <v>226.77492659960666</v>
      </c>
    </row>
    <row r="1072" spans="40:86" x14ac:dyDescent="0.25">
      <c r="AN1072" s="32">
        <f t="shared" ca="1" si="809"/>
        <v>143.58333333333334</v>
      </c>
      <c r="AO1072" s="53">
        <f t="shared" ca="1" si="840"/>
        <v>78011</v>
      </c>
      <c r="AP1072" s="22">
        <v>1065</v>
      </c>
      <c r="AQ1072" s="32">
        <f t="shared" ca="1" si="841"/>
        <v>1373.2372177569439</v>
      </c>
      <c r="AR1072" s="23">
        <f t="array" aca="1" ref="AR1072" ca="1">SUM(IF(lsc_start_date=AO1072,lsc_amount,0))</f>
        <v>0</v>
      </c>
      <c r="AS1072" s="24">
        <f t="shared" ca="1" si="815"/>
        <v>0</v>
      </c>
      <c r="AT1072" s="24">
        <f t="shared" ca="1" si="816"/>
        <v>0</v>
      </c>
      <c r="AU1072" s="24">
        <f t="shared" ca="1" si="817"/>
        <v>0</v>
      </c>
      <c r="AV1072" s="25">
        <f t="shared" ca="1" si="818"/>
        <v>0</v>
      </c>
      <c r="AW1072" s="23">
        <f t="array" aca="1" ref="AW1072" ca="1">SUM(IF(rcs_start_date&lt;=AO1072,1,0)*IF(rcs_end_date&gt;=AO1072,1,0)*rcs_amount*(1+rcs_escalation/100)^(INT((AP1072-rcs_months_since_start)/12))*IF(MOD((AP1072-rcs_months_since_start),rcs_frequency)=0,1,0)*IF(rcs_frequency=13,0,1))+SUM(IF(rcs_start_date=AO1072,rcs_amount,0)*IF(rcs_frequency=13,1,0))</f>
        <v>0</v>
      </c>
      <c r="AX1072" s="24">
        <f t="shared" ca="1" si="819"/>
        <v>0</v>
      </c>
      <c r="AY1072" s="24">
        <f t="shared" ca="1" si="820"/>
        <v>0</v>
      </c>
      <c r="AZ1072" s="24">
        <f t="shared" ca="1" si="821"/>
        <v>0</v>
      </c>
      <c r="BA1072" s="25">
        <f t="shared" ca="1" si="822"/>
        <v>0</v>
      </c>
      <c r="BB1072" s="23">
        <f t="array" aca="1" ref="BB1072" ca="1">SUM(IF(w_start_date&lt;=AO1072,1,0)*IF(w_end_date&gt;=AO1072,1,0)*w_amount*(1+w_escalation/100)^(INT((AP1072-w_months_since_start)/12))*IF(MOD(AP1072-w_months_since_start,w_frequency)=0,1,0)*IF(w_frequency=13,0,1))+SUM(IF(w_start_date=AO1072,w_amount,0)*IF(w_frequency=13,1,0))</f>
        <v>0</v>
      </c>
      <c r="BC1072" s="25">
        <f t="shared" ca="1" si="823"/>
        <v>0</v>
      </c>
      <c r="BD1072" s="24" t="b">
        <f t="shared" ca="1" si="824"/>
        <v>1</v>
      </c>
      <c r="BE1072" s="24" t="b">
        <f t="shared" ca="1" si="825"/>
        <v>1</v>
      </c>
      <c r="BF1072" s="23">
        <f t="array" aca="1" ref="BF1072" ca="1">SUM(IF(BD1072,1,0)*IF(ap_start_date&lt;=AO1072,1,0)*IF(ap_end_date&gt;=AO1072,1,0)*ap_amount*(1+ap_escalation/100)^(INT((AP1072-ap_months_since_start)/12))*IF(MOD(AP1072-ap_months_since_start,ap_frequency)=0,1,0))</f>
        <v>717191.56044247642</v>
      </c>
      <c r="BG1072" s="24">
        <f t="shared" ca="1" si="826"/>
        <v>8606298.7253097165</v>
      </c>
      <c r="BH1072" s="24">
        <f t="shared" ca="1" si="827"/>
        <v>36.887378006159715</v>
      </c>
      <c r="BI1072">
        <f t="shared" ca="1" si="828"/>
        <v>0</v>
      </c>
      <c r="BJ1072" s="24">
        <f t="shared" ca="1" si="829"/>
        <v>258.21164604311798</v>
      </c>
      <c r="BK1072">
        <f t="shared" ca="1" si="830"/>
        <v>1</v>
      </c>
      <c r="BL1072" s="25">
        <f t="shared" ca="1" si="831"/>
        <v>21.517637170259835</v>
      </c>
      <c r="BM1072" s="32">
        <f t="shared" ca="1" si="810"/>
        <v>1361.4618606367251</v>
      </c>
      <c r="BN1072" s="23">
        <f t="shared" ca="1" si="832"/>
        <v>0</v>
      </c>
      <c r="BO1072" s="24">
        <f t="shared" ca="1" si="833"/>
        <v>0</v>
      </c>
      <c r="BP1072" s="25">
        <f t="shared" ca="1" si="834"/>
        <v>0</v>
      </c>
      <c r="BQ1072" s="34">
        <f t="shared" ca="1" si="835"/>
        <v>78041</v>
      </c>
      <c r="BR1072" s="23">
        <f t="shared" ca="1" si="836"/>
        <v>1361.4618606367251</v>
      </c>
      <c r="BS1072" s="24">
        <f t="shared" ca="1" si="837"/>
        <v>0</v>
      </c>
      <c r="BT1072" s="24">
        <f t="shared" ca="1" si="842"/>
        <v>0</v>
      </c>
      <c r="BU1072" s="24">
        <f t="shared" ca="1" si="838"/>
        <v>0</v>
      </c>
      <c r="BV1072" s="24">
        <f t="shared" ca="1" si="843"/>
        <v>0</v>
      </c>
      <c r="BW1072" s="24">
        <f t="shared" ca="1" si="839"/>
        <v>-21.517637170259835</v>
      </c>
      <c r="BX1072" s="25">
        <f t="shared" ca="1" si="844"/>
        <v>-262.64622994075171</v>
      </c>
      <c r="BY1072" s="23">
        <f t="shared" ca="1" si="811"/>
        <v>41.907969286642391</v>
      </c>
      <c r="BZ1072" s="24">
        <f t="shared" ca="1" si="812"/>
        <v>0</v>
      </c>
      <c r="CA1072" s="24">
        <f t="shared" ca="1" si="845"/>
        <v>0</v>
      </c>
      <c r="CB1072" s="24">
        <f t="shared" ca="1" si="813"/>
        <v>0</v>
      </c>
      <c r="CC1072" s="24">
        <f t="shared" ca="1" si="846"/>
        <v>0</v>
      </c>
      <c r="CD1072" s="24">
        <f t="shared" ca="1" si="814"/>
        <v>-0.66451557179791654</v>
      </c>
      <c r="CE1072" s="25">
        <f t="shared" ca="1" si="847"/>
        <v>-8.2610771387564448</v>
      </c>
      <c r="CF1072" s="23">
        <f t="shared" ca="1" si="848"/>
        <v>8551130.1437372193</v>
      </c>
      <c r="CG1072" s="25">
        <f t="array" aca="1" ref="CG1072" ca="1">SUM(BF1061:BF1072/(1+inflation/100)^(AP1061:AP1072/12))</f>
        <v>267980.53702225391</v>
      </c>
      <c r="CH1072" s="32">
        <f ca="1">IFERROR(IF(MOD(AP1072-ap_months_since_start,12)=0,ap_drawdown/100*(AQ1072+AV1072+BA1072-BC1072),CH1071),0)</f>
        <v>226.77492659960666</v>
      </c>
    </row>
    <row r="1073" spans="40:86" x14ac:dyDescent="0.25">
      <c r="AN1073" s="32">
        <f t="shared" ca="1" si="809"/>
        <v>143.66666666666666</v>
      </c>
      <c r="AO1073" s="53">
        <f t="shared" ca="1" si="840"/>
        <v>78042</v>
      </c>
      <c r="AP1073" s="22">
        <v>1066</v>
      </c>
      <c r="AQ1073" s="32">
        <f t="shared" ca="1" si="841"/>
        <v>1361.4618606367251</v>
      </c>
      <c r="AR1073" s="23">
        <f t="array" aca="1" ref="AR1073" ca="1">SUM(IF(lsc_start_date=AO1073,lsc_amount,0))</f>
        <v>0</v>
      </c>
      <c r="AS1073" s="24">
        <f t="shared" ca="1" si="815"/>
        <v>0</v>
      </c>
      <c r="AT1073" s="24">
        <f t="shared" ca="1" si="816"/>
        <v>0</v>
      </c>
      <c r="AU1073" s="24">
        <f t="shared" ca="1" si="817"/>
        <v>0</v>
      </c>
      <c r="AV1073" s="25">
        <f t="shared" ca="1" si="818"/>
        <v>0</v>
      </c>
      <c r="AW1073" s="23">
        <f t="array" aca="1" ref="AW1073" ca="1">SUM(IF(rcs_start_date&lt;=AO1073,1,0)*IF(rcs_end_date&gt;=AO1073,1,0)*rcs_amount*(1+rcs_escalation/100)^(INT((AP1073-rcs_months_since_start)/12))*IF(MOD((AP1073-rcs_months_since_start),rcs_frequency)=0,1,0)*IF(rcs_frequency=13,0,1))+SUM(IF(rcs_start_date=AO1073,rcs_amount,0)*IF(rcs_frequency=13,1,0))</f>
        <v>0</v>
      </c>
      <c r="AX1073" s="24">
        <f t="shared" ca="1" si="819"/>
        <v>0</v>
      </c>
      <c r="AY1073" s="24">
        <f t="shared" ca="1" si="820"/>
        <v>0</v>
      </c>
      <c r="AZ1073" s="24">
        <f t="shared" ca="1" si="821"/>
        <v>0</v>
      </c>
      <c r="BA1073" s="25">
        <f t="shared" ca="1" si="822"/>
        <v>0</v>
      </c>
      <c r="BB1073" s="23">
        <f t="array" aca="1" ref="BB1073" ca="1">SUM(IF(w_start_date&lt;=AO1073,1,0)*IF(w_end_date&gt;=AO1073,1,0)*w_amount*(1+w_escalation/100)^(INT((AP1073-w_months_since_start)/12))*IF(MOD(AP1073-w_months_since_start,w_frequency)=0,1,0)*IF(w_frequency=13,0,1))+SUM(IF(w_start_date=AO1073,w_amount,0)*IF(w_frequency=13,1,0))</f>
        <v>0</v>
      </c>
      <c r="BC1073" s="25">
        <f t="shared" ca="1" si="823"/>
        <v>0</v>
      </c>
      <c r="BD1073" s="24" t="b">
        <f t="shared" ca="1" si="824"/>
        <v>1</v>
      </c>
      <c r="BE1073" s="24" t="b">
        <f t="shared" ca="1" si="825"/>
        <v>1</v>
      </c>
      <c r="BF1073" s="23">
        <f t="array" aca="1" ref="BF1073" ca="1">SUM(IF(BD1073,1,0)*IF(ap_start_date&lt;=AO1073,1,0)*IF(ap_end_date&gt;=AO1073,1,0)*ap_amount*(1+ap_escalation/100)^(INT((AP1073-ap_months_since_start)/12))*IF(MOD(AP1073-ap_months_since_start,ap_frequency)=0,1,0))</f>
        <v>717191.56044247642</v>
      </c>
      <c r="BG1073" s="24">
        <f t="shared" ca="1" si="826"/>
        <v>8606298.7253097165</v>
      </c>
      <c r="BH1073" s="24">
        <f t="shared" ca="1" si="827"/>
        <v>36.887378006159715</v>
      </c>
      <c r="BI1073">
        <f t="shared" ca="1" si="828"/>
        <v>0</v>
      </c>
      <c r="BJ1073" s="24">
        <f t="shared" ca="1" si="829"/>
        <v>258.21164604311798</v>
      </c>
      <c r="BK1073">
        <f t="shared" ca="1" si="830"/>
        <v>1</v>
      </c>
      <c r="BL1073" s="25">
        <f t="shared" ca="1" si="831"/>
        <v>21.517637170259835</v>
      </c>
      <c r="BM1073" s="32">
        <f t="shared" ca="1" si="810"/>
        <v>1349.6016347105779</v>
      </c>
      <c r="BN1073" s="23">
        <f t="shared" ca="1" si="832"/>
        <v>0</v>
      </c>
      <c r="BO1073" s="24">
        <f t="shared" ca="1" si="833"/>
        <v>0</v>
      </c>
      <c r="BP1073" s="25">
        <f t="shared" ca="1" si="834"/>
        <v>0</v>
      </c>
      <c r="BQ1073" s="34">
        <f t="shared" ca="1" si="835"/>
        <v>78071</v>
      </c>
      <c r="BR1073" s="23">
        <f t="shared" ca="1" si="836"/>
        <v>1349.6016347105779</v>
      </c>
      <c r="BS1073" s="24">
        <f t="shared" ca="1" si="837"/>
        <v>0</v>
      </c>
      <c r="BT1073" s="24">
        <f t="shared" ca="1" si="842"/>
        <v>0</v>
      </c>
      <c r="BU1073" s="24">
        <f t="shared" ca="1" si="838"/>
        <v>0</v>
      </c>
      <c r="BV1073" s="24">
        <f t="shared" ca="1" si="843"/>
        <v>0</v>
      </c>
      <c r="BW1073" s="24">
        <f t="shared" ca="1" si="839"/>
        <v>-21.517637170259835</v>
      </c>
      <c r="BX1073" s="25">
        <f t="shared" ca="1" si="844"/>
        <v>-260.42893799193484</v>
      </c>
      <c r="BY1073" s="23">
        <f t="shared" ca="1" si="811"/>
        <v>41.407335758552598</v>
      </c>
      <c r="BZ1073" s="24">
        <f t="shared" ca="1" si="812"/>
        <v>0</v>
      </c>
      <c r="CA1073" s="24">
        <f t="shared" ca="1" si="845"/>
        <v>0</v>
      </c>
      <c r="CB1073" s="24">
        <f t="shared" ca="1" si="813"/>
        <v>0</v>
      </c>
      <c r="CC1073" s="24">
        <f t="shared" ca="1" si="846"/>
        <v>0</v>
      </c>
      <c r="CD1073" s="24">
        <f t="shared" ca="1" si="814"/>
        <v>-0.66234721935628138</v>
      </c>
      <c r="CE1073" s="25">
        <f t="shared" ca="1" si="847"/>
        <v>-8.1636013930530833</v>
      </c>
      <c r="CF1073" s="23">
        <f t="shared" ca="1" si="848"/>
        <v>8578714.4345234688</v>
      </c>
      <c r="CG1073" s="25">
        <f t="array" aca="1" ref="CG1073" ca="1">SUM(BF1062:BF1073/(1+inflation/100)^(AP1062:AP1073/12))</f>
        <v>267980.53702225391</v>
      </c>
      <c r="CH1073" s="32">
        <f ca="1">IFERROR(IF(MOD(AP1073-ap_months_since_start,12)=0,ap_drawdown/100*(AQ1073+AV1073+BA1073-BC1073),CH1072),0)</f>
        <v>226.77492659960666</v>
      </c>
    </row>
    <row r="1074" spans="40:86" x14ac:dyDescent="0.25">
      <c r="AN1074" s="32">
        <f t="shared" ca="1" si="809"/>
        <v>143.75</v>
      </c>
      <c r="AO1074" s="53">
        <f t="shared" ca="1" si="840"/>
        <v>78072</v>
      </c>
      <c r="AP1074" s="22">
        <v>1067</v>
      </c>
      <c r="AQ1074" s="32">
        <f t="shared" ca="1" si="841"/>
        <v>1349.6016347105779</v>
      </c>
      <c r="AR1074" s="23">
        <f t="array" aca="1" ref="AR1074" ca="1">SUM(IF(lsc_start_date=AO1074,lsc_amount,0))</f>
        <v>0</v>
      </c>
      <c r="AS1074" s="24">
        <f t="shared" ca="1" si="815"/>
        <v>0</v>
      </c>
      <c r="AT1074" s="24">
        <f t="shared" ca="1" si="816"/>
        <v>0</v>
      </c>
      <c r="AU1074" s="24">
        <f t="shared" ca="1" si="817"/>
        <v>0</v>
      </c>
      <c r="AV1074" s="25">
        <f t="shared" ca="1" si="818"/>
        <v>0</v>
      </c>
      <c r="AW1074" s="23">
        <f t="array" aca="1" ref="AW1074" ca="1">SUM(IF(rcs_start_date&lt;=AO1074,1,0)*IF(rcs_end_date&gt;=AO1074,1,0)*rcs_amount*(1+rcs_escalation/100)^(INT((AP1074-rcs_months_since_start)/12))*IF(MOD((AP1074-rcs_months_since_start),rcs_frequency)=0,1,0)*IF(rcs_frequency=13,0,1))+SUM(IF(rcs_start_date=AO1074,rcs_amount,0)*IF(rcs_frequency=13,1,0))</f>
        <v>0</v>
      </c>
      <c r="AX1074" s="24">
        <f t="shared" ca="1" si="819"/>
        <v>0</v>
      </c>
      <c r="AY1074" s="24">
        <f t="shared" ca="1" si="820"/>
        <v>0</v>
      </c>
      <c r="AZ1074" s="24">
        <f t="shared" ca="1" si="821"/>
        <v>0</v>
      </c>
      <c r="BA1074" s="25">
        <f t="shared" ca="1" si="822"/>
        <v>0</v>
      </c>
      <c r="BB1074" s="23">
        <f t="array" aca="1" ref="BB1074" ca="1">SUM(IF(w_start_date&lt;=AO1074,1,0)*IF(w_end_date&gt;=AO1074,1,0)*w_amount*(1+w_escalation/100)^(INT((AP1074-w_months_since_start)/12))*IF(MOD(AP1074-w_months_since_start,w_frequency)=0,1,0)*IF(w_frequency=13,0,1))+SUM(IF(w_start_date=AO1074,w_amount,0)*IF(w_frequency=13,1,0))</f>
        <v>0</v>
      </c>
      <c r="BC1074" s="25">
        <f t="shared" ca="1" si="823"/>
        <v>0</v>
      </c>
      <c r="BD1074" s="24" t="b">
        <f t="shared" ca="1" si="824"/>
        <v>1</v>
      </c>
      <c r="BE1074" s="24" t="b">
        <f t="shared" ca="1" si="825"/>
        <v>1</v>
      </c>
      <c r="BF1074" s="23">
        <f t="array" aca="1" ref="BF1074" ca="1">SUM(IF(BD1074,1,0)*IF(ap_start_date&lt;=AO1074,1,0)*IF(ap_end_date&gt;=AO1074,1,0)*ap_amount*(1+ap_escalation/100)^(INT((AP1074-ap_months_since_start)/12))*IF(MOD(AP1074-ap_months_since_start,ap_frequency)=0,1,0))</f>
        <v>717191.56044247642</v>
      </c>
      <c r="BG1074" s="24">
        <f t="shared" ca="1" si="826"/>
        <v>8606298.7253097165</v>
      </c>
      <c r="BH1074" s="24">
        <f t="shared" ca="1" si="827"/>
        <v>36.887378006159715</v>
      </c>
      <c r="BI1074">
        <f t="shared" ca="1" si="828"/>
        <v>0</v>
      </c>
      <c r="BJ1074" s="24">
        <f t="shared" ca="1" si="829"/>
        <v>258.21164604311798</v>
      </c>
      <c r="BK1074">
        <f t="shared" ca="1" si="830"/>
        <v>1</v>
      </c>
      <c r="BL1074" s="25">
        <f t="shared" ca="1" si="831"/>
        <v>21.517637170259835</v>
      </c>
      <c r="BM1074" s="32">
        <f t="shared" ca="1" si="810"/>
        <v>1337.6559283015783</v>
      </c>
      <c r="BN1074" s="23">
        <f t="shared" ca="1" si="832"/>
        <v>0</v>
      </c>
      <c r="BO1074" s="24">
        <f t="shared" ca="1" si="833"/>
        <v>0</v>
      </c>
      <c r="BP1074" s="25">
        <f t="shared" ca="1" si="834"/>
        <v>0</v>
      </c>
      <c r="BQ1074" s="34">
        <f t="shared" ca="1" si="835"/>
        <v>78102</v>
      </c>
      <c r="BR1074" s="23">
        <f t="shared" ca="1" si="836"/>
        <v>1337.6559283015783</v>
      </c>
      <c r="BS1074" s="24">
        <f t="shared" ca="1" si="837"/>
        <v>0</v>
      </c>
      <c r="BT1074" s="24">
        <f t="shared" ca="1" si="842"/>
        <v>0</v>
      </c>
      <c r="BU1074" s="24">
        <f t="shared" ca="1" si="838"/>
        <v>0</v>
      </c>
      <c r="BV1074" s="24">
        <f t="shared" ca="1" si="843"/>
        <v>0</v>
      </c>
      <c r="BW1074" s="24">
        <f t="shared" ca="1" si="839"/>
        <v>-21.517637170259835</v>
      </c>
      <c r="BX1074" s="25">
        <f t="shared" ca="1" si="844"/>
        <v>-258.21164604311804</v>
      </c>
      <c r="BY1074" s="23">
        <f t="shared" ca="1" si="811"/>
        <v>40.906909123351852</v>
      </c>
      <c r="BZ1074" s="24">
        <f t="shared" ca="1" si="812"/>
        <v>0</v>
      </c>
      <c r="CA1074" s="24">
        <f t="shared" ca="1" si="845"/>
        <v>0</v>
      </c>
      <c r="CB1074" s="24">
        <f t="shared" ca="1" si="813"/>
        <v>0</v>
      </c>
      <c r="CC1074" s="24">
        <f t="shared" ca="1" si="846"/>
        <v>0</v>
      </c>
      <c r="CD1074" s="24">
        <f t="shared" ca="1" si="814"/>
        <v>-0.66018594237308625</v>
      </c>
      <c r="CE1074" s="25">
        <f t="shared" ca="1" si="847"/>
        <v>-8.0664437163012472</v>
      </c>
      <c r="CF1074" s="23">
        <f t="shared" ca="1" si="848"/>
        <v>8606298.7253097165</v>
      </c>
      <c r="CG1074" s="25">
        <f t="array" aca="1" ref="CG1074" ca="1">SUM(BF1063:BF1074/(1+inflation/100)^(AP1063:AP1074/12))</f>
        <v>267980.53702225391</v>
      </c>
      <c r="CH1074" s="32">
        <f ca="1">IFERROR(IF(MOD(AP1074-ap_months_since_start,12)=0,ap_drawdown/100*(AQ1074+AV1074+BA1074-BC1074),CH1073),0)</f>
        <v>226.77492659960666</v>
      </c>
    </row>
    <row r="1075" spans="40:86" x14ac:dyDescent="0.25">
      <c r="AN1075" s="32">
        <f t="shared" ca="1" si="809"/>
        <v>143.83333333333334</v>
      </c>
      <c r="AO1075" s="53">
        <f t="shared" ca="1" si="840"/>
        <v>78103</v>
      </c>
      <c r="AP1075" s="22">
        <v>1068</v>
      </c>
      <c r="AQ1075" s="32">
        <f t="shared" ca="1" si="841"/>
        <v>1337.6559283015783</v>
      </c>
      <c r="AR1075" s="23">
        <f t="array" aca="1" ref="AR1075" ca="1">SUM(IF(lsc_start_date=AO1075,lsc_amount,0))</f>
        <v>0</v>
      </c>
      <c r="AS1075" s="24">
        <f t="shared" ca="1" si="815"/>
        <v>0</v>
      </c>
      <c r="AT1075" s="24">
        <f t="shared" ca="1" si="816"/>
        <v>0</v>
      </c>
      <c r="AU1075" s="24">
        <f t="shared" ca="1" si="817"/>
        <v>0</v>
      </c>
      <c r="AV1075" s="25">
        <f t="shared" ca="1" si="818"/>
        <v>0</v>
      </c>
      <c r="AW1075" s="23">
        <f t="array" aca="1" ref="AW1075" ca="1">SUM(IF(rcs_start_date&lt;=AO1075,1,0)*IF(rcs_end_date&gt;=AO1075,1,0)*rcs_amount*(1+rcs_escalation/100)^(INT((AP1075-rcs_months_since_start)/12))*IF(MOD((AP1075-rcs_months_since_start),rcs_frequency)=0,1,0)*IF(rcs_frequency=13,0,1))+SUM(IF(rcs_start_date=AO1075,rcs_amount,0)*IF(rcs_frequency=13,1,0))</f>
        <v>0</v>
      </c>
      <c r="AX1075" s="24">
        <f t="shared" ca="1" si="819"/>
        <v>0</v>
      </c>
      <c r="AY1075" s="24">
        <f t="shared" ca="1" si="820"/>
        <v>0</v>
      </c>
      <c r="AZ1075" s="24">
        <f t="shared" ca="1" si="821"/>
        <v>0</v>
      </c>
      <c r="BA1075" s="25">
        <f t="shared" ca="1" si="822"/>
        <v>0</v>
      </c>
      <c r="BB1075" s="23">
        <f t="array" aca="1" ref="BB1075" ca="1">SUM(IF(w_start_date&lt;=AO1075,1,0)*IF(w_end_date&gt;=AO1075,1,0)*w_amount*(1+w_escalation/100)^(INT((AP1075-w_months_since_start)/12))*IF(MOD(AP1075-w_months_since_start,w_frequency)=0,1,0)*IF(w_frequency=13,0,1))+SUM(IF(w_start_date=AO1075,w_amount,0)*IF(w_frequency=13,1,0))</f>
        <v>0</v>
      </c>
      <c r="BC1075" s="25">
        <f t="shared" ca="1" si="823"/>
        <v>0</v>
      </c>
      <c r="BD1075" s="24" t="b">
        <f t="shared" ca="1" si="824"/>
        <v>1</v>
      </c>
      <c r="BE1075" s="24" t="b">
        <f t="shared" ca="1" si="825"/>
        <v>1</v>
      </c>
      <c r="BF1075" s="23">
        <f t="array" aca="1" ref="BF1075" ca="1">SUM(IF(BD1075,1,0)*IF(ap_start_date&lt;=AO1075,1,0)*IF(ap_end_date&gt;=AO1075,1,0)*ap_amount*(1+ap_escalation/100)^(INT((AP1075-ap_months_since_start)/12))*IF(MOD(AP1075-ap_months_since_start,ap_frequency)=0,1,0))</f>
        <v>745879.22286017553</v>
      </c>
      <c r="BG1075" s="24">
        <f t="shared" ca="1" si="826"/>
        <v>8950550.6743221041</v>
      </c>
      <c r="BH1075" s="24">
        <f t="shared" ca="1" si="827"/>
        <v>33.441398207539457</v>
      </c>
      <c r="BI1075">
        <f t="shared" ca="1" si="828"/>
        <v>0</v>
      </c>
      <c r="BJ1075" s="24">
        <f t="shared" ca="1" si="829"/>
        <v>234.08978745277619</v>
      </c>
      <c r="BK1075">
        <f t="shared" ca="1" si="830"/>
        <v>1</v>
      </c>
      <c r="BL1075" s="25">
        <f t="shared" ca="1" si="831"/>
        <v>19.507482287731357</v>
      </c>
      <c r="BM1075" s="32">
        <f t="shared" ca="1" si="810"/>
        <v>1327.648768042932</v>
      </c>
      <c r="BN1075" s="23">
        <f t="shared" ca="1" si="832"/>
        <v>0</v>
      </c>
      <c r="BO1075" s="24">
        <f t="shared" ca="1" si="833"/>
        <v>0</v>
      </c>
      <c r="BP1075" s="25">
        <f t="shared" ca="1" si="834"/>
        <v>0</v>
      </c>
      <c r="BQ1075" s="34">
        <f t="shared" ca="1" si="835"/>
        <v>78132</v>
      </c>
      <c r="BR1075" s="23">
        <f t="shared" ca="1" si="836"/>
        <v>1327.648768042932</v>
      </c>
      <c r="BS1075" s="24">
        <f t="shared" ca="1" si="837"/>
        <v>0</v>
      </c>
      <c r="BT1075" s="24">
        <f t="shared" ca="1" si="842"/>
        <v>0</v>
      </c>
      <c r="BU1075" s="24">
        <f t="shared" ca="1" si="838"/>
        <v>0</v>
      </c>
      <c r="BV1075" s="24">
        <f t="shared" ca="1" si="843"/>
        <v>0</v>
      </c>
      <c r="BW1075" s="24">
        <f t="shared" ca="1" si="839"/>
        <v>-19.507482287731357</v>
      </c>
      <c r="BX1075" s="25">
        <f t="shared" ca="1" si="844"/>
        <v>-256.20149116058951</v>
      </c>
      <c r="BY1075" s="23">
        <f t="shared" ca="1" si="811"/>
        <v>40.468396757250623</v>
      </c>
      <c r="BZ1075" s="24">
        <f t="shared" ca="1" si="812"/>
        <v>0</v>
      </c>
      <c r="CA1075" s="24">
        <f t="shared" ca="1" si="845"/>
        <v>0</v>
      </c>
      <c r="CB1075" s="24">
        <f t="shared" ca="1" si="813"/>
        <v>0</v>
      </c>
      <c r="CC1075" s="24">
        <f t="shared" ca="1" si="846"/>
        <v>0</v>
      </c>
      <c r="CD1075" s="24">
        <f t="shared" ca="1" si="814"/>
        <v>-0.59655909138221463</v>
      </c>
      <c r="CE1075" s="25">
        <f t="shared" ca="1" si="847"/>
        <v>-7.97864982121233</v>
      </c>
      <c r="CF1075" s="23">
        <f t="shared" ca="1" si="848"/>
        <v>8634986.3877274171</v>
      </c>
      <c r="CG1075" s="25">
        <f t="array" aca="1" ref="CG1075" ca="1">SUM(BF1064:BF1075/(1+inflation/100)^(AP1064:AP1075/12))</f>
        <v>267980.53702225391</v>
      </c>
      <c r="CH1075" s="32">
        <f ca="1">IFERROR(IF(MOD(AP1075-ap_months_since_start,12)=0,ap_drawdown/100*(AQ1075+AV1075+BA1075-BC1075),CH1074),0)</f>
        <v>205.58985305587737</v>
      </c>
    </row>
    <row r="1076" spans="40:86" x14ac:dyDescent="0.25">
      <c r="AN1076" s="32">
        <f t="shared" ca="1" si="809"/>
        <v>143.91666666666666</v>
      </c>
      <c r="AO1076" s="53">
        <f t="shared" ca="1" si="840"/>
        <v>78133</v>
      </c>
      <c r="AP1076" s="22">
        <v>1069</v>
      </c>
      <c r="AQ1076" s="32">
        <f t="shared" ca="1" si="841"/>
        <v>1327.648768042932</v>
      </c>
      <c r="AR1076" s="23">
        <f t="array" aca="1" ref="AR1076" ca="1">SUM(IF(lsc_start_date=AO1076,lsc_amount,0))</f>
        <v>0</v>
      </c>
      <c r="AS1076" s="24">
        <f t="shared" ca="1" si="815"/>
        <v>0</v>
      </c>
      <c r="AT1076" s="24">
        <f t="shared" ca="1" si="816"/>
        <v>0</v>
      </c>
      <c r="AU1076" s="24">
        <f t="shared" ca="1" si="817"/>
        <v>0</v>
      </c>
      <c r="AV1076" s="25">
        <f t="shared" ca="1" si="818"/>
        <v>0</v>
      </c>
      <c r="AW1076" s="23">
        <f t="array" aca="1" ref="AW1076" ca="1">SUM(IF(rcs_start_date&lt;=AO1076,1,0)*IF(rcs_end_date&gt;=AO1076,1,0)*rcs_amount*(1+rcs_escalation/100)^(INT((AP1076-rcs_months_since_start)/12))*IF(MOD((AP1076-rcs_months_since_start),rcs_frequency)=0,1,0)*IF(rcs_frequency=13,0,1))+SUM(IF(rcs_start_date=AO1076,rcs_amount,0)*IF(rcs_frequency=13,1,0))</f>
        <v>0</v>
      </c>
      <c r="AX1076" s="24">
        <f t="shared" ca="1" si="819"/>
        <v>0</v>
      </c>
      <c r="AY1076" s="24">
        <f t="shared" ca="1" si="820"/>
        <v>0</v>
      </c>
      <c r="AZ1076" s="24">
        <f t="shared" ca="1" si="821"/>
        <v>0</v>
      </c>
      <c r="BA1076" s="25">
        <f t="shared" ca="1" si="822"/>
        <v>0</v>
      </c>
      <c r="BB1076" s="23">
        <f t="array" aca="1" ref="BB1076" ca="1">SUM(IF(w_start_date&lt;=AO1076,1,0)*IF(w_end_date&gt;=AO1076,1,0)*w_amount*(1+w_escalation/100)^(INT((AP1076-w_months_since_start)/12))*IF(MOD(AP1076-w_months_since_start,w_frequency)=0,1,0)*IF(w_frequency=13,0,1))+SUM(IF(w_start_date=AO1076,w_amount,0)*IF(w_frequency=13,1,0))</f>
        <v>0</v>
      </c>
      <c r="BC1076" s="25">
        <f t="shared" ca="1" si="823"/>
        <v>0</v>
      </c>
      <c r="BD1076" s="24" t="b">
        <f t="shared" ca="1" si="824"/>
        <v>1</v>
      </c>
      <c r="BE1076" s="24" t="b">
        <f t="shared" ca="1" si="825"/>
        <v>1</v>
      </c>
      <c r="BF1076" s="23">
        <f t="array" aca="1" ref="BF1076" ca="1">SUM(IF(BD1076,1,0)*IF(ap_start_date&lt;=AO1076,1,0)*IF(ap_end_date&gt;=AO1076,1,0)*ap_amount*(1+ap_escalation/100)^(INT((AP1076-ap_months_since_start)/12))*IF(MOD(AP1076-ap_months_since_start,ap_frequency)=0,1,0))</f>
        <v>745879.22286017553</v>
      </c>
      <c r="BG1076" s="24">
        <f t="shared" ca="1" si="826"/>
        <v>8950550.6743221041</v>
      </c>
      <c r="BH1076" s="24">
        <f t="shared" ca="1" si="827"/>
        <v>33.441398207539457</v>
      </c>
      <c r="BI1076">
        <f t="shared" ca="1" si="828"/>
        <v>0</v>
      </c>
      <c r="BJ1076" s="24">
        <f t="shared" ca="1" si="829"/>
        <v>234.08978745277619</v>
      </c>
      <c r="BK1076">
        <f t="shared" ca="1" si="830"/>
        <v>1</v>
      </c>
      <c r="BL1076" s="25">
        <f t="shared" ca="1" si="831"/>
        <v>19.507482287731357</v>
      </c>
      <c r="BM1076" s="32">
        <f t="shared" ca="1" si="810"/>
        <v>1317.5694829448253</v>
      </c>
      <c r="BN1076" s="23">
        <f t="shared" ca="1" si="832"/>
        <v>0</v>
      </c>
      <c r="BO1076" s="24">
        <f t="shared" ca="1" si="833"/>
        <v>0</v>
      </c>
      <c r="BP1076" s="25">
        <f t="shared" ca="1" si="834"/>
        <v>0</v>
      </c>
      <c r="BQ1076" s="34">
        <f t="shared" ca="1" si="835"/>
        <v>78163</v>
      </c>
      <c r="BR1076" s="23">
        <f t="shared" ca="1" si="836"/>
        <v>1317.5694829448253</v>
      </c>
      <c r="BS1076" s="24">
        <f t="shared" ca="1" si="837"/>
        <v>0</v>
      </c>
      <c r="BT1076" s="24">
        <f t="shared" ca="1" si="842"/>
        <v>0</v>
      </c>
      <c r="BU1076" s="24">
        <f t="shared" ca="1" si="838"/>
        <v>0</v>
      </c>
      <c r="BV1076" s="24">
        <f t="shared" ca="1" si="843"/>
        <v>0</v>
      </c>
      <c r="BW1076" s="24">
        <f t="shared" ca="1" si="839"/>
        <v>-19.507482287731357</v>
      </c>
      <c r="BX1076" s="25">
        <f t="shared" ca="1" si="844"/>
        <v>-254.19133627806107</v>
      </c>
      <c r="BY1076" s="23">
        <f t="shared" ca="1" si="811"/>
        <v>40.030119333356474</v>
      </c>
      <c r="BZ1076" s="24">
        <f t="shared" ca="1" si="812"/>
        <v>0</v>
      </c>
      <c r="CA1076" s="24">
        <f t="shared" ca="1" si="845"/>
        <v>0</v>
      </c>
      <c r="CB1076" s="24">
        <f t="shared" ca="1" si="813"/>
        <v>0</v>
      </c>
      <c r="CC1076" s="24">
        <f t="shared" ca="1" si="846"/>
        <v>0</v>
      </c>
      <c r="CD1076" s="24">
        <f t="shared" ca="1" si="814"/>
        <v>-0.59461248483561557</v>
      </c>
      <c r="CE1076" s="25">
        <f t="shared" ca="1" si="847"/>
        <v>-7.8911424026408277</v>
      </c>
      <c r="CF1076" s="23">
        <f t="shared" ca="1" si="848"/>
        <v>8663674.0501451157</v>
      </c>
      <c r="CG1076" s="25">
        <f t="array" aca="1" ref="CG1076" ca="1">SUM(BF1065:BF1076/(1+inflation/100)^(AP1065:AP1076/12))</f>
        <v>267980.53702225391</v>
      </c>
      <c r="CH1076" s="32">
        <f ca="1">IFERROR(IF(MOD(AP1076-ap_months_since_start,12)=0,ap_drawdown/100*(AQ1076+AV1076+BA1076-BC1076),CH1075),0)</f>
        <v>205.58985305587737</v>
      </c>
    </row>
    <row r="1077" spans="40:86" x14ac:dyDescent="0.25">
      <c r="AN1077" s="32">
        <f t="shared" ca="1" si="809"/>
        <v>144</v>
      </c>
      <c r="AO1077" s="53">
        <f t="shared" ca="1" si="840"/>
        <v>78164</v>
      </c>
      <c r="AP1077" s="22">
        <v>1070</v>
      </c>
      <c r="AQ1077" s="32">
        <f t="shared" ca="1" si="841"/>
        <v>1317.5694829448253</v>
      </c>
      <c r="AR1077" s="23">
        <f t="array" aca="1" ref="AR1077" ca="1">SUM(IF(lsc_start_date=AO1077,lsc_amount,0))</f>
        <v>0</v>
      </c>
      <c r="AS1077" s="24">
        <f t="shared" ca="1" si="815"/>
        <v>0</v>
      </c>
      <c r="AT1077" s="24">
        <f t="shared" ca="1" si="816"/>
        <v>0</v>
      </c>
      <c r="AU1077" s="24">
        <f t="shared" ca="1" si="817"/>
        <v>0</v>
      </c>
      <c r="AV1077" s="25">
        <f t="shared" ca="1" si="818"/>
        <v>0</v>
      </c>
      <c r="AW1077" s="23">
        <f t="array" aca="1" ref="AW1077" ca="1">SUM(IF(rcs_start_date&lt;=AO1077,1,0)*IF(rcs_end_date&gt;=AO1077,1,0)*rcs_amount*(1+rcs_escalation/100)^(INT((AP1077-rcs_months_since_start)/12))*IF(MOD((AP1077-rcs_months_since_start),rcs_frequency)=0,1,0)*IF(rcs_frequency=13,0,1))+SUM(IF(rcs_start_date=AO1077,rcs_amount,0)*IF(rcs_frequency=13,1,0))</f>
        <v>0</v>
      </c>
      <c r="AX1077" s="24">
        <f t="shared" ca="1" si="819"/>
        <v>0</v>
      </c>
      <c r="AY1077" s="24">
        <f t="shared" ca="1" si="820"/>
        <v>0</v>
      </c>
      <c r="AZ1077" s="24">
        <f t="shared" ca="1" si="821"/>
        <v>0</v>
      </c>
      <c r="BA1077" s="25">
        <f t="shared" ca="1" si="822"/>
        <v>0</v>
      </c>
      <c r="BB1077" s="23">
        <f t="array" aca="1" ref="BB1077" ca="1">SUM(IF(w_start_date&lt;=AO1077,1,0)*IF(w_end_date&gt;=AO1077,1,0)*w_amount*(1+w_escalation/100)^(INT((AP1077-w_months_since_start)/12))*IF(MOD(AP1077-w_months_since_start,w_frequency)=0,1,0)*IF(w_frequency=13,0,1))+SUM(IF(w_start_date=AO1077,w_amount,0)*IF(w_frequency=13,1,0))</f>
        <v>0</v>
      </c>
      <c r="BC1077" s="25">
        <f t="shared" ca="1" si="823"/>
        <v>0</v>
      </c>
      <c r="BD1077" s="24" t="b">
        <f t="shared" ca="1" si="824"/>
        <v>1</v>
      </c>
      <c r="BE1077" s="24" t="b">
        <f t="shared" ca="1" si="825"/>
        <v>1</v>
      </c>
      <c r="BF1077" s="23">
        <f t="array" aca="1" ref="BF1077" ca="1">SUM(IF(BD1077,1,0)*IF(ap_start_date&lt;=AO1077,1,0)*IF(ap_end_date&gt;=AO1077,1,0)*ap_amount*(1+ap_escalation/100)^(INT((AP1077-ap_months_since_start)/12))*IF(MOD(AP1077-ap_months_since_start,ap_frequency)=0,1,0))</f>
        <v>745879.22286017553</v>
      </c>
      <c r="BG1077" s="24">
        <f t="shared" ca="1" si="826"/>
        <v>8950550.6743221041</v>
      </c>
      <c r="BH1077" s="24">
        <f t="shared" ca="1" si="827"/>
        <v>33.441398207539457</v>
      </c>
      <c r="BI1077">
        <f t="shared" ca="1" si="828"/>
        <v>0</v>
      </c>
      <c r="BJ1077" s="24">
        <f t="shared" ca="1" si="829"/>
        <v>234.08978745277619</v>
      </c>
      <c r="BK1077">
        <f t="shared" ca="1" si="830"/>
        <v>1</v>
      </c>
      <c r="BL1077" s="25">
        <f t="shared" ca="1" si="831"/>
        <v>19.507482287731357</v>
      </c>
      <c r="BM1077" s="32">
        <f t="shared" ca="1" si="810"/>
        <v>1307.4175531802209</v>
      </c>
      <c r="BN1077" s="23">
        <f t="shared" ca="1" si="832"/>
        <v>0</v>
      </c>
      <c r="BO1077" s="24">
        <f t="shared" ca="1" si="833"/>
        <v>0</v>
      </c>
      <c r="BP1077" s="25">
        <f t="shared" ca="1" si="834"/>
        <v>0</v>
      </c>
      <c r="BQ1077" s="34">
        <f t="shared" ca="1" si="835"/>
        <v>78194</v>
      </c>
      <c r="BR1077" s="23">
        <f t="shared" ca="1" si="836"/>
        <v>1307.4175531802209</v>
      </c>
      <c r="BS1077" s="24">
        <f t="shared" ca="1" si="837"/>
        <v>0</v>
      </c>
      <c r="BT1077" s="24">
        <f t="shared" ca="1" si="842"/>
        <v>0</v>
      </c>
      <c r="BU1077" s="24">
        <f t="shared" ca="1" si="838"/>
        <v>0</v>
      </c>
      <c r="BV1077" s="24">
        <f t="shared" ca="1" si="843"/>
        <v>0</v>
      </c>
      <c r="BW1077" s="24">
        <f t="shared" ca="1" si="839"/>
        <v>-19.507482287731357</v>
      </c>
      <c r="BX1077" s="25">
        <f t="shared" ca="1" si="844"/>
        <v>-252.1811813955326</v>
      </c>
      <c r="BY1077" s="23">
        <f t="shared" ca="1" si="811"/>
        <v>39.592071396025389</v>
      </c>
      <c r="BZ1077" s="24">
        <f t="shared" ca="1" si="812"/>
        <v>0</v>
      </c>
      <c r="CA1077" s="24">
        <f t="shared" ca="1" si="845"/>
        <v>0</v>
      </c>
      <c r="CB1077" s="24">
        <f t="shared" ca="1" si="813"/>
        <v>0</v>
      </c>
      <c r="CC1077" s="24">
        <f t="shared" ca="1" si="846"/>
        <v>0</v>
      </c>
      <c r="CD1077" s="24">
        <f t="shared" ca="1" si="814"/>
        <v>-0.59267223017787862</v>
      </c>
      <c r="CE1077" s="25">
        <f t="shared" ca="1" si="847"/>
        <v>-7.8039205257974258</v>
      </c>
      <c r="CF1077" s="23">
        <f t="shared" ca="1" si="848"/>
        <v>8692361.7125628144</v>
      </c>
      <c r="CG1077" s="25">
        <f t="array" aca="1" ref="CG1077" ca="1">SUM(BF1066:BF1077/(1+inflation/100)^(AP1066:AP1077/12))</f>
        <v>267980.53702225396</v>
      </c>
      <c r="CH1077" s="32">
        <f ca="1">IFERROR(IF(MOD(AP1077-ap_months_since_start,12)=0,ap_drawdown/100*(AQ1077+AV1077+BA1077-BC1077),CH1076),0)</f>
        <v>205.58985305587737</v>
      </c>
    </row>
    <row r="1078" spans="40:86" x14ac:dyDescent="0.25">
      <c r="AN1078" s="32">
        <f t="shared" ca="1" si="809"/>
        <v>144.08333333333334</v>
      </c>
      <c r="AO1078" s="53">
        <f t="shared" ca="1" si="840"/>
        <v>78195</v>
      </c>
      <c r="AP1078" s="22">
        <v>1071</v>
      </c>
      <c r="AQ1078" s="32">
        <f t="shared" ca="1" si="841"/>
        <v>1307.4175531802209</v>
      </c>
      <c r="AR1078" s="23">
        <f t="array" aca="1" ref="AR1078" ca="1">SUM(IF(lsc_start_date=AO1078,lsc_amount,0))</f>
        <v>0</v>
      </c>
      <c r="AS1078" s="24">
        <f t="shared" ca="1" si="815"/>
        <v>0</v>
      </c>
      <c r="AT1078" s="24">
        <f t="shared" ca="1" si="816"/>
        <v>0</v>
      </c>
      <c r="AU1078" s="24">
        <f t="shared" ca="1" si="817"/>
        <v>0</v>
      </c>
      <c r="AV1078" s="25">
        <f t="shared" ca="1" si="818"/>
        <v>0</v>
      </c>
      <c r="AW1078" s="23">
        <f t="array" aca="1" ref="AW1078" ca="1">SUM(IF(rcs_start_date&lt;=AO1078,1,0)*IF(rcs_end_date&gt;=AO1078,1,0)*rcs_amount*(1+rcs_escalation/100)^(INT((AP1078-rcs_months_since_start)/12))*IF(MOD((AP1078-rcs_months_since_start),rcs_frequency)=0,1,0)*IF(rcs_frequency=13,0,1))+SUM(IF(rcs_start_date=AO1078,rcs_amount,0)*IF(rcs_frequency=13,1,0))</f>
        <v>0</v>
      </c>
      <c r="AX1078" s="24">
        <f t="shared" ca="1" si="819"/>
        <v>0</v>
      </c>
      <c r="AY1078" s="24">
        <f t="shared" ca="1" si="820"/>
        <v>0</v>
      </c>
      <c r="AZ1078" s="24">
        <f t="shared" ca="1" si="821"/>
        <v>0</v>
      </c>
      <c r="BA1078" s="25">
        <f t="shared" ca="1" si="822"/>
        <v>0</v>
      </c>
      <c r="BB1078" s="23">
        <f t="array" aca="1" ref="BB1078" ca="1">SUM(IF(w_start_date&lt;=AO1078,1,0)*IF(w_end_date&gt;=AO1078,1,0)*w_amount*(1+w_escalation/100)^(INT((AP1078-w_months_since_start)/12))*IF(MOD(AP1078-w_months_since_start,w_frequency)=0,1,0)*IF(w_frequency=13,0,1))+SUM(IF(w_start_date=AO1078,w_amount,0)*IF(w_frequency=13,1,0))</f>
        <v>0</v>
      </c>
      <c r="BC1078" s="25">
        <f t="shared" ca="1" si="823"/>
        <v>0</v>
      </c>
      <c r="BD1078" s="24" t="b">
        <f t="shared" ca="1" si="824"/>
        <v>1</v>
      </c>
      <c r="BE1078" s="24" t="b">
        <f t="shared" ca="1" si="825"/>
        <v>1</v>
      </c>
      <c r="BF1078" s="23">
        <f t="array" aca="1" ref="BF1078" ca="1">SUM(IF(BD1078,1,0)*IF(ap_start_date&lt;=AO1078,1,0)*IF(ap_end_date&gt;=AO1078,1,0)*ap_amount*(1+ap_escalation/100)^(INT((AP1078-ap_months_since_start)/12))*IF(MOD(AP1078-ap_months_since_start,ap_frequency)=0,1,0))</f>
        <v>745879.22286017553</v>
      </c>
      <c r="BG1078" s="24">
        <f t="shared" ca="1" si="826"/>
        <v>8950550.6743221041</v>
      </c>
      <c r="BH1078" s="24">
        <f t="shared" ca="1" si="827"/>
        <v>33.441398207539457</v>
      </c>
      <c r="BI1078">
        <f t="shared" ca="1" si="828"/>
        <v>0</v>
      </c>
      <c r="BJ1078" s="24">
        <f t="shared" ca="1" si="829"/>
        <v>234.08978745277619</v>
      </c>
      <c r="BK1078">
        <f t="shared" ca="1" si="830"/>
        <v>1</v>
      </c>
      <c r="BL1078" s="25">
        <f t="shared" ca="1" si="831"/>
        <v>19.507482287731357</v>
      </c>
      <c r="BM1078" s="32">
        <f t="shared" ca="1" si="810"/>
        <v>1297.1924551755203</v>
      </c>
      <c r="BN1078" s="23">
        <f t="shared" ca="1" si="832"/>
        <v>0</v>
      </c>
      <c r="BO1078" s="24">
        <f t="shared" ca="1" si="833"/>
        <v>0</v>
      </c>
      <c r="BP1078" s="25">
        <f t="shared" ca="1" si="834"/>
        <v>0</v>
      </c>
      <c r="BQ1078" s="34">
        <f t="shared" ca="1" si="835"/>
        <v>78222</v>
      </c>
      <c r="BR1078" s="23">
        <f t="shared" ca="1" si="836"/>
        <v>1297.1924551755203</v>
      </c>
      <c r="BS1078" s="24">
        <f t="shared" ca="1" si="837"/>
        <v>0</v>
      </c>
      <c r="BT1078" s="24">
        <f t="shared" ca="1" si="842"/>
        <v>0</v>
      </c>
      <c r="BU1078" s="24">
        <f t="shared" ca="1" si="838"/>
        <v>0</v>
      </c>
      <c r="BV1078" s="24">
        <f t="shared" ca="1" si="843"/>
        <v>0</v>
      </c>
      <c r="BW1078" s="24">
        <f t="shared" ca="1" si="839"/>
        <v>-19.507482287731357</v>
      </c>
      <c r="BX1078" s="25">
        <f t="shared" ca="1" si="844"/>
        <v>-250.17102651300414</v>
      </c>
      <c r="BY1078" s="23">
        <f t="shared" ca="1" si="811"/>
        <v>39.154247489031313</v>
      </c>
      <c r="BZ1078" s="24">
        <f t="shared" ca="1" si="812"/>
        <v>0</v>
      </c>
      <c r="CA1078" s="24">
        <f t="shared" ca="1" si="845"/>
        <v>0</v>
      </c>
      <c r="CB1078" s="24">
        <f t="shared" ca="1" si="813"/>
        <v>0</v>
      </c>
      <c r="CC1078" s="24">
        <f t="shared" ca="1" si="846"/>
        <v>0</v>
      </c>
      <c r="CD1078" s="24">
        <f t="shared" ca="1" si="814"/>
        <v>-0.59073830668242311</v>
      </c>
      <c r="CE1078" s="25">
        <f t="shared" ca="1" si="847"/>
        <v>-7.7169832589430802</v>
      </c>
      <c r="CF1078" s="23">
        <f t="shared" ca="1" si="848"/>
        <v>8721049.374980513</v>
      </c>
      <c r="CG1078" s="25">
        <f t="array" aca="1" ref="CG1078" ca="1">SUM(BF1067:BF1078/(1+inflation/100)^(AP1067:AP1078/12))</f>
        <v>267980.53702225391</v>
      </c>
      <c r="CH1078" s="32">
        <f ca="1">IFERROR(IF(MOD(AP1078-ap_months_since_start,12)=0,ap_drawdown/100*(AQ1078+AV1078+BA1078-BC1078),CH1077),0)</f>
        <v>205.58985305587737</v>
      </c>
    </row>
    <row r="1079" spans="40:86" x14ac:dyDescent="0.25">
      <c r="AN1079" s="32">
        <f t="shared" ca="1" si="809"/>
        <v>144.16666666666666</v>
      </c>
      <c r="AO1079" s="53">
        <f t="shared" ca="1" si="840"/>
        <v>78223</v>
      </c>
      <c r="AP1079" s="22">
        <v>1072</v>
      </c>
      <c r="AQ1079" s="32">
        <f t="shared" ca="1" si="841"/>
        <v>1297.1924551755203</v>
      </c>
      <c r="AR1079" s="23">
        <f t="array" aca="1" ref="AR1079" ca="1">SUM(IF(lsc_start_date=AO1079,lsc_amount,0))</f>
        <v>0</v>
      </c>
      <c r="AS1079" s="24">
        <f t="shared" ca="1" si="815"/>
        <v>0</v>
      </c>
      <c r="AT1079" s="24">
        <f t="shared" ca="1" si="816"/>
        <v>0</v>
      </c>
      <c r="AU1079" s="24">
        <f t="shared" ca="1" si="817"/>
        <v>0</v>
      </c>
      <c r="AV1079" s="25">
        <f t="shared" ca="1" si="818"/>
        <v>0</v>
      </c>
      <c r="AW1079" s="23">
        <f t="array" aca="1" ref="AW1079" ca="1">SUM(IF(rcs_start_date&lt;=AO1079,1,0)*IF(rcs_end_date&gt;=AO1079,1,0)*rcs_amount*(1+rcs_escalation/100)^(INT((AP1079-rcs_months_since_start)/12))*IF(MOD((AP1079-rcs_months_since_start),rcs_frequency)=0,1,0)*IF(rcs_frequency=13,0,1))+SUM(IF(rcs_start_date=AO1079,rcs_amount,0)*IF(rcs_frequency=13,1,0))</f>
        <v>0</v>
      </c>
      <c r="AX1079" s="24">
        <f t="shared" ca="1" si="819"/>
        <v>0</v>
      </c>
      <c r="AY1079" s="24">
        <f t="shared" ca="1" si="820"/>
        <v>0</v>
      </c>
      <c r="AZ1079" s="24">
        <f t="shared" ca="1" si="821"/>
        <v>0</v>
      </c>
      <c r="BA1079" s="25">
        <f t="shared" ca="1" si="822"/>
        <v>0</v>
      </c>
      <c r="BB1079" s="23">
        <f t="array" aca="1" ref="BB1079" ca="1">SUM(IF(w_start_date&lt;=AO1079,1,0)*IF(w_end_date&gt;=AO1079,1,0)*w_amount*(1+w_escalation/100)^(INT((AP1079-w_months_since_start)/12))*IF(MOD(AP1079-w_months_since_start,w_frequency)=0,1,0)*IF(w_frequency=13,0,1))+SUM(IF(w_start_date=AO1079,w_amount,0)*IF(w_frequency=13,1,0))</f>
        <v>0</v>
      </c>
      <c r="BC1079" s="25">
        <f t="shared" ca="1" si="823"/>
        <v>0</v>
      </c>
      <c r="BD1079" s="24" t="b">
        <f t="shared" ca="1" si="824"/>
        <v>1</v>
      </c>
      <c r="BE1079" s="24" t="b">
        <f t="shared" ca="1" si="825"/>
        <v>1</v>
      </c>
      <c r="BF1079" s="23">
        <f t="array" aca="1" ref="BF1079" ca="1">SUM(IF(BD1079,1,0)*IF(ap_start_date&lt;=AO1079,1,0)*IF(ap_end_date&gt;=AO1079,1,0)*ap_amount*(1+ap_escalation/100)^(INT((AP1079-ap_months_since_start)/12))*IF(MOD(AP1079-ap_months_since_start,ap_frequency)=0,1,0))</f>
        <v>745879.22286017553</v>
      </c>
      <c r="BG1079" s="24">
        <f t="shared" ca="1" si="826"/>
        <v>8950550.6743221041</v>
      </c>
      <c r="BH1079" s="24">
        <f t="shared" ca="1" si="827"/>
        <v>33.441398207539457</v>
      </c>
      <c r="BI1079">
        <f t="shared" ca="1" si="828"/>
        <v>0</v>
      </c>
      <c r="BJ1079" s="24">
        <f t="shared" ca="1" si="829"/>
        <v>234.08978745277619</v>
      </c>
      <c r="BK1079">
        <f t="shared" ca="1" si="830"/>
        <v>1</v>
      </c>
      <c r="BL1079" s="25">
        <f t="shared" ca="1" si="831"/>
        <v>19.507482287731357</v>
      </c>
      <c r="BM1079" s="32">
        <f t="shared" ca="1" si="810"/>
        <v>1286.8936615835605</v>
      </c>
      <c r="BN1079" s="23">
        <f t="shared" ca="1" si="832"/>
        <v>0</v>
      </c>
      <c r="BO1079" s="24">
        <f t="shared" ca="1" si="833"/>
        <v>0</v>
      </c>
      <c r="BP1079" s="25">
        <f t="shared" ca="1" si="834"/>
        <v>0</v>
      </c>
      <c r="BQ1079" s="34">
        <f t="shared" ca="1" si="835"/>
        <v>78253</v>
      </c>
      <c r="BR1079" s="23">
        <f t="shared" ca="1" si="836"/>
        <v>1286.8936615835605</v>
      </c>
      <c r="BS1079" s="24">
        <f t="shared" ca="1" si="837"/>
        <v>0</v>
      </c>
      <c r="BT1079" s="24">
        <f t="shared" ca="1" si="842"/>
        <v>0</v>
      </c>
      <c r="BU1079" s="24">
        <f t="shared" ca="1" si="838"/>
        <v>0</v>
      </c>
      <c r="BV1079" s="24">
        <f t="shared" ca="1" si="843"/>
        <v>0</v>
      </c>
      <c r="BW1079" s="24">
        <f t="shared" ca="1" si="839"/>
        <v>-19.507482287731357</v>
      </c>
      <c r="BX1079" s="25">
        <f t="shared" ca="1" si="844"/>
        <v>-248.16087163047567</v>
      </c>
      <c r="BY1079" s="23">
        <f t="shared" ca="1" si="811"/>
        <v>38.716642155495471</v>
      </c>
      <c r="BZ1079" s="24">
        <f t="shared" ca="1" si="812"/>
        <v>0</v>
      </c>
      <c r="CA1079" s="24">
        <f t="shared" ca="1" si="845"/>
        <v>0</v>
      </c>
      <c r="CB1079" s="24">
        <f t="shared" ca="1" si="813"/>
        <v>0</v>
      </c>
      <c r="CC1079" s="24">
        <f t="shared" ca="1" si="846"/>
        <v>0</v>
      </c>
      <c r="CD1079" s="24">
        <f t="shared" ca="1" si="814"/>
        <v>-0.58881069369030525</v>
      </c>
      <c r="CE1079" s="25">
        <f t="shared" ca="1" si="847"/>
        <v>-7.630329673379066</v>
      </c>
      <c r="CF1079" s="23">
        <f t="shared" ca="1" si="848"/>
        <v>8749737.0373982117</v>
      </c>
      <c r="CG1079" s="25">
        <f t="array" aca="1" ref="CG1079" ca="1">SUM(BF1068:BF1079/(1+inflation/100)^(AP1068:AP1079/12))</f>
        <v>267980.53702225391</v>
      </c>
      <c r="CH1079" s="32">
        <f ca="1">IFERROR(IF(MOD(AP1079-ap_months_since_start,12)=0,ap_drawdown/100*(AQ1079+AV1079+BA1079-BC1079),CH1078),0)</f>
        <v>205.58985305587737</v>
      </c>
    </row>
    <row r="1080" spans="40:86" x14ac:dyDescent="0.25">
      <c r="AN1080" s="32">
        <f t="shared" ca="1" si="809"/>
        <v>144.25</v>
      </c>
      <c r="AO1080" s="53">
        <f t="shared" ca="1" si="840"/>
        <v>78254</v>
      </c>
      <c r="AP1080" s="22">
        <v>1073</v>
      </c>
      <c r="AQ1080" s="32">
        <f t="shared" ca="1" si="841"/>
        <v>1286.8936615835605</v>
      </c>
      <c r="AR1080" s="23">
        <f t="array" aca="1" ref="AR1080" ca="1">SUM(IF(lsc_start_date=AO1080,lsc_amount,0))</f>
        <v>0</v>
      </c>
      <c r="AS1080" s="24">
        <f t="shared" ca="1" si="815"/>
        <v>0</v>
      </c>
      <c r="AT1080" s="24">
        <f t="shared" ca="1" si="816"/>
        <v>0</v>
      </c>
      <c r="AU1080" s="24">
        <f t="shared" ca="1" si="817"/>
        <v>0</v>
      </c>
      <c r="AV1080" s="25">
        <f t="shared" ca="1" si="818"/>
        <v>0</v>
      </c>
      <c r="AW1080" s="23">
        <f t="array" aca="1" ref="AW1080" ca="1">SUM(IF(rcs_start_date&lt;=AO1080,1,0)*IF(rcs_end_date&gt;=AO1080,1,0)*rcs_amount*(1+rcs_escalation/100)^(INT((AP1080-rcs_months_since_start)/12))*IF(MOD((AP1080-rcs_months_since_start),rcs_frequency)=0,1,0)*IF(rcs_frequency=13,0,1))+SUM(IF(rcs_start_date=AO1080,rcs_amount,0)*IF(rcs_frequency=13,1,0))</f>
        <v>0</v>
      </c>
      <c r="AX1080" s="24">
        <f t="shared" ca="1" si="819"/>
        <v>0</v>
      </c>
      <c r="AY1080" s="24">
        <f t="shared" ca="1" si="820"/>
        <v>0</v>
      </c>
      <c r="AZ1080" s="24">
        <f t="shared" ca="1" si="821"/>
        <v>0</v>
      </c>
      <c r="BA1080" s="25">
        <f t="shared" ca="1" si="822"/>
        <v>0</v>
      </c>
      <c r="BB1080" s="23">
        <f t="array" aca="1" ref="BB1080" ca="1">SUM(IF(w_start_date&lt;=AO1080,1,0)*IF(w_end_date&gt;=AO1080,1,0)*w_amount*(1+w_escalation/100)^(INT((AP1080-w_months_since_start)/12))*IF(MOD(AP1080-w_months_since_start,w_frequency)=0,1,0)*IF(w_frequency=13,0,1))+SUM(IF(w_start_date=AO1080,w_amount,0)*IF(w_frequency=13,1,0))</f>
        <v>0</v>
      </c>
      <c r="BC1080" s="25">
        <f t="shared" ca="1" si="823"/>
        <v>0</v>
      </c>
      <c r="BD1080" s="24" t="b">
        <f t="shared" ca="1" si="824"/>
        <v>1</v>
      </c>
      <c r="BE1080" s="24" t="b">
        <f t="shared" ca="1" si="825"/>
        <v>1</v>
      </c>
      <c r="BF1080" s="23">
        <f t="array" aca="1" ref="BF1080" ca="1">SUM(IF(BD1080,1,0)*IF(ap_start_date&lt;=AO1080,1,0)*IF(ap_end_date&gt;=AO1080,1,0)*ap_amount*(1+ap_escalation/100)^(INT((AP1080-ap_months_since_start)/12))*IF(MOD(AP1080-ap_months_since_start,ap_frequency)=0,1,0))</f>
        <v>745879.22286017553</v>
      </c>
      <c r="BG1080" s="24">
        <f t="shared" ca="1" si="826"/>
        <v>8950550.6743221041</v>
      </c>
      <c r="BH1080" s="24">
        <f t="shared" ca="1" si="827"/>
        <v>33.441398207539457</v>
      </c>
      <c r="BI1080">
        <f t="shared" ca="1" si="828"/>
        <v>0</v>
      </c>
      <c r="BJ1080" s="24">
        <f t="shared" ca="1" si="829"/>
        <v>234.08978745277619</v>
      </c>
      <c r="BK1080">
        <f t="shared" ca="1" si="830"/>
        <v>1</v>
      </c>
      <c r="BL1080" s="25">
        <f t="shared" ca="1" si="831"/>
        <v>19.507482287731357</v>
      </c>
      <c r="BM1080" s="32">
        <f t="shared" ca="1" si="810"/>
        <v>1276.5206412564173</v>
      </c>
      <c r="BN1080" s="23">
        <f t="shared" ca="1" si="832"/>
        <v>0</v>
      </c>
      <c r="BO1080" s="24">
        <f t="shared" ca="1" si="833"/>
        <v>0</v>
      </c>
      <c r="BP1080" s="25">
        <f t="shared" ca="1" si="834"/>
        <v>0</v>
      </c>
      <c r="BQ1080" s="34">
        <f t="shared" ca="1" si="835"/>
        <v>78283</v>
      </c>
      <c r="BR1080" s="23">
        <f t="shared" ca="1" si="836"/>
        <v>1276.5206412564173</v>
      </c>
      <c r="BS1080" s="24">
        <f t="shared" ca="1" si="837"/>
        <v>0</v>
      </c>
      <c r="BT1080" s="24">
        <f t="shared" ca="1" si="842"/>
        <v>0</v>
      </c>
      <c r="BU1080" s="24">
        <f t="shared" ca="1" si="838"/>
        <v>0</v>
      </c>
      <c r="BV1080" s="24">
        <f t="shared" ca="1" si="843"/>
        <v>0</v>
      </c>
      <c r="BW1080" s="24">
        <f t="shared" ca="1" si="839"/>
        <v>-19.507482287731357</v>
      </c>
      <c r="BX1080" s="25">
        <f t="shared" ca="1" si="844"/>
        <v>-246.1507167479472</v>
      </c>
      <c r="BY1080" s="23">
        <f t="shared" ca="1" si="811"/>
        <v>38.279249937816338</v>
      </c>
      <c r="BZ1080" s="24">
        <f t="shared" ca="1" si="812"/>
        <v>0</v>
      </c>
      <c r="CA1080" s="24">
        <f t="shared" ca="1" si="845"/>
        <v>0</v>
      </c>
      <c r="CB1080" s="24">
        <f t="shared" ca="1" si="813"/>
        <v>0</v>
      </c>
      <c r="CC1080" s="24">
        <f t="shared" ca="1" si="846"/>
        <v>0</v>
      </c>
      <c r="CD1080" s="24">
        <f t="shared" ca="1" si="814"/>
        <v>-0.5868893706099898</v>
      </c>
      <c r="CE1080" s="25">
        <f t="shared" ca="1" si="847"/>
        <v>-7.5439588434370535</v>
      </c>
      <c r="CF1080" s="23">
        <f t="shared" ca="1" si="848"/>
        <v>8778424.6998159103</v>
      </c>
      <c r="CG1080" s="25">
        <f t="array" aca="1" ref="CG1080" ca="1">SUM(BF1069:BF1080/(1+inflation/100)^(AP1069:AP1080/12))</f>
        <v>267980.53702225396</v>
      </c>
      <c r="CH1080" s="32">
        <f ca="1">IFERROR(IF(MOD(AP1080-ap_months_since_start,12)=0,ap_drawdown/100*(AQ1080+AV1080+BA1080-BC1080),CH1079),0)</f>
        <v>205.58985305587737</v>
      </c>
    </row>
    <row r="1081" spans="40:86" x14ac:dyDescent="0.25">
      <c r="AN1081" s="32">
        <f t="shared" ca="1" si="809"/>
        <v>144.33333333333334</v>
      </c>
      <c r="AO1081" s="53">
        <f t="shared" ca="1" si="840"/>
        <v>78284</v>
      </c>
      <c r="AP1081" s="22">
        <v>1074</v>
      </c>
      <c r="AQ1081" s="32">
        <f t="shared" ca="1" si="841"/>
        <v>1276.5206412564173</v>
      </c>
      <c r="AR1081" s="23">
        <f t="array" aca="1" ref="AR1081" ca="1">SUM(IF(lsc_start_date=AO1081,lsc_amount,0))</f>
        <v>0</v>
      </c>
      <c r="AS1081" s="24">
        <f t="shared" ca="1" si="815"/>
        <v>0</v>
      </c>
      <c r="AT1081" s="24">
        <f t="shared" ca="1" si="816"/>
        <v>0</v>
      </c>
      <c r="AU1081" s="24">
        <f t="shared" ca="1" si="817"/>
        <v>0</v>
      </c>
      <c r="AV1081" s="25">
        <f t="shared" ca="1" si="818"/>
        <v>0</v>
      </c>
      <c r="AW1081" s="23">
        <f t="array" aca="1" ref="AW1081" ca="1">SUM(IF(rcs_start_date&lt;=AO1081,1,0)*IF(rcs_end_date&gt;=AO1081,1,0)*rcs_amount*(1+rcs_escalation/100)^(INT((AP1081-rcs_months_since_start)/12))*IF(MOD((AP1081-rcs_months_since_start),rcs_frequency)=0,1,0)*IF(rcs_frequency=13,0,1))+SUM(IF(rcs_start_date=AO1081,rcs_amount,0)*IF(rcs_frequency=13,1,0))</f>
        <v>0</v>
      </c>
      <c r="AX1081" s="24">
        <f t="shared" ca="1" si="819"/>
        <v>0</v>
      </c>
      <c r="AY1081" s="24">
        <f t="shared" ca="1" si="820"/>
        <v>0</v>
      </c>
      <c r="AZ1081" s="24">
        <f t="shared" ca="1" si="821"/>
        <v>0</v>
      </c>
      <c r="BA1081" s="25">
        <f t="shared" ca="1" si="822"/>
        <v>0</v>
      </c>
      <c r="BB1081" s="23">
        <f t="array" aca="1" ref="BB1081" ca="1">SUM(IF(w_start_date&lt;=AO1081,1,0)*IF(w_end_date&gt;=AO1081,1,0)*w_amount*(1+w_escalation/100)^(INT((AP1081-w_months_since_start)/12))*IF(MOD(AP1081-w_months_since_start,w_frequency)=0,1,0)*IF(w_frequency=13,0,1))+SUM(IF(w_start_date=AO1081,w_amount,0)*IF(w_frequency=13,1,0))</f>
        <v>0</v>
      </c>
      <c r="BC1081" s="25">
        <f t="shared" ca="1" si="823"/>
        <v>0</v>
      </c>
      <c r="BD1081" s="24" t="b">
        <f t="shared" ca="1" si="824"/>
        <v>1</v>
      </c>
      <c r="BE1081" s="24" t="b">
        <f t="shared" ca="1" si="825"/>
        <v>1</v>
      </c>
      <c r="BF1081" s="23">
        <f t="array" aca="1" ref="BF1081" ca="1">SUM(IF(BD1081,1,0)*IF(ap_start_date&lt;=AO1081,1,0)*IF(ap_end_date&gt;=AO1081,1,0)*ap_amount*(1+ap_escalation/100)^(INT((AP1081-ap_months_since_start)/12))*IF(MOD(AP1081-ap_months_since_start,ap_frequency)=0,1,0))</f>
        <v>745879.22286017553</v>
      </c>
      <c r="BG1081" s="24">
        <f t="shared" ca="1" si="826"/>
        <v>8950550.6743221041</v>
      </c>
      <c r="BH1081" s="24">
        <f t="shared" ca="1" si="827"/>
        <v>33.441398207539457</v>
      </c>
      <c r="BI1081">
        <f t="shared" ca="1" si="828"/>
        <v>0</v>
      </c>
      <c r="BJ1081" s="24">
        <f t="shared" ca="1" si="829"/>
        <v>234.08978745277619</v>
      </c>
      <c r="BK1081">
        <f t="shared" ca="1" si="830"/>
        <v>1</v>
      </c>
      <c r="BL1081" s="25">
        <f t="shared" ca="1" si="831"/>
        <v>19.507482287731357</v>
      </c>
      <c r="BM1081" s="32">
        <f t="shared" ca="1" si="810"/>
        <v>1266.0728592180117</v>
      </c>
      <c r="BN1081" s="23">
        <f t="shared" ca="1" si="832"/>
        <v>0</v>
      </c>
      <c r="BO1081" s="24">
        <f t="shared" ca="1" si="833"/>
        <v>0</v>
      </c>
      <c r="BP1081" s="25">
        <f t="shared" ca="1" si="834"/>
        <v>0</v>
      </c>
      <c r="BQ1081" s="34">
        <f t="shared" ca="1" si="835"/>
        <v>78314</v>
      </c>
      <c r="BR1081" s="23">
        <f t="shared" ca="1" si="836"/>
        <v>1266.0728592180117</v>
      </c>
      <c r="BS1081" s="24">
        <f t="shared" ca="1" si="837"/>
        <v>0</v>
      </c>
      <c r="BT1081" s="24">
        <f t="shared" ca="1" si="842"/>
        <v>0</v>
      </c>
      <c r="BU1081" s="24">
        <f t="shared" ca="1" si="838"/>
        <v>0</v>
      </c>
      <c r="BV1081" s="24">
        <f t="shared" ca="1" si="843"/>
        <v>0</v>
      </c>
      <c r="BW1081" s="24">
        <f t="shared" ca="1" si="839"/>
        <v>-19.507482287731357</v>
      </c>
      <c r="BX1081" s="25">
        <f t="shared" ca="1" si="844"/>
        <v>-244.1405618654187</v>
      </c>
      <c r="BY1081" s="23">
        <f t="shared" ca="1" si="811"/>
        <v>37.842065377599383</v>
      </c>
      <c r="BZ1081" s="24">
        <f t="shared" ca="1" si="812"/>
        <v>0</v>
      </c>
      <c r="CA1081" s="24">
        <f t="shared" ca="1" si="845"/>
        <v>0</v>
      </c>
      <c r="CB1081" s="24">
        <f t="shared" ca="1" si="813"/>
        <v>0</v>
      </c>
      <c r="CC1081" s="24">
        <f t="shared" ca="1" si="846"/>
        <v>0</v>
      </c>
      <c r="CD1081" s="24">
        <f t="shared" ca="1" si="814"/>
        <v>-0.58497431691713342</v>
      </c>
      <c r="CE1081" s="25">
        <f t="shared" ca="1" si="847"/>
        <v>-7.4578698464692259</v>
      </c>
      <c r="CF1081" s="23">
        <f t="shared" ca="1" si="848"/>
        <v>8807112.362233609</v>
      </c>
      <c r="CG1081" s="25">
        <f t="array" aca="1" ref="CG1081" ca="1">SUM(BF1070:BF1081/(1+inflation/100)^(AP1070:AP1081/12))</f>
        <v>267980.53702225396</v>
      </c>
      <c r="CH1081" s="32">
        <f ca="1">IFERROR(IF(MOD(AP1081-ap_months_since_start,12)=0,ap_drawdown/100*(AQ1081+AV1081+BA1081-BC1081),CH1080),0)</f>
        <v>205.58985305587737</v>
      </c>
    </row>
    <row r="1082" spans="40:86" x14ac:dyDescent="0.25">
      <c r="AN1082" s="32">
        <f t="shared" ca="1" si="809"/>
        <v>144.41666666666666</v>
      </c>
      <c r="AO1082" s="53">
        <f t="shared" ca="1" si="840"/>
        <v>78315</v>
      </c>
      <c r="AP1082" s="22">
        <v>1075</v>
      </c>
      <c r="AQ1082" s="32">
        <f t="shared" ca="1" si="841"/>
        <v>1266.0728592180117</v>
      </c>
      <c r="AR1082" s="23">
        <f t="array" aca="1" ref="AR1082" ca="1">SUM(IF(lsc_start_date=AO1082,lsc_amount,0))</f>
        <v>0</v>
      </c>
      <c r="AS1082" s="24">
        <f t="shared" ca="1" si="815"/>
        <v>0</v>
      </c>
      <c r="AT1082" s="24">
        <f t="shared" ca="1" si="816"/>
        <v>0</v>
      </c>
      <c r="AU1082" s="24">
        <f t="shared" ca="1" si="817"/>
        <v>0</v>
      </c>
      <c r="AV1082" s="25">
        <f t="shared" ca="1" si="818"/>
        <v>0</v>
      </c>
      <c r="AW1082" s="23">
        <f t="array" aca="1" ref="AW1082" ca="1">SUM(IF(rcs_start_date&lt;=AO1082,1,0)*IF(rcs_end_date&gt;=AO1082,1,0)*rcs_amount*(1+rcs_escalation/100)^(INT((AP1082-rcs_months_since_start)/12))*IF(MOD((AP1082-rcs_months_since_start),rcs_frequency)=0,1,0)*IF(rcs_frequency=13,0,1))+SUM(IF(rcs_start_date=AO1082,rcs_amount,0)*IF(rcs_frequency=13,1,0))</f>
        <v>0</v>
      </c>
      <c r="AX1082" s="24">
        <f t="shared" ca="1" si="819"/>
        <v>0</v>
      </c>
      <c r="AY1082" s="24">
        <f t="shared" ca="1" si="820"/>
        <v>0</v>
      </c>
      <c r="AZ1082" s="24">
        <f t="shared" ca="1" si="821"/>
        <v>0</v>
      </c>
      <c r="BA1082" s="25">
        <f t="shared" ca="1" si="822"/>
        <v>0</v>
      </c>
      <c r="BB1082" s="23">
        <f t="array" aca="1" ref="BB1082" ca="1">SUM(IF(w_start_date&lt;=AO1082,1,0)*IF(w_end_date&gt;=AO1082,1,0)*w_amount*(1+w_escalation/100)^(INT((AP1082-w_months_since_start)/12))*IF(MOD(AP1082-w_months_since_start,w_frequency)=0,1,0)*IF(w_frequency=13,0,1))+SUM(IF(w_start_date=AO1082,w_amount,0)*IF(w_frequency=13,1,0))</f>
        <v>0</v>
      </c>
      <c r="BC1082" s="25">
        <f t="shared" ca="1" si="823"/>
        <v>0</v>
      </c>
      <c r="BD1082" s="24" t="b">
        <f t="shared" ca="1" si="824"/>
        <v>1</v>
      </c>
      <c r="BE1082" s="24" t="b">
        <f t="shared" ca="1" si="825"/>
        <v>1</v>
      </c>
      <c r="BF1082" s="23">
        <f t="array" aca="1" ref="BF1082" ca="1">SUM(IF(BD1082,1,0)*IF(ap_start_date&lt;=AO1082,1,0)*IF(ap_end_date&gt;=AO1082,1,0)*ap_amount*(1+ap_escalation/100)^(INT((AP1082-ap_months_since_start)/12))*IF(MOD(AP1082-ap_months_since_start,ap_frequency)=0,1,0))</f>
        <v>745879.22286017553</v>
      </c>
      <c r="BG1082" s="24">
        <f t="shared" ca="1" si="826"/>
        <v>8950550.6743221041</v>
      </c>
      <c r="BH1082" s="24">
        <f t="shared" ca="1" si="827"/>
        <v>33.441398207539457</v>
      </c>
      <c r="BI1082">
        <f t="shared" ca="1" si="828"/>
        <v>0</v>
      </c>
      <c r="BJ1082" s="24">
        <f t="shared" ca="1" si="829"/>
        <v>234.08978745277619</v>
      </c>
      <c r="BK1082">
        <f t="shared" ca="1" si="830"/>
        <v>1</v>
      </c>
      <c r="BL1082" s="25">
        <f t="shared" ca="1" si="831"/>
        <v>19.507482287731357</v>
      </c>
      <c r="BM1082" s="32">
        <f t="shared" ca="1" si="810"/>
        <v>1255.5497766365186</v>
      </c>
      <c r="BN1082" s="23">
        <f t="shared" ca="1" si="832"/>
        <v>0</v>
      </c>
      <c r="BO1082" s="24">
        <f t="shared" ca="1" si="833"/>
        <v>0</v>
      </c>
      <c r="BP1082" s="25">
        <f t="shared" ca="1" si="834"/>
        <v>0</v>
      </c>
      <c r="BQ1082" s="34">
        <f t="shared" ca="1" si="835"/>
        <v>78344</v>
      </c>
      <c r="BR1082" s="23">
        <f t="shared" ca="1" si="836"/>
        <v>1255.5497766365186</v>
      </c>
      <c r="BS1082" s="24">
        <f t="shared" ca="1" si="837"/>
        <v>0</v>
      </c>
      <c r="BT1082" s="24">
        <f t="shared" ca="1" si="842"/>
        <v>0</v>
      </c>
      <c r="BU1082" s="24">
        <f t="shared" ca="1" si="838"/>
        <v>0</v>
      </c>
      <c r="BV1082" s="24">
        <f t="shared" ca="1" si="843"/>
        <v>0</v>
      </c>
      <c r="BW1082" s="24">
        <f t="shared" ca="1" si="839"/>
        <v>-19.507482287731357</v>
      </c>
      <c r="BX1082" s="25">
        <f t="shared" ca="1" si="844"/>
        <v>-242.13040698289024</v>
      </c>
      <c r="BY1082" s="23">
        <f t="shared" ca="1" si="811"/>
        <v>37.405083015586598</v>
      </c>
      <c r="BZ1082" s="24">
        <f t="shared" ca="1" si="812"/>
        <v>0</v>
      </c>
      <c r="CA1082" s="24">
        <f t="shared" ca="1" si="845"/>
        <v>0</v>
      </c>
      <c r="CB1082" s="24">
        <f t="shared" ca="1" si="813"/>
        <v>0</v>
      </c>
      <c r="CC1082" s="24">
        <f t="shared" ca="1" si="846"/>
        <v>0</v>
      </c>
      <c r="CD1082" s="24">
        <f t="shared" ca="1" si="814"/>
        <v>-0.58306551215436564</v>
      </c>
      <c r="CE1082" s="25">
        <f t="shared" ca="1" si="847"/>
        <v>-7.3720617628384142</v>
      </c>
      <c r="CF1082" s="23">
        <f t="shared" ca="1" si="848"/>
        <v>8835800.0246513076</v>
      </c>
      <c r="CG1082" s="25">
        <f t="array" aca="1" ref="CG1082" ca="1">SUM(BF1071:BF1082/(1+inflation/100)^(AP1071:AP1082/12))</f>
        <v>267980.53702225396</v>
      </c>
      <c r="CH1082" s="32">
        <f ca="1">IFERROR(IF(MOD(AP1082-ap_months_since_start,12)=0,ap_drawdown/100*(AQ1082+AV1082+BA1082-BC1082),CH1081),0)</f>
        <v>205.58985305587737</v>
      </c>
    </row>
    <row r="1083" spans="40:86" x14ac:dyDescent="0.25">
      <c r="AN1083" s="32">
        <f t="shared" ca="1" si="809"/>
        <v>144.5</v>
      </c>
      <c r="AO1083" s="53">
        <f t="shared" ca="1" si="840"/>
        <v>78345</v>
      </c>
      <c r="AP1083" s="22">
        <v>1076</v>
      </c>
      <c r="AQ1083" s="32">
        <f t="shared" ca="1" si="841"/>
        <v>1255.5497766365186</v>
      </c>
      <c r="AR1083" s="23">
        <f t="array" aca="1" ref="AR1083" ca="1">SUM(IF(lsc_start_date=AO1083,lsc_amount,0))</f>
        <v>0</v>
      </c>
      <c r="AS1083" s="24">
        <f t="shared" ca="1" si="815"/>
        <v>0</v>
      </c>
      <c r="AT1083" s="24">
        <f t="shared" ca="1" si="816"/>
        <v>0</v>
      </c>
      <c r="AU1083" s="24">
        <f t="shared" ca="1" si="817"/>
        <v>0</v>
      </c>
      <c r="AV1083" s="25">
        <f t="shared" ca="1" si="818"/>
        <v>0</v>
      </c>
      <c r="AW1083" s="23">
        <f t="array" aca="1" ref="AW1083" ca="1">SUM(IF(rcs_start_date&lt;=AO1083,1,0)*IF(rcs_end_date&gt;=AO1083,1,0)*rcs_amount*(1+rcs_escalation/100)^(INT((AP1083-rcs_months_since_start)/12))*IF(MOD((AP1083-rcs_months_since_start),rcs_frequency)=0,1,0)*IF(rcs_frequency=13,0,1))+SUM(IF(rcs_start_date=AO1083,rcs_amount,0)*IF(rcs_frequency=13,1,0))</f>
        <v>0</v>
      </c>
      <c r="AX1083" s="24">
        <f t="shared" ca="1" si="819"/>
        <v>0</v>
      </c>
      <c r="AY1083" s="24">
        <f t="shared" ca="1" si="820"/>
        <v>0</v>
      </c>
      <c r="AZ1083" s="24">
        <f t="shared" ca="1" si="821"/>
        <v>0</v>
      </c>
      <c r="BA1083" s="25">
        <f t="shared" ca="1" si="822"/>
        <v>0</v>
      </c>
      <c r="BB1083" s="23">
        <f t="array" aca="1" ref="BB1083" ca="1">SUM(IF(w_start_date&lt;=AO1083,1,0)*IF(w_end_date&gt;=AO1083,1,0)*w_amount*(1+w_escalation/100)^(INT((AP1083-w_months_since_start)/12))*IF(MOD(AP1083-w_months_since_start,w_frequency)=0,1,0)*IF(w_frequency=13,0,1))+SUM(IF(w_start_date=AO1083,w_amount,0)*IF(w_frequency=13,1,0))</f>
        <v>0</v>
      </c>
      <c r="BC1083" s="25">
        <f t="shared" ca="1" si="823"/>
        <v>0</v>
      </c>
      <c r="BD1083" s="24" t="b">
        <f t="shared" ca="1" si="824"/>
        <v>1</v>
      </c>
      <c r="BE1083" s="24" t="b">
        <f t="shared" ca="1" si="825"/>
        <v>1</v>
      </c>
      <c r="BF1083" s="23">
        <f t="array" aca="1" ref="BF1083" ca="1">SUM(IF(BD1083,1,0)*IF(ap_start_date&lt;=AO1083,1,0)*IF(ap_end_date&gt;=AO1083,1,0)*ap_amount*(1+ap_escalation/100)^(INT((AP1083-ap_months_since_start)/12))*IF(MOD(AP1083-ap_months_since_start,ap_frequency)=0,1,0))</f>
        <v>745879.22286017553</v>
      </c>
      <c r="BG1083" s="24">
        <f t="shared" ca="1" si="826"/>
        <v>8950550.6743221041</v>
      </c>
      <c r="BH1083" s="24">
        <f t="shared" ca="1" si="827"/>
        <v>33.441398207539457</v>
      </c>
      <c r="BI1083">
        <f t="shared" ca="1" si="828"/>
        <v>0</v>
      </c>
      <c r="BJ1083" s="24">
        <f t="shared" ca="1" si="829"/>
        <v>234.08978745277619</v>
      </c>
      <c r="BK1083">
        <f t="shared" ca="1" si="830"/>
        <v>1</v>
      </c>
      <c r="BL1083" s="25">
        <f t="shared" ca="1" si="831"/>
        <v>19.507482287731357</v>
      </c>
      <c r="BM1083" s="32">
        <f t="shared" ca="1" si="810"/>
        <v>1244.9508507965784</v>
      </c>
      <c r="BN1083" s="23">
        <f t="shared" ca="1" si="832"/>
        <v>0</v>
      </c>
      <c r="BO1083" s="24">
        <f t="shared" ca="1" si="833"/>
        <v>0</v>
      </c>
      <c r="BP1083" s="25">
        <f t="shared" ca="1" si="834"/>
        <v>0</v>
      </c>
      <c r="BQ1083" s="34">
        <f t="shared" ca="1" si="835"/>
        <v>78375</v>
      </c>
      <c r="BR1083" s="23">
        <f t="shared" ca="1" si="836"/>
        <v>1244.9508507965784</v>
      </c>
      <c r="BS1083" s="24">
        <f t="shared" ca="1" si="837"/>
        <v>0</v>
      </c>
      <c r="BT1083" s="24">
        <f t="shared" ca="1" si="842"/>
        <v>0</v>
      </c>
      <c r="BU1083" s="24">
        <f t="shared" ca="1" si="838"/>
        <v>0</v>
      </c>
      <c r="BV1083" s="24">
        <f t="shared" ca="1" si="843"/>
        <v>0</v>
      </c>
      <c r="BW1083" s="24">
        <f t="shared" ca="1" si="839"/>
        <v>-19.507482287731357</v>
      </c>
      <c r="BX1083" s="25">
        <f t="shared" ca="1" si="844"/>
        <v>-240.12025210036177</v>
      </c>
      <c r="BY1083" s="23">
        <f t="shared" ca="1" si="811"/>
        <v>36.968297391586191</v>
      </c>
      <c r="BZ1083" s="24">
        <f t="shared" ca="1" si="812"/>
        <v>0</v>
      </c>
      <c r="CA1083" s="24">
        <f t="shared" ca="1" si="845"/>
        <v>0</v>
      </c>
      <c r="CB1083" s="24">
        <f t="shared" ca="1" si="813"/>
        <v>0</v>
      </c>
      <c r="CC1083" s="24">
        <f t="shared" ca="1" si="846"/>
        <v>0</v>
      </c>
      <c r="CD1083" s="24">
        <f t="shared" ca="1" si="814"/>
        <v>-0.5811629359310686</v>
      </c>
      <c r="CE1083" s="25">
        <f t="shared" ca="1" si="847"/>
        <v>-7.2865336759082799</v>
      </c>
      <c r="CF1083" s="23">
        <f t="shared" ca="1" si="848"/>
        <v>8864487.6870690081</v>
      </c>
      <c r="CG1083" s="25">
        <f t="array" aca="1" ref="CG1083" ca="1">SUM(BF1072:BF1083/(1+inflation/100)^(AP1072:AP1083/12))</f>
        <v>267980.53702225396</v>
      </c>
      <c r="CH1083" s="32">
        <f ca="1">IFERROR(IF(MOD(AP1083-ap_months_since_start,12)=0,ap_drawdown/100*(AQ1083+AV1083+BA1083-BC1083),CH1082),0)</f>
        <v>205.58985305587737</v>
      </c>
    </row>
    <row r="1084" spans="40:86" x14ac:dyDescent="0.25">
      <c r="AN1084" s="32">
        <f t="shared" ca="1" si="809"/>
        <v>144.58333333333334</v>
      </c>
      <c r="AO1084" s="53">
        <f t="shared" ca="1" si="840"/>
        <v>78376</v>
      </c>
      <c r="AP1084" s="22">
        <v>1077</v>
      </c>
      <c r="AQ1084" s="32">
        <f t="shared" ca="1" si="841"/>
        <v>1244.9508507965784</v>
      </c>
      <c r="AR1084" s="23">
        <f t="array" aca="1" ref="AR1084" ca="1">SUM(IF(lsc_start_date=AO1084,lsc_amount,0))</f>
        <v>0</v>
      </c>
      <c r="AS1084" s="24">
        <f t="shared" ca="1" si="815"/>
        <v>0</v>
      </c>
      <c r="AT1084" s="24">
        <f t="shared" ca="1" si="816"/>
        <v>0</v>
      </c>
      <c r="AU1084" s="24">
        <f t="shared" ca="1" si="817"/>
        <v>0</v>
      </c>
      <c r="AV1084" s="25">
        <f t="shared" ca="1" si="818"/>
        <v>0</v>
      </c>
      <c r="AW1084" s="23">
        <f t="array" aca="1" ref="AW1084" ca="1">SUM(IF(rcs_start_date&lt;=AO1084,1,0)*IF(rcs_end_date&gt;=AO1084,1,0)*rcs_amount*(1+rcs_escalation/100)^(INT((AP1084-rcs_months_since_start)/12))*IF(MOD((AP1084-rcs_months_since_start),rcs_frequency)=0,1,0)*IF(rcs_frequency=13,0,1))+SUM(IF(rcs_start_date=AO1084,rcs_amount,0)*IF(rcs_frequency=13,1,0))</f>
        <v>0</v>
      </c>
      <c r="AX1084" s="24">
        <f t="shared" ca="1" si="819"/>
        <v>0</v>
      </c>
      <c r="AY1084" s="24">
        <f t="shared" ca="1" si="820"/>
        <v>0</v>
      </c>
      <c r="AZ1084" s="24">
        <f t="shared" ca="1" si="821"/>
        <v>0</v>
      </c>
      <c r="BA1084" s="25">
        <f t="shared" ca="1" si="822"/>
        <v>0</v>
      </c>
      <c r="BB1084" s="23">
        <f t="array" aca="1" ref="BB1084" ca="1">SUM(IF(w_start_date&lt;=AO1084,1,0)*IF(w_end_date&gt;=AO1084,1,0)*w_amount*(1+w_escalation/100)^(INT((AP1084-w_months_since_start)/12))*IF(MOD(AP1084-w_months_since_start,w_frequency)=0,1,0)*IF(w_frequency=13,0,1))+SUM(IF(w_start_date=AO1084,w_amount,0)*IF(w_frequency=13,1,0))</f>
        <v>0</v>
      </c>
      <c r="BC1084" s="25">
        <f t="shared" ca="1" si="823"/>
        <v>0</v>
      </c>
      <c r="BD1084" s="24" t="b">
        <f t="shared" ca="1" si="824"/>
        <v>1</v>
      </c>
      <c r="BE1084" s="24" t="b">
        <f t="shared" ca="1" si="825"/>
        <v>1</v>
      </c>
      <c r="BF1084" s="23">
        <f t="array" aca="1" ref="BF1084" ca="1">SUM(IF(BD1084,1,0)*IF(ap_start_date&lt;=AO1084,1,0)*IF(ap_end_date&gt;=AO1084,1,0)*ap_amount*(1+ap_escalation/100)^(INT((AP1084-ap_months_since_start)/12))*IF(MOD(AP1084-ap_months_since_start,ap_frequency)=0,1,0))</f>
        <v>745879.22286017553</v>
      </c>
      <c r="BG1084" s="24">
        <f t="shared" ca="1" si="826"/>
        <v>8950550.6743221041</v>
      </c>
      <c r="BH1084" s="24">
        <f t="shared" ca="1" si="827"/>
        <v>33.441398207539457</v>
      </c>
      <c r="BI1084">
        <f t="shared" ca="1" si="828"/>
        <v>0</v>
      </c>
      <c r="BJ1084" s="24">
        <f t="shared" ca="1" si="829"/>
        <v>234.08978745277619</v>
      </c>
      <c r="BK1084">
        <f t="shared" ca="1" si="830"/>
        <v>1</v>
      </c>
      <c r="BL1084" s="25">
        <f t="shared" ca="1" si="831"/>
        <v>19.507482287731357</v>
      </c>
      <c r="BM1084" s="32">
        <f t="shared" ca="1" si="810"/>
        <v>1234.275535071306</v>
      </c>
      <c r="BN1084" s="23">
        <f t="shared" ca="1" si="832"/>
        <v>0</v>
      </c>
      <c r="BO1084" s="24">
        <f t="shared" ca="1" si="833"/>
        <v>0</v>
      </c>
      <c r="BP1084" s="25">
        <f t="shared" ca="1" si="834"/>
        <v>0</v>
      </c>
      <c r="BQ1084" s="34">
        <f t="shared" ca="1" si="835"/>
        <v>78406</v>
      </c>
      <c r="BR1084" s="23">
        <f t="shared" ca="1" si="836"/>
        <v>1234.275535071306</v>
      </c>
      <c r="BS1084" s="24">
        <f t="shared" ca="1" si="837"/>
        <v>0</v>
      </c>
      <c r="BT1084" s="24">
        <f t="shared" ca="1" si="842"/>
        <v>0</v>
      </c>
      <c r="BU1084" s="24">
        <f t="shared" ca="1" si="838"/>
        <v>0</v>
      </c>
      <c r="BV1084" s="24">
        <f t="shared" ca="1" si="843"/>
        <v>0</v>
      </c>
      <c r="BW1084" s="24">
        <f t="shared" ca="1" si="839"/>
        <v>-19.507482287731357</v>
      </c>
      <c r="BX1084" s="25">
        <f t="shared" ca="1" si="844"/>
        <v>-238.1100972178333</v>
      </c>
      <c r="BY1084" s="23">
        <f t="shared" ca="1" si="811"/>
        <v>36.531703044402107</v>
      </c>
      <c r="BZ1084" s="24">
        <f t="shared" ca="1" si="812"/>
        <v>0</v>
      </c>
      <c r="CA1084" s="24">
        <f t="shared" ca="1" si="845"/>
        <v>0</v>
      </c>
      <c r="CB1084" s="24">
        <f t="shared" ca="1" si="813"/>
        <v>0</v>
      </c>
      <c r="CC1084" s="24">
        <f t="shared" ca="1" si="846"/>
        <v>0</v>
      </c>
      <c r="CD1084" s="24">
        <f t="shared" ca="1" si="814"/>
        <v>-0.57926656792316067</v>
      </c>
      <c r="CE1084" s="25">
        <f t="shared" ca="1" si="847"/>
        <v>-7.2012846720335233</v>
      </c>
      <c r="CF1084" s="23">
        <f t="shared" ca="1" si="848"/>
        <v>8893175.3494867068</v>
      </c>
      <c r="CG1084" s="25">
        <f t="array" aca="1" ref="CG1084" ca="1">SUM(BF1073:BF1084/(1+inflation/100)^(AP1073:AP1084/12))</f>
        <v>267980.53702225396</v>
      </c>
      <c r="CH1084" s="32">
        <f ca="1">IFERROR(IF(MOD(AP1084-ap_months_since_start,12)=0,ap_drawdown/100*(AQ1084+AV1084+BA1084-BC1084),CH1083),0)</f>
        <v>205.58985305587737</v>
      </c>
    </row>
    <row r="1085" spans="40:86" x14ac:dyDescent="0.25">
      <c r="AN1085" s="32">
        <f t="shared" ca="1" si="809"/>
        <v>144.66666666666666</v>
      </c>
      <c r="AO1085" s="53">
        <f t="shared" ca="1" si="840"/>
        <v>78407</v>
      </c>
      <c r="AP1085" s="22">
        <v>1078</v>
      </c>
      <c r="AQ1085" s="32">
        <f t="shared" ca="1" si="841"/>
        <v>1234.275535071306</v>
      </c>
      <c r="AR1085" s="23">
        <f t="array" aca="1" ref="AR1085" ca="1">SUM(IF(lsc_start_date=AO1085,lsc_amount,0))</f>
        <v>0</v>
      </c>
      <c r="AS1085" s="24">
        <f t="shared" ca="1" si="815"/>
        <v>0</v>
      </c>
      <c r="AT1085" s="24">
        <f t="shared" ca="1" si="816"/>
        <v>0</v>
      </c>
      <c r="AU1085" s="24">
        <f t="shared" ca="1" si="817"/>
        <v>0</v>
      </c>
      <c r="AV1085" s="25">
        <f t="shared" ca="1" si="818"/>
        <v>0</v>
      </c>
      <c r="AW1085" s="23">
        <f t="array" aca="1" ref="AW1085" ca="1">SUM(IF(rcs_start_date&lt;=AO1085,1,0)*IF(rcs_end_date&gt;=AO1085,1,0)*rcs_amount*(1+rcs_escalation/100)^(INT((AP1085-rcs_months_since_start)/12))*IF(MOD((AP1085-rcs_months_since_start),rcs_frequency)=0,1,0)*IF(rcs_frequency=13,0,1))+SUM(IF(rcs_start_date=AO1085,rcs_amount,0)*IF(rcs_frequency=13,1,0))</f>
        <v>0</v>
      </c>
      <c r="AX1085" s="24">
        <f t="shared" ca="1" si="819"/>
        <v>0</v>
      </c>
      <c r="AY1085" s="24">
        <f t="shared" ca="1" si="820"/>
        <v>0</v>
      </c>
      <c r="AZ1085" s="24">
        <f t="shared" ca="1" si="821"/>
        <v>0</v>
      </c>
      <c r="BA1085" s="25">
        <f t="shared" ca="1" si="822"/>
        <v>0</v>
      </c>
      <c r="BB1085" s="23">
        <f t="array" aca="1" ref="BB1085" ca="1">SUM(IF(w_start_date&lt;=AO1085,1,0)*IF(w_end_date&gt;=AO1085,1,0)*w_amount*(1+w_escalation/100)^(INT((AP1085-w_months_since_start)/12))*IF(MOD(AP1085-w_months_since_start,w_frequency)=0,1,0)*IF(w_frequency=13,0,1))+SUM(IF(w_start_date=AO1085,w_amount,0)*IF(w_frequency=13,1,0))</f>
        <v>0</v>
      </c>
      <c r="BC1085" s="25">
        <f t="shared" ca="1" si="823"/>
        <v>0</v>
      </c>
      <c r="BD1085" s="24" t="b">
        <f t="shared" ca="1" si="824"/>
        <v>1</v>
      </c>
      <c r="BE1085" s="24" t="b">
        <f t="shared" ca="1" si="825"/>
        <v>1</v>
      </c>
      <c r="BF1085" s="23">
        <f t="array" aca="1" ref="BF1085" ca="1">SUM(IF(BD1085,1,0)*IF(ap_start_date&lt;=AO1085,1,0)*IF(ap_end_date&gt;=AO1085,1,0)*ap_amount*(1+ap_escalation/100)^(INT((AP1085-ap_months_since_start)/12))*IF(MOD(AP1085-ap_months_since_start,ap_frequency)=0,1,0))</f>
        <v>745879.22286017553</v>
      </c>
      <c r="BG1085" s="24">
        <f t="shared" ca="1" si="826"/>
        <v>8950550.6743221041</v>
      </c>
      <c r="BH1085" s="24">
        <f t="shared" ca="1" si="827"/>
        <v>33.441398207539457</v>
      </c>
      <c r="BI1085">
        <f t="shared" ca="1" si="828"/>
        <v>0</v>
      </c>
      <c r="BJ1085" s="24">
        <f t="shared" ca="1" si="829"/>
        <v>234.08978745277619</v>
      </c>
      <c r="BK1085">
        <f t="shared" ca="1" si="830"/>
        <v>1</v>
      </c>
      <c r="BL1085" s="25">
        <f t="shared" ca="1" si="831"/>
        <v>19.507482287731357</v>
      </c>
      <c r="BM1085" s="32">
        <f t="shared" ca="1" si="810"/>
        <v>1223.5232788940996</v>
      </c>
      <c r="BN1085" s="23">
        <f t="shared" ca="1" si="832"/>
        <v>0</v>
      </c>
      <c r="BO1085" s="24">
        <f t="shared" ca="1" si="833"/>
        <v>0</v>
      </c>
      <c r="BP1085" s="25">
        <f t="shared" ca="1" si="834"/>
        <v>0</v>
      </c>
      <c r="BQ1085" s="34">
        <f t="shared" ca="1" si="835"/>
        <v>78436</v>
      </c>
      <c r="BR1085" s="23">
        <f t="shared" ca="1" si="836"/>
        <v>1223.5232788940996</v>
      </c>
      <c r="BS1085" s="24">
        <f t="shared" ca="1" si="837"/>
        <v>0</v>
      </c>
      <c r="BT1085" s="24">
        <f t="shared" ca="1" si="842"/>
        <v>0</v>
      </c>
      <c r="BU1085" s="24">
        <f t="shared" ca="1" si="838"/>
        <v>0</v>
      </c>
      <c r="BV1085" s="24">
        <f t="shared" ca="1" si="843"/>
        <v>0</v>
      </c>
      <c r="BW1085" s="24">
        <f t="shared" ca="1" si="839"/>
        <v>-19.507482287731357</v>
      </c>
      <c r="BX1085" s="25">
        <f t="shared" ca="1" si="844"/>
        <v>-236.0999423353048</v>
      </c>
      <c r="BY1085" s="23">
        <f t="shared" ca="1" si="811"/>
        <v>36.095294511763484</v>
      </c>
      <c r="BZ1085" s="24">
        <f t="shared" ca="1" si="812"/>
        <v>0</v>
      </c>
      <c r="CA1085" s="24">
        <f t="shared" ca="1" si="845"/>
        <v>0</v>
      </c>
      <c r="CB1085" s="24">
        <f t="shared" ca="1" si="813"/>
        <v>0</v>
      </c>
      <c r="CC1085" s="24">
        <f t="shared" ca="1" si="846"/>
        <v>0</v>
      </c>
      <c r="CD1085" s="24">
        <f t="shared" ca="1" si="814"/>
        <v>-0.57737638787287904</v>
      </c>
      <c r="CE1085" s="25">
        <f t="shared" ca="1" si="847"/>
        <v>-7.1163138405501201</v>
      </c>
      <c r="CF1085" s="23">
        <f t="shared" ca="1" si="848"/>
        <v>8921863.0119044054</v>
      </c>
      <c r="CG1085" s="25">
        <f t="array" aca="1" ref="CG1085" ca="1">SUM(BF1074:BF1085/(1+inflation/100)^(AP1074:AP1085/12))</f>
        <v>267980.53702225396</v>
      </c>
      <c r="CH1085" s="32">
        <f ca="1">IFERROR(IF(MOD(AP1085-ap_months_since_start,12)=0,ap_drawdown/100*(AQ1085+AV1085+BA1085-BC1085),CH1084),0)</f>
        <v>205.58985305587737</v>
      </c>
    </row>
    <row r="1086" spans="40:86" x14ac:dyDescent="0.25">
      <c r="AN1086" s="32">
        <f t="shared" ca="1" si="809"/>
        <v>144.75</v>
      </c>
      <c r="AO1086" s="53">
        <f t="shared" ca="1" si="840"/>
        <v>78437</v>
      </c>
      <c r="AP1086" s="22">
        <v>1079</v>
      </c>
      <c r="AQ1086" s="32">
        <f t="shared" ca="1" si="841"/>
        <v>1223.5232788940996</v>
      </c>
      <c r="AR1086" s="23">
        <f t="array" aca="1" ref="AR1086" ca="1">SUM(IF(lsc_start_date=AO1086,lsc_amount,0))</f>
        <v>0</v>
      </c>
      <c r="AS1086" s="24">
        <f t="shared" ca="1" si="815"/>
        <v>0</v>
      </c>
      <c r="AT1086" s="24">
        <f t="shared" ca="1" si="816"/>
        <v>0</v>
      </c>
      <c r="AU1086" s="24">
        <f t="shared" ca="1" si="817"/>
        <v>0</v>
      </c>
      <c r="AV1086" s="25">
        <f t="shared" ca="1" si="818"/>
        <v>0</v>
      </c>
      <c r="AW1086" s="23">
        <f t="array" aca="1" ref="AW1086" ca="1">SUM(IF(rcs_start_date&lt;=AO1086,1,0)*IF(rcs_end_date&gt;=AO1086,1,0)*rcs_amount*(1+rcs_escalation/100)^(INT((AP1086-rcs_months_since_start)/12))*IF(MOD((AP1086-rcs_months_since_start),rcs_frequency)=0,1,0)*IF(rcs_frequency=13,0,1))+SUM(IF(rcs_start_date=AO1086,rcs_amount,0)*IF(rcs_frequency=13,1,0))</f>
        <v>0</v>
      </c>
      <c r="AX1086" s="24">
        <f t="shared" ca="1" si="819"/>
        <v>0</v>
      </c>
      <c r="AY1086" s="24">
        <f t="shared" ca="1" si="820"/>
        <v>0</v>
      </c>
      <c r="AZ1086" s="24">
        <f t="shared" ca="1" si="821"/>
        <v>0</v>
      </c>
      <c r="BA1086" s="25">
        <f t="shared" ca="1" si="822"/>
        <v>0</v>
      </c>
      <c r="BB1086" s="23">
        <f t="array" aca="1" ref="BB1086" ca="1">SUM(IF(w_start_date&lt;=AO1086,1,0)*IF(w_end_date&gt;=AO1086,1,0)*w_amount*(1+w_escalation/100)^(INT((AP1086-w_months_since_start)/12))*IF(MOD(AP1086-w_months_since_start,w_frequency)=0,1,0)*IF(w_frequency=13,0,1))+SUM(IF(w_start_date=AO1086,w_amount,0)*IF(w_frequency=13,1,0))</f>
        <v>0</v>
      </c>
      <c r="BC1086" s="25">
        <f t="shared" ca="1" si="823"/>
        <v>0</v>
      </c>
      <c r="BD1086" s="24" t="b">
        <f t="shared" ca="1" si="824"/>
        <v>1</v>
      </c>
      <c r="BE1086" s="24" t="b">
        <f t="shared" ca="1" si="825"/>
        <v>1</v>
      </c>
      <c r="BF1086" s="23">
        <f t="array" aca="1" ref="BF1086" ca="1">SUM(IF(BD1086,1,0)*IF(ap_start_date&lt;=AO1086,1,0)*IF(ap_end_date&gt;=AO1086,1,0)*ap_amount*(1+ap_escalation/100)^(INT((AP1086-ap_months_since_start)/12))*IF(MOD(AP1086-ap_months_since_start,ap_frequency)=0,1,0))</f>
        <v>745879.22286017553</v>
      </c>
      <c r="BG1086" s="24">
        <f t="shared" ca="1" si="826"/>
        <v>8950550.6743221041</v>
      </c>
      <c r="BH1086" s="24">
        <f t="shared" ca="1" si="827"/>
        <v>33.441398207539457</v>
      </c>
      <c r="BI1086">
        <f t="shared" ca="1" si="828"/>
        <v>0</v>
      </c>
      <c r="BJ1086" s="24">
        <f t="shared" ca="1" si="829"/>
        <v>234.08978745277619</v>
      </c>
      <c r="BK1086">
        <f t="shared" ca="1" si="830"/>
        <v>1</v>
      </c>
      <c r="BL1086" s="25">
        <f t="shared" ca="1" si="831"/>
        <v>19.507482287731357</v>
      </c>
      <c r="BM1086" s="32">
        <f t="shared" ca="1" si="810"/>
        <v>1212.6935277302462</v>
      </c>
      <c r="BN1086" s="23">
        <f t="shared" ca="1" si="832"/>
        <v>0</v>
      </c>
      <c r="BO1086" s="24">
        <f t="shared" ca="1" si="833"/>
        <v>0</v>
      </c>
      <c r="BP1086" s="25">
        <f t="shared" ca="1" si="834"/>
        <v>0</v>
      </c>
      <c r="BQ1086" s="34">
        <f t="shared" ca="1" si="835"/>
        <v>78467</v>
      </c>
      <c r="BR1086" s="23">
        <f t="shared" ca="1" si="836"/>
        <v>1212.6935277302462</v>
      </c>
      <c r="BS1086" s="24">
        <f t="shared" ca="1" si="837"/>
        <v>0</v>
      </c>
      <c r="BT1086" s="24">
        <f t="shared" ca="1" si="842"/>
        <v>0</v>
      </c>
      <c r="BU1086" s="24">
        <f t="shared" ca="1" si="838"/>
        <v>0</v>
      </c>
      <c r="BV1086" s="24">
        <f t="shared" ca="1" si="843"/>
        <v>0</v>
      </c>
      <c r="BW1086" s="24">
        <f t="shared" ca="1" si="839"/>
        <v>-19.507482287731357</v>
      </c>
      <c r="BX1086" s="25">
        <f t="shared" ca="1" si="844"/>
        <v>-234.08978745277633</v>
      </c>
      <c r="BY1086" s="23">
        <f t="shared" ca="1" si="811"/>
        <v>35.659066330254085</v>
      </c>
      <c r="BZ1086" s="24">
        <f t="shared" ca="1" si="812"/>
        <v>0</v>
      </c>
      <c r="CA1086" s="24">
        <f t="shared" ca="1" si="845"/>
        <v>0</v>
      </c>
      <c r="CB1086" s="24">
        <f t="shared" ca="1" si="813"/>
        <v>0</v>
      </c>
      <c r="CC1086" s="24">
        <f t="shared" ca="1" si="846"/>
        <v>0</v>
      </c>
      <c r="CD1086" s="24">
        <f t="shared" ca="1" si="814"/>
        <v>-0.57549237558856281</v>
      </c>
      <c r="CE1086" s="25">
        <f t="shared" ca="1" si="847"/>
        <v>-7.0316202737655962</v>
      </c>
      <c r="CF1086" s="23">
        <f t="shared" ca="1" si="848"/>
        <v>8950550.6743221041</v>
      </c>
      <c r="CG1086" s="25">
        <f t="array" aca="1" ref="CG1086" ca="1">SUM(BF1075:BF1086/(1+inflation/100)^(AP1075:AP1086/12))</f>
        <v>267980.53702225396</v>
      </c>
      <c r="CH1086" s="32">
        <f ca="1">IFERROR(IF(MOD(AP1086-ap_months_since_start,12)=0,ap_drawdown/100*(AQ1086+AV1086+BA1086-BC1086),CH1085),0)</f>
        <v>205.58985305587737</v>
      </c>
    </row>
    <row r="1087" spans="40:86" x14ac:dyDescent="0.25">
      <c r="AN1087" s="32">
        <f t="shared" ca="1" si="809"/>
        <v>144.83333333333334</v>
      </c>
      <c r="AO1087" s="53">
        <f t="shared" ca="1" si="840"/>
        <v>78468</v>
      </c>
      <c r="AP1087" s="22">
        <v>1080</v>
      </c>
      <c r="AQ1087" s="32">
        <f t="shared" ca="1" si="841"/>
        <v>1212.6935277302462</v>
      </c>
      <c r="AR1087" s="23">
        <f t="array" aca="1" ref="AR1087" ca="1">SUM(IF(lsc_start_date=AO1087,lsc_amount,0))</f>
        <v>0</v>
      </c>
      <c r="AS1087" s="24">
        <f t="shared" ca="1" si="815"/>
        <v>0</v>
      </c>
      <c r="AT1087" s="24">
        <f t="shared" ca="1" si="816"/>
        <v>0</v>
      </c>
      <c r="AU1087" s="24">
        <f t="shared" ca="1" si="817"/>
        <v>0</v>
      </c>
      <c r="AV1087" s="25">
        <f t="shared" ca="1" si="818"/>
        <v>0</v>
      </c>
      <c r="AW1087" s="23">
        <f t="array" aca="1" ref="AW1087" ca="1">SUM(IF(rcs_start_date&lt;=AO1087,1,0)*IF(rcs_end_date&gt;=AO1087,1,0)*rcs_amount*(1+rcs_escalation/100)^(INT((AP1087-rcs_months_since_start)/12))*IF(MOD((AP1087-rcs_months_since_start),rcs_frequency)=0,1,0)*IF(rcs_frequency=13,0,1))+SUM(IF(rcs_start_date=AO1087,rcs_amount,0)*IF(rcs_frequency=13,1,0))</f>
        <v>0</v>
      </c>
      <c r="AX1087" s="24">
        <f t="shared" ca="1" si="819"/>
        <v>0</v>
      </c>
      <c r="AY1087" s="24">
        <f t="shared" ca="1" si="820"/>
        <v>0</v>
      </c>
      <c r="AZ1087" s="24">
        <f t="shared" ca="1" si="821"/>
        <v>0</v>
      </c>
      <c r="BA1087" s="25">
        <f t="shared" ca="1" si="822"/>
        <v>0</v>
      </c>
      <c r="BB1087" s="23">
        <f t="array" aca="1" ref="BB1087" ca="1">SUM(IF(w_start_date&lt;=AO1087,1,0)*IF(w_end_date&gt;=AO1087,1,0)*w_amount*(1+w_escalation/100)^(INT((AP1087-w_months_since_start)/12))*IF(MOD(AP1087-w_months_since_start,w_frequency)=0,1,0)*IF(w_frequency=13,0,1))+SUM(IF(w_start_date=AO1087,w_amount,0)*IF(w_frequency=13,1,0))</f>
        <v>0</v>
      </c>
      <c r="BC1087" s="25">
        <f t="shared" ca="1" si="823"/>
        <v>0</v>
      </c>
      <c r="BD1087" s="24" t="b">
        <f t="shared" ca="1" si="824"/>
        <v>1</v>
      </c>
      <c r="BE1087" s="24" t="b">
        <f t="shared" ca="1" si="825"/>
        <v>1</v>
      </c>
      <c r="BF1087" s="23">
        <f t="array" aca="1" ref="BF1087" ca="1">SUM(IF(BD1087,1,0)*IF(ap_start_date&lt;=AO1087,1,0)*IF(ap_end_date&gt;=AO1087,1,0)*ap_amount*(1+ap_escalation/100)^(INT((AP1087-ap_months_since_start)/12))*IF(MOD(AP1087-ap_months_since_start,ap_frequency)=0,1,0))</f>
        <v>775714.39177458244</v>
      </c>
      <c r="BG1087" s="24">
        <f t="shared" ca="1" si="826"/>
        <v>9308572.7012949903</v>
      </c>
      <c r="BH1087" s="24">
        <f t="shared" ca="1" si="827"/>
        <v>30.317338193256155</v>
      </c>
      <c r="BI1087">
        <f t="shared" ca="1" si="828"/>
        <v>0</v>
      </c>
      <c r="BJ1087" s="24">
        <f t="shared" ca="1" si="829"/>
        <v>212.22136735279307</v>
      </c>
      <c r="BK1087">
        <f t="shared" ca="1" si="830"/>
        <v>1</v>
      </c>
      <c r="BL1087" s="25">
        <f t="shared" ca="1" si="831"/>
        <v>17.685113946066089</v>
      </c>
      <c r="BM1087" s="32">
        <f t="shared" ca="1" si="810"/>
        <v>1203.6212257878262</v>
      </c>
      <c r="BN1087" s="23">
        <f t="shared" ca="1" si="832"/>
        <v>0</v>
      </c>
      <c r="BO1087" s="24">
        <f t="shared" ca="1" si="833"/>
        <v>0</v>
      </c>
      <c r="BP1087" s="25">
        <f t="shared" ca="1" si="834"/>
        <v>0</v>
      </c>
      <c r="BQ1087" s="34">
        <f t="shared" ca="1" si="835"/>
        <v>78497</v>
      </c>
      <c r="BR1087" s="23">
        <f t="shared" ca="1" si="836"/>
        <v>1203.6212257878262</v>
      </c>
      <c r="BS1087" s="24">
        <f t="shared" ca="1" si="837"/>
        <v>0</v>
      </c>
      <c r="BT1087" s="24">
        <f t="shared" ca="1" si="842"/>
        <v>0</v>
      </c>
      <c r="BU1087" s="24">
        <f t="shared" ca="1" si="838"/>
        <v>0</v>
      </c>
      <c r="BV1087" s="24">
        <f t="shared" ca="1" si="843"/>
        <v>0</v>
      </c>
      <c r="BW1087" s="24">
        <f t="shared" ca="1" si="839"/>
        <v>-17.685113946066089</v>
      </c>
      <c r="BX1087" s="25">
        <f t="shared" ca="1" si="844"/>
        <v>-232.26741911111105</v>
      </c>
      <c r="BY1087" s="23">
        <f t="shared" ca="1" si="811"/>
        <v>35.276809594545021</v>
      </c>
      <c r="BZ1087" s="24">
        <f t="shared" ca="1" si="812"/>
        <v>0</v>
      </c>
      <c r="CA1087" s="24">
        <f t="shared" ca="1" si="845"/>
        <v>0</v>
      </c>
      <c r="CB1087" s="24">
        <f t="shared" ca="1" si="813"/>
        <v>0</v>
      </c>
      <c r="CC1087" s="24">
        <f t="shared" ca="1" si="846"/>
        <v>0</v>
      </c>
      <c r="CD1087" s="24">
        <f t="shared" ca="1" si="814"/>
        <v>-0.52002805064953872</v>
      </c>
      <c r="CE1087" s="25">
        <f t="shared" ca="1" si="847"/>
        <v>-6.9550892330329201</v>
      </c>
      <c r="CF1087" s="23">
        <f t="shared" ca="1" si="848"/>
        <v>8980385.8432365116</v>
      </c>
      <c r="CG1087" s="25">
        <f t="array" aca="1" ref="CG1087" ca="1">SUM(BF1076:BF1087/(1+inflation/100)^(AP1076:AP1087/12))</f>
        <v>267980.53702225396</v>
      </c>
      <c r="CH1087" s="32">
        <f ca="1">IFERROR(IF(MOD(AP1087-ap_months_since_start,12)=0,ap_drawdown/100*(AQ1087+AV1087+BA1087-BC1087),CH1086),0)</f>
        <v>186.38386665278961</v>
      </c>
    </row>
    <row r="1088" spans="40:86" x14ac:dyDescent="0.25">
      <c r="AN1088" s="32">
        <f t="shared" ca="1" si="809"/>
        <v>144.91666666666666</v>
      </c>
      <c r="AO1088" s="53">
        <f t="shared" ca="1" si="840"/>
        <v>78498</v>
      </c>
      <c r="AP1088" s="22">
        <v>1081</v>
      </c>
      <c r="AQ1088" s="32">
        <f t="shared" ca="1" si="841"/>
        <v>1203.6212257878262</v>
      </c>
      <c r="AR1088" s="23">
        <f t="array" aca="1" ref="AR1088" ca="1">SUM(IF(lsc_start_date=AO1088,lsc_amount,0))</f>
        <v>0</v>
      </c>
      <c r="AS1088" s="24">
        <f t="shared" ca="1" si="815"/>
        <v>0</v>
      </c>
      <c r="AT1088" s="24">
        <f t="shared" ca="1" si="816"/>
        <v>0</v>
      </c>
      <c r="AU1088" s="24">
        <f t="shared" ca="1" si="817"/>
        <v>0</v>
      </c>
      <c r="AV1088" s="25">
        <f t="shared" ca="1" si="818"/>
        <v>0</v>
      </c>
      <c r="AW1088" s="23">
        <f t="array" aca="1" ref="AW1088" ca="1">SUM(IF(rcs_start_date&lt;=AO1088,1,0)*IF(rcs_end_date&gt;=AO1088,1,0)*rcs_amount*(1+rcs_escalation/100)^(INT((AP1088-rcs_months_since_start)/12))*IF(MOD((AP1088-rcs_months_since_start),rcs_frequency)=0,1,0)*IF(rcs_frequency=13,0,1))+SUM(IF(rcs_start_date=AO1088,rcs_amount,0)*IF(rcs_frequency=13,1,0))</f>
        <v>0</v>
      </c>
      <c r="AX1088" s="24">
        <f t="shared" ca="1" si="819"/>
        <v>0</v>
      </c>
      <c r="AY1088" s="24">
        <f t="shared" ca="1" si="820"/>
        <v>0</v>
      </c>
      <c r="AZ1088" s="24">
        <f t="shared" ca="1" si="821"/>
        <v>0</v>
      </c>
      <c r="BA1088" s="25">
        <f t="shared" ca="1" si="822"/>
        <v>0</v>
      </c>
      <c r="BB1088" s="23">
        <f t="array" aca="1" ref="BB1088" ca="1">SUM(IF(w_start_date&lt;=AO1088,1,0)*IF(w_end_date&gt;=AO1088,1,0)*w_amount*(1+w_escalation/100)^(INT((AP1088-w_months_since_start)/12))*IF(MOD(AP1088-w_months_since_start,w_frequency)=0,1,0)*IF(w_frequency=13,0,1))+SUM(IF(w_start_date=AO1088,w_amount,0)*IF(w_frequency=13,1,0))</f>
        <v>0</v>
      </c>
      <c r="BC1088" s="25">
        <f t="shared" ca="1" si="823"/>
        <v>0</v>
      </c>
      <c r="BD1088" s="24" t="b">
        <f t="shared" ca="1" si="824"/>
        <v>1</v>
      </c>
      <c r="BE1088" s="24" t="b">
        <f t="shared" ca="1" si="825"/>
        <v>1</v>
      </c>
      <c r="BF1088" s="23">
        <f t="array" aca="1" ref="BF1088" ca="1">SUM(IF(BD1088,1,0)*IF(ap_start_date&lt;=AO1088,1,0)*IF(ap_end_date&gt;=AO1088,1,0)*ap_amount*(1+ap_escalation/100)^(INT((AP1088-ap_months_since_start)/12))*IF(MOD(AP1088-ap_months_since_start,ap_frequency)=0,1,0))</f>
        <v>775714.39177458244</v>
      </c>
      <c r="BG1088" s="24">
        <f t="shared" ca="1" si="826"/>
        <v>9308572.7012949903</v>
      </c>
      <c r="BH1088" s="24">
        <f t="shared" ca="1" si="827"/>
        <v>30.317338193256155</v>
      </c>
      <c r="BI1088">
        <f t="shared" ca="1" si="828"/>
        <v>0</v>
      </c>
      <c r="BJ1088" s="24">
        <f t="shared" ca="1" si="829"/>
        <v>212.22136735279307</v>
      </c>
      <c r="BK1088">
        <f t="shared" ca="1" si="830"/>
        <v>1</v>
      </c>
      <c r="BL1088" s="25">
        <f t="shared" ca="1" si="831"/>
        <v>17.685113946066089</v>
      </c>
      <c r="BM1088" s="32">
        <f t="shared" ca="1" si="810"/>
        <v>1194.4835368320857</v>
      </c>
      <c r="BN1088" s="23">
        <f t="shared" ca="1" si="832"/>
        <v>0</v>
      </c>
      <c r="BO1088" s="24">
        <f t="shared" ca="1" si="833"/>
        <v>0</v>
      </c>
      <c r="BP1088" s="25">
        <f t="shared" ca="1" si="834"/>
        <v>0</v>
      </c>
      <c r="BQ1088" s="34">
        <f t="shared" ca="1" si="835"/>
        <v>78528</v>
      </c>
      <c r="BR1088" s="23">
        <f t="shared" ca="1" si="836"/>
        <v>1194.4835368320857</v>
      </c>
      <c r="BS1088" s="24">
        <f t="shared" ca="1" si="837"/>
        <v>0</v>
      </c>
      <c r="BT1088" s="24">
        <f t="shared" ca="1" si="842"/>
        <v>0</v>
      </c>
      <c r="BU1088" s="24">
        <f t="shared" ca="1" si="838"/>
        <v>0</v>
      </c>
      <c r="BV1088" s="24">
        <f t="shared" ca="1" si="843"/>
        <v>0</v>
      </c>
      <c r="BW1088" s="24">
        <f t="shared" ca="1" si="839"/>
        <v>-17.685113946066089</v>
      </c>
      <c r="BX1088" s="25">
        <f t="shared" ca="1" si="844"/>
        <v>-230.44505076944577</v>
      </c>
      <c r="BY1088" s="23">
        <f t="shared" ca="1" si="811"/>
        <v>34.894757660907892</v>
      </c>
      <c r="BZ1088" s="24">
        <f t="shared" ca="1" si="812"/>
        <v>0</v>
      </c>
      <c r="CA1088" s="24">
        <f t="shared" ca="1" si="845"/>
        <v>0</v>
      </c>
      <c r="CB1088" s="24">
        <f t="shared" ca="1" si="813"/>
        <v>0</v>
      </c>
      <c r="CC1088" s="24">
        <f t="shared" ca="1" si="846"/>
        <v>0</v>
      </c>
      <c r="CD1088" s="24">
        <f t="shared" ca="1" si="814"/>
        <v>-0.51833116928031175</v>
      </c>
      <c r="CE1088" s="25">
        <f t="shared" ca="1" si="847"/>
        <v>-6.8788079174776167</v>
      </c>
      <c r="CF1088" s="23">
        <f t="shared" ca="1" si="848"/>
        <v>9010221.0121509191</v>
      </c>
      <c r="CG1088" s="25">
        <f t="array" aca="1" ref="CG1088" ca="1">SUM(BF1077:BF1088/(1+inflation/100)^(AP1077:AP1088/12))</f>
        <v>267980.53702225396</v>
      </c>
      <c r="CH1088" s="32">
        <f ca="1">IFERROR(IF(MOD(AP1088-ap_months_since_start,12)=0,ap_drawdown/100*(AQ1088+AV1088+BA1088-BC1088),CH1087),0)</f>
        <v>186.38386665278961</v>
      </c>
    </row>
    <row r="1089" spans="40:86" x14ac:dyDescent="0.25">
      <c r="AN1089" s="32">
        <f t="shared" ca="1" si="809"/>
        <v>145</v>
      </c>
      <c r="AO1089" s="53">
        <f t="shared" ca="1" si="840"/>
        <v>78529</v>
      </c>
      <c r="AP1089" s="22">
        <v>1082</v>
      </c>
      <c r="AQ1089" s="32">
        <f t="shared" ca="1" si="841"/>
        <v>1194.4835368320857</v>
      </c>
      <c r="AR1089" s="23">
        <f t="array" aca="1" ref="AR1089" ca="1">SUM(IF(lsc_start_date=AO1089,lsc_amount,0))</f>
        <v>0</v>
      </c>
      <c r="AS1089" s="24">
        <f t="shared" ca="1" si="815"/>
        <v>0</v>
      </c>
      <c r="AT1089" s="24">
        <f t="shared" ca="1" si="816"/>
        <v>0</v>
      </c>
      <c r="AU1089" s="24">
        <f t="shared" ca="1" si="817"/>
        <v>0</v>
      </c>
      <c r="AV1089" s="25">
        <f t="shared" ca="1" si="818"/>
        <v>0</v>
      </c>
      <c r="AW1089" s="23">
        <f t="array" aca="1" ref="AW1089" ca="1">SUM(IF(rcs_start_date&lt;=AO1089,1,0)*IF(rcs_end_date&gt;=AO1089,1,0)*rcs_amount*(1+rcs_escalation/100)^(INT((AP1089-rcs_months_since_start)/12))*IF(MOD((AP1089-rcs_months_since_start),rcs_frequency)=0,1,0)*IF(rcs_frequency=13,0,1))+SUM(IF(rcs_start_date=AO1089,rcs_amount,0)*IF(rcs_frequency=13,1,0))</f>
        <v>0</v>
      </c>
      <c r="AX1089" s="24">
        <f t="shared" ca="1" si="819"/>
        <v>0</v>
      </c>
      <c r="AY1089" s="24">
        <f t="shared" ca="1" si="820"/>
        <v>0</v>
      </c>
      <c r="AZ1089" s="24">
        <f t="shared" ca="1" si="821"/>
        <v>0</v>
      </c>
      <c r="BA1089" s="25">
        <f t="shared" ca="1" si="822"/>
        <v>0</v>
      </c>
      <c r="BB1089" s="23">
        <f t="array" aca="1" ref="BB1089" ca="1">SUM(IF(w_start_date&lt;=AO1089,1,0)*IF(w_end_date&gt;=AO1089,1,0)*w_amount*(1+w_escalation/100)^(INT((AP1089-w_months_since_start)/12))*IF(MOD(AP1089-w_months_since_start,w_frequency)=0,1,0)*IF(w_frequency=13,0,1))+SUM(IF(w_start_date=AO1089,w_amount,0)*IF(w_frequency=13,1,0))</f>
        <v>0</v>
      </c>
      <c r="BC1089" s="25">
        <f t="shared" ca="1" si="823"/>
        <v>0</v>
      </c>
      <c r="BD1089" s="24" t="b">
        <f t="shared" ca="1" si="824"/>
        <v>1</v>
      </c>
      <c r="BE1089" s="24" t="b">
        <f t="shared" ca="1" si="825"/>
        <v>1</v>
      </c>
      <c r="BF1089" s="23">
        <f t="array" aca="1" ref="BF1089" ca="1">SUM(IF(BD1089,1,0)*IF(ap_start_date&lt;=AO1089,1,0)*IF(ap_end_date&gt;=AO1089,1,0)*ap_amount*(1+ap_escalation/100)^(INT((AP1089-ap_months_since_start)/12))*IF(MOD(AP1089-ap_months_since_start,ap_frequency)=0,1,0))</f>
        <v>775714.39177458244</v>
      </c>
      <c r="BG1089" s="24">
        <f t="shared" ca="1" si="826"/>
        <v>9308572.7012949903</v>
      </c>
      <c r="BH1089" s="24">
        <f t="shared" ca="1" si="827"/>
        <v>30.317338193256155</v>
      </c>
      <c r="BI1089">
        <f t="shared" ca="1" si="828"/>
        <v>0</v>
      </c>
      <c r="BJ1089" s="24">
        <f t="shared" ca="1" si="829"/>
        <v>212.22136735279307</v>
      </c>
      <c r="BK1089">
        <f t="shared" ca="1" si="830"/>
        <v>1</v>
      </c>
      <c r="BL1089" s="25">
        <f t="shared" ca="1" si="831"/>
        <v>17.685113946066089</v>
      </c>
      <c r="BM1089" s="32">
        <f t="shared" ca="1" si="810"/>
        <v>1185.2799895976789</v>
      </c>
      <c r="BN1089" s="23">
        <f t="shared" ca="1" si="832"/>
        <v>0</v>
      </c>
      <c r="BO1089" s="24">
        <f t="shared" ca="1" si="833"/>
        <v>0</v>
      </c>
      <c r="BP1089" s="25">
        <f t="shared" ca="1" si="834"/>
        <v>0</v>
      </c>
      <c r="BQ1089" s="34">
        <f t="shared" ca="1" si="835"/>
        <v>78559</v>
      </c>
      <c r="BR1089" s="23">
        <f t="shared" ca="1" si="836"/>
        <v>1185.2799895976789</v>
      </c>
      <c r="BS1089" s="24">
        <f t="shared" ca="1" si="837"/>
        <v>0</v>
      </c>
      <c r="BT1089" s="24">
        <f t="shared" ca="1" si="842"/>
        <v>0</v>
      </c>
      <c r="BU1089" s="24">
        <f t="shared" ca="1" si="838"/>
        <v>0</v>
      </c>
      <c r="BV1089" s="24">
        <f t="shared" ca="1" si="843"/>
        <v>0</v>
      </c>
      <c r="BW1089" s="24">
        <f t="shared" ca="1" si="839"/>
        <v>-17.685113946066089</v>
      </c>
      <c r="BX1089" s="25">
        <f t="shared" ca="1" si="844"/>
        <v>-228.62268242778049</v>
      </c>
      <c r="BY1089" s="23">
        <f t="shared" ca="1" si="811"/>
        <v>34.51290577358936</v>
      </c>
      <c r="BZ1089" s="24">
        <f t="shared" ca="1" si="812"/>
        <v>0</v>
      </c>
      <c r="CA1089" s="24">
        <f t="shared" ca="1" si="845"/>
        <v>0</v>
      </c>
      <c r="CB1089" s="24">
        <f t="shared" ca="1" si="813"/>
        <v>0</v>
      </c>
      <c r="CC1089" s="24">
        <f t="shared" ca="1" si="846"/>
        <v>0</v>
      </c>
      <c r="CD1089" s="24">
        <f t="shared" ca="1" si="814"/>
        <v>-0.51663982493236305</v>
      </c>
      <c r="CE1089" s="25">
        <f t="shared" ca="1" si="847"/>
        <v>-6.8027755122321008</v>
      </c>
      <c r="CF1089" s="23">
        <f t="shared" ca="1" si="848"/>
        <v>9040056.1810653266</v>
      </c>
      <c r="CG1089" s="25">
        <f t="array" aca="1" ref="CG1089" ca="1">SUM(BF1078:BF1089/(1+inflation/100)^(AP1078:AP1089/12))</f>
        <v>267980.53702225391</v>
      </c>
      <c r="CH1089" s="32">
        <f ca="1">IFERROR(IF(MOD(AP1089-ap_months_since_start,12)=0,ap_drawdown/100*(AQ1089+AV1089+BA1089-BC1089),CH1088),0)</f>
        <v>186.38386665278961</v>
      </c>
    </row>
    <row r="1090" spans="40:86" x14ac:dyDescent="0.25">
      <c r="AN1090" s="32">
        <f t="shared" ca="1" si="809"/>
        <v>145.08333333333334</v>
      </c>
      <c r="AO1090" s="53">
        <f t="shared" ca="1" si="840"/>
        <v>78560</v>
      </c>
      <c r="AP1090" s="22">
        <v>1083</v>
      </c>
      <c r="AQ1090" s="32">
        <f t="shared" ca="1" si="841"/>
        <v>1185.2799895976789</v>
      </c>
      <c r="AR1090" s="23">
        <f t="array" aca="1" ref="AR1090" ca="1">SUM(IF(lsc_start_date=AO1090,lsc_amount,0))</f>
        <v>0</v>
      </c>
      <c r="AS1090" s="24">
        <f t="shared" ca="1" si="815"/>
        <v>0</v>
      </c>
      <c r="AT1090" s="24">
        <f t="shared" ca="1" si="816"/>
        <v>0</v>
      </c>
      <c r="AU1090" s="24">
        <f t="shared" ca="1" si="817"/>
        <v>0</v>
      </c>
      <c r="AV1090" s="25">
        <f t="shared" ca="1" si="818"/>
        <v>0</v>
      </c>
      <c r="AW1090" s="23">
        <f t="array" aca="1" ref="AW1090" ca="1">SUM(IF(rcs_start_date&lt;=AO1090,1,0)*IF(rcs_end_date&gt;=AO1090,1,0)*rcs_amount*(1+rcs_escalation/100)^(INT((AP1090-rcs_months_since_start)/12))*IF(MOD((AP1090-rcs_months_since_start),rcs_frequency)=0,1,0)*IF(rcs_frequency=13,0,1))+SUM(IF(rcs_start_date=AO1090,rcs_amount,0)*IF(rcs_frequency=13,1,0))</f>
        <v>0</v>
      </c>
      <c r="AX1090" s="24">
        <f t="shared" ca="1" si="819"/>
        <v>0</v>
      </c>
      <c r="AY1090" s="24">
        <f t="shared" ca="1" si="820"/>
        <v>0</v>
      </c>
      <c r="AZ1090" s="24">
        <f t="shared" ca="1" si="821"/>
        <v>0</v>
      </c>
      <c r="BA1090" s="25">
        <f t="shared" ca="1" si="822"/>
        <v>0</v>
      </c>
      <c r="BB1090" s="23">
        <f t="array" aca="1" ref="BB1090" ca="1">SUM(IF(w_start_date&lt;=AO1090,1,0)*IF(w_end_date&gt;=AO1090,1,0)*w_amount*(1+w_escalation/100)^(INT((AP1090-w_months_since_start)/12))*IF(MOD(AP1090-w_months_since_start,w_frequency)=0,1,0)*IF(w_frequency=13,0,1))+SUM(IF(w_start_date=AO1090,w_amount,0)*IF(w_frequency=13,1,0))</f>
        <v>0</v>
      </c>
      <c r="BC1090" s="25">
        <f t="shared" ca="1" si="823"/>
        <v>0</v>
      </c>
      <c r="BD1090" s="24" t="b">
        <f t="shared" ca="1" si="824"/>
        <v>1</v>
      </c>
      <c r="BE1090" s="24" t="b">
        <f t="shared" ca="1" si="825"/>
        <v>1</v>
      </c>
      <c r="BF1090" s="23">
        <f t="array" aca="1" ref="BF1090" ca="1">SUM(IF(BD1090,1,0)*IF(ap_start_date&lt;=AO1090,1,0)*IF(ap_end_date&gt;=AO1090,1,0)*ap_amount*(1+ap_escalation/100)^(INT((AP1090-ap_months_since_start)/12))*IF(MOD(AP1090-ap_months_since_start,ap_frequency)=0,1,0))</f>
        <v>775714.39177458244</v>
      </c>
      <c r="BG1090" s="24">
        <f t="shared" ca="1" si="826"/>
        <v>9308572.7012949903</v>
      </c>
      <c r="BH1090" s="24">
        <f t="shared" ca="1" si="827"/>
        <v>30.317338193256155</v>
      </c>
      <c r="BI1090">
        <f t="shared" ca="1" si="828"/>
        <v>0</v>
      </c>
      <c r="BJ1090" s="24">
        <f t="shared" ca="1" si="829"/>
        <v>212.22136735279307</v>
      </c>
      <c r="BK1090">
        <f t="shared" ca="1" si="830"/>
        <v>1</v>
      </c>
      <c r="BL1090" s="25">
        <f t="shared" ca="1" si="831"/>
        <v>17.685113946066089</v>
      </c>
      <c r="BM1090" s="32">
        <f t="shared" ca="1" si="810"/>
        <v>1176.0101094226984</v>
      </c>
      <c r="BN1090" s="23">
        <f t="shared" ca="1" si="832"/>
        <v>0</v>
      </c>
      <c r="BO1090" s="24">
        <f t="shared" ca="1" si="833"/>
        <v>0</v>
      </c>
      <c r="BP1090" s="25">
        <f t="shared" ca="1" si="834"/>
        <v>0</v>
      </c>
      <c r="BQ1090" s="34">
        <f t="shared" ca="1" si="835"/>
        <v>78587</v>
      </c>
      <c r="BR1090" s="23">
        <f t="shared" ca="1" si="836"/>
        <v>1176.0101094226984</v>
      </c>
      <c r="BS1090" s="24">
        <f t="shared" ca="1" si="837"/>
        <v>0</v>
      </c>
      <c r="BT1090" s="24">
        <f t="shared" ca="1" si="842"/>
        <v>0</v>
      </c>
      <c r="BU1090" s="24">
        <f t="shared" ca="1" si="838"/>
        <v>0</v>
      </c>
      <c r="BV1090" s="24">
        <f t="shared" ca="1" si="843"/>
        <v>0</v>
      </c>
      <c r="BW1090" s="24">
        <f t="shared" ca="1" si="839"/>
        <v>-17.685113946066089</v>
      </c>
      <c r="BX1090" s="25">
        <f t="shared" ca="1" si="844"/>
        <v>-226.80031408611521</v>
      </c>
      <c r="BY1090" s="23">
        <f t="shared" ca="1" si="811"/>
        <v>34.131249176328616</v>
      </c>
      <c r="BZ1090" s="24">
        <f t="shared" ca="1" si="812"/>
        <v>0</v>
      </c>
      <c r="CA1090" s="24">
        <f t="shared" ca="1" si="845"/>
        <v>0</v>
      </c>
      <c r="CB1090" s="24">
        <f t="shared" ca="1" si="813"/>
        <v>0</v>
      </c>
      <c r="CC1090" s="24">
        <f t="shared" ca="1" si="846"/>
        <v>0</v>
      </c>
      <c r="CD1090" s="24">
        <f t="shared" ca="1" si="814"/>
        <v>-0.51495399953807275</v>
      </c>
      <c r="CE1090" s="25">
        <f t="shared" ca="1" si="847"/>
        <v>-6.7269912050877512</v>
      </c>
      <c r="CF1090" s="23">
        <f t="shared" ca="1" si="848"/>
        <v>9069891.349979734</v>
      </c>
      <c r="CG1090" s="25">
        <f t="array" aca="1" ref="CG1090" ca="1">SUM(BF1079:BF1090/(1+inflation/100)^(AP1079:AP1090/12))</f>
        <v>267980.53702225391</v>
      </c>
      <c r="CH1090" s="32">
        <f ca="1">IFERROR(IF(MOD(AP1090-ap_months_since_start,12)=0,ap_drawdown/100*(AQ1090+AV1090+BA1090-BC1090),CH1089),0)</f>
        <v>186.38386665278961</v>
      </c>
    </row>
    <row r="1091" spans="40:86" x14ac:dyDescent="0.25">
      <c r="AN1091" s="32">
        <f t="shared" ca="1" si="809"/>
        <v>145.16666666666666</v>
      </c>
      <c r="AO1091" s="53">
        <f t="shared" ca="1" si="840"/>
        <v>78588</v>
      </c>
      <c r="AP1091" s="22">
        <v>1084</v>
      </c>
      <c r="AQ1091" s="32">
        <f t="shared" ca="1" si="841"/>
        <v>1176.0101094226984</v>
      </c>
      <c r="AR1091" s="23">
        <f t="array" aca="1" ref="AR1091" ca="1">SUM(IF(lsc_start_date=AO1091,lsc_amount,0))</f>
        <v>0</v>
      </c>
      <c r="AS1091" s="24">
        <f t="shared" ca="1" si="815"/>
        <v>0</v>
      </c>
      <c r="AT1091" s="24">
        <f t="shared" ca="1" si="816"/>
        <v>0</v>
      </c>
      <c r="AU1091" s="24">
        <f t="shared" ca="1" si="817"/>
        <v>0</v>
      </c>
      <c r="AV1091" s="25">
        <f t="shared" ca="1" si="818"/>
        <v>0</v>
      </c>
      <c r="AW1091" s="23">
        <f t="array" aca="1" ref="AW1091" ca="1">SUM(IF(rcs_start_date&lt;=AO1091,1,0)*IF(rcs_end_date&gt;=AO1091,1,0)*rcs_amount*(1+rcs_escalation/100)^(INT((AP1091-rcs_months_since_start)/12))*IF(MOD((AP1091-rcs_months_since_start),rcs_frequency)=0,1,0)*IF(rcs_frequency=13,0,1))+SUM(IF(rcs_start_date=AO1091,rcs_amount,0)*IF(rcs_frequency=13,1,0))</f>
        <v>0</v>
      </c>
      <c r="AX1091" s="24">
        <f t="shared" ca="1" si="819"/>
        <v>0</v>
      </c>
      <c r="AY1091" s="24">
        <f t="shared" ca="1" si="820"/>
        <v>0</v>
      </c>
      <c r="AZ1091" s="24">
        <f t="shared" ca="1" si="821"/>
        <v>0</v>
      </c>
      <c r="BA1091" s="25">
        <f t="shared" ca="1" si="822"/>
        <v>0</v>
      </c>
      <c r="BB1091" s="23">
        <f t="array" aca="1" ref="BB1091" ca="1">SUM(IF(w_start_date&lt;=AO1091,1,0)*IF(w_end_date&gt;=AO1091,1,0)*w_amount*(1+w_escalation/100)^(INT((AP1091-w_months_since_start)/12))*IF(MOD(AP1091-w_months_since_start,w_frequency)=0,1,0)*IF(w_frequency=13,0,1))+SUM(IF(w_start_date=AO1091,w_amount,0)*IF(w_frequency=13,1,0))</f>
        <v>0</v>
      </c>
      <c r="BC1091" s="25">
        <f t="shared" ca="1" si="823"/>
        <v>0</v>
      </c>
      <c r="BD1091" s="24" t="b">
        <f t="shared" ca="1" si="824"/>
        <v>1</v>
      </c>
      <c r="BE1091" s="24" t="b">
        <f t="shared" ca="1" si="825"/>
        <v>1</v>
      </c>
      <c r="BF1091" s="23">
        <f t="array" aca="1" ref="BF1091" ca="1">SUM(IF(BD1091,1,0)*IF(ap_start_date&lt;=AO1091,1,0)*IF(ap_end_date&gt;=AO1091,1,0)*ap_amount*(1+ap_escalation/100)^(INT((AP1091-ap_months_since_start)/12))*IF(MOD(AP1091-ap_months_since_start,ap_frequency)=0,1,0))</f>
        <v>775714.39177458244</v>
      </c>
      <c r="BG1091" s="24">
        <f t="shared" ca="1" si="826"/>
        <v>9308572.7012949903</v>
      </c>
      <c r="BH1091" s="24">
        <f t="shared" ca="1" si="827"/>
        <v>30.317338193256155</v>
      </c>
      <c r="BI1091">
        <f t="shared" ca="1" si="828"/>
        <v>0</v>
      </c>
      <c r="BJ1091" s="24">
        <f t="shared" ca="1" si="829"/>
        <v>212.22136735279307</v>
      </c>
      <c r="BK1091">
        <f t="shared" ca="1" si="830"/>
        <v>1</v>
      </c>
      <c r="BL1091" s="25">
        <f t="shared" ca="1" si="831"/>
        <v>17.685113946066089</v>
      </c>
      <c r="BM1091" s="32">
        <f t="shared" ca="1" si="810"/>
        <v>1166.6734182241948</v>
      </c>
      <c r="BN1091" s="23">
        <f t="shared" ca="1" si="832"/>
        <v>0</v>
      </c>
      <c r="BO1091" s="24">
        <f t="shared" ca="1" si="833"/>
        <v>0</v>
      </c>
      <c r="BP1091" s="25">
        <f t="shared" ca="1" si="834"/>
        <v>0</v>
      </c>
      <c r="BQ1091" s="34">
        <f t="shared" ca="1" si="835"/>
        <v>78618</v>
      </c>
      <c r="BR1091" s="23">
        <f t="shared" ca="1" si="836"/>
        <v>1166.6734182241948</v>
      </c>
      <c r="BS1091" s="24">
        <f t="shared" ca="1" si="837"/>
        <v>0</v>
      </c>
      <c r="BT1091" s="24">
        <f t="shared" ca="1" si="842"/>
        <v>0</v>
      </c>
      <c r="BU1091" s="24">
        <f t="shared" ca="1" si="838"/>
        <v>0</v>
      </c>
      <c r="BV1091" s="24">
        <f t="shared" ca="1" si="843"/>
        <v>0</v>
      </c>
      <c r="BW1091" s="24">
        <f t="shared" ca="1" si="839"/>
        <v>-17.685113946066089</v>
      </c>
      <c r="BX1091" s="25">
        <f t="shared" ca="1" si="844"/>
        <v>-224.97794574444993</v>
      </c>
      <c r="BY1091" s="23">
        <f t="shared" ca="1" si="811"/>
        <v>33.74978311229593</v>
      </c>
      <c r="BZ1091" s="24">
        <f t="shared" ca="1" si="812"/>
        <v>0</v>
      </c>
      <c r="CA1091" s="24">
        <f t="shared" ca="1" si="845"/>
        <v>0</v>
      </c>
      <c r="CB1091" s="24">
        <f t="shared" ca="1" si="813"/>
        <v>0</v>
      </c>
      <c r="CC1091" s="24">
        <f t="shared" ca="1" si="846"/>
        <v>0</v>
      </c>
      <c r="CD1091" s="24">
        <f t="shared" ca="1" si="814"/>
        <v>-0.5132736750887793</v>
      </c>
      <c r="CE1091" s="25">
        <f t="shared" ca="1" si="847"/>
        <v>-6.6514541864862249</v>
      </c>
      <c r="CF1091" s="23">
        <f t="shared" ca="1" si="848"/>
        <v>9099726.5188941415</v>
      </c>
      <c r="CG1091" s="25">
        <f t="array" aca="1" ref="CG1091" ca="1">SUM(BF1080:BF1091/(1+inflation/100)^(AP1080:AP1091/12))</f>
        <v>267980.53702225391</v>
      </c>
      <c r="CH1091" s="32">
        <f ca="1">IFERROR(IF(MOD(AP1091-ap_months_since_start,12)=0,ap_drawdown/100*(AQ1091+AV1091+BA1091-BC1091),CH1090),0)</f>
        <v>186.38386665278961</v>
      </c>
    </row>
    <row r="1092" spans="40:86" x14ac:dyDescent="0.25">
      <c r="AN1092" s="32">
        <f t="shared" ca="1" si="809"/>
        <v>145.25</v>
      </c>
      <c r="AO1092" s="53">
        <f t="shared" ca="1" si="840"/>
        <v>78619</v>
      </c>
      <c r="AP1092" s="22">
        <v>1085</v>
      </c>
      <c r="AQ1092" s="32">
        <f t="shared" ca="1" si="841"/>
        <v>1166.6734182241948</v>
      </c>
      <c r="AR1092" s="23">
        <f t="array" aca="1" ref="AR1092" ca="1">SUM(IF(lsc_start_date=AO1092,lsc_amount,0))</f>
        <v>0</v>
      </c>
      <c r="AS1092" s="24">
        <f t="shared" ca="1" si="815"/>
        <v>0</v>
      </c>
      <c r="AT1092" s="24">
        <f t="shared" ca="1" si="816"/>
        <v>0</v>
      </c>
      <c r="AU1092" s="24">
        <f t="shared" ca="1" si="817"/>
        <v>0</v>
      </c>
      <c r="AV1092" s="25">
        <f t="shared" ca="1" si="818"/>
        <v>0</v>
      </c>
      <c r="AW1092" s="23">
        <f t="array" aca="1" ref="AW1092" ca="1">SUM(IF(rcs_start_date&lt;=AO1092,1,0)*IF(rcs_end_date&gt;=AO1092,1,0)*rcs_amount*(1+rcs_escalation/100)^(INT((AP1092-rcs_months_since_start)/12))*IF(MOD((AP1092-rcs_months_since_start),rcs_frequency)=0,1,0)*IF(rcs_frequency=13,0,1))+SUM(IF(rcs_start_date=AO1092,rcs_amount,0)*IF(rcs_frequency=13,1,0))</f>
        <v>0</v>
      </c>
      <c r="AX1092" s="24">
        <f t="shared" ca="1" si="819"/>
        <v>0</v>
      </c>
      <c r="AY1092" s="24">
        <f t="shared" ca="1" si="820"/>
        <v>0</v>
      </c>
      <c r="AZ1092" s="24">
        <f t="shared" ca="1" si="821"/>
        <v>0</v>
      </c>
      <c r="BA1092" s="25">
        <f t="shared" ca="1" si="822"/>
        <v>0</v>
      </c>
      <c r="BB1092" s="23">
        <f t="array" aca="1" ref="BB1092" ca="1">SUM(IF(w_start_date&lt;=AO1092,1,0)*IF(w_end_date&gt;=AO1092,1,0)*w_amount*(1+w_escalation/100)^(INT((AP1092-w_months_since_start)/12))*IF(MOD(AP1092-w_months_since_start,w_frequency)=0,1,0)*IF(w_frequency=13,0,1))+SUM(IF(w_start_date=AO1092,w_amount,0)*IF(w_frequency=13,1,0))</f>
        <v>0</v>
      </c>
      <c r="BC1092" s="25">
        <f t="shared" ca="1" si="823"/>
        <v>0</v>
      </c>
      <c r="BD1092" s="24" t="b">
        <f t="shared" ca="1" si="824"/>
        <v>1</v>
      </c>
      <c r="BE1092" s="24" t="b">
        <f t="shared" ca="1" si="825"/>
        <v>1</v>
      </c>
      <c r="BF1092" s="23">
        <f t="array" aca="1" ref="BF1092" ca="1">SUM(IF(BD1092,1,0)*IF(ap_start_date&lt;=AO1092,1,0)*IF(ap_end_date&gt;=AO1092,1,0)*ap_amount*(1+ap_escalation/100)^(INT((AP1092-ap_months_since_start)/12))*IF(MOD(AP1092-ap_months_since_start,ap_frequency)=0,1,0))</f>
        <v>775714.39177458244</v>
      </c>
      <c r="BG1092" s="24">
        <f t="shared" ca="1" si="826"/>
        <v>9308572.7012949903</v>
      </c>
      <c r="BH1092" s="24">
        <f t="shared" ca="1" si="827"/>
        <v>30.317338193256155</v>
      </c>
      <c r="BI1092">
        <f t="shared" ca="1" si="828"/>
        <v>0</v>
      </c>
      <c r="BJ1092" s="24">
        <f t="shared" ca="1" si="829"/>
        <v>212.22136735279307</v>
      </c>
      <c r="BK1092">
        <f t="shared" ca="1" si="830"/>
        <v>1</v>
      </c>
      <c r="BL1092" s="25">
        <f t="shared" ca="1" si="831"/>
        <v>17.685113946066089</v>
      </c>
      <c r="BM1092" s="32">
        <f t="shared" ca="1" si="810"/>
        <v>1157.2694344735207</v>
      </c>
      <c r="BN1092" s="23">
        <f t="shared" ca="1" si="832"/>
        <v>0</v>
      </c>
      <c r="BO1092" s="24">
        <f t="shared" ca="1" si="833"/>
        <v>0</v>
      </c>
      <c r="BP1092" s="25">
        <f t="shared" ca="1" si="834"/>
        <v>0</v>
      </c>
      <c r="BQ1092" s="34">
        <f t="shared" ca="1" si="835"/>
        <v>78648</v>
      </c>
      <c r="BR1092" s="23">
        <f t="shared" ca="1" si="836"/>
        <v>1157.2694344735207</v>
      </c>
      <c r="BS1092" s="24">
        <f t="shared" ca="1" si="837"/>
        <v>0</v>
      </c>
      <c r="BT1092" s="24">
        <f t="shared" ca="1" si="842"/>
        <v>0</v>
      </c>
      <c r="BU1092" s="24">
        <f t="shared" ca="1" si="838"/>
        <v>0</v>
      </c>
      <c r="BV1092" s="24">
        <f t="shared" ca="1" si="843"/>
        <v>0</v>
      </c>
      <c r="BW1092" s="24">
        <f t="shared" ca="1" si="839"/>
        <v>-17.685113946066089</v>
      </c>
      <c r="BX1092" s="25">
        <f t="shared" ca="1" si="844"/>
        <v>-223.15557740278464</v>
      </c>
      <c r="BY1092" s="23">
        <f t="shared" ca="1" si="811"/>
        <v>33.368502824031523</v>
      </c>
      <c r="BZ1092" s="24">
        <f t="shared" ca="1" si="812"/>
        <v>0</v>
      </c>
      <c r="CA1092" s="24">
        <f t="shared" ca="1" si="845"/>
        <v>0</v>
      </c>
      <c r="CB1092" s="24">
        <f t="shared" ca="1" si="813"/>
        <v>0</v>
      </c>
      <c r="CC1092" s="24">
        <f t="shared" ca="1" si="846"/>
        <v>0</v>
      </c>
      <c r="CD1092" s="24">
        <f t="shared" ca="1" si="814"/>
        <v>-0.51159883363458336</v>
      </c>
      <c r="CE1092" s="25">
        <f t="shared" ca="1" si="847"/>
        <v>-6.5761636495108196</v>
      </c>
      <c r="CF1092" s="23">
        <f t="shared" ca="1" si="848"/>
        <v>9129561.687808549</v>
      </c>
      <c r="CG1092" s="25">
        <f t="array" aca="1" ref="CG1092" ca="1">SUM(BF1081:BF1092/(1+inflation/100)^(AP1081:AP1092/12))</f>
        <v>267980.53702225391</v>
      </c>
      <c r="CH1092" s="32">
        <f ca="1">IFERROR(IF(MOD(AP1092-ap_months_since_start,12)=0,ap_drawdown/100*(AQ1092+AV1092+BA1092-BC1092),CH1091),0)</f>
        <v>186.38386665278961</v>
      </c>
    </row>
    <row r="1093" spans="40:86" x14ac:dyDescent="0.25">
      <c r="AN1093" s="32">
        <f t="shared" ca="1" si="809"/>
        <v>145.33333333333334</v>
      </c>
      <c r="AO1093" s="53">
        <f t="shared" ca="1" si="840"/>
        <v>78649</v>
      </c>
      <c r="AP1093" s="22">
        <v>1086</v>
      </c>
      <c r="AQ1093" s="32">
        <f t="shared" ca="1" si="841"/>
        <v>1157.2694344735207</v>
      </c>
      <c r="AR1093" s="23">
        <f t="array" aca="1" ref="AR1093" ca="1">SUM(IF(lsc_start_date=AO1093,lsc_amount,0))</f>
        <v>0</v>
      </c>
      <c r="AS1093" s="24">
        <f t="shared" ca="1" si="815"/>
        <v>0</v>
      </c>
      <c r="AT1093" s="24">
        <f t="shared" ca="1" si="816"/>
        <v>0</v>
      </c>
      <c r="AU1093" s="24">
        <f t="shared" ca="1" si="817"/>
        <v>0</v>
      </c>
      <c r="AV1093" s="25">
        <f t="shared" ca="1" si="818"/>
        <v>0</v>
      </c>
      <c r="AW1093" s="23">
        <f t="array" aca="1" ref="AW1093" ca="1">SUM(IF(rcs_start_date&lt;=AO1093,1,0)*IF(rcs_end_date&gt;=AO1093,1,0)*rcs_amount*(1+rcs_escalation/100)^(INT((AP1093-rcs_months_since_start)/12))*IF(MOD((AP1093-rcs_months_since_start),rcs_frequency)=0,1,0)*IF(rcs_frequency=13,0,1))+SUM(IF(rcs_start_date=AO1093,rcs_amount,0)*IF(rcs_frequency=13,1,0))</f>
        <v>0</v>
      </c>
      <c r="AX1093" s="24">
        <f t="shared" ca="1" si="819"/>
        <v>0</v>
      </c>
      <c r="AY1093" s="24">
        <f t="shared" ca="1" si="820"/>
        <v>0</v>
      </c>
      <c r="AZ1093" s="24">
        <f t="shared" ca="1" si="821"/>
        <v>0</v>
      </c>
      <c r="BA1093" s="25">
        <f t="shared" ca="1" si="822"/>
        <v>0</v>
      </c>
      <c r="BB1093" s="23">
        <f t="array" aca="1" ref="BB1093" ca="1">SUM(IF(w_start_date&lt;=AO1093,1,0)*IF(w_end_date&gt;=AO1093,1,0)*w_amount*(1+w_escalation/100)^(INT((AP1093-w_months_since_start)/12))*IF(MOD(AP1093-w_months_since_start,w_frequency)=0,1,0)*IF(w_frequency=13,0,1))+SUM(IF(w_start_date=AO1093,w_amount,0)*IF(w_frequency=13,1,0))</f>
        <v>0</v>
      </c>
      <c r="BC1093" s="25">
        <f t="shared" ca="1" si="823"/>
        <v>0</v>
      </c>
      <c r="BD1093" s="24" t="b">
        <f t="shared" ca="1" si="824"/>
        <v>1</v>
      </c>
      <c r="BE1093" s="24" t="b">
        <f t="shared" ca="1" si="825"/>
        <v>1</v>
      </c>
      <c r="BF1093" s="23">
        <f t="array" aca="1" ref="BF1093" ca="1">SUM(IF(BD1093,1,0)*IF(ap_start_date&lt;=AO1093,1,0)*IF(ap_end_date&gt;=AO1093,1,0)*ap_amount*(1+ap_escalation/100)^(INT((AP1093-ap_months_since_start)/12))*IF(MOD(AP1093-ap_months_since_start,ap_frequency)=0,1,0))</f>
        <v>775714.39177458244</v>
      </c>
      <c r="BG1093" s="24">
        <f t="shared" ca="1" si="826"/>
        <v>9308572.7012949903</v>
      </c>
      <c r="BH1093" s="24">
        <f t="shared" ca="1" si="827"/>
        <v>30.317338193256155</v>
      </c>
      <c r="BI1093">
        <f t="shared" ca="1" si="828"/>
        <v>0</v>
      </c>
      <c r="BJ1093" s="24">
        <f t="shared" ca="1" si="829"/>
        <v>212.22136735279307</v>
      </c>
      <c r="BK1093">
        <f t="shared" ca="1" si="830"/>
        <v>1</v>
      </c>
      <c r="BL1093" s="25">
        <f t="shared" ca="1" si="831"/>
        <v>17.685113946066089</v>
      </c>
      <c r="BM1093" s="32">
        <f t="shared" ca="1" si="810"/>
        <v>1147.7976731714959</v>
      </c>
      <c r="BN1093" s="23">
        <f t="shared" ca="1" si="832"/>
        <v>0</v>
      </c>
      <c r="BO1093" s="24">
        <f t="shared" ca="1" si="833"/>
        <v>0</v>
      </c>
      <c r="BP1093" s="25">
        <f t="shared" ca="1" si="834"/>
        <v>0</v>
      </c>
      <c r="BQ1093" s="34">
        <f t="shared" ca="1" si="835"/>
        <v>78679</v>
      </c>
      <c r="BR1093" s="23">
        <f t="shared" ca="1" si="836"/>
        <v>1147.7976731714959</v>
      </c>
      <c r="BS1093" s="24">
        <f t="shared" ca="1" si="837"/>
        <v>0</v>
      </c>
      <c r="BT1093" s="24">
        <f t="shared" ca="1" si="842"/>
        <v>0</v>
      </c>
      <c r="BU1093" s="24">
        <f t="shared" ca="1" si="838"/>
        <v>0</v>
      </c>
      <c r="BV1093" s="24">
        <f t="shared" ca="1" si="843"/>
        <v>0</v>
      </c>
      <c r="BW1093" s="24">
        <f t="shared" ca="1" si="839"/>
        <v>-17.685113946066089</v>
      </c>
      <c r="BX1093" s="25">
        <f t="shared" ca="1" si="844"/>
        <v>-221.33320906111936</v>
      </c>
      <c r="BY1093" s="23">
        <f t="shared" ca="1" si="811"/>
        <v>32.987403553384347</v>
      </c>
      <c r="BZ1093" s="24">
        <f t="shared" ca="1" si="812"/>
        <v>0</v>
      </c>
      <c r="CA1093" s="24">
        <f t="shared" ca="1" si="845"/>
        <v>0</v>
      </c>
      <c r="CB1093" s="24">
        <f t="shared" ca="1" si="813"/>
        <v>0</v>
      </c>
      <c r="CC1093" s="24">
        <f t="shared" ca="1" si="846"/>
        <v>0</v>
      </c>
      <c r="CD1093" s="24">
        <f t="shared" ca="1" si="814"/>
        <v>-0.50992945728415695</v>
      </c>
      <c r="CE1093" s="25">
        <f t="shared" ca="1" si="847"/>
        <v>-6.5011187898778431</v>
      </c>
      <c r="CF1093" s="23">
        <f t="shared" ca="1" si="848"/>
        <v>9159396.8567229565</v>
      </c>
      <c r="CG1093" s="25">
        <f t="array" aca="1" ref="CG1093" ca="1">SUM(BF1082:BF1093/(1+inflation/100)^(AP1082:AP1093/12))</f>
        <v>267980.53702225391</v>
      </c>
      <c r="CH1093" s="32">
        <f ca="1">IFERROR(IF(MOD(AP1093-ap_months_since_start,12)=0,ap_drawdown/100*(AQ1093+AV1093+BA1093-BC1093),CH1092),0)</f>
        <v>186.38386665278961</v>
      </c>
    </row>
    <row r="1094" spans="40:86" x14ac:dyDescent="0.25">
      <c r="AN1094" s="32">
        <f t="shared" ca="1" si="809"/>
        <v>145.41666666666666</v>
      </c>
      <c r="AO1094" s="53">
        <f t="shared" ca="1" si="840"/>
        <v>78680</v>
      </c>
      <c r="AP1094" s="22">
        <v>1087</v>
      </c>
      <c r="AQ1094" s="32">
        <f t="shared" ca="1" si="841"/>
        <v>1147.7976731714959</v>
      </c>
      <c r="AR1094" s="23">
        <f t="array" aca="1" ref="AR1094" ca="1">SUM(IF(lsc_start_date=AO1094,lsc_amount,0))</f>
        <v>0</v>
      </c>
      <c r="AS1094" s="24">
        <f t="shared" ca="1" si="815"/>
        <v>0</v>
      </c>
      <c r="AT1094" s="24">
        <f t="shared" ca="1" si="816"/>
        <v>0</v>
      </c>
      <c r="AU1094" s="24">
        <f t="shared" ca="1" si="817"/>
        <v>0</v>
      </c>
      <c r="AV1094" s="25">
        <f t="shared" ca="1" si="818"/>
        <v>0</v>
      </c>
      <c r="AW1094" s="23">
        <f t="array" aca="1" ref="AW1094" ca="1">SUM(IF(rcs_start_date&lt;=AO1094,1,0)*IF(rcs_end_date&gt;=AO1094,1,0)*rcs_amount*(1+rcs_escalation/100)^(INT((AP1094-rcs_months_since_start)/12))*IF(MOD((AP1094-rcs_months_since_start),rcs_frequency)=0,1,0)*IF(rcs_frequency=13,0,1))+SUM(IF(rcs_start_date=AO1094,rcs_amount,0)*IF(rcs_frequency=13,1,0))</f>
        <v>0</v>
      </c>
      <c r="AX1094" s="24">
        <f t="shared" ca="1" si="819"/>
        <v>0</v>
      </c>
      <c r="AY1094" s="24">
        <f t="shared" ca="1" si="820"/>
        <v>0</v>
      </c>
      <c r="AZ1094" s="24">
        <f t="shared" ca="1" si="821"/>
        <v>0</v>
      </c>
      <c r="BA1094" s="25">
        <f t="shared" ca="1" si="822"/>
        <v>0</v>
      </c>
      <c r="BB1094" s="23">
        <f t="array" aca="1" ref="BB1094" ca="1">SUM(IF(w_start_date&lt;=AO1094,1,0)*IF(w_end_date&gt;=AO1094,1,0)*w_amount*(1+w_escalation/100)^(INT((AP1094-w_months_since_start)/12))*IF(MOD(AP1094-w_months_since_start,w_frequency)=0,1,0)*IF(w_frequency=13,0,1))+SUM(IF(w_start_date=AO1094,w_amount,0)*IF(w_frequency=13,1,0))</f>
        <v>0</v>
      </c>
      <c r="BC1094" s="25">
        <f t="shared" ca="1" si="823"/>
        <v>0</v>
      </c>
      <c r="BD1094" s="24" t="b">
        <f t="shared" ca="1" si="824"/>
        <v>1</v>
      </c>
      <c r="BE1094" s="24" t="b">
        <f t="shared" ca="1" si="825"/>
        <v>1</v>
      </c>
      <c r="BF1094" s="23">
        <f t="array" aca="1" ref="BF1094" ca="1">SUM(IF(BD1094,1,0)*IF(ap_start_date&lt;=AO1094,1,0)*IF(ap_end_date&gt;=AO1094,1,0)*ap_amount*(1+ap_escalation/100)^(INT((AP1094-ap_months_since_start)/12))*IF(MOD(AP1094-ap_months_since_start,ap_frequency)=0,1,0))</f>
        <v>775714.39177458244</v>
      </c>
      <c r="BG1094" s="24">
        <f t="shared" ca="1" si="826"/>
        <v>9308572.7012949903</v>
      </c>
      <c r="BH1094" s="24">
        <f t="shared" ca="1" si="827"/>
        <v>30.317338193256155</v>
      </c>
      <c r="BI1094">
        <f t="shared" ca="1" si="828"/>
        <v>0</v>
      </c>
      <c r="BJ1094" s="24">
        <f t="shared" ca="1" si="829"/>
        <v>212.22136735279307</v>
      </c>
      <c r="BK1094">
        <f t="shared" ca="1" si="830"/>
        <v>1</v>
      </c>
      <c r="BL1094" s="25">
        <f t="shared" ca="1" si="831"/>
        <v>17.685113946066089</v>
      </c>
      <c r="BM1094" s="32">
        <f t="shared" ca="1" si="810"/>
        <v>1138.2576458233941</v>
      </c>
      <c r="BN1094" s="23">
        <f t="shared" ca="1" si="832"/>
        <v>0</v>
      </c>
      <c r="BO1094" s="24">
        <f t="shared" ca="1" si="833"/>
        <v>0</v>
      </c>
      <c r="BP1094" s="25">
        <f t="shared" ca="1" si="834"/>
        <v>0</v>
      </c>
      <c r="BQ1094" s="34">
        <f t="shared" ca="1" si="835"/>
        <v>78709</v>
      </c>
      <c r="BR1094" s="23">
        <f t="shared" ca="1" si="836"/>
        <v>1138.2576458233941</v>
      </c>
      <c r="BS1094" s="24">
        <f t="shared" ca="1" si="837"/>
        <v>0</v>
      </c>
      <c r="BT1094" s="24">
        <f t="shared" ca="1" si="842"/>
        <v>0</v>
      </c>
      <c r="BU1094" s="24">
        <f t="shared" ca="1" si="838"/>
        <v>0</v>
      </c>
      <c r="BV1094" s="24">
        <f t="shared" ca="1" si="843"/>
        <v>0</v>
      </c>
      <c r="BW1094" s="24">
        <f t="shared" ca="1" si="839"/>
        <v>-17.685113946066089</v>
      </c>
      <c r="BX1094" s="25">
        <f t="shared" ca="1" si="844"/>
        <v>-219.51084071945408</v>
      </c>
      <c r="BY1094" s="23">
        <f t="shared" ca="1" si="811"/>
        <v>32.606480541450658</v>
      </c>
      <c r="BZ1094" s="24">
        <f t="shared" ca="1" si="812"/>
        <v>0</v>
      </c>
      <c r="CA1094" s="24">
        <f t="shared" ca="1" si="845"/>
        <v>0</v>
      </c>
      <c r="CB1094" s="24">
        <f t="shared" ca="1" si="813"/>
        <v>0</v>
      </c>
      <c r="CC1094" s="24">
        <f t="shared" ca="1" si="846"/>
        <v>0</v>
      </c>
      <c r="CD1094" s="24">
        <f t="shared" ca="1" si="814"/>
        <v>-0.50826552820455317</v>
      </c>
      <c r="CE1094" s="25">
        <f t="shared" ca="1" si="847"/>
        <v>-6.4263188059280303</v>
      </c>
      <c r="CF1094" s="23">
        <f t="shared" ca="1" si="848"/>
        <v>9189232.0256373622</v>
      </c>
      <c r="CG1094" s="25">
        <f t="array" aca="1" ref="CG1094" ca="1">SUM(BF1083:BF1094/(1+inflation/100)^(AP1083:AP1094/12))</f>
        <v>267980.53702225396</v>
      </c>
      <c r="CH1094" s="32">
        <f ca="1">IFERROR(IF(MOD(AP1094-ap_months_since_start,12)=0,ap_drawdown/100*(AQ1094+AV1094+BA1094-BC1094),CH1093),0)</f>
        <v>186.38386665278961</v>
      </c>
    </row>
    <row r="1095" spans="40:86" x14ac:dyDescent="0.25">
      <c r="AN1095" s="32">
        <f t="shared" ca="1" si="809"/>
        <v>145.5</v>
      </c>
      <c r="AO1095" s="53">
        <f t="shared" ca="1" si="840"/>
        <v>78710</v>
      </c>
      <c r="AP1095" s="22">
        <v>1088</v>
      </c>
      <c r="AQ1095" s="32">
        <f t="shared" ca="1" si="841"/>
        <v>1138.2576458233941</v>
      </c>
      <c r="AR1095" s="23">
        <f t="array" aca="1" ref="AR1095" ca="1">SUM(IF(lsc_start_date=AO1095,lsc_amount,0))</f>
        <v>0</v>
      </c>
      <c r="AS1095" s="24">
        <f t="shared" ca="1" si="815"/>
        <v>0</v>
      </c>
      <c r="AT1095" s="24">
        <f t="shared" ca="1" si="816"/>
        <v>0</v>
      </c>
      <c r="AU1095" s="24">
        <f t="shared" ca="1" si="817"/>
        <v>0</v>
      </c>
      <c r="AV1095" s="25">
        <f t="shared" ca="1" si="818"/>
        <v>0</v>
      </c>
      <c r="AW1095" s="23">
        <f t="array" aca="1" ref="AW1095" ca="1">SUM(IF(rcs_start_date&lt;=AO1095,1,0)*IF(rcs_end_date&gt;=AO1095,1,0)*rcs_amount*(1+rcs_escalation/100)^(INT((AP1095-rcs_months_since_start)/12))*IF(MOD((AP1095-rcs_months_since_start),rcs_frequency)=0,1,0)*IF(rcs_frequency=13,0,1))+SUM(IF(rcs_start_date=AO1095,rcs_amount,0)*IF(rcs_frequency=13,1,0))</f>
        <v>0</v>
      </c>
      <c r="AX1095" s="24">
        <f t="shared" ca="1" si="819"/>
        <v>0</v>
      </c>
      <c r="AY1095" s="24">
        <f t="shared" ca="1" si="820"/>
        <v>0</v>
      </c>
      <c r="AZ1095" s="24">
        <f t="shared" ca="1" si="821"/>
        <v>0</v>
      </c>
      <c r="BA1095" s="25">
        <f t="shared" ca="1" si="822"/>
        <v>0</v>
      </c>
      <c r="BB1095" s="23">
        <f t="array" aca="1" ref="BB1095" ca="1">SUM(IF(w_start_date&lt;=AO1095,1,0)*IF(w_end_date&gt;=AO1095,1,0)*w_amount*(1+w_escalation/100)^(INT((AP1095-w_months_since_start)/12))*IF(MOD(AP1095-w_months_since_start,w_frequency)=0,1,0)*IF(w_frequency=13,0,1))+SUM(IF(w_start_date=AO1095,w_amount,0)*IF(w_frequency=13,1,0))</f>
        <v>0</v>
      </c>
      <c r="BC1095" s="25">
        <f t="shared" ca="1" si="823"/>
        <v>0</v>
      </c>
      <c r="BD1095" s="24" t="b">
        <f t="shared" ca="1" si="824"/>
        <v>1</v>
      </c>
      <c r="BE1095" s="24" t="b">
        <f t="shared" ca="1" si="825"/>
        <v>1</v>
      </c>
      <c r="BF1095" s="23">
        <f t="array" aca="1" ref="BF1095" ca="1">SUM(IF(BD1095,1,0)*IF(ap_start_date&lt;=AO1095,1,0)*IF(ap_end_date&gt;=AO1095,1,0)*ap_amount*(1+ap_escalation/100)^(INT((AP1095-ap_months_since_start)/12))*IF(MOD(AP1095-ap_months_since_start,ap_frequency)=0,1,0))</f>
        <v>775714.39177458244</v>
      </c>
      <c r="BG1095" s="24">
        <f t="shared" ca="1" si="826"/>
        <v>9308572.7012949903</v>
      </c>
      <c r="BH1095" s="24">
        <f t="shared" ca="1" si="827"/>
        <v>30.317338193256155</v>
      </c>
      <c r="BI1095">
        <f t="shared" ca="1" si="828"/>
        <v>0</v>
      </c>
      <c r="BJ1095" s="24">
        <f t="shared" ca="1" si="829"/>
        <v>212.22136735279307</v>
      </c>
      <c r="BK1095">
        <f t="shared" ca="1" si="830"/>
        <v>1</v>
      </c>
      <c r="BL1095" s="25">
        <f t="shared" ca="1" si="831"/>
        <v>17.685113946066089</v>
      </c>
      <c r="BM1095" s="32">
        <f t="shared" ca="1" si="810"/>
        <v>1128.6488604137498</v>
      </c>
      <c r="BN1095" s="23">
        <f t="shared" ca="1" si="832"/>
        <v>0</v>
      </c>
      <c r="BO1095" s="24">
        <f t="shared" ca="1" si="833"/>
        <v>0</v>
      </c>
      <c r="BP1095" s="25">
        <f t="shared" ca="1" si="834"/>
        <v>0</v>
      </c>
      <c r="BQ1095" s="34">
        <f t="shared" ca="1" si="835"/>
        <v>78740</v>
      </c>
      <c r="BR1095" s="23">
        <f t="shared" ca="1" si="836"/>
        <v>1128.6488604137498</v>
      </c>
      <c r="BS1095" s="24">
        <f t="shared" ca="1" si="837"/>
        <v>0</v>
      </c>
      <c r="BT1095" s="24">
        <f t="shared" ca="1" si="842"/>
        <v>0</v>
      </c>
      <c r="BU1095" s="24">
        <f t="shared" ca="1" si="838"/>
        <v>0</v>
      </c>
      <c r="BV1095" s="24">
        <f t="shared" ca="1" si="843"/>
        <v>0</v>
      </c>
      <c r="BW1095" s="24">
        <f t="shared" ca="1" si="839"/>
        <v>-17.685113946066089</v>
      </c>
      <c r="BX1095" s="25">
        <f t="shared" ca="1" si="844"/>
        <v>-217.68847237778883</v>
      </c>
      <c r="BY1095" s="23">
        <f t="shared" ca="1" si="811"/>
        <v>32.225729028512689</v>
      </c>
      <c r="BZ1095" s="24">
        <f t="shared" ca="1" si="812"/>
        <v>0</v>
      </c>
      <c r="CA1095" s="24">
        <f t="shared" ca="1" si="845"/>
        <v>0</v>
      </c>
      <c r="CB1095" s="24">
        <f t="shared" ca="1" si="813"/>
        <v>0</v>
      </c>
      <c r="CC1095" s="24">
        <f t="shared" ca="1" si="846"/>
        <v>0</v>
      </c>
      <c r="CD1095" s="24">
        <f t="shared" ca="1" si="814"/>
        <v>-0.50660702862101525</v>
      </c>
      <c r="CE1095" s="25">
        <f t="shared" ca="1" si="847"/>
        <v>-6.3517628986179773</v>
      </c>
      <c r="CF1095" s="23">
        <f t="shared" ca="1" si="848"/>
        <v>9219067.1945517696</v>
      </c>
      <c r="CG1095" s="25">
        <f t="array" aca="1" ref="CG1095" ca="1">SUM(BF1084:BF1095/(1+inflation/100)^(AP1084:AP1095/12))</f>
        <v>267980.53702225396</v>
      </c>
      <c r="CH1095" s="32">
        <f ca="1">IFERROR(IF(MOD(AP1095-ap_months_since_start,12)=0,ap_drawdown/100*(AQ1095+AV1095+BA1095-BC1095),CH1094),0)</f>
        <v>186.38386665278961</v>
      </c>
    </row>
    <row r="1096" spans="40:86" x14ac:dyDescent="0.25">
      <c r="AN1096" s="32">
        <f t="shared" ref="AN1096:AN1159" ca="1" si="849">IF(AND(Date_of_birth&lt;&gt;"",Date_of_birth&lt;&gt;"Please enter date of birth"),YEARFRAC(Date_of_birth,AO1096),AP1096/12)</f>
        <v>145.58333333333334</v>
      </c>
      <c r="AO1096" s="53">
        <f t="shared" ca="1" si="840"/>
        <v>78741</v>
      </c>
      <c r="AP1096" s="22">
        <v>1089</v>
      </c>
      <c r="AQ1096" s="32">
        <f t="shared" ca="1" si="841"/>
        <v>1128.6488604137498</v>
      </c>
      <c r="AR1096" s="23">
        <f t="array" aca="1" ref="AR1096" ca="1">SUM(IF(lsc_start_date=AO1096,lsc_amount,0))</f>
        <v>0</v>
      </c>
      <c r="AS1096" s="24">
        <f t="shared" ca="1" si="815"/>
        <v>0</v>
      </c>
      <c r="AT1096" s="24">
        <f t="shared" ca="1" si="816"/>
        <v>0</v>
      </c>
      <c r="AU1096" s="24">
        <f t="shared" ca="1" si="817"/>
        <v>0</v>
      </c>
      <c r="AV1096" s="25">
        <f t="shared" ca="1" si="818"/>
        <v>0</v>
      </c>
      <c r="AW1096" s="23">
        <f t="array" aca="1" ref="AW1096" ca="1">SUM(IF(rcs_start_date&lt;=AO1096,1,0)*IF(rcs_end_date&gt;=AO1096,1,0)*rcs_amount*(1+rcs_escalation/100)^(INT((AP1096-rcs_months_since_start)/12))*IF(MOD((AP1096-rcs_months_since_start),rcs_frequency)=0,1,0)*IF(rcs_frequency=13,0,1))+SUM(IF(rcs_start_date=AO1096,rcs_amount,0)*IF(rcs_frequency=13,1,0))</f>
        <v>0</v>
      </c>
      <c r="AX1096" s="24">
        <f t="shared" ca="1" si="819"/>
        <v>0</v>
      </c>
      <c r="AY1096" s="24">
        <f t="shared" ca="1" si="820"/>
        <v>0</v>
      </c>
      <c r="AZ1096" s="24">
        <f t="shared" ca="1" si="821"/>
        <v>0</v>
      </c>
      <c r="BA1096" s="25">
        <f t="shared" ca="1" si="822"/>
        <v>0</v>
      </c>
      <c r="BB1096" s="23">
        <f t="array" aca="1" ref="BB1096" ca="1">SUM(IF(w_start_date&lt;=AO1096,1,0)*IF(w_end_date&gt;=AO1096,1,0)*w_amount*(1+w_escalation/100)^(INT((AP1096-w_months_since_start)/12))*IF(MOD(AP1096-w_months_since_start,w_frequency)=0,1,0)*IF(w_frequency=13,0,1))+SUM(IF(w_start_date=AO1096,w_amount,0)*IF(w_frequency=13,1,0))</f>
        <v>0</v>
      </c>
      <c r="BC1096" s="25">
        <f t="shared" ca="1" si="823"/>
        <v>0</v>
      </c>
      <c r="BD1096" s="24" t="b">
        <f t="shared" ca="1" si="824"/>
        <v>1</v>
      </c>
      <c r="BE1096" s="24" t="b">
        <f t="shared" ca="1" si="825"/>
        <v>1</v>
      </c>
      <c r="BF1096" s="23">
        <f t="array" aca="1" ref="BF1096" ca="1">SUM(IF(BD1096,1,0)*IF(ap_start_date&lt;=AO1096,1,0)*IF(ap_end_date&gt;=AO1096,1,0)*ap_amount*(1+ap_escalation/100)^(INT((AP1096-ap_months_since_start)/12))*IF(MOD(AP1096-ap_months_since_start,ap_frequency)=0,1,0))</f>
        <v>775714.39177458244</v>
      </c>
      <c r="BG1096" s="24">
        <f t="shared" ca="1" si="826"/>
        <v>9308572.7012949903</v>
      </c>
      <c r="BH1096" s="24">
        <f t="shared" ca="1" si="827"/>
        <v>30.317338193256155</v>
      </c>
      <c r="BI1096">
        <f t="shared" ca="1" si="828"/>
        <v>0</v>
      </c>
      <c r="BJ1096" s="24">
        <f t="shared" ca="1" si="829"/>
        <v>212.22136735279307</v>
      </c>
      <c r="BK1096">
        <f t="shared" ca="1" si="830"/>
        <v>1</v>
      </c>
      <c r="BL1096" s="25">
        <f t="shared" ca="1" si="831"/>
        <v>17.685113946066089</v>
      </c>
      <c r="BM1096" s="32">
        <f t="shared" ref="BM1096:BM1159" ca="1" si="850">(AQ1096+AV1096+BA1096-BC1096-BL1096)*(1+NomRetn/100)^(1/12)</f>
        <v>1118.9708213809829</v>
      </c>
      <c r="BN1096" s="23">
        <f t="shared" ca="1" si="832"/>
        <v>0</v>
      </c>
      <c r="BO1096" s="24">
        <f t="shared" ca="1" si="833"/>
        <v>0</v>
      </c>
      <c r="BP1096" s="25">
        <f t="shared" ca="1" si="834"/>
        <v>0</v>
      </c>
      <c r="BQ1096" s="34">
        <f t="shared" ca="1" si="835"/>
        <v>78771</v>
      </c>
      <c r="BR1096" s="23">
        <f t="shared" ca="1" si="836"/>
        <v>1118.9708213809829</v>
      </c>
      <c r="BS1096" s="24">
        <f t="shared" ca="1" si="837"/>
        <v>0</v>
      </c>
      <c r="BT1096" s="24">
        <f t="shared" ca="1" si="842"/>
        <v>0</v>
      </c>
      <c r="BU1096" s="24">
        <f t="shared" ca="1" si="838"/>
        <v>0</v>
      </c>
      <c r="BV1096" s="24">
        <f t="shared" ca="1" si="843"/>
        <v>0</v>
      </c>
      <c r="BW1096" s="24">
        <f t="shared" ca="1" si="839"/>
        <v>-17.685113946066089</v>
      </c>
      <c r="BX1096" s="25">
        <f t="shared" ca="1" si="844"/>
        <v>-215.86610403612355</v>
      </c>
      <c r="BY1096" s="23">
        <f t="shared" ref="BY1096:BY1159" ca="1" si="851">BR1096*(1+inflation/100)^(-$AP1096/12)</f>
        <v>31.845144253977281</v>
      </c>
      <c r="BZ1096" s="24">
        <f t="shared" ref="BZ1096:BZ1159" ca="1" si="852">BS1096*(1+inflation/100)^(-(AP1096-1)/12)</f>
        <v>0</v>
      </c>
      <c r="CA1096" s="24">
        <f t="shared" ca="1" si="845"/>
        <v>0</v>
      </c>
      <c r="CB1096" s="24">
        <f t="shared" ref="CB1096:CB1159" ca="1" si="853">BU1096*(1+inflation/100)^(-($AP1096-1)/12)</f>
        <v>0</v>
      </c>
      <c r="CC1096" s="24">
        <f t="shared" ca="1" si="846"/>
        <v>0</v>
      </c>
      <c r="CD1096" s="24">
        <f t="shared" ref="CD1096:CD1159" ca="1" si="854">BW1096*(1+inflation/100)^(-($AP1096-1)/12)</f>
        <v>-0.50495394081678502</v>
      </c>
      <c r="CE1096" s="25">
        <f t="shared" ca="1" si="847"/>
        <v>-6.2774502715116025</v>
      </c>
      <c r="CF1096" s="23">
        <f t="shared" ca="1" si="848"/>
        <v>9248902.3634661753</v>
      </c>
      <c r="CG1096" s="25">
        <f t="array" aca="1" ref="CG1096" ca="1">SUM(BF1085:BF1096/(1+inflation/100)^(AP1085:AP1096/12))</f>
        <v>267980.53702225391</v>
      </c>
      <c r="CH1096" s="32">
        <f ca="1">IFERROR(IF(MOD(AP1096-ap_months_since_start,12)=0,ap_drawdown/100*(AQ1096+AV1096+BA1096-BC1096),CH1095),0)</f>
        <v>186.38386665278961</v>
      </c>
    </row>
    <row r="1097" spans="40:86" x14ac:dyDescent="0.25">
      <c r="AN1097" s="32">
        <f t="shared" ca="1" si="849"/>
        <v>145.66666666666666</v>
      </c>
      <c r="AO1097" s="53">
        <f t="shared" ca="1" si="840"/>
        <v>78772</v>
      </c>
      <c r="AP1097" s="22">
        <v>1090</v>
      </c>
      <c r="AQ1097" s="32">
        <f t="shared" ca="1" si="841"/>
        <v>1118.9708213809829</v>
      </c>
      <c r="AR1097" s="23">
        <f t="array" aca="1" ref="AR1097" ca="1">SUM(IF(lsc_start_date=AO1097,lsc_amount,0))</f>
        <v>0</v>
      </c>
      <c r="AS1097" s="24">
        <f t="shared" ref="AS1097:AS1160" ca="1" si="855">AR1097*$D$34/100</f>
        <v>0</v>
      </c>
      <c r="AT1097" s="24">
        <f t="shared" ref="AT1097:AT1160" ca="1" si="856">AR1097*$D$33/100</f>
        <v>0</v>
      </c>
      <c r="AU1097" s="24">
        <f t="shared" ref="AU1097:AU1160" ca="1" si="857">AR1097*$D$35/100</f>
        <v>0</v>
      </c>
      <c r="AV1097" s="25">
        <f t="shared" ref="AV1097:AV1160" ca="1" si="858">AR1097-AS1097-AT1097-AU1097</f>
        <v>0</v>
      </c>
      <c r="AW1097" s="23">
        <f t="array" aca="1" ref="AW1097" ca="1">SUM(IF(rcs_start_date&lt;=AO1097,1,0)*IF(rcs_end_date&gt;=AO1097,1,0)*rcs_amount*(1+rcs_escalation/100)^(INT((AP1097-rcs_months_since_start)/12))*IF(MOD((AP1097-rcs_months_since_start),rcs_frequency)=0,1,0)*IF(rcs_frequency=13,0,1))+SUM(IF(rcs_start_date=AO1097,rcs_amount,0)*IF(rcs_frequency=13,1,0))</f>
        <v>0</v>
      </c>
      <c r="AX1097" s="24">
        <f t="shared" ref="AX1097:AX1160" ca="1" si="859">AW1097*$D$34/100</f>
        <v>0</v>
      </c>
      <c r="AY1097" s="24">
        <f t="shared" ref="AY1097:AY1160" ca="1" si="860">AW1097*$D$33/100</f>
        <v>0</v>
      </c>
      <c r="AZ1097" s="24">
        <f t="shared" ref="AZ1097:AZ1160" ca="1" si="861">AW1097*$D$35/100</f>
        <v>0</v>
      </c>
      <c r="BA1097" s="25">
        <f t="shared" ref="BA1097:BA1160" ca="1" si="862">AW1097-AX1097-AY1097-AZ1097</f>
        <v>0</v>
      </c>
      <c r="BB1097" s="23">
        <f t="array" aca="1" ref="BB1097" ca="1">SUM(IF(w_start_date&lt;=AO1097,1,0)*IF(w_end_date&gt;=AO1097,1,0)*w_amount*(1+w_escalation/100)^(INT((AP1097-w_months_since_start)/12))*IF(MOD(AP1097-w_months_since_start,w_frequency)=0,1,0)*IF(w_frequency=13,0,1))+SUM(IF(w_start_date=AO1097,w_amount,0)*IF(w_frequency=13,1,0))</f>
        <v>0</v>
      </c>
      <c r="BC1097" s="25">
        <f t="shared" ref="BC1097:BC1160" ca="1" si="863">IF(BB1097&gt;AQ1097+AV1097+BA1097,AQ1097+AV1097+BA1097,BB1097)</f>
        <v>0</v>
      </c>
      <c r="BD1097" s="24" t="b">
        <f t="shared" ref="BD1097:BD1160" ca="1" si="864">AND($DV$11&lt;=AO1097,$DV$11&lt;&gt;0)</f>
        <v>1</v>
      </c>
      <c r="BE1097" s="24" t="b">
        <f t="shared" ref="BE1097:BE1160" ca="1" si="865">$DW$11&lt;&gt;""</f>
        <v>1</v>
      </c>
      <c r="BF1097" s="23">
        <f t="array" aca="1" ref="BF1097" ca="1">SUM(IF(BD1097,1,0)*IF(ap_start_date&lt;=AO1097,1,0)*IF(ap_end_date&gt;=AO1097,1,0)*ap_amount*(1+ap_escalation/100)^(INT((AP1097-ap_months_since_start)/12))*IF(MOD(AP1097-ap_months_since_start,ap_frequency)=0,1,0))</f>
        <v>775714.39177458244</v>
      </c>
      <c r="BG1097" s="24">
        <f t="shared" ref="BG1097:BG1160" ca="1" si="866">IF(MOD(YEAR(AO1097)*12+MONTH(AO1097)-YEAR(Earliest_annuity_payment)*12-MONTH(Earliest_annuity_payment),12)=0,SUM(BF1097:BF1108),BG1096)</f>
        <v>9308572.7012949903</v>
      </c>
      <c r="BH1097" s="24">
        <f t="shared" ref="BH1097:BH1160" ca="1" si="867">IF(AO1097&gt;=Earliest_annuity_payment,IF(MOD(YEAR(AO1097)*12+MONTH(AO1097)-YEAR(Earliest_annuity_payment)*12-MONTH(Earliest_annuity_payment),12)=0,(AQ1097+AV1097+BA1097-BC1097)*Annuity_min,BH1096),0)</f>
        <v>30.317338193256155</v>
      </c>
      <c r="BI1097">
        <f t="shared" ref="BI1097:BI1160" ca="1" si="868">IF(AND(BH1097&gt;BG1097,BD1097),1,0)</f>
        <v>0</v>
      </c>
      <c r="BJ1097" s="24">
        <f t="shared" ref="BJ1097:BJ1160" ca="1" si="869">IF(AO1097&gt;=Earliest_annuity_payment,IF(MOD(YEAR(AO1097)*12+MONTH(AO1097)-YEAR(Earliest_annuity_payment)*12-MONTH(Earliest_annuity_payment),12)=0,(AQ1097+AV1097+BA1097-BC1097)*Annuity_cap,BJ1096),0)</f>
        <v>212.22136735279307</v>
      </c>
      <c r="BK1097">
        <f t="shared" ref="BK1097:BK1160" ca="1" si="870">IF(BJ1097&lt;BG1097,1,0)</f>
        <v>1</v>
      </c>
      <c r="BL1097" s="25">
        <f t="shared" ref="BL1097:BL1160" ca="1" si="871">IF(BJ1097&lt;BG1097,BF1097/BG1097*BJ1097,IF(AND(BH1097&gt;BG1097,BG1097&lt;&gt;0),BF1097/BG1097*BH1097,BF1097))</f>
        <v>17.685113946066089</v>
      </c>
      <c r="BM1097" s="32">
        <f t="shared" ca="1" si="850"/>
        <v>1109.2230295918405</v>
      </c>
      <c r="BN1097" s="23">
        <f t="shared" ref="BN1097:BN1160" ca="1" si="872">BM1097*$E$34/1200</f>
        <v>0</v>
      </c>
      <c r="BO1097" s="24">
        <f t="shared" ref="BO1097:BO1160" ca="1" si="873">BM1097*$E$33/1200</f>
        <v>0</v>
      </c>
      <c r="BP1097" s="25">
        <f t="shared" ref="BP1097:BP1160" ca="1" si="874">BM1097*$E$35/1200</f>
        <v>0</v>
      </c>
      <c r="BQ1097" s="34">
        <f t="shared" ref="BQ1097:BQ1160" ca="1" si="875">EOMONTH(AO1097,0)</f>
        <v>78801</v>
      </c>
      <c r="BR1097" s="23">
        <f t="shared" ref="BR1097:BR1160" ca="1" si="876">BM1097-BN1097-BO1097-BP1097</f>
        <v>1109.2230295918405</v>
      </c>
      <c r="BS1097" s="24">
        <f t="shared" ref="BS1097:BS1160" ca="1" si="877">AV1097+BA1097</f>
        <v>0</v>
      </c>
      <c r="BT1097" s="24">
        <f t="shared" ca="1" si="842"/>
        <v>0</v>
      </c>
      <c r="BU1097" s="24">
        <f t="shared" ref="BU1097:BU1160" ca="1" si="878">-BC1097</f>
        <v>0</v>
      </c>
      <c r="BV1097" s="24">
        <f t="shared" ca="1" si="843"/>
        <v>0</v>
      </c>
      <c r="BW1097" s="24">
        <f t="shared" ref="BW1097:BW1160" ca="1" si="879">-BL1097</f>
        <v>-17.685113946066089</v>
      </c>
      <c r="BX1097" s="25">
        <f t="shared" ca="1" si="844"/>
        <v>-214.04373569445829</v>
      </c>
      <c r="BY1097" s="23">
        <f t="shared" ca="1" si="851"/>
        <v>31.464721456314333</v>
      </c>
      <c r="BZ1097" s="24">
        <f t="shared" ca="1" si="852"/>
        <v>0</v>
      </c>
      <c r="CA1097" s="24">
        <f t="shared" ca="1" si="845"/>
        <v>0</v>
      </c>
      <c r="CB1097" s="24">
        <f t="shared" ca="1" si="853"/>
        <v>0</v>
      </c>
      <c r="CC1097" s="24">
        <f t="shared" ca="1" si="846"/>
        <v>0</v>
      </c>
      <c r="CD1097" s="24">
        <f t="shared" ca="1" si="854"/>
        <v>-0.50330624713291694</v>
      </c>
      <c r="CE1097" s="25">
        <f t="shared" ca="1" si="847"/>
        <v>-6.2033801307716399</v>
      </c>
      <c r="CF1097" s="23">
        <f t="shared" ca="1" si="848"/>
        <v>9278737.5323805828</v>
      </c>
      <c r="CG1097" s="25">
        <f t="array" aca="1" ref="CG1097" ca="1">SUM(BF1086:BF1097/(1+inflation/100)^(AP1086:AP1097/12))</f>
        <v>267980.53702225391</v>
      </c>
      <c r="CH1097" s="32">
        <f ca="1">IFERROR(IF(MOD(AP1097-ap_months_since_start,12)=0,ap_drawdown/100*(AQ1097+AV1097+BA1097-BC1097),CH1096),0)</f>
        <v>186.38386665278961</v>
      </c>
    </row>
    <row r="1098" spans="40:86" x14ac:dyDescent="0.25">
      <c r="AN1098" s="32">
        <f t="shared" ca="1" si="849"/>
        <v>145.75</v>
      </c>
      <c r="AO1098" s="53">
        <f t="shared" ref="AO1098:AO1161" ca="1" si="880">DATE(YEAR(AO1097),MONTH(AO1097)+1,1)</f>
        <v>78802</v>
      </c>
      <c r="AP1098" s="22">
        <v>1091</v>
      </c>
      <c r="AQ1098" s="32">
        <f t="shared" ref="AQ1098:AQ1161" ca="1" si="881">IF(BR1097&lt;0,0,BR1097)</f>
        <v>1109.2230295918405</v>
      </c>
      <c r="AR1098" s="23">
        <f t="array" aca="1" ref="AR1098" ca="1">SUM(IF(lsc_start_date=AO1098,lsc_amount,0))</f>
        <v>0</v>
      </c>
      <c r="AS1098" s="24">
        <f t="shared" ca="1" si="855"/>
        <v>0</v>
      </c>
      <c r="AT1098" s="24">
        <f t="shared" ca="1" si="856"/>
        <v>0</v>
      </c>
      <c r="AU1098" s="24">
        <f t="shared" ca="1" si="857"/>
        <v>0</v>
      </c>
      <c r="AV1098" s="25">
        <f t="shared" ca="1" si="858"/>
        <v>0</v>
      </c>
      <c r="AW1098" s="23">
        <f t="array" aca="1" ref="AW1098" ca="1">SUM(IF(rcs_start_date&lt;=AO1098,1,0)*IF(rcs_end_date&gt;=AO1098,1,0)*rcs_amount*(1+rcs_escalation/100)^(INT((AP1098-rcs_months_since_start)/12))*IF(MOD((AP1098-rcs_months_since_start),rcs_frequency)=0,1,0)*IF(rcs_frequency=13,0,1))+SUM(IF(rcs_start_date=AO1098,rcs_amount,0)*IF(rcs_frequency=13,1,0))</f>
        <v>0</v>
      </c>
      <c r="AX1098" s="24">
        <f t="shared" ca="1" si="859"/>
        <v>0</v>
      </c>
      <c r="AY1098" s="24">
        <f t="shared" ca="1" si="860"/>
        <v>0</v>
      </c>
      <c r="AZ1098" s="24">
        <f t="shared" ca="1" si="861"/>
        <v>0</v>
      </c>
      <c r="BA1098" s="25">
        <f t="shared" ca="1" si="862"/>
        <v>0</v>
      </c>
      <c r="BB1098" s="23">
        <f t="array" aca="1" ref="BB1098" ca="1">SUM(IF(w_start_date&lt;=AO1098,1,0)*IF(w_end_date&gt;=AO1098,1,0)*w_amount*(1+w_escalation/100)^(INT((AP1098-w_months_since_start)/12))*IF(MOD(AP1098-w_months_since_start,w_frequency)=0,1,0)*IF(w_frequency=13,0,1))+SUM(IF(w_start_date=AO1098,w_amount,0)*IF(w_frequency=13,1,0))</f>
        <v>0</v>
      </c>
      <c r="BC1098" s="25">
        <f t="shared" ca="1" si="863"/>
        <v>0</v>
      </c>
      <c r="BD1098" s="24" t="b">
        <f t="shared" ca="1" si="864"/>
        <v>1</v>
      </c>
      <c r="BE1098" s="24" t="b">
        <f t="shared" ca="1" si="865"/>
        <v>1</v>
      </c>
      <c r="BF1098" s="23">
        <f t="array" aca="1" ref="BF1098" ca="1">SUM(IF(BD1098,1,0)*IF(ap_start_date&lt;=AO1098,1,0)*IF(ap_end_date&gt;=AO1098,1,0)*ap_amount*(1+ap_escalation/100)^(INT((AP1098-ap_months_since_start)/12))*IF(MOD(AP1098-ap_months_since_start,ap_frequency)=0,1,0))</f>
        <v>775714.39177458244</v>
      </c>
      <c r="BG1098" s="24">
        <f t="shared" ca="1" si="866"/>
        <v>9308572.7012949903</v>
      </c>
      <c r="BH1098" s="24">
        <f t="shared" ca="1" si="867"/>
        <v>30.317338193256155</v>
      </c>
      <c r="BI1098">
        <f t="shared" ca="1" si="868"/>
        <v>0</v>
      </c>
      <c r="BJ1098" s="24">
        <f t="shared" ca="1" si="869"/>
        <v>212.22136735279307</v>
      </c>
      <c r="BK1098">
        <f t="shared" ca="1" si="870"/>
        <v>1</v>
      </c>
      <c r="BL1098" s="25">
        <f t="shared" ca="1" si="871"/>
        <v>17.685113946066089</v>
      </c>
      <c r="BM1098" s="32">
        <f t="shared" ca="1" si="850"/>
        <v>1099.4049823156554</v>
      </c>
      <c r="BN1098" s="23">
        <f t="shared" ca="1" si="872"/>
        <v>0</v>
      </c>
      <c r="BO1098" s="24">
        <f t="shared" ca="1" si="873"/>
        <v>0</v>
      </c>
      <c r="BP1098" s="25">
        <f t="shared" ca="1" si="874"/>
        <v>0</v>
      </c>
      <c r="BQ1098" s="34">
        <f t="shared" ca="1" si="875"/>
        <v>78832</v>
      </c>
      <c r="BR1098" s="23">
        <f t="shared" ca="1" si="876"/>
        <v>1099.4049823156554</v>
      </c>
      <c r="BS1098" s="24">
        <f t="shared" ca="1" si="877"/>
        <v>0</v>
      </c>
      <c r="BT1098" s="24">
        <f t="shared" ca="1" si="842"/>
        <v>0</v>
      </c>
      <c r="BU1098" s="24">
        <f t="shared" ca="1" si="878"/>
        <v>0</v>
      </c>
      <c r="BV1098" s="24">
        <f t="shared" ca="1" si="843"/>
        <v>0</v>
      </c>
      <c r="BW1098" s="24">
        <f t="shared" ca="1" si="879"/>
        <v>-17.685113946066089</v>
      </c>
      <c r="BX1098" s="25">
        <f t="shared" ca="1" si="844"/>
        <v>-212.22136735279301</v>
      </c>
      <c r="BY1098" s="23">
        <f t="shared" ca="1" si="851"/>
        <v>31.084455872995328</v>
      </c>
      <c r="BZ1098" s="24">
        <f t="shared" ca="1" si="852"/>
        <v>0</v>
      </c>
      <c r="CA1098" s="24">
        <f t="shared" ca="1" si="845"/>
        <v>0</v>
      </c>
      <c r="CB1098" s="24">
        <f t="shared" ca="1" si="853"/>
        <v>0</v>
      </c>
      <c r="CC1098" s="24">
        <f t="shared" ca="1" si="846"/>
        <v>0</v>
      </c>
      <c r="CD1098" s="24">
        <f t="shared" ca="1" si="854"/>
        <v>-0.50166392996808629</v>
      </c>
      <c r="CE1098" s="25">
        <f t="shared" ca="1" si="847"/>
        <v>-6.1295516851511627</v>
      </c>
      <c r="CF1098" s="23">
        <f t="shared" ca="1" si="848"/>
        <v>9308572.7012949903</v>
      </c>
      <c r="CG1098" s="25">
        <f t="array" aca="1" ref="CG1098" ca="1">SUM(BF1087:BF1098/(1+inflation/100)^(AP1087:AP1098/12))</f>
        <v>267980.53702225391</v>
      </c>
      <c r="CH1098" s="32">
        <f ca="1">IFERROR(IF(MOD(AP1098-ap_months_since_start,12)=0,ap_drawdown/100*(AQ1098+AV1098+BA1098-BC1098),CH1097),0)</f>
        <v>186.38386665278961</v>
      </c>
    </row>
    <row r="1099" spans="40:86" x14ac:dyDescent="0.25">
      <c r="AN1099" s="32">
        <f t="shared" ca="1" si="849"/>
        <v>145.83333333333334</v>
      </c>
      <c r="AO1099" s="53">
        <f t="shared" ca="1" si="880"/>
        <v>78833</v>
      </c>
      <c r="AP1099" s="22">
        <v>1092</v>
      </c>
      <c r="AQ1099" s="32">
        <f t="shared" ca="1" si="881"/>
        <v>1099.4049823156554</v>
      </c>
      <c r="AR1099" s="23">
        <f t="array" aca="1" ref="AR1099" ca="1">SUM(IF(lsc_start_date=AO1099,lsc_amount,0))</f>
        <v>0</v>
      </c>
      <c r="AS1099" s="24">
        <f t="shared" ca="1" si="855"/>
        <v>0</v>
      </c>
      <c r="AT1099" s="24">
        <f t="shared" ca="1" si="856"/>
        <v>0</v>
      </c>
      <c r="AU1099" s="24">
        <f t="shared" ca="1" si="857"/>
        <v>0</v>
      </c>
      <c r="AV1099" s="25">
        <f t="shared" ca="1" si="858"/>
        <v>0</v>
      </c>
      <c r="AW1099" s="23">
        <f t="array" aca="1" ref="AW1099" ca="1">SUM(IF(rcs_start_date&lt;=AO1099,1,0)*IF(rcs_end_date&gt;=AO1099,1,0)*rcs_amount*(1+rcs_escalation/100)^(INT((AP1099-rcs_months_since_start)/12))*IF(MOD((AP1099-rcs_months_since_start),rcs_frequency)=0,1,0)*IF(rcs_frequency=13,0,1))+SUM(IF(rcs_start_date=AO1099,rcs_amount,0)*IF(rcs_frequency=13,1,0))</f>
        <v>0</v>
      </c>
      <c r="AX1099" s="24">
        <f t="shared" ca="1" si="859"/>
        <v>0</v>
      </c>
      <c r="AY1099" s="24">
        <f t="shared" ca="1" si="860"/>
        <v>0</v>
      </c>
      <c r="AZ1099" s="24">
        <f t="shared" ca="1" si="861"/>
        <v>0</v>
      </c>
      <c r="BA1099" s="25">
        <f t="shared" ca="1" si="862"/>
        <v>0</v>
      </c>
      <c r="BB1099" s="23">
        <f t="array" aca="1" ref="BB1099" ca="1">SUM(IF(w_start_date&lt;=AO1099,1,0)*IF(w_end_date&gt;=AO1099,1,0)*w_amount*(1+w_escalation/100)^(INT((AP1099-w_months_since_start)/12))*IF(MOD(AP1099-w_months_since_start,w_frequency)=0,1,0)*IF(w_frequency=13,0,1))+SUM(IF(w_start_date=AO1099,w_amount,0)*IF(w_frequency=13,1,0))</f>
        <v>0</v>
      </c>
      <c r="BC1099" s="25">
        <f t="shared" ca="1" si="863"/>
        <v>0</v>
      </c>
      <c r="BD1099" s="24" t="b">
        <f t="shared" ca="1" si="864"/>
        <v>1</v>
      </c>
      <c r="BE1099" s="24" t="b">
        <f t="shared" ca="1" si="865"/>
        <v>1</v>
      </c>
      <c r="BF1099" s="23">
        <f t="array" aca="1" ref="BF1099" ca="1">SUM(IF(BD1099,1,0)*IF(ap_start_date&lt;=AO1099,1,0)*IF(ap_end_date&gt;=AO1099,1,0)*ap_amount*(1+ap_escalation/100)^(INT((AP1099-ap_months_since_start)/12))*IF(MOD(AP1099-ap_months_since_start,ap_frequency)=0,1,0))</f>
        <v>806742.96744556597</v>
      </c>
      <c r="BG1099" s="24">
        <f t="shared" ca="1" si="866"/>
        <v>9680915.6093467921</v>
      </c>
      <c r="BH1099" s="24">
        <f t="shared" ca="1" si="867"/>
        <v>27.485124557891385</v>
      </c>
      <c r="BI1099">
        <f t="shared" ca="1" si="868"/>
        <v>0</v>
      </c>
      <c r="BJ1099" s="24">
        <f t="shared" ca="1" si="869"/>
        <v>192.39587190523969</v>
      </c>
      <c r="BK1099">
        <f t="shared" ca="1" si="870"/>
        <v>1</v>
      </c>
      <c r="BL1099" s="25">
        <f t="shared" ca="1" si="871"/>
        <v>16.032989325436638</v>
      </c>
      <c r="BM1099" s="32">
        <f t="shared" ca="1" si="850"/>
        <v>1091.1802052153466</v>
      </c>
      <c r="BN1099" s="23">
        <f t="shared" ca="1" si="872"/>
        <v>0</v>
      </c>
      <c r="BO1099" s="24">
        <f t="shared" ca="1" si="873"/>
        <v>0</v>
      </c>
      <c r="BP1099" s="25">
        <f t="shared" ca="1" si="874"/>
        <v>0</v>
      </c>
      <c r="BQ1099" s="34">
        <f t="shared" ca="1" si="875"/>
        <v>78862</v>
      </c>
      <c r="BR1099" s="23">
        <f t="shared" ca="1" si="876"/>
        <v>1091.1802052153466</v>
      </c>
      <c r="BS1099" s="24">
        <f t="shared" ca="1" si="877"/>
        <v>0</v>
      </c>
      <c r="BT1099" s="24">
        <f t="shared" ca="1" si="842"/>
        <v>0</v>
      </c>
      <c r="BU1099" s="24">
        <f t="shared" ca="1" si="878"/>
        <v>0</v>
      </c>
      <c r="BV1099" s="24">
        <f t="shared" ca="1" si="843"/>
        <v>0</v>
      </c>
      <c r="BW1099" s="24">
        <f t="shared" ca="1" si="879"/>
        <v>-16.032989325436638</v>
      </c>
      <c r="BX1099" s="25">
        <f t="shared" ca="1" si="844"/>
        <v>-210.56924273216356</v>
      </c>
      <c r="BY1099" s="23">
        <f t="shared" ca="1" si="851"/>
        <v>30.751237876672668</v>
      </c>
      <c r="BZ1099" s="24">
        <f t="shared" ca="1" si="852"/>
        <v>0</v>
      </c>
      <c r="CA1099" s="24">
        <f t="shared" ca="1" si="845"/>
        <v>0</v>
      </c>
      <c r="CB1099" s="24">
        <f t="shared" ca="1" si="853"/>
        <v>0</v>
      </c>
      <c r="CC1099" s="24">
        <f t="shared" ca="1" si="846"/>
        <v>0</v>
      </c>
      <c r="CD1099" s="24">
        <f t="shared" ca="1" si="854"/>
        <v>-0.45331498148118177</v>
      </c>
      <c r="CE1099" s="25">
        <f t="shared" ca="1" si="847"/>
        <v>-6.0628386159828054</v>
      </c>
      <c r="CF1099" s="23">
        <f t="shared" ca="1" si="848"/>
        <v>9339601.2769659739</v>
      </c>
      <c r="CG1099" s="25">
        <f t="array" aca="1" ref="CG1099" ca="1">SUM(BF1088:BF1099/(1+inflation/100)^(AP1088:AP1099/12))</f>
        <v>267980.53702225385</v>
      </c>
      <c r="CH1099" s="32">
        <f ca="1">IFERROR(IF(MOD(AP1099-ap_months_since_start,12)=0,ap_drawdown/100*(AQ1099+AV1099+BA1099-BC1099),CH1098),0)</f>
        <v>168.97208316503401</v>
      </c>
    </row>
    <row r="1100" spans="40:86" x14ac:dyDescent="0.25">
      <c r="AN1100" s="32">
        <f t="shared" ca="1" si="849"/>
        <v>145.91666666666666</v>
      </c>
      <c r="AO1100" s="53">
        <f t="shared" ca="1" si="880"/>
        <v>78863</v>
      </c>
      <c r="AP1100" s="22">
        <v>1093</v>
      </c>
      <c r="AQ1100" s="32">
        <f t="shared" ca="1" si="881"/>
        <v>1091.1802052153466</v>
      </c>
      <c r="AR1100" s="23">
        <f t="array" aca="1" ref="AR1100" ca="1">SUM(IF(lsc_start_date=AO1100,lsc_amount,0))</f>
        <v>0</v>
      </c>
      <c r="AS1100" s="24">
        <f t="shared" ca="1" si="855"/>
        <v>0</v>
      </c>
      <c r="AT1100" s="24">
        <f t="shared" ca="1" si="856"/>
        <v>0</v>
      </c>
      <c r="AU1100" s="24">
        <f t="shared" ca="1" si="857"/>
        <v>0</v>
      </c>
      <c r="AV1100" s="25">
        <f t="shared" ca="1" si="858"/>
        <v>0</v>
      </c>
      <c r="AW1100" s="23">
        <f t="array" aca="1" ref="AW1100" ca="1">SUM(IF(rcs_start_date&lt;=AO1100,1,0)*IF(rcs_end_date&gt;=AO1100,1,0)*rcs_amount*(1+rcs_escalation/100)^(INT((AP1100-rcs_months_since_start)/12))*IF(MOD((AP1100-rcs_months_since_start),rcs_frequency)=0,1,0)*IF(rcs_frequency=13,0,1))+SUM(IF(rcs_start_date=AO1100,rcs_amount,0)*IF(rcs_frequency=13,1,0))</f>
        <v>0</v>
      </c>
      <c r="AX1100" s="24">
        <f t="shared" ca="1" si="859"/>
        <v>0</v>
      </c>
      <c r="AY1100" s="24">
        <f t="shared" ca="1" si="860"/>
        <v>0</v>
      </c>
      <c r="AZ1100" s="24">
        <f t="shared" ca="1" si="861"/>
        <v>0</v>
      </c>
      <c r="BA1100" s="25">
        <f t="shared" ca="1" si="862"/>
        <v>0</v>
      </c>
      <c r="BB1100" s="23">
        <f t="array" aca="1" ref="BB1100" ca="1">SUM(IF(w_start_date&lt;=AO1100,1,0)*IF(w_end_date&gt;=AO1100,1,0)*w_amount*(1+w_escalation/100)^(INT((AP1100-w_months_since_start)/12))*IF(MOD(AP1100-w_months_since_start,w_frequency)=0,1,0)*IF(w_frequency=13,0,1))+SUM(IF(w_start_date=AO1100,w_amount,0)*IF(w_frequency=13,1,0))</f>
        <v>0</v>
      </c>
      <c r="BC1100" s="25">
        <f t="shared" ca="1" si="863"/>
        <v>0</v>
      </c>
      <c r="BD1100" s="24" t="b">
        <f t="shared" ca="1" si="864"/>
        <v>1</v>
      </c>
      <c r="BE1100" s="24" t="b">
        <f t="shared" ca="1" si="865"/>
        <v>1</v>
      </c>
      <c r="BF1100" s="23">
        <f t="array" aca="1" ref="BF1100" ca="1">SUM(IF(BD1100,1,0)*IF(ap_start_date&lt;=AO1100,1,0)*IF(ap_end_date&gt;=AO1100,1,0)*ap_amount*(1+ap_escalation/100)^(INT((AP1100-ap_months_since_start)/12))*IF(MOD(AP1100-ap_months_since_start,ap_frequency)=0,1,0))</f>
        <v>806742.96744556597</v>
      </c>
      <c r="BG1100" s="24">
        <f t="shared" ca="1" si="866"/>
        <v>9680915.6093467921</v>
      </c>
      <c r="BH1100" s="24">
        <f t="shared" ca="1" si="867"/>
        <v>27.485124557891385</v>
      </c>
      <c r="BI1100">
        <f t="shared" ca="1" si="868"/>
        <v>0</v>
      </c>
      <c r="BJ1100" s="24">
        <f t="shared" ca="1" si="869"/>
        <v>192.39587190523969</v>
      </c>
      <c r="BK1100">
        <f t="shared" ca="1" si="870"/>
        <v>1</v>
      </c>
      <c r="BL1100" s="25">
        <f t="shared" ca="1" si="871"/>
        <v>16.032989325436638</v>
      </c>
      <c r="BM1100" s="32">
        <f t="shared" ca="1" si="850"/>
        <v>1082.8961494872729</v>
      </c>
      <c r="BN1100" s="23">
        <f t="shared" ca="1" si="872"/>
        <v>0</v>
      </c>
      <c r="BO1100" s="24">
        <f t="shared" ca="1" si="873"/>
        <v>0</v>
      </c>
      <c r="BP1100" s="25">
        <f t="shared" ca="1" si="874"/>
        <v>0</v>
      </c>
      <c r="BQ1100" s="34">
        <f t="shared" ca="1" si="875"/>
        <v>78893</v>
      </c>
      <c r="BR1100" s="23">
        <f t="shared" ca="1" si="876"/>
        <v>1082.8961494872729</v>
      </c>
      <c r="BS1100" s="24">
        <f t="shared" ca="1" si="877"/>
        <v>0</v>
      </c>
      <c r="BT1100" s="24">
        <f t="shared" ca="1" si="842"/>
        <v>0</v>
      </c>
      <c r="BU1100" s="24">
        <f t="shared" ca="1" si="878"/>
        <v>0</v>
      </c>
      <c r="BV1100" s="24">
        <f t="shared" ca="1" si="843"/>
        <v>0</v>
      </c>
      <c r="BW1100" s="24">
        <f t="shared" ca="1" si="879"/>
        <v>-16.032989325436638</v>
      </c>
      <c r="BX1100" s="25">
        <f t="shared" ca="1" si="844"/>
        <v>-208.91711811153411</v>
      </c>
      <c r="BY1100" s="23">
        <f t="shared" ca="1" si="851"/>
        <v>30.418198408887729</v>
      </c>
      <c r="BZ1100" s="24">
        <f t="shared" ca="1" si="852"/>
        <v>0</v>
      </c>
      <c r="CA1100" s="24">
        <f t="shared" ca="1" si="845"/>
        <v>0</v>
      </c>
      <c r="CB1100" s="24">
        <f t="shared" ca="1" si="853"/>
        <v>0</v>
      </c>
      <c r="CC1100" s="24">
        <f t="shared" ca="1" si="846"/>
        <v>0</v>
      </c>
      <c r="CD1100" s="24">
        <f t="shared" ca="1" si="854"/>
        <v>-0.45183578868474289</v>
      </c>
      <c r="CE1100" s="25">
        <f t="shared" ca="1" si="847"/>
        <v>-5.9963432353872372</v>
      </c>
      <c r="CF1100" s="23">
        <f t="shared" ca="1" si="848"/>
        <v>9370629.8526369575</v>
      </c>
      <c r="CG1100" s="25">
        <f t="array" aca="1" ref="CG1100" ca="1">SUM(BF1089:BF1100/(1+inflation/100)^(AP1089:AP1100/12))</f>
        <v>267980.53702225385</v>
      </c>
      <c r="CH1100" s="32">
        <f ca="1">IFERROR(IF(MOD(AP1100-ap_months_since_start,12)=0,ap_drawdown/100*(AQ1100+AV1100+BA1100-BC1100),CH1099),0)</f>
        <v>168.97208316503401</v>
      </c>
    </row>
    <row r="1101" spans="40:86" x14ac:dyDescent="0.25">
      <c r="AN1101" s="32">
        <f t="shared" ca="1" si="849"/>
        <v>146</v>
      </c>
      <c r="AO1101" s="53">
        <f t="shared" ca="1" si="880"/>
        <v>78894</v>
      </c>
      <c r="AP1101" s="22">
        <v>1094</v>
      </c>
      <c r="AQ1101" s="32">
        <f t="shared" ca="1" si="881"/>
        <v>1082.8961494872729</v>
      </c>
      <c r="AR1101" s="23">
        <f t="array" aca="1" ref="AR1101" ca="1">SUM(IF(lsc_start_date=AO1101,lsc_amount,0))</f>
        <v>0</v>
      </c>
      <c r="AS1101" s="24">
        <f t="shared" ca="1" si="855"/>
        <v>0</v>
      </c>
      <c r="AT1101" s="24">
        <f t="shared" ca="1" si="856"/>
        <v>0</v>
      </c>
      <c r="AU1101" s="24">
        <f t="shared" ca="1" si="857"/>
        <v>0</v>
      </c>
      <c r="AV1101" s="25">
        <f t="shared" ca="1" si="858"/>
        <v>0</v>
      </c>
      <c r="AW1101" s="23">
        <f t="array" aca="1" ref="AW1101" ca="1">SUM(IF(rcs_start_date&lt;=AO1101,1,0)*IF(rcs_end_date&gt;=AO1101,1,0)*rcs_amount*(1+rcs_escalation/100)^(INT((AP1101-rcs_months_since_start)/12))*IF(MOD((AP1101-rcs_months_since_start),rcs_frequency)=0,1,0)*IF(rcs_frequency=13,0,1))+SUM(IF(rcs_start_date=AO1101,rcs_amount,0)*IF(rcs_frequency=13,1,0))</f>
        <v>0</v>
      </c>
      <c r="AX1101" s="24">
        <f t="shared" ca="1" si="859"/>
        <v>0</v>
      </c>
      <c r="AY1101" s="24">
        <f t="shared" ca="1" si="860"/>
        <v>0</v>
      </c>
      <c r="AZ1101" s="24">
        <f t="shared" ca="1" si="861"/>
        <v>0</v>
      </c>
      <c r="BA1101" s="25">
        <f t="shared" ca="1" si="862"/>
        <v>0</v>
      </c>
      <c r="BB1101" s="23">
        <f t="array" aca="1" ref="BB1101" ca="1">SUM(IF(w_start_date&lt;=AO1101,1,0)*IF(w_end_date&gt;=AO1101,1,0)*w_amount*(1+w_escalation/100)^(INT((AP1101-w_months_since_start)/12))*IF(MOD(AP1101-w_months_since_start,w_frequency)=0,1,0)*IF(w_frequency=13,0,1))+SUM(IF(w_start_date=AO1101,w_amount,0)*IF(w_frequency=13,1,0))</f>
        <v>0</v>
      </c>
      <c r="BC1101" s="25">
        <f t="shared" ca="1" si="863"/>
        <v>0</v>
      </c>
      <c r="BD1101" s="24" t="b">
        <f t="shared" ca="1" si="864"/>
        <v>1</v>
      </c>
      <c r="BE1101" s="24" t="b">
        <f t="shared" ca="1" si="865"/>
        <v>1</v>
      </c>
      <c r="BF1101" s="23">
        <f t="array" aca="1" ref="BF1101" ca="1">SUM(IF(BD1101,1,0)*IF(ap_start_date&lt;=AO1101,1,0)*IF(ap_end_date&gt;=AO1101,1,0)*ap_amount*(1+ap_escalation/100)^(INT((AP1101-ap_months_since_start)/12))*IF(MOD(AP1101-ap_months_since_start,ap_frequency)=0,1,0))</f>
        <v>806742.96744556597</v>
      </c>
      <c r="BG1101" s="24">
        <f t="shared" ca="1" si="866"/>
        <v>9680915.6093467921</v>
      </c>
      <c r="BH1101" s="24">
        <f t="shared" ca="1" si="867"/>
        <v>27.485124557891385</v>
      </c>
      <c r="BI1101">
        <f t="shared" ca="1" si="868"/>
        <v>0</v>
      </c>
      <c r="BJ1101" s="24">
        <f t="shared" ca="1" si="869"/>
        <v>192.39587190523969</v>
      </c>
      <c r="BK1101">
        <f t="shared" ca="1" si="870"/>
        <v>1</v>
      </c>
      <c r="BL1101" s="25">
        <f t="shared" ca="1" si="871"/>
        <v>16.032989325436638</v>
      </c>
      <c r="BM1101" s="32">
        <f t="shared" ca="1" si="850"/>
        <v>1074.5523878911979</v>
      </c>
      <c r="BN1101" s="23">
        <f t="shared" ca="1" si="872"/>
        <v>0</v>
      </c>
      <c r="BO1101" s="24">
        <f t="shared" ca="1" si="873"/>
        <v>0</v>
      </c>
      <c r="BP1101" s="25">
        <f t="shared" ca="1" si="874"/>
        <v>0</v>
      </c>
      <c r="BQ1101" s="34">
        <f t="shared" ca="1" si="875"/>
        <v>78924</v>
      </c>
      <c r="BR1101" s="23">
        <f t="shared" ca="1" si="876"/>
        <v>1074.5523878911979</v>
      </c>
      <c r="BS1101" s="24">
        <f t="shared" ca="1" si="877"/>
        <v>0</v>
      </c>
      <c r="BT1101" s="24">
        <f t="shared" ca="1" si="842"/>
        <v>0</v>
      </c>
      <c r="BU1101" s="24">
        <f t="shared" ca="1" si="878"/>
        <v>0</v>
      </c>
      <c r="BV1101" s="24">
        <f t="shared" ca="1" si="843"/>
        <v>0</v>
      </c>
      <c r="BW1101" s="24">
        <f t="shared" ca="1" si="879"/>
        <v>-16.032989325436638</v>
      </c>
      <c r="BX1101" s="25">
        <f t="shared" ca="1" si="844"/>
        <v>-207.26499349090466</v>
      </c>
      <c r="BY1101" s="23">
        <f t="shared" ca="1" si="851"/>
        <v>30.085333323990572</v>
      </c>
      <c r="BZ1101" s="24">
        <f t="shared" ca="1" si="852"/>
        <v>0</v>
      </c>
      <c r="CA1101" s="24">
        <f t="shared" ca="1" si="845"/>
        <v>0</v>
      </c>
      <c r="CB1101" s="24">
        <f t="shared" ca="1" si="853"/>
        <v>0</v>
      </c>
      <c r="CC1101" s="24">
        <f t="shared" ca="1" si="846"/>
        <v>0</v>
      </c>
      <c r="CD1101" s="24">
        <f t="shared" ca="1" si="854"/>
        <v>-0.45036142257927803</v>
      </c>
      <c r="CE1101" s="25">
        <f t="shared" ca="1" si="847"/>
        <v>-5.9300648330341517</v>
      </c>
      <c r="CF1101" s="23">
        <f t="shared" ca="1" si="848"/>
        <v>9401658.4283079412</v>
      </c>
      <c r="CG1101" s="25">
        <f t="array" aca="1" ref="CG1101" ca="1">SUM(BF1090:BF1101/(1+inflation/100)^(AP1090:AP1101/12))</f>
        <v>267980.53702225385</v>
      </c>
      <c r="CH1101" s="32">
        <f ca="1">IFERROR(IF(MOD(AP1101-ap_months_since_start,12)=0,ap_drawdown/100*(AQ1101+AV1101+BA1101-BC1101),CH1100),0)</f>
        <v>168.97208316503401</v>
      </c>
    </row>
    <row r="1102" spans="40:86" x14ac:dyDescent="0.25">
      <c r="AN1102" s="32">
        <f t="shared" ca="1" si="849"/>
        <v>146.08333333333334</v>
      </c>
      <c r="AO1102" s="53">
        <f t="shared" ca="1" si="880"/>
        <v>78925</v>
      </c>
      <c r="AP1102" s="22">
        <v>1095</v>
      </c>
      <c r="AQ1102" s="32">
        <f t="shared" ca="1" si="881"/>
        <v>1074.5523878911979</v>
      </c>
      <c r="AR1102" s="23">
        <f t="array" aca="1" ref="AR1102" ca="1">SUM(IF(lsc_start_date=AO1102,lsc_amount,0))</f>
        <v>0</v>
      </c>
      <c r="AS1102" s="24">
        <f t="shared" ca="1" si="855"/>
        <v>0</v>
      </c>
      <c r="AT1102" s="24">
        <f t="shared" ca="1" si="856"/>
        <v>0</v>
      </c>
      <c r="AU1102" s="24">
        <f t="shared" ca="1" si="857"/>
        <v>0</v>
      </c>
      <c r="AV1102" s="25">
        <f t="shared" ca="1" si="858"/>
        <v>0</v>
      </c>
      <c r="AW1102" s="23">
        <f t="array" aca="1" ref="AW1102" ca="1">SUM(IF(rcs_start_date&lt;=AO1102,1,0)*IF(rcs_end_date&gt;=AO1102,1,0)*rcs_amount*(1+rcs_escalation/100)^(INT((AP1102-rcs_months_since_start)/12))*IF(MOD((AP1102-rcs_months_since_start),rcs_frequency)=0,1,0)*IF(rcs_frequency=13,0,1))+SUM(IF(rcs_start_date=AO1102,rcs_amount,0)*IF(rcs_frequency=13,1,0))</f>
        <v>0</v>
      </c>
      <c r="AX1102" s="24">
        <f t="shared" ca="1" si="859"/>
        <v>0</v>
      </c>
      <c r="AY1102" s="24">
        <f t="shared" ca="1" si="860"/>
        <v>0</v>
      </c>
      <c r="AZ1102" s="24">
        <f t="shared" ca="1" si="861"/>
        <v>0</v>
      </c>
      <c r="BA1102" s="25">
        <f t="shared" ca="1" si="862"/>
        <v>0</v>
      </c>
      <c r="BB1102" s="23">
        <f t="array" aca="1" ref="BB1102" ca="1">SUM(IF(w_start_date&lt;=AO1102,1,0)*IF(w_end_date&gt;=AO1102,1,0)*w_amount*(1+w_escalation/100)^(INT((AP1102-w_months_since_start)/12))*IF(MOD(AP1102-w_months_since_start,w_frequency)=0,1,0)*IF(w_frequency=13,0,1))+SUM(IF(w_start_date=AO1102,w_amount,0)*IF(w_frequency=13,1,0))</f>
        <v>0</v>
      </c>
      <c r="BC1102" s="25">
        <f t="shared" ca="1" si="863"/>
        <v>0</v>
      </c>
      <c r="BD1102" s="24" t="b">
        <f t="shared" ca="1" si="864"/>
        <v>1</v>
      </c>
      <c r="BE1102" s="24" t="b">
        <f t="shared" ca="1" si="865"/>
        <v>1</v>
      </c>
      <c r="BF1102" s="23">
        <f t="array" aca="1" ref="BF1102" ca="1">SUM(IF(BD1102,1,0)*IF(ap_start_date&lt;=AO1102,1,0)*IF(ap_end_date&gt;=AO1102,1,0)*ap_amount*(1+ap_escalation/100)^(INT((AP1102-ap_months_since_start)/12))*IF(MOD(AP1102-ap_months_since_start,ap_frequency)=0,1,0))</f>
        <v>806742.96744556597</v>
      </c>
      <c r="BG1102" s="24">
        <f t="shared" ca="1" si="866"/>
        <v>9680915.6093467921</v>
      </c>
      <c r="BH1102" s="24">
        <f t="shared" ca="1" si="867"/>
        <v>27.485124557891385</v>
      </c>
      <c r="BI1102">
        <f t="shared" ca="1" si="868"/>
        <v>0</v>
      </c>
      <c r="BJ1102" s="24">
        <f t="shared" ca="1" si="869"/>
        <v>192.39587190523969</v>
      </c>
      <c r="BK1102">
        <f t="shared" ca="1" si="870"/>
        <v>1</v>
      </c>
      <c r="BL1102" s="25">
        <f t="shared" ca="1" si="871"/>
        <v>16.032989325436638</v>
      </c>
      <c r="BM1102" s="32">
        <f t="shared" ca="1" si="850"/>
        <v>1066.1484901076274</v>
      </c>
      <c r="BN1102" s="23">
        <f t="shared" ca="1" si="872"/>
        <v>0</v>
      </c>
      <c r="BO1102" s="24">
        <f t="shared" ca="1" si="873"/>
        <v>0</v>
      </c>
      <c r="BP1102" s="25">
        <f t="shared" ca="1" si="874"/>
        <v>0</v>
      </c>
      <c r="BQ1102" s="34">
        <f t="shared" ca="1" si="875"/>
        <v>78953</v>
      </c>
      <c r="BR1102" s="23">
        <f t="shared" ca="1" si="876"/>
        <v>1066.1484901076274</v>
      </c>
      <c r="BS1102" s="24">
        <f t="shared" ca="1" si="877"/>
        <v>0</v>
      </c>
      <c r="BT1102" s="24">
        <f t="shared" ca="1" si="842"/>
        <v>0</v>
      </c>
      <c r="BU1102" s="24">
        <f t="shared" ca="1" si="878"/>
        <v>0</v>
      </c>
      <c r="BV1102" s="24">
        <f t="shared" ca="1" si="843"/>
        <v>0</v>
      </c>
      <c r="BW1102" s="24">
        <f t="shared" ca="1" si="879"/>
        <v>-16.032989325436638</v>
      </c>
      <c r="BX1102" s="25">
        <f t="shared" ca="1" si="844"/>
        <v>-205.61286887027521</v>
      </c>
      <c r="BY1102" s="23">
        <f t="shared" ca="1" si="851"/>
        <v>29.752638475888968</v>
      </c>
      <c r="BZ1102" s="24">
        <f t="shared" ca="1" si="852"/>
        <v>0</v>
      </c>
      <c r="CA1102" s="24">
        <f t="shared" ca="1" si="845"/>
        <v>0</v>
      </c>
      <c r="CB1102" s="24">
        <f t="shared" ca="1" si="853"/>
        <v>0</v>
      </c>
      <c r="CC1102" s="24">
        <f t="shared" ca="1" si="846"/>
        <v>0</v>
      </c>
      <c r="CD1102" s="24">
        <f t="shared" ca="1" si="854"/>
        <v>-0.44889186741501563</v>
      </c>
      <c r="CE1102" s="25">
        <f t="shared" ca="1" si="847"/>
        <v>-5.8640027009110947</v>
      </c>
      <c r="CF1102" s="23">
        <f t="shared" ca="1" si="848"/>
        <v>9432687.0039789248</v>
      </c>
      <c r="CG1102" s="25">
        <f t="array" aca="1" ref="CG1102" ca="1">SUM(BF1091:BF1102/(1+inflation/100)^(AP1091:AP1102/12))</f>
        <v>267980.53702225391</v>
      </c>
      <c r="CH1102" s="32">
        <f ca="1">IFERROR(IF(MOD(AP1102-ap_months_since_start,12)=0,ap_drawdown/100*(AQ1102+AV1102+BA1102-BC1102),CH1101),0)</f>
        <v>168.97208316503401</v>
      </c>
    </row>
    <row r="1103" spans="40:86" x14ac:dyDescent="0.25">
      <c r="AN1103" s="32">
        <f t="shared" ca="1" si="849"/>
        <v>146.16666666666666</v>
      </c>
      <c r="AO1103" s="53">
        <f t="shared" ca="1" si="880"/>
        <v>78954</v>
      </c>
      <c r="AP1103" s="22">
        <v>1096</v>
      </c>
      <c r="AQ1103" s="32">
        <f t="shared" ca="1" si="881"/>
        <v>1066.1484901076274</v>
      </c>
      <c r="AR1103" s="23">
        <f t="array" aca="1" ref="AR1103" ca="1">SUM(IF(lsc_start_date=AO1103,lsc_amount,0))</f>
        <v>0</v>
      </c>
      <c r="AS1103" s="24">
        <f t="shared" ca="1" si="855"/>
        <v>0</v>
      </c>
      <c r="AT1103" s="24">
        <f t="shared" ca="1" si="856"/>
        <v>0</v>
      </c>
      <c r="AU1103" s="24">
        <f t="shared" ca="1" si="857"/>
        <v>0</v>
      </c>
      <c r="AV1103" s="25">
        <f t="shared" ca="1" si="858"/>
        <v>0</v>
      </c>
      <c r="AW1103" s="23">
        <f t="array" aca="1" ref="AW1103" ca="1">SUM(IF(rcs_start_date&lt;=AO1103,1,0)*IF(rcs_end_date&gt;=AO1103,1,0)*rcs_amount*(1+rcs_escalation/100)^(INT((AP1103-rcs_months_since_start)/12))*IF(MOD((AP1103-rcs_months_since_start),rcs_frequency)=0,1,0)*IF(rcs_frequency=13,0,1))+SUM(IF(rcs_start_date=AO1103,rcs_amount,0)*IF(rcs_frequency=13,1,0))</f>
        <v>0</v>
      </c>
      <c r="AX1103" s="24">
        <f t="shared" ca="1" si="859"/>
        <v>0</v>
      </c>
      <c r="AY1103" s="24">
        <f t="shared" ca="1" si="860"/>
        <v>0</v>
      </c>
      <c r="AZ1103" s="24">
        <f t="shared" ca="1" si="861"/>
        <v>0</v>
      </c>
      <c r="BA1103" s="25">
        <f t="shared" ca="1" si="862"/>
        <v>0</v>
      </c>
      <c r="BB1103" s="23">
        <f t="array" aca="1" ref="BB1103" ca="1">SUM(IF(w_start_date&lt;=AO1103,1,0)*IF(w_end_date&gt;=AO1103,1,0)*w_amount*(1+w_escalation/100)^(INT((AP1103-w_months_since_start)/12))*IF(MOD(AP1103-w_months_since_start,w_frequency)=0,1,0)*IF(w_frequency=13,0,1))+SUM(IF(w_start_date=AO1103,w_amount,0)*IF(w_frequency=13,1,0))</f>
        <v>0</v>
      </c>
      <c r="BC1103" s="25">
        <f t="shared" ca="1" si="863"/>
        <v>0</v>
      </c>
      <c r="BD1103" s="24" t="b">
        <f t="shared" ca="1" si="864"/>
        <v>1</v>
      </c>
      <c r="BE1103" s="24" t="b">
        <f t="shared" ca="1" si="865"/>
        <v>1</v>
      </c>
      <c r="BF1103" s="23">
        <f t="array" aca="1" ref="BF1103" ca="1">SUM(IF(BD1103,1,0)*IF(ap_start_date&lt;=AO1103,1,0)*IF(ap_end_date&gt;=AO1103,1,0)*ap_amount*(1+ap_escalation/100)^(INT((AP1103-ap_months_since_start)/12))*IF(MOD(AP1103-ap_months_since_start,ap_frequency)=0,1,0))</f>
        <v>806742.96744556597</v>
      </c>
      <c r="BG1103" s="24">
        <f t="shared" ca="1" si="866"/>
        <v>9680915.6093467921</v>
      </c>
      <c r="BH1103" s="24">
        <f t="shared" ca="1" si="867"/>
        <v>27.485124557891385</v>
      </c>
      <c r="BI1103">
        <f t="shared" ca="1" si="868"/>
        <v>0</v>
      </c>
      <c r="BJ1103" s="24">
        <f t="shared" ca="1" si="869"/>
        <v>192.39587190523969</v>
      </c>
      <c r="BK1103">
        <f t="shared" ca="1" si="870"/>
        <v>1</v>
      </c>
      <c r="BL1103" s="25">
        <f t="shared" ca="1" si="871"/>
        <v>16.032989325436638</v>
      </c>
      <c r="BM1103" s="32">
        <f t="shared" ca="1" si="850"/>
        <v>1057.6840227156149</v>
      </c>
      <c r="BN1103" s="23">
        <f t="shared" ca="1" si="872"/>
        <v>0</v>
      </c>
      <c r="BO1103" s="24">
        <f t="shared" ca="1" si="873"/>
        <v>0</v>
      </c>
      <c r="BP1103" s="25">
        <f t="shared" ca="1" si="874"/>
        <v>0</v>
      </c>
      <c r="BQ1103" s="34">
        <f t="shared" ca="1" si="875"/>
        <v>78984</v>
      </c>
      <c r="BR1103" s="23">
        <f t="shared" ca="1" si="876"/>
        <v>1057.6840227156149</v>
      </c>
      <c r="BS1103" s="24">
        <f t="shared" ca="1" si="877"/>
        <v>0</v>
      </c>
      <c r="BT1103" s="24">
        <f t="shared" ca="1" si="842"/>
        <v>0</v>
      </c>
      <c r="BU1103" s="24">
        <f t="shared" ca="1" si="878"/>
        <v>0</v>
      </c>
      <c r="BV1103" s="24">
        <f t="shared" ca="1" si="843"/>
        <v>0</v>
      </c>
      <c r="BW1103" s="24">
        <f t="shared" ca="1" si="879"/>
        <v>-16.032989325436638</v>
      </c>
      <c r="BX1103" s="25">
        <f t="shared" ca="1" si="844"/>
        <v>-203.96074424964576</v>
      </c>
      <c r="BY1103" s="23">
        <f t="shared" ca="1" si="851"/>
        <v>29.420109717994695</v>
      </c>
      <c r="BZ1103" s="24">
        <f t="shared" ca="1" si="852"/>
        <v>0</v>
      </c>
      <c r="CA1103" s="24">
        <f t="shared" ca="1" si="845"/>
        <v>0</v>
      </c>
      <c r="CB1103" s="24">
        <f t="shared" ca="1" si="853"/>
        <v>0</v>
      </c>
      <c r="CC1103" s="24">
        <f t="shared" ca="1" si="846"/>
        <v>0</v>
      </c>
      <c r="CD1103" s="24">
        <f t="shared" ca="1" si="854"/>
        <v>-0.44742710749357983</v>
      </c>
      <c r="CE1103" s="25">
        <f t="shared" ca="1" si="847"/>
        <v>-5.7981561333158957</v>
      </c>
      <c r="CF1103" s="23">
        <f t="shared" ca="1" si="848"/>
        <v>9463715.5796499085</v>
      </c>
      <c r="CG1103" s="25">
        <f t="array" aca="1" ref="CG1103" ca="1">SUM(BF1092:BF1103/(1+inflation/100)^(AP1092:AP1103/12))</f>
        <v>267980.53702225391</v>
      </c>
      <c r="CH1103" s="32">
        <f ca="1">IFERROR(IF(MOD(AP1103-ap_months_since_start,12)=0,ap_drawdown/100*(AQ1103+AV1103+BA1103-BC1103),CH1102),0)</f>
        <v>168.97208316503401</v>
      </c>
    </row>
    <row r="1104" spans="40:86" x14ac:dyDescent="0.25">
      <c r="AN1104" s="32">
        <f t="shared" ca="1" si="849"/>
        <v>146.25</v>
      </c>
      <c r="AO1104" s="53">
        <f t="shared" ca="1" si="880"/>
        <v>78985</v>
      </c>
      <c r="AP1104" s="22">
        <v>1097</v>
      </c>
      <c r="AQ1104" s="32">
        <f t="shared" ca="1" si="881"/>
        <v>1057.6840227156149</v>
      </c>
      <c r="AR1104" s="23">
        <f t="array" aca="1" ref="AR1104" ca="1">SUM(IF(lsc_start_date=AO1104,lsc_amount,0))</f>
        <v>0</v>
      </c>
      <c r="AS1104" s="24">
        <f t="shared" ca="1" si="855"/>
        <v>0</v>
      </c>
      <c r="AT1104" s="24">
        <f t="shared" ca="1" si="856"/>
        <v>0</v>
      </c>
      <c r="AU1104" s="24">
        <f t="shared" ca="1" si="857"/>
        <v>0</v>
      </c>
      <c r="AV1104" s="25">
        <f t="shared" ca="1" si="858"/>
        <v>0</v>
      </c>
      <c r="AW1104" s="23">
        <f t="array" aca="1" ref="AW1104" ca="1">SUM(IF(rcs_start_date&lt;=AO1104,1,0)*IF(rcs_end_date&gt;=AO1104,1,0)*rcs_amount*(1+rcs_escalation/100)^(INT((AP1104-rcs_months_since_start)/12))*IF(MOD((AP1104-rcs_months_since_start),rcs_frequency)=0,1,0)*IF(rcs_frequency=13,0,1))+SUM(IF(rcs_start_date=AO1104,rcs_amount,0)*IF(rcs_frequency=13,1,0))</f>
        <v>0</v>
      </c>
      <c r="AX1104" s="24">
        <f t="shared" ca="1" si="859"/>
        <v>0</v>
      </c>
      <c r="AY1104" s="24">
        <f t="shared" ca="1" si="860"/>
        <v>0</v>
      </c>
      <c r="AZ1104" s="24">
        <f t="shared" ca="1" si="861"/>
        <v>0</v>
      </c>
      <c r="BA1104" s="25">
        <f t="shared" ca="1" si="862"/>
        <v>0</v>
      </c>
      <c r="BB1104" s="23">
        <f t="array" aca="1" ref="BB1104" ca="1">SUM(IF(w_start_date&lt;=AO1104,1,0)*IF(w_end_date&gt;=AO1104,1,0)*w_amount*(1+w_escalation/100)^(INT((AP1104-w_months_since_start)/12))*IF(MOD(AP1104-w_months_since_start,w_frequency)=0,1,0)*IF(w_frequency=13,0,1))+SUM(IF(w_start_date=AO1104,w_amount,0)*IF(w_frequency=13,1,0))</f>
        <v>0</v>
      </c>
      <c r="BC1104" s="25">
        <f t="shared" ca="1" si="863"/>
        <v>0</v>
      </c>
      <c r="BD1104" s="24" t="b">
        <f t="shared" ca="1" si="864"/>
        <v>1</v>
      </c>
      <c r="BE1104" s="24" t="b">
        <f t="shared" ca="1" si="865"/>
        <v>1</v>
      </c>
      <c r="BF1104" s="23">
        <f t="array" aca="1" ref="BF1104" ca="1">SUM(IF(BD1104,1,0)*IF(ap_start_date&lt;=AO1104,1,0)*IF(ap_end_date&gt;=AO1104,1,0)*ap_amount*(1+ap_escalation/100)^(INT((AP1104-ap_months_since_start)/12))*IF(MOD(AP1104-ap_months_since_start,ap_frequency)=0,1,0))</f>
        <v>806742.96744556597</v>
      </c>
      <c r="BG1104" s="24">
        <f t="shared" ca="1" si="866"/>
        <v>9680915.6093467921</v>
      </c>
      <c r="BH1104" s="24">
        <f t="shared" ca="1" si="867"/>
        <v>27.485124557891385</v>
      </c>
      <c r="BI1104">
        <f t="shared" ca="1" si="868"/>
        <v>0</v>
      </c>
      <c r="BJ1104" s="24">
        <f t="shared" ca="1" si="869"/>
        <v>192.39587190523969</v>
      </c>
      <c r="BK1104">
        <f t="shared" ca="1" si="870"/>
        <v>1</v>
      </c>
      <c r="BL1104" s="25">
        <f t="shared" ca="1" si="871"/>
        <v>16.032989325436638</v>
      </c>
      <c r="BM1104" s="32">
        <f t="shared" ca="1" si="850"/>
        <v>1049.1585491704093</v>
      </c>
      <c r="BN1104" s="23">
        <f t="shared" ca="1" si="872"/>
        <v>0</v>
      </c>
      <c r="BO1104" s="24">
        <f t="shared" ca="1" si="873"/>
        <v>0</v>
      </c>
      <c r="BP1104" s="25">
        <f t="shared" ca="1" si="874"/>
        <v>0</v>
      </c>
      <c r="BQ1104" s="34">
        <f t="shared" ca="1" si="875"/>
        <v>79014</v>
      </c>
      <c r="BR1104" s="23">
        <f t="shared" ca="1" si="876"/>
        <v>1049.1585491704093</v>
      </c>
      <c r="BS1104" s="24">
        <f t="shared" ca="1" si="877"/>
        <v>0</v>
      </c>
      <c r="BT1104" s="24">
        <f t="shared" ca="1" si="842"/>
        <v>0</v>
      </c>
      <c r="BU1104" s="24">
        <f t="shared" ca="1" si="878"/>
        <v>0</v>
      </c>
      <c r="BV1104" s="24">
        <f t="shared" ca="1" si="843"/>
        <v>0</v>
      </c>
      <c r="BW1104" s="24">
        <f t="shared" ca="1" si="879"/>
        <v>-16.032989325436638</v>
      </c>
      <c r="BX1104" s="25">
        <f t="shared" ca="1" si="844"/>
        <v>-202.30861962901631</v>
      </c>
      <c r="BY1104" s="23">
        <f t="shared" ca="1" si="851"/>
        <v>29.087742903170327</v>
      </c>
      <c r="BZ1104" s="24">
        <f t="shared" ca="1" si="852"/>
        <v>0</v>
      </c>
      <c r="CA1104" s="24">
        <f t="shared" ca="1" si="845"/>
        <v>0</v>
      </c>
      <c r="CB1104" s="24">
        <f t="shared" ca="1" si="853"/>
        <v>0</v>
      </c>
      <c r="CC1104" s="24">
        <f t="shared" ca="1" si="846"/>
        <v>0</v>
      </c>
      <c r="CD1104" s="24">
        <f t="shared" ca="1" si="854"/>
        <v>-0.44596712716781772</v>
      </c>
      <c r="CE1104" s="25">
        <f t="shared" ca="1" si="847"/>
        <v>-5.73252442684913</v>
      </c>
      <c r="CF1104" s="23">
        <f t="shared" ca="1" si="848"/>
        <v>9494744.1553208921</v>
      </c>
      <c r="CG1104" s="25">
        <f t="array" aca="1" ref="CG1104" ca="1">SUM(BF1093:BF1104/(1+inflation/100)^(AP1093:AP1104/12))</f>
        <v>267980.53702225391</v>
      </c>
      <c r="CH1104" s="32">
        <f ca="1">IFERROR(IF(MOD(AP1104-ap_months_since_start,12)=0,ap_drawdown/100*(AQ1104+AV1104+BA1104-BC1104),CH1103),0)</f>
        <v>168.97208316503401</v>
      </c>
    </row>
    <row r="1105" spans="40:86" x14ac:dyDescent="0.25">
      <c r="AN1105" s="32">
        <f t="shared" ca="1" si="849"/>
        <v>146.33333333333334</v>
      </c>
      <c r="AO1105" s="53">
        <f t="shared" ca="1" si="880"/>
        <v>79015</v>
      </c>
      <c r="AP1105" s="22">
        <v>1098</v>
      </c>
      <c r="AQ1105" s="32">
        <f t="shared" ca="1" si="881"/>
        <v>1049.1585491704093</v>
      </c>
      <c r="AR1105" s="23">
        <f t="array" aca="1" ref="AR1105" ca="1">SUM(IF(lsc_start_date=AO1105,lsc_amount,0))</f>
        <v>0</v>
      </c>
      <c r="AS1105" s="24">
        <f t="shared" ca="1" si="855"/>
        <v>0</v>
      </c>
      <c r="AT1105" s="24">
        <f t="shared" ca="1" si="856"/>
        <v>0</v>
      </c>
      <c r="AU1105" s="24">
        <f t="shared" ca="1" si="857"/>
        <v>0</v>
      </c>
      <c r="AV1105" s="25">
        <f t="shared" ca="1" si="858"/>
        <v>0</v>
      </c>
      <c r="AW1105" s="23">
        <f t="array" aca="1" ref="AW1105" ca="1">SUM(IF(rcs_start_date&lt;=AO1105,1,0)*IF(rcs_end_date&gt;=AO1105,1,0)*rcs_amount*(1+rcs_escalation/100)^(INT((AP1105-rcs_months_since_start)/12))*IF(MOD((AP1105-rcs_months_since_start),rcs_frequency)=0,1,0)*IF(rcs_frequency=13,0,1))+SUM(IF(rcs_start_date=AO1105,rcs_amount,0)*IF(rcs_frequency=13,1,0))</f>
        <v>0</v>
      </c>
      <c r="AX1105" s="24">
        <f t="shared" ca="1" si="859"/>
        <v>0</v>
      </c>
      <c r="AY1105" s="24">
        <f t="shared" ca="1" si="860"/>
        <v>0</v>
      </c>
      <c r="AZ1105" s="24">
        <f t="shared" ca="1" si="861"/>
        <v>0</v>
      </c>
      <c r="BA1105" s="25">
        <f t="shared" ca="1" si="862"/>
        <v>0</v>
      </c>
      <c r="BB1105" s="23">
        <f t="array" aca="1" ref="BB1105" ca="1">SUM(IF(w_start_date&lt;=AO1105,1,0)*IF(w_end_date&gt;=AO1105,1,0)*w_amount*(1+w_escalation/100)^(INT((AP1105-w_months_since_start)/12))*IF(MOD(AP1105-w_months_since_start,w_frequency)=0,1,0)*IF(w_frequency=13,0,1))+SUM(IF(w_start_date=AO1105,w_amount,0)*IF(w_frequency=13,1,0))</f>
        <v>0</v>
      </c>
      <c r="BC1105" s="25">
        <f t="shared" ca="1" si="863"/>
        <v>0</v>
      </c>
      <c r="BD1105" s="24" t="b">
        <f t="shared" ca="1" si="864"/>
        <v>1</v>
      </c>
      <c r="BE1105" s="24" t="b">
        <f t="shared" ca="1" si="865"/>
        <v>1</v>
      </c>
      <c r="BF1105" s="23">
        <f t="array" aca="1" ref="BF1105" ca="1">SUM(IF(BD1105,1,0)*IF(ap_start_date&lt;=AO1105,1,0)*IF(ap_end_date&gt;=AO1105,1,0)*ap_amount*(1+ap_escalation/100)^(INT((AP1105-ap_months_since_start)/12))*IF(MOD(AP1105-ap_months_since_start,ap_frequency)=0,1,0))</f>
        <v>806742.96744556597</v>
      </c>
      <c r="BG1105" s="24">
        <f t="shared" ca="1" si="866"/>
        <v>9680915.6093467921</v>
      </c>
      <c r="BH1105" s="24">
        <f t="shared" ca="1" si="867"/>
        <v>27.485124557891385</v>
      </c>
      <c r="BI1105">
        <f t="shared" ca="1" si="868"/>
        <v>0</v>
      </c>
      <c r="BJ1105" s="24">
        <f t="shared" ca="1" si="869"/>
        <v>192.39587190523969</v>
      </c>
      <c r="BK1105">
        <f t="shared" ca="1" si="870"/>
        <v>1</v>
      </c>
      <c r="BL1105" s="25">
        <f t="shared" ca="1" si="871"/>
        <v>16.032989325436638</v>
      </c>
      <c r="BM1105" s="32">
        <f t="shared" ca="1" si="850"/>
        <v>1040.5716297809402</v>
      </c>
      <c r="BN1105" s="23">
        <f t="shared" ca="1" si="872"/>
        <v>0</v>
      </c>
      <c r="BO1105" s="24">
        <f t="shared" ca="1" si="873"/>
        <v>0</v>
      </c>
      <c r="BP1105" s="25">
        <f t="shared" ca="1" si="874"/>
        <v>0</v>
      </c>
      <c r="BQ1105" s="34">
        <f t="shared" ca="1" si="875"/>
        <v>79045</v>
      </c>
      <c r="BR1105" s="23">
        <f t="shared" ca="1" si="876"/>
        <v>1040.5716297809402</v>
      </c>
      <c r="BS1105" s="24">
        <f t="shared" ca="1" si="877"/>
        <v>0</v>
      </c>
      <c r="BT1105" s="24">
        <f t="shared" ca="1" si="842"/>
        <v>0</v>
      </c>
      <c r="BU1105" s="24">
        <f t="shared" ca="1" si="878"/>
        <v>0</v>
      </c>
      <c r="BV1105" s="24">
        <f t="shared" ca="1" si="843"/>
        <v>0</v>
      </c>
      <c r="BW1105" s="24">
        <f t="shared" ca="1" si="879"/>
        <v>-16.032989325436638</v>
      </c>
      <c r="BX1105" s="25">
        <f t="shared" ca="1" si="844"/>
        <v>-200.65649500838686</v>
      </c>
      <c r="BY1105" s="23">
        <f t="shared" ca="1" si="851"/>
        <v>28.755533883675842</v>
      </c>
      <c r="BZ1105" s="24">
        <f t="shared" ca="1" si="852"/>
        <v>0</v>
      </c>
      <c r="CA1105" s="24">
        <f t="shared" ca="1" si="845"/>
        <v>0</v>
      </c>
      <c r="CB1105" s="24">
        <f t="shared" ca="1" si="853"/>
        <v>0</v>
      </c>
      <c r="CC1105" s="24">
        <f t="shared" ca="1" si="846"/>
        <v>0</v>
      </c>
      <c r="CD1105" s="24">
        <f t="shared" ca="1" si="854"/>
        <v>-0.44451191084163411</v>
      </c>
      <c r="CE1105" s="25">
        <f t="shared" ca="1" si="847"/>
        <v>-5.6671068804066076</v>
      </c>
      <c r="CF1105" s="23">
        <f t="shared" ca="1" si="848"/>
        <v>9525772.7309918758</v>
      </c>
      <c r="CG1105" s="25">
        <f t="array" aca="1" ref="CG1105" ca="1">SUM(BF1094:BF1105/(1+inflation/100)^(AP1094:AP1105/12))</f>
        <v>267980.53702225396</v>
      </c>
      <c r="CH1105" s="32">
        <f ca="1">IFERROR(IF(MOD(AP1105-ap_months_since_start,12)=0,ap_drawdown/100*(AQ1105+AV1105+BA1105-BC1105),CH1104),0)</f>
        <v>168.97208316503401</v>
      </c>
    </row>
    <row r="1106" spans="40:86" x14ac:dyDescent="0.25">
      <c r="AN1106" s="32">
        <f t="shared" ca="1" si="849"/>
        <v>146.41666666666666</v>
      </c>
      <c r="AO1106" s="53">
        <f t="shared" ca="1" si="880"/>
        <v>79046</v>
      </c>
      <c r="AP1106" s="22">
        <v>1099</v>
      </c>
      <c r="AQ1106" s="32">
        <f t="shared" ca="1" si="881"/>
        <v>1040.5716297809402</v>
      </c>
      <c r="AR1106" s="23">
        <f t="array" aca="1" ref="AR1106" ca="1">SUM(IF(lsc_start_date=AO1106,lsc_amount,0))</f>
        <v>0</v>
      </c>
      <c r="AS1106" s="24">
        <f t="shared" ca="1" si="855"/>
        <v>0</v>
      </c>
      <c r="AT1106" s="24">
        <f t="shared" ca="1" si="856"/>
        <v>0</v>
      </c>
      <c r="AU1106" s="24">
        <f t="shared" ca="1" si="857"/>
        <v>0</v>
      </c>
      <c r="AV1106" s="25">
        <f t="shared" ca="1" si="858"/>
        <v>0</v>
      </c>
      <c r="AW1106" s="23">
        <f t="array" aca="1" ref="AW1106" ca="1">SUM(IF(rcs_start_date&lt;=AO1106,1,0)*IF(rcs_end_date&gt;=AO1106,1,0)*rcs_amount*(1+rcs_escalation/100)^(INT((AP1106-rcs_months_since_start)/12))*IF(MOD((AP1106-rcs_months_since_start),rcs_frequency)=0,1,0)*IF(rcs_frequency=13,0,1))+SUM(IF(rcs_start_date=AO1106,rcs_amount,0)*IF(rcs_frequency=13,1,0))</f>
        <v>0</v>
      </c>
      <c r="AX1106" s="24">
        <f t="shared" ca="1" si="859"/>
        <v>0</v>
      </c>
      <c r="AY1106" s="24">
        <f t="shared" ca="1" si="860"/>
        <v>0</v>
      </c>
      <c r="AZ1106" s="24">
        <f t="shared" ca="1" si="861"/>
        <v>0</v>
      </c>
      <c r="BA1106" s="25">
        <f t="shared" ca="1" si="862"/>
        <v>0</v>
      </c>
      <c r="BB1106" s="23">
        <f t="array" aca="1" ref="BB1106" ca="1">SUM(IF(w_start_date&lt;=AO1106,1,0)*IF(w_end_date&gt;=AO1106,1,0)*w_amount*(1+w_escalation/100)^(INT((AP1106-w_months_since_start)/12))*IF(MOD(AP1106-w_months_since_start,w_frequency)=0,1,0)*IF(w_frequency=13,0,1))+SUM(IF(w_start_date=AO1106,w_amount,0)*IF(w_frequency=13,1,0))</f>
        <v>0</v>
      </c>
      <c r="BC1106" s="25">
        <f t="shared" ca="1" si="863"/>
        <v>0</v>
      </c>
      <c r="BD1106" s="24" t="b">
        <f t="shared" ca="1" si="864"/>
        <v>1</v>
      </c>
      <c r="BE1106" s="24" t="b">
        <f t="shared" ca="1" si="865"/>
        <v>1</v>
      </c>
      <c r="BF1106" s="23">
        <f t="array" aca="1" ref="BF1106" ca="1">SUM(IF(BD1106,1,0)*IF(ap_start_date&lt;=AO1106,1,0)*IF(ap_end_date&gt;=AO1106,1,0)*ap_amount*(1+ap_escalation/100)^(INT((AP1106-ap_months_since_start)/12))*IF(MOD(AP1106-ap_months_since_start,ap_frequency)=0,1,0))</f>
        <v>806742.96744556597</v>
      </c>
      <c r="BG1106" s="24">
        <f t="shared" ca="1" si="866"/>
        <v>9680915.6093467921</v>
      </c>
      <c r="BH1106" s="24">
        <f t="shared" ca="1" si="867"/>
        <v>27.485124557891385</v>
      </c>
      <c r="BI1106">
        <f t="shared" ca="1" si="868"/>
        <v>0</v>
      </c>
      <c r="BJ1106" s="24">
        <f t="shared" ca="1" si="869"/>
        <v>192.39587190523969</v>
      </c>
      <c r="BK1106">
        <f t="shared" ca="1" si="870"/>
        <v>1</v>
      </c>
      <c r="BL1106" s="25">
        <f t="shared" ca="1" si="871"/>
        <v>16.032989325436638</v>
      </c>
      <c r="BM1106" s="32">
        <f t="shared" ca="1" si="850"/>
        <v>1031.9228216871415</v>
      </c>
      <c r="BN1106" s="23">
        <f t="shared" ca="1" si="872"/>
        <v>0</v>
      </c>
      <c r="BO1106" s="24">
        <f t="shared" ca="1" si="873"/>
        <v>0</v>
      </c>
      <c r="BP1106" s="25">
        <f t="shared" ca="1" si="874"/>
        <v>0</v>
      </c>
      <c r="BQ1106" s="34">
        <f t="shared" ca="1" si="875"/>
        <v>79075</v>
      </c>
      <c r="BR1106" s="23">
        <f t="shared" ca="1" si="876"/>
        <v>1031.9228216871415</v>
      </c>
      <c r="BS1106" s="24">
        <f t="shared" ca="1" si="877"/>
        <v>0</v>
      </c>
      <c r="BT1106" s="24">
        <f t="shared" ca="1" si="842"/>
        <v>0</v>
      </c>
      <c r="BU1106" s="24">
        <f t="shared" ca="1" si="878"/>
        <v>0</v>
      </c>
      <c r="BV1106" s="24">
        <f t="shared" ca="1" si="843"/>
        <v>0</v>
      </c>
      <c r="BW1106" s="24">
        <f t="shared" ca="1" si="879"/>
        <v>-16.032989325436638</v>
      </c>
      <c r="BX1106" s="25">
        <f t="shared" ca="1" si="844"/>
        <v>-199.0043703877574</v>
      </c>
      <c r="BY1106" s="23">
        <f t="shared" ca="1" si="851"/>
        <v>28.423478511115089</v>
      </c>
      <c r="BZ1106" s="24">
        <f t="shared" ca="1" si="852"/>
        <v>0</v>
      </c>
      <c r="CA1106" s="24">
        <f t="shared" ca="1" si="845"/>
        <v>0</v>
      </c>
      <c r="CB1106" s="24">
        <f t="shared" ca="1" si="853"/>
        <v>0</v>
      </c>
      <c r="CC1106" s="24">
        <f t="shared" ca="1" si="846"/>
        <v>0</v>
      </c>
      <c r="CD1106" s="24">
        <f t="shared" ca="1" si="854"/>
        <v>-0.44306144296982541</v>
      </c>
      <c r="CE1106" s="25">
        <f t="shared" ca="1" si="847"/>
        <v>-5.6019027951718794</v>
      </c>
      <c r="CF1106" s="23">
        <f t="shared" ca="1" si="848"/>
        <v>9556801.3066628575</v>
      </c>
      <c r="CG1106" s="25">
        <f t="array" aca="1" ref="CG1106" ca="1">SUM(BF1095:BF1106/(1+inflation/100)^(AP1095:AP1106/12))</f>
        <v>267980.53702225396</v>
      </c>
      <c r="CH1106" s="32">
        <f ca="1">IFERROR(IF(MOD(AP1106-ap_months_since_start,12)=0,ap_drawdown/100*(AQ1106+AV1106+BA1106-BC1106),CH1105),0)</f>
        <v>168.97208316503401</v>
      </c>
    </row>
    <row r="1107" spans="40:86" x14ac:dyDescent="0.25">
      <c r="AN1107" s="32">
        <f t="shared" ca="1" si="849"/>
        <v>146.5</v>
      </c>
      <c r="AO1107" s="53">
        <f t="shared" ca="1" si="880"/>
        <v>79076</v>
      </c>
      <c r="AP1107" s="22">
        <v>1100</v>
      </c>
      <c r="AQ1107" s="32">
        <f t="shared" ca="1" si="881"/>
        <v>1031.9228216871415</v>
      </c>
      <c r="AR1107" s="23">
        <f t="array" aca="1" ref="AR1107" ca="1">SUM(IF(lsc_start_date=AO1107,lsc_amount,0))</f>
        <v>0</v>
      </c>
      <c r="AS1107" s="24">
        <f t="shared" ca="1" si="855"/>
        <v>0</v>
      </c>
      <c r="AT1107" s="24">
        <f t="shared" ca="1" si="856"/>
        <v>0</v>
      </c>
      <c r="AU1107" s="24">
        <f t="shared" ca="1" si="857"/>
        <v>0</v>
      </c>
      <c r="AV1107" s="25">
        <f t="shared" ca="1" si="858"/>
        <v>0</v>
      </c>
      <c r="AW1107" s="23">
        <f t="array" aca="1" ref="AW1107" ca="1">SUM(IF(rcs_start_date&lt;=AO1107,1,0)*IF(rcs_end_date&gt;=AO1107,1,0)*rcs_amount*(1+rcs_escalation/100)^(INT((AP1107-rcs_months_since_start)/12))*IF(MOD((AP1107-rcs_months_since_start),rcs_frequency)=0,1,0)*IF(rcs_frequency=13,0,1))+SUM(IF(rcs_start_date=AO1107,rcs_amount,0)*IF(rcs_frequency=13,1,0))</f>
        <v>0</v>
      </c>
      <c r="AX1107" s="24">
        <f t="shared" ca="1" si="859"/>
        <v>0</v>
      </c>
      <c r="AY1107" s="24">
        <f t="shared" ca="1" si="860"/>
        <v>0</v>
      </c>
      <c r="AZ1107" s="24">
        <f t="shared" ca="1" si="861"/>
        <v>0</v>
      </c>
      <c r="BA1107" s="25">
        <f t="shared" ca="1" si="862"/>
        <v>0</v>
      </c>
      <c r="BB1107" s="23">
        <f t="array" aca="1" ref="BB1107" ca="1">SUM(IF(w_start_date&lt;=AO1107,1,0)*IF(w_end_date&gt;=AO1107,1,0)*w_amount*(1+w_escalation/100)^(INT((AP1107-w_months_since_start)/12))*IF(MOD(AP1107-w_months_since_start,w_frequency)=0,1,0)*IF(w_frequency=13,0,1))+SUM(IF(w_start_date=AO1107,w_amount,0)*IF(w_frequency=13,1,0))</f>
        <v>0</v>
      </c>
      <c r="BC1107" s="25">
        <f t="shared" ca="1" si="863"/>
        <v>0</v>
      </c>
      <c r="BD1107" s="24" t="b">
        <f t="shared" ca="1" si="864"/>
        <v>1</v>
      </c>
      <c r="BE1107" s="24" t="b">
        <f t="shared" ca="1" si="865"/>
        <v>1</v>
      </c>
      <c r="BF1107" s="23">
        <f t="array" aca="1" ref="BF1107" ca="1">SUM(IF(BD1107,1,0)*IF(ap_start_date&lt;=AO1107,1,0)*IF(ap_end_date&gt;=AO1107,1,0)*ap_amount*(1+ap_escalation/100)^(INT((AP1107-ap_months_since_start)/12))*IF(MOD(AP1107-ap_months_since_start,ap_frequency)=0,1,0))</f>
        <v>806742.96744556597</v>
      </c>
      <c r="BG1107" s="24">
        <f t="shared" ca="1" si="866"/>
        <v>9680915.6093467921</v>
      </c>
      <c r="BH1107" s="24">
        <f t="shared" ca="1" si="867"/>
        <v>27.485124557891385</v>
      </c>
      <c r="BI1107">
        <f t="shared" ca="1" si="868"/>
        <v>0</v>
      </c>
      <c r="BJ1107" s="24">
        <f t="shared" ca="1" si="869"/>
        <v>192.39587190523969</v>
      </c>
      <c r="BK1107">
        <f t="shared" ca="1" si="870"/>
        <v>1</v>
      </c>
      <c r="BL1107" s="25">
        <f t="shared" ca="1" si="871"/>
        <v>16.032989325436638</v>
      </c>
      <c r="BM1107" s="32">
        <f t="shared" ca="1" si="850"/>
        <v>1023.2116788371115</v>
      </c>
      <c r="BN1107" s="23">
        <f t="shared" ca="1" si="872"/>
        <v>0</v>
      </c>
      <c r="BO1107" s="24">
        <f t="shared" ca="1" si="873"/>
        <v>0</v>
      </c>
      <c r="BP1107" s="25">
        <f t="shared" ca="1" si="874"/>
        <v>0</v>
      </c>
      <c r="BQ1107" s="34">
        <f t="shared" ca="1" si="875"/>
        <v>79106</v>
      </c>
      <c r="BR1107" s="23">
        <f t="shared" ca="1" si="876"/>
        <v>1023.2116788371115</v>
      </c>
      <c r="BS1107" s="24">
        <f t="shared" ca="1" si="877"/>
        <v>0</v>
      </c>
      <c r="BT1107" s="24">
        <f t="shared" ca="1" si="842"/>
        <v>0</v>
      </c>
      <c r="BU1107" s="24">
        <f t="shared" ca="1" si="878"/>
        <v>0</v>
      </c>
      <c r="BV1107" s="24">
        <f t="shared" ca="1" si="843"/>
        <v>0</v>
      </c>
      <c r="BW1107" s="24">
        <f t="shared" ca="1" si="879"/>
        <v>-16.032989325436638</v>
      </c>
      <c r="BX1107" s="25">
        <f t="shared" ca="1" si="844"/>
        <v>-197.35224576712795</v>
      </c>
      <c r="BY1107" s="23">
        <f t="shared" ca="1" si="851"/>
        <v>28.091572636382327</v>
      </c>
      <c r="BZ1107" s="24">
        <f t="shared" ca="1" si="852"/>
        <v>0</v>
      </c>
      <c r="CA1107" s="24">
        <f t="shared" ca="1" si="845"/>
        <v>0</v>
      </c>
      <c r="CB1107" s="24">
        <f t="shared" ca="1" si="853"/>
        <v>0</v>
      </c>
      <c r="CC1107" s="24">
        <f t="shared" ca="1" si="846"/>
        <v>0</v>
      </c>
      <c r="CD1107" s="24">
        <f t="shared" ca="1" si="854"/>
        <v>-0.44161570805791239</v>
      </c>
      <c r="CE1107" s="25">
        <f t="shared" ca="1" si="847"/>
        <v>-5.5369114746087771</v>
      </c>
      <c r="CF1107" s="23">
        <f t="shared" ca="1" si="848"/>
        <v>9587829.8823338412</v>
      </c>
      <c r="CG1107" s="25">
        <f t="array" aca="1" ref="CG1107" ca="1">SUM(BF1096:BF1107/(1+inflation/100)^(AP1096:AP1107/12))</f>
        <v>267980.53702225396</v>
      </c>
      <c r="CH1107" s="32">
        <f ca="1">IFERROR(IF(MOD(AP1107-ap_months_since_start,12)=0,ap_drawdown/100*(AQ1107+AV1107+BA1107-BC1107),CH1106),0)</f>
        <v>168.97208316503401</v>
      </c>
    </row>
    <row r="1108" spans="40:86" x14ac:dyDescent="0.25">
      <c r="AN1108" s="32">
        <f t="shared" ca="1" si="849"/>
        <v>146.58333333333334</v>
      </c>
      <c r="AO1108" s="53">
        <f t="shared" ca="1" si="880"/>
        <v>79107</v>
      </c>
      <c r="AP1108" s="22">
        <v>1101</v>
      </c>
      <c r="AQ1108" s="32">
        <f t="shared" ca="1" si="881"/>
        <v>1023.2116788371115</v>
      </c>
      <c r="AR1108" s="23">
        <f t="array" aca="1" ref="AR1108" ca="1">SUM(IF(lsc_start_date=AO1108,lsc_amount,0))</f>
        <v>0</v>
      </c>
      <c r="AS1108" s="24">
        <f t="shared" ca="1" si="855"/>
        <v>0</v>
      </c>
      <c r="AT1108" s="24">
        <f t="shared" ca="1" si="856"/>
        <v>0</v>
      </c>
      <c r="AU1108" s="24">
        <f t="shared" ca="1" si="857"/>
        <v>0</v>
      </c>
      <c r="AV1108" s="25">
        <f t="shared" ca="1" si="858"/>
        <v>0</v>
      </c>
      <c r="AW1108" s="23">
        <f t="array" aca="1" ref="AW1108" ca="1">SUM(IF(rcs_start_date&lt;=AO1108,1,0)*IF(rcs_end_date&gt;=AO1108,1,0)*rcs_amount*(1+rcs_escalation/100)^(INT((AP1108-rcs_months_since_start)/12))*IF(MOD((AP1108-rcs_months_since_start),rcs_frequency)=0,1,0)*IF(rcs_frequency=13,0,1))+SUM(IF(rcs_start_date=AO1108,rcs_amount,0)*IF(rcs_frequency=13,1,0))</f>
        <v>0</v>
      </c>
      <c r="AX1108" s="24">
        <f t="shared" ca="1" si="859"/>
        <v>0</v>
      </c>
      <c r="AY1108" s="24">
        <f t="shared" ca="1" si="860"/>
        <v>0</v>
      </c>
      <c r="AZ1108" s="24">
        <f t="shared" ca="1" si="861"/>
        <v>0</v>
      </c>
      <c r="BA1108" s="25">
        <f t="shared" ca="1" si="862"/>
        <v>0</v>
      </c>
      <c r="BB1108" s="23">
        <f t="array" aca="1" ref="BB1108" ca="1">SUM(IF(w_start_date&lt;=AO1108,1,0)*IF(w_end_date&gt;=AO1108,1,0)*w_amount*(1+w_escalation/100)^(INT((AP1108-w_months_since_start)/12))*IF(MOD(AP1108-w_months_since_start,w_frequency)=0,1,0)*IF(w_frequency=13,0,1))+SUM(IF(w_start_date=AO1108,w_amount,0)*IF(w_frequency=13,1,0))</f>
        <v>0</v>
      </c>
      <c r="BC1108" s="25">
        <f t="shared" ca="1" si="863"/>
        <v>0</v>
      </c>
      <c r="BD1108" s="24" t="b">
        <f t="shared" ca="1" si="864"/>
        <v>1</v>
      </c>
      <c r="BE1108" s="24" t="b">
        <f t="shared" ca="1" si="865"/>
        <v>1</v>
      </c>
      <c r="BF1108" s="23">
        <f t="array" aca="1" ref="BF1108" ca="1">SUM(IF(BD1108,1,0)*IF(ap_start_date&lt;=AO1108,1,0)*IF(ap_end_date&gt;=AO1108,1,0)*ap_amount*(1+ap_escalation/100)^(INT((AP1108-ap_months_since_start)/12))*IF(MOD(AP1108-ap_months_since_start,ap_frequency)=0,1,0))</f>
        <v>806742.96744556597</v>
      </c>
      <c r="BG1108" s="24">
        <f t="shared" ca="1" si="866"/>
        <v>9680915.6093467921</v>
      </c>
      <c r="BH1108" s="24">
        <f t="shared" ca="1" si="867"/>
        <v>27.485124557891385</v>
      </c>
      <c r="BI1108">
        <f t="shared" ca="1" si="868"/>
        <v>0</v>
      </c>
      <c r="BJ1108" s="24">
        <f t="shared" ca="1" si="869"/>
        <v>192.39587190523969</v>
      </c>
      <c r="BK1108">
        <f t="shared" ca="1" si="870"/>
        <v>1</v>
      </c>
      <c r="BL1108" s="25">
        <f t="shared" ca="1" si="871"/>
        <v>16.032989325436638</v>
      </c>
      <c r="BM1108" s="32">
        <f t="shared" ca="1" si="850"/>
        <v>1014.4377519641084</v>
      </c>
      <c r="BN1108" s="23">
        <f t="shared" ca="1" si="872"/>
        <v>0</v>
      </c>
      <c r="BO1108" s="24">
        <f t="shared" ca="1" si="873"/>
        <v>0</v>
      </c>
      <c r="BP1108" s="25">
        <f t="shared" ca="1" si="874"/>
        <v>0</v>
      </c>
      <c r="BQ1108" s="34">
        <f t="shared" ca="1" si="875"/>
        <v>79137</v>
      </c>
      <c r="BR1108" s="23">
        <f t="shared" ca="1" si="876"/>
        <v>1014.4377519641084</v>
      </c>
      <c r="BS1108" s="24">
        <f t="shared" ca="1" si="877"/>
        <v>0</v>
      </c>
      <c r="BT1108" s="24">
        <f t="shared" ref="BT1108:BT1171" ca="1" si="882">SUM(BS1097:BS1108)</f>
        <v>0</v>
      </c>
      <c r="BU1108" s="24">
        <f t="shared" ca="1" si="878"/>
        <v>0</v>
      </c>
      <c r="BV1108" s="24">
        <f t="shared" ref="BV1108:BV1171" ca="1" si="883">SUM(BU1097:BU1108)</f>
        <v>0</v>
      </c>
      <c r="BW1108" s="24">
        <f t="shared" ca="1" si="879"/>
        <v>-16.032989325436638</v>
      </c>
      <c r="BX1108" s="25">
        <f t="shared" ref="BX1108:BX1171" ca="1" si="884">SUM(BW1097:BW1108)</f>
        <v>-195.7001211464985</v>
      </c>
      <c r="BY1108" s="23">
        <f t="shared" ca="1" si="851"/>
        <v>27.759812109608735</v>
      </c>
      <c r="BZ1108" s="24">
        <f t="shared" ca="1" si="852"/>
        <v>0</v>
      </c>
      <c r="CA1108" s="24">
        <f t="shared" ref="CA1108:CA1171" ca="1" si="885">SUM(BZ1097:BZ1108)</f>
        <v>0</v>
      </c>
      <c r="CB1108" s="24">
        <f t="shared" ca="1" si="853"/>
        <v>0</v>
      </c>
      <c r="CC1108" s="24">
        <f t="shared" ref="CC1108:CC1171" ca="1" si="886">SUM(CB1097:CB1108)</f>
        <v>0</v>
      </c>
      <c r="CD1108" s="24">
        <f t="shared" ca="1" si="854"/>
        <v>-0.44017469066197512</v>
      </c>
      <c r="CE1108" s="25">
        <f t="shared" ref="CE1108:CE1171" ca="1" si="887">SUM(CD1097:CD1108)</f>
        <v>-5.4721322244539667</v>
      </c>
      <c r="CF1108" s="23">
        <f t="shared" ref="CF1108:CF1171" ca="1" si="888">SUM(BF1097:BF1108)</f>
        <v>9618858.4580048248</v>
      </c>
      <c r="CG1108" s="25">
        <f t="array" aca="1" ref="CG1108" ca="1">SUM(BF1097:BF1108/(1+inflation/100)^(AP1097:AP1108/12))</f>
        <v>267980.53702225396</v>
      </c>
      <c r="CH1108" s="32">
        <f ca="1">IFERROR(IF(MOD(AP1108-ap_months_since_start,12)=0,ap_drawdown/100*(AQ1108+AV1108+BA1108-BC1108),CH1107),0)</f>
        <v>168.97208316503401</v>
      </c>
    </row>
    <row r="1109" spans="40:86" x14ac:dyDescent="0.25">
      <c r="AN1109" s="32">
        <f t="shared" ca="1" si="849"/>
        <v>146.66666666666666</v>
      </c>
      <c r="AO1109" s="53">
        <f t="shared" ca="1" si="880"/>
        <v>79138</v>
      </c>
      <c r="AP1109" s="22">
        <v>1102</v>
      </c>
      <c r="AQ1109" s="32">
        <f t="shared" ca="1" si="881"/>
        <v>1014.4377519641084</v>
      </c>
      <c r="AR1109" s="23">
        <f t="array" aca="1" ref="AR1109" ca="1">SUM(IF(lsc_start_date=AO1109,lsc_amount,0))</f>
        <v>0</v>
      </c>
      <c r="AS1109" s="24">
        <f t="shared" ca="1" si="855"/>
        <v>0</v>
      </c>
      <c r="AT1109" s="24">
        <f t="shared" ca="1" si="856"/>
        <v>0</v>
      </c>
      <c r="AU1109" s="24">
        <f t="shared" ca="1" si="857"/>
        <v>0</v>
      </c>
      <c r="AV1109" s="25">
        <f t="shared" ca="1" si="858"/>
        <v>0</v>
      </c>
      <c r="AW1109" s="23">
        <f t="array" aca="1" ref="AW1109" ca="1">SUM(IF(rcs_start_date&lt;=AO1109,1,0)*IF(rcs_end_date&gt;=AO1109,1,0)*rcs_amount*(1+rcs_escalation/100)^(INT((AP1109-rcs_months_since_start)/12))*IF(MOD((AP1109-rcs_months_since_start),rcs_frequency)=0,1,0)*IF(rcs_frequency=13,0,1))+SUM(IF(rcs_start_date=AO1109,rcs_amount,0)*IF(rcs_frequency=13,1,0))</f>
        <v>0</v>
      </c>
      <c r="AX1109" s="24">
        <f t="shared" ca="1" si="859"/>
        <v>0</v>
      </c>
      <c r="AY1109" s="24">
        <f t="shared" ca="1" si="860"/>
        <v>0</v>
      </c>
      <c r="AZ1109" s="24">
        <f t="shared" ca="1" si="861"/>
        <v>0</v>
      </c>
      <c r="BA1109" s="25">
        <f t="shared" ca="1" si="862"/>
        <v>0</v>
      </c>
      <c r="BB1109" s="23">
        <f t="array" aca="1" ref="BB1109" ca="1">SUM(IF(w_start_date&lt;=AO1109,1,0)*IF(w_end_date&gt;=AO1109,1,0)*w_amount*(1+w_escalation/100)^(INT((AP1109-w_months_since_start)/12))*IF(MOD(AP1109-w_months_since_start,w_frequency)=0,1,0)*IF(w_frequency=13,0,1))+SUM(IF(w_start_date=AO1109,w_amount,0)*IF(w_frequency=13,1,0))</f>
        <v>0</v>
      </c>
      <c r="BC1109" s="25">
        <f t="shared" ca="1" si="863"/>
        <v>0</v>
      </c>
      <c r="BD1109" s="24" t="b">
        <f t="shared" ca="1" si="864"/>
        <v>1</v>
      </c>
      <c r="BE1109" s="24" t="b">
        <f t="shared" ca="1" si="865"/>
        <v>1</v>
      </c>
      <c r="BF1109" s="23">
        <f t="array" aca="1" ref="BF1109" ca="1">SUM(IF(BD1109,1,0)*IF(ap_start_date&lt;=AO1109,1,0)*IF(ap_end_date&gt;=AO1109,1,0)*ap_amount*(1+ap_escalation/100)^(INT((AP1109-ap_months_since_start)/12))*IF(MOD(AP1109-ap_months_since_start,ap_frequency)=0,1,0))</f>
        <v>806742.96744556597</v>
      </c>
      <c r="BG1109" s="24">
        <f t="shared" ca="1" si="866"/>
        <v>9680915.6093467921</v>
      </c>
      <c r="BH1109" s="24">
        <f t="shared" ca="1" si="867"/>
        <v>27.485124557891385</v>
      </c>
      <c r="BI1109">
        <f t="shared" ca="1" si="868"/>
        <v>0</v>
      </c>
      <c r="BJ1109" s="24">
        <f t="shared" ca="1" si="869"/>
        <v>192.39587190523969</v>
      </c>
      <c r="BK1109">
        <f t="shared" ca="1" si="870"/>
        <v>1</v>
      </c>
      <c r="BL1109" s="25">
        <f t="shared" ca="1" si="871"/>
        <v>16.032989325436638</v>
      </c>
      <c r="BM1109" s="32">
        <f t="shared" ca="1" si="850"/>
        <v>1005.6005885633793</v>
      </c>
      <c r="BN1109" s="23">
        <f t="shared" ca="1" si="872"/>
        <v>0</v>
      </c>
      <c r="BO1109" s="24">
        <f t="shared" ca="1" si="873"/>
        <v>0</v>
      </c>
      <c r="BP1109" s="25">
        <f t="shared" ca="1" si="874"/>
        <v>0</v>
      </c>
      <c r="BQ1109" s="34">
        <f t="shared" ca="1" si="875"/>
        <v>79167</v>
      </c>
      <c r="BR1109" s="23">
        <f t="shared" ca="1" si="876"/>
        <v>1005.6005885633793</v>
      </c>
      <c r="BS1109" s="24">
        <f t="shared" ca="1" si="877"/>
        <v>0</v>
      </c>
      <c r="BT1109" s="24">
        <f t="shared" ca="1" si="882"/>
        <v>0</v>
      </c>
      <c r="BU1109" s="24">
        <f t="shared" ca="1" si="878"/>
        <v>0</v>
      </c>
      <c r="BV1109" s="24">
        <f t="shared" ca="1" si="883"/>
        <v>0</v>
      </c>
      <c r="BW1109" s="24">
        <f t="shared" ca="1" si="879"/>
        <v>-16.032989325436638</v>
      </c>
      <c r="BX1109" s="25">
        <f t="shared" ca="1" si="884"/>
        <v>-194.04799652586905</v>
      </c>
      <c r="BY1109" s="23">
        <f t="shared" ca="1" si="851"/>
        <v>27.428192780108724</v>
      </c>
      <c r="BZ1109" s="24">
        <f t="shared" ca="1" si="852"/>
        <v>0</v>
      </c>
      <c r="CA1109" s="24">
        <f t="shared" ca="1" si="885"/>
        <v>0</v>
      </c>
      <c r="CB1109" s="24">
        <f t="shared" ca="1" si="853"/>
        <v>0</v>
      </c>
      <c r="CC1109" s="24">
        <f t="shared" ca="1" si="886"/>
        <v>0</v>
      </c>
      <c r="CD1109" s="24">
        <f t="shared" ca="1" si="854"/>
        <v>-0.43873837538848864</v>
      </c>
      <c r="CE1109" s="25">
        <f t="shared" ca="1" si="887"/>
        <v>-5.4075643527095387</v>
      </c>
      <c r="CF1109" s="23">
        <f t="shared" ca="1" si="888"/>
        <v>9649887.0336758085</v>
      </c>
      <c r="CG1109" s="25">
        <f t="array" aca="1" ref="CG1109" ca="1">SUM(BF1098:BF1109/(1+inflation/100)^(AP1098:AP1109/12))</f>
        <v>267980.53702225396</v>
      </c>
      <c r="CH1109" s="32">
        <f ca="1">IFERROR(IF(MOD(AP1109-ap_months_since_start,12)=0,ap_drawdown/100*(AQ1109+AV1109+BA1109-BC1109),CH1108),0)</f>
        <v>168.97208316503401</v>
      </c>
    </row>
    <row r="1110" spans="40:86" x14ac:dyDescent="0.25">
      <c r="AN1110" s="32">
        <f t="shared" ca="1" si="849"/>
        <v>146.75</v>
      </c>
      <c r="AO1110" s="53">
        <f t="shared" ca="1" si="880"/>
        <v>79168</v>
      </c>
      <c r="AP1110" s="22">
        <v>1103</v>
      </c>
      <c r="AQ1110" s="32">
        <f t="shared" ca="1" si="881"/>
        <v>1005.6005885633793</v>
      </c>
      <c r="AR1110" s="23">
        <f t="array" aca="1" ref="AR1110" ca="1">SUM(IF(lsc_start_date=AO1110,lsc_amount,0))</f>
        <v>0</v>
      </c>
      <c r="AS1110" s="24">
        <f t="shared" ca="1" si="855"/>
        <v>0</v>
      </c>
      <c r="AT1110" s="24">
        <f t="shared" ca="1" si="856"/>
        <v>0</v>
      </c>
      <c r="AU1110" s="24">
        <f t="shared" ca="1" si="857"/>
        <v>0</v>
      </c>
      <c r="AV1110" s="25">
        <f t="shared" ca="1" si="858"/>
        <v>0</v>
      </c>
      <c r="AW1110" s="23">
        <f t="array" aca="1" ref="AW1110" ca="1">SUM(IF(rcs_start_date&lt;=AO1110,1,0)*IF(rcs_end_date&gt;=AO1110,1,0)*rcs_amount*(1+rcs_escalation/100)^(INT((AP1110-rcs_months_since_start)/12))*IF(MOD((AP1110-rcs_months_since_start),rcs_frequency)=0,1,0)*IF(rcs_frequency=13,0,1))+SUM(IF(rcs_start_date=AO1110,rcs_amount,0)*IF(rcs_frequency=13,1,0))</f>
        <v>0</v>
      </c>
      <c r="AX1110" s="24">
        <f t="shared" ca="1" si="859"/>
        <v>0</v>
      </c>
      <c r="AY1110" s="24">
        <f t="shared" ca="1" si="860"/>
        <v>0</v>
      </c>
      <c r="AZ1110" s="24">
        <f t="shared" ca="1" si="861"/>
        <v>0</v>
      </c>
      <c r="BA1110" s="25">
        <f t="shared" ca="1" si="862"/>
        <v>0</v>
      </c>
      <c r="BB1110" s="23">
        <f t="array" aca="1" ref="BB1110" ca="1">SUM(IF(w_start_date&lt;=AO1110,1,0)*IF(w_end_date&gt;=AO1110,1,0)*w_amount*(1+w_escalation/100)^(INT((AP1110-w_months_since_start)/12))*IF(MOD(AP1110-w_months_since_start,w_frequency)=0,1,0)*IF(w_frequency=13,0,1))+SUM(IF(w_start_date=AO1110,w_amount,0)*IF(w_frequency=13,1,0))</f>
        <v>0</v>
      </c>
      <c r="BC1110" s="25">
        <f t="shared" ca="1" si="863"/>
        <v>0</v>
      </c>
      <c r="BD1110" s="24" t="b">
        <f t="shared" ca="1" si="864"/>
        <v>1</v>
      </c>
      <c r="BE1110" s="24" t="b">
        <f t="shared" ca="1" si="865"/>
        <v>1</v>
      </c>
      <c r="BF1110" s="23">
        <f t="array" aca="1" ref="BF1110" ca="1">SUM(IF(BD1110,1,0)*IF(ap_start_date&lt;=AO1110,1,0)*IF(ap_end_date&gt;=AO1110,1,0)*ap_amount*(1+ap_escalation/100)^(INT((AP1110-ap_months_since_start)/12))*IF(MOD(AP1110-ap_months_since_start,ap_frequency)=0,1,0))</f>
        <v>806742.96744556597</v>
      </c>
      <c r="BG1110" s="24">
        <f t="shared" ca="1" si="866"/>
        <v>9680915.6093467921</v>
      </c>
      <c r="BH1110" s="24">
        <f t="shared" ca="1" si="867"/>
        <v>27.485124557891385</v>
      </c>
      <c r="BI1110">
        <f t="shared" ca="1" si="868"/>
        <v>0</v>
      </c>
      <c r="BJ1110" s="24">
        <f t="shared" ca="1" si="869"/>
        <v>192.39587190523969</v>
      </c>
      <c r="BK1110">
        <f t="shared" ca="1" si="870"/>
        <v>1</v>
      </c>
      <c r="BL1110" s="25">
        <f t="shared" ca="1" si="871"/>
        <v>16.032989325436638</v>
      </c>
      <c r="BM1110" s="32">
        <f t="shared" ca="1" si="850"/>
        <v>996.69973286882373</v>
      </c>
      <c r="BN1110" s="23">
        <f t="shared" ca="1" si="872"/>
        <v>0</v>
      </c>
      <c r="BO1110" s="24">
        <f t="shared" ca="1" si="873"/>
        <v>0</v>
      </c>
      <c r="BP1110" s="25">
        <f t="shared" ca="1" si="874"/>
        <v>0</v>
      </c>
      <c r="BQ1110" s="34">
        <f t="shared" ca="1" si="875"/>
        <v>79198</v>
      </c>
      <c r="BR1110" s="23">
        <f t="shared" ca="1" si="876"/>
        <v>996.69973286882373</v>
      </c>
      <c r="BS1110" s="24">
        <f t="shared" ca="1" si="877"/>
        <v>0</v>
      </c>
      <c r="BT1110" s="24">
        <f t="shared" ca="1" si="882"/>
        <v>0</v>
      </c>
      <c r="BU1110" s="24">
        <f t="shared" ca="1" si="878"/>
        <v>0</v>
      </c>
      <c r="BV1110" s="24">
        <f t="shared" ca="1" si="883"/>
        <v>0</v>
      </c>
      <c r="BW1110" s="24">
        <f t="shared" ca="1" si="879"/>
        <v>-16.032989325436638</v>
      </c>
      <c r="BX1110" s="25">
        <f t="shared" ca="1" si="884"/>
        <v>-192.3958719052396</v>
      </c>
      <c r="BY1110" s="23">
        <f t="shared" ca="1" si="851"/>
        <v>27.096710496326374</v>
      </c>
      <c r="BZ1110" s="24">
        <f t="shared" ca="1" si="852"/>
        <v>0</v>
      </c>
      <c r="CA1110" s="24">
        <f t="shared" ca="1" si="885"/>
        <v>0</v>
      </c>
      <c r="CB1110" s="24">
        <f t="shared" ca="1" si="853"/>
        <v>0</v>
      </c>
      <c r="CC1110" s="24">
        <f t="shared" ca="1" si="886"/>
        <v>0</v>
      </c>
      <c r="CD1110" s="24">
        <f t="shared" ca="1" si="854"/>
        <v>-0.43730674689415738</v>
      </c>
      <c r="CE1110" s="25">
        <f t="shared" ca="1" si="887"/>
        <v>-5.34320716963561</v>
      </c>
      <c r="CF1110" s="23">
        <f t="shared" ca="1" si="888"/>
        <v>9680915.6093467921</v>
      </c>
      <c r="CG1110" s="25">
        <f t="array" aca="1" ref="CG1110" ca="1">SUM(BF1099:BF1110/(1+inflation/100)^(AP1099:AP1110/12))</f>
        <v>267980.53702225396</v>
      </c>
      <c r="CH1110" s="32">
        <f ca="1">IFERROR(IF(MOD(AP1110-ap_months_since_start,12)=0,ap_drawdown/100*(AQ1110+AV1110+BA1110-BC1110),CH1109),0)</f>
        <v>168.97208316503401</v>
      </c>
    </row>
    <row r="1111" spans="40:86" x14ac:dyDescent="0.25">
      <c r="AN1111" s="32">
        <f t="shared" ca="1" si="849"/>
        <v>146.83333333333334</v>
      </c>
      <c r="AO1111" s="53">
        <f t="shared" ca="1" si="880"/>
        <v>79199</v>
      </c>
      <c r="AP1111" s="22">
        <v>1104</v>
      </c>
      <c r="AQ1111" s="32">
        <f t="shared" ca="1" si="881"/>
        <v>996.69973286882373</v>
      </c>
      <c r="AR1111" s="23">
        <f t="array" aca="1" ref="AR1111" ca="1">SUM(IF(lsc_start_date=AO1111,lsc_amount,0))</f>
        <v>0</v>
      </c>
      <c r="AS1111" s="24">
        <f t="shared" ca="1" si="855"/>
        <v>0</v>
      </c>
      <c r="AT1111" s="24">
        <f t="shared" ca="1" si="856"/>
        <v>0</v>
      </c>
      <c r="AU1111" s="24">
        <f t="shared" ca="1" si="857"/>
        <v>0</v>
      </c>
      <c r="AV1111" s="25">
        <f t="shared" ca="1" si="858"/>
        <v>0</v>
      </c>
      <c r="AW1111" s="23">
        <f t="array" aca="1" ref="AW1111" ca="1">SUM(IF(rcs_start_date&lt;=AO1111,1,0)*IF(rcs_end_date&gt;=AO1111,1,0)*rcs_amount*(1+rcs_escalation/100)^(INT((AP1111-rcs_months_since_start)/12))*IF(MOD((AP1111-rcs_months_since_start),rcs_frequency)=0,1,0)*IF(rcs_frequency=13,0,1))+SUM(IF(rcs_start_date=AO1111,rcs_amount,0)*IF(rcs_frequency=13,1,0))</f>
        <v>0</v>
      </c>
      <c r="AX1111" s="24">
        <f t="shared" ca="1" si="859"/>
        <v>0</v>
      </c>
      <c r="AY1111" s="24">
        <f t="shared" ca="1" si="860"/>
        <v>0</v>
      </c>
      <c r="AZ1111" s="24">
        <f t="shared" ca="1" si="861"/>
        <v>0</v>
      </c>
      <c r="BA1111" s="25">
        <f t="shared" ca="1" si="862"/>
        <v>0</v>
      </c>
      <c r="BB1111" s="23">
        <f t="array" aca="1" ref="BB1111" ca="1">SUM(IF(w_start_date&lt;=AO1111,1,0)*IF(w_end_date&gt;=AO1111,1,0)*w_amount*(1+w_escalation/100)^(INT((AP1111-w_months_since_start)/12))*IF(MOD(AP1111-w_months_since_start,w_frequency)=0,1,0)*IF(w_frequency=13,0,1))+SUM(IF(w_start_date=AO1111,w_amount,0)*IF(w_frequency=13,1,0))</f>
        <v>0</v>
      </c>
      <c r="BC1111" s="25">
        <f t="shared" ca="1" si="863"/>
        <v>0</v>
      </c>
      <c r="BD1111" s="24" t="b">
        <f t="shared" ca="1" si="864"/>
        <v>1</v>
      </c>
      <c r="BE1111" s="24" t="b">
        <f t="shared" ca="1" si="865"/>
        <v>1</v>
      </c>
      <c r="BF1111" s="23">
        <f t="array" aca="1" ref="BF1111" ca="1">SUM(IF(BD1111,1,0)*IF(ap_start_date&lt;=AO1111,1,0)*IF(ap_end_date&gt;=AO1111,1,0)*ap_amount*(1+ap_escalation/100)^(INT((AP1111-ap_months_since_start)/12))*IF(MOD(AP1111-ap_months_since_start,ap_frequency)=0,1,0))</f>
        <v>839012.68614338851</v>
      </c>
      <c r="BG1111" s="24">
        <f t="shared" ca="1" si="866"/>
        <v>10068152.233720666</v>
      </c>
      <c r="BH1111" s="24">
        <f t="shared" ca="1" si="867"/>
        <v>24.917493321720595</v>
      </c>
      <c r="BI1111">
        <f t="shared" ca="1" si="868"/>
        <v>0</v>
      </c>
      <c r="BJ1111" s="24">
        <f t="shared" ca="1" si="869"/>
        <v>174.42245325204414</v>
      </c>
      <c r="BK1111">
        <f t="shared" ca="1" si="870"/>
        <v>1</v>
      </c>
      <c r="BL1111" s="25">
        <f t="shared" ca="1" si="871"/>
        <v>14.535204437670339</v>
      </c>
      <c r="BM1111" s="32">
        <f t="shared" ca="1" si="850"/>
        <v>989.2433057371976</v>
      </c>
      <c r="BN1111" s="23">
        <f t="shared" ca="1" si="872"/>
        <v>0</v>
      </c>
      <c r="BO1111" s="24">
        <f t="shared" ca="1" si="873"/>
        <v>0</v>
      </c>
      <c r="BP1111" s="25">
        <f t="shared" ca="1" si="874"/>
        <v>0</v>
      </c>
      <c r="BQ1111" s="34">
        <f t="shared" ca="1" si="875"/>
        <v>79228</v>
      </c>
      <c r="BR1111" s="23">
        <f t="shared" ca="1" si="876"/>
        <v>989.2433057371976</v>
      </c>
      <c r="BS1111" s="24">
        <f t="shared" ca="1" si="877"/>
        <v>0</v>
      </c>
      <c r="BT1111" s="24">
        <f t="shared" ca="1" si="882"/>
        <v>0</v>
      </c>
      <c r="BU1111" s="24">
        <f t="shared" ca="1" si="878"/>
        <v>0</v>
      </c>
      <c r="BV1111" s="24">
        <f t="shared" ca="1" si="883"/>
        <v>0</v>
      </c>
      <c r="BW1111" s="24">
        <f t="shared" ca="1" si="879"/>
        <v>-14.535204437670339</v>
      </c>
      <c r="BX1111" s="25">
        <f t="shared" ca="1" si="884"/>
        <v>-190.8980870174733</v>
      </c>
      <c r="BY1111" s="23">
        <f t="shared" ca="1" si="851"/>
        <v>26.806240184881577</v>
      </c>
      <c r="BZ1111" s="24">
        <f t="shared" ca="1" si="852"/>
        <v>0</v>
      </c>
      <c r="CA1111" s="24">
        <f t="shared" ca="1" si="885"/>
        <v>0</v>
      </c>
      <c r="CB1111" s="24">
        <f t="shared" ca="1" si="853"/>
        <v>0</v>
      </c>
      <c r="CC1111" s="24">
        <f t="shared" ca="1" si="886"/>
        <v>0</v>
      </c>
      <c r="CD1111" s="24">
        <f t="shared" ca="1" si="854"/>
        <v>-0.39516036140475941</v>
      </c>
      <c r="CE1111" s="25">
        <f t="shared" ca="1" si="887"/>
        <v>-5.2850525495591869</v>
      </c>
      <c r="CF1111" s="23">
        <f t="shared" ca="1" si="888"/>
        <v>9713185.3280446157</v>
      </c>
      <c r="CG1111" s="25">
        <f t="array" aca="1" ref="CG1111" ca="1">SUM(BF1100:BF1111/(1+inflation/100)^(AP1100:AP1111/12))</f>
        <v>267980.53702225396</v>
      </c>
      <c r="CH1111" s="32">
        <f ca="1">IFERROR(IF(MOD(AP1111-ap_months_since_start,12)=0,ap_drawdown/100*(AQ1111+AV1111+BA1111-BC1111),CH1110),0)</f>
        <v>153.18689005588277</v>
      </c>
    </row>
    <row r="1112" spans="40:86" x14ac:dyDescent="0.25">
      <c r="AN1112" s="32">
        <f t="shared" ca="1" si="849"/>
        <v>146.91666666666666</v>
      </c>
      <c r="AO1112" s="53">
        <f t="shared" ca="1" si="880"/>
        <v>79229</v>
      </c>
      <c r="AP1112" s="22">
        <v>1105</v>
      </c>
      <c r="AQ1112" s="32">
        <f t="shared" ca="1" si="881"/>
        <v>989.2433057371976</v>
      </c>
      <c r="AR1112" s="23">
        <f t="array" aca="1" ref="AR1112" ca="1">SUM(IF(lsc_start_date=AO1112,lsc_amount,0))</f>
        <v>0</v>
      </c>
      <c r="AS1112" s="24">
        <f t="shared" ca="1" si="855"/>
        <v>0</v>
      </c>
      <c r="AT1112" s="24">
        <f t="shared" ca="1" si="856"/>
        <v>0</v>
      </c>
      <c r="AU1112" s="24">
        <f t="shared" ca="1" si="857"/>
        <v>0</v>
      </c>
      <c r="AV1112" s="25">
        <f t="shared" ca="1" si="858"/>
        <v>0</v>
      </c>
      <c r="AW1112" s="23">
        <f t="array" aca="1" ref="AW1112" ca="1">SUM(IF(rcs_start_date&lt;=AO1112,1,0)*IF(rcs_end_date&gt;=AO1112,1,0)*rcs_amount*(1+rcs_escalation/100)^(INT((AP1112-rcs_months_since_start)/12))*IF(MOD((AP1112-rcs_months_since_start),rcs_frequency)=0,1,0)*IF(rcs_frequency=13,0,1))+SUM(IF(rcs_start_date=AO1112,rcs_amount,0)*IF(rcs_frequency=13,1,0))</f>
        <v>0</v>
      </c>
      <c r="AX1112" s="24">
        <f t="shared" ca="1" si="859"/>
        <v>0</v>
      </c>
      <c r="AY1112" s="24">
        <f t="shared" ca="1" si="860"/>
        <v>0</v>
      </c>
      <c r="AZ1112" s="24">
        <f t="shared" ca="1" si="861"/>
        <v>0</v>
      </c>
      <c r="BA1112" s="25">
        <f t="shared" ca="1" si="862"/>
        <v>0</v>
      </c>
      <c r="BB1112" s="23">
        <f t="array" aca="1" ref="BB1112" ca="1">SUM(IF(w_start_date&lt;=AO1112,1,0)*IF(w_end_date&gt;=AO1112,1,0)*w_amount*(1+w_escalation/100)^(INT((AP1112-w_months_since_start)/12))*IF(MOD(AP1112-w_months_since_start,w_frequency)=0,1,0)*IF(w_frequency=13,0,1))+SUM(IF(w_start_date=AO1112,w_amount,0)*IF(w_frequency=13,1,0))</f>
        <v>0</v>
      </c>
      <c r="BC1112" s="25">
        <f t="shared" ca="1" si="863"/>
        <v>0</v>
      </c>
      <c r="BD1112" s="24" t="b">
        <f t="shared" ca="1" si="864"/>
        <v>1</v>
      </c>
      <c r="BE1112" s="24" t="b">
        <f t="shared" ca="1" si="865"/>
        <v>1</v>
      </c>
      <c r="BF1112" s="23">
        <f t="array" aca="1" ref="BF1112" ca="1">SUM(IF(BD1112,1,0)*IF(ap_start_date&lt;=AO1112,1,0)*IF(ap_end_date&gt;=AO1112,1,0)*ap_amount*(1+ap_escalation/100)^(INT((AP1112-ap_months_since_start)/12))*IF(MOD(AP1112-ap_months_since_start,ap_frequency)=0,1,0))</f>
        <v>839012.68614338851</v>
      </c>
      <c r="BG1112" s="24">
        <f t="shared" ca="1" si="866"/>
        <v>10068152.233720666</v>
      </c>
      <c r="BH1112" s="24">
        <f t="shared" ca="1" si="867"/>
        <v>24.917493321720595</v>
      </c>
      <c r="BI1112">
        <f t="shared" ca="1" si="868"/>
        <v>0</v>
      </c>
      <c r="BJ1112" s="24">
        <f t="shared" ca="1" si="869"/>
        <v>174.42245325204414</v>
      </c>
      <c r="BK1112">
        <f t="shared" ca="1" si="870"/>
        <v>1</v>
      </c>
      <c r="BL1112" s="25">
        <f t="shared" ca="1" si="871"/>
        <v>14.535204437670339</v>
      </c>
      <c r="BM1112" s="32">
        <f t="shared" ca="1" si="850"/>
        <v>981.73313772445067</v>
      </c>
      <c r="BN1112" s="23">
        <f t="shared" ca="1" si="872"/>
        <v>0</v>
      </c>
      <c r="BO1112" s="24">
        <f t="shared" ca="1" si="873"/>
        <v>0</v>
      </c>
      <c r="BP1112" s="25">
        <f t="shared" ca="1" si="874"/>
        <v>0</v>
      </c>
      <c r="BQ1112" s="34">
        <f t="shared" ca="1" si="875"/>
        <v>79259</v>
      </c>
      <c r="BR1112" s="23">
        <f t="shared" ca="1" si="876"/>
        <v>981.73313772445067</v>
      </c>
      <c r="BS1112" s="24">
        <f t="shared" ca="1" si="877"/>
        <v>0</v>
      </c>
      <c r="BT1112" s="24">
        <f t="shared" ca="1" si="882"/>
        <v>0</v>
      </c>
      <c r="BU1112" s="24">
        <f t="shared" ca="1" si="878"/>
        <v>0</v>
      </c>
      <c r="BV1112" s="24">
        <f t="shared" ca="1" si="883"/>
        <v>0</v>
      </c>
      <c r="BW1112" s="24">
        <f t="shared" ca="1" si="879"/>
        <v>-14.535204437670339</v>
      </c>
      <c r="BX1112" s="25">
        <f t="shared" ca="1" si="884"/>
        <v>-189.400302129707</v>
      </c>
      <c r="BY1112" s="23">
        <f t="shared" ca="1" si="851"/>
        <v>26.515925499004794</v>
      </c>
      <c r="BZ1112" s="24">
        <f t="shared" ca="1" si="852"/>
        <v>0</v>
      </c>
      <c r="CA1112" s="24">
        <f t="shared" ca="1" si="885"/>
        <v>0</v>
      </c>
      <c r="CB1112" s="24">
        <f t="shared" ca="1" si="853"/>
        <v>0</v>
      </c>
      <c r="CC1112" s="24">
        <f t="shared" ca="1" si="886"/>
        <v>0</v>
      </c>
      <c r="CD1112" s="24">
        <f t="shared" ca="1" si="854"/>
        <v>-0.39387093047062571</v>
      </c>
      <c r="CE1112" s="25">
        <f t="shared" ca="1" si="887"/>
        <v>-5.2270876913450692</v>
      </c>
      <c r="CF1112" s="23">
        <f t="shared" ca="1" si="888"/>
        <v>9745455.0467424393</v>
      </c>
      <c r="CG1112" s="25">
        <f t="array" aca="1" ref="CG1112" ca="1">SUM(BF1101:BF1112/(1+inflation/100)^(AP1101:AP1112/12))</f>
        <v>267980.53702225396</v>
      </c>
      <c r="CH1112" s="32">
        <f ca="1">IFERROR(IF(MOD(AP1112-ap_months_since_start,12)=0,ap_drawdown/100*(AQ1112+AV1112+BA1112-BC1112),CH1111),0)</f>
        <v>153.18689005588277</v>
      </c>
    </row>
    <row r="1113" spans="40:86" x14ac:dyDescent="0.25">
      <c r="AN1113" s="32">
        <f t="shared" ca="1" si="849"/>
        <v>147</v>
      </c>
      <c r="AO1113" s="53">
        <f t="shared" ca="1" si="880"/>
        <v>79260</v>
      </c>
      <c r="AP1113" s="22">
        <v>1106</v>
      </c>
      <c r="AQ1113" s="32">
        <f t="shared" ca="1" si="881"/>
        <v>981.73313772445067</v>
      </c>
      <c r="AR1113" s="23">
        <f t="array" aca="1" ref="AR1113" ca="1">SUM(IF(lsc_start_date=AO1113,lsc_amount,0))</f>
        <v>0</v>
      </c>
      <c r="AS1113" s="24">
        <f t="shared" ca="1" si="855"/>
        <v>0</v>
      </c>
      <c r="AT1113" s="24">
        <f t="shared" ca="1" si="856"/>
        <v>0</v>
      </c>
      <c r="AU1113" s="24">
        <f t="shared" ca="1" si="857"/>
        <v>0</v>
      </c>
      <c r="AV1113" s="25">
        <f t="shared" ca="1" si="858"/>
        <v>0</v>
      </c>
      <c r="AW1113" s="23">
        <f t="array" aca="1" ref="AW1113" ca="1">SUM(IF(rcs_start_date&lt;=AO1113,1,0)*IF(rcs_end_date&gt;=AO1113,1,0)*rcs_amount*(1+rcs_escalation/100)^(INT((AP1113-rcs_months_since_start)/12))*IF(MOD((AP1113-rcs_months_since_start),rcs_frequency)=0,1,0)*IF(rcs_frequency=13,0,1))+SUM(IF(rcs_start_date=AO1113,rcs_amount,0)*IF(rcs_frequency=13,1,0))</f>
        <v>0</v>
      </c>
      <c r="AX1113" s="24">
        <f t="shared" ca="1" si="859"/>
        <v>0</v>
      </c>
      <c r="AY1113" s="24">
        <f t="shared" ca="1" si="860"/>
        <v>0</v>
      </c>
      <c r="AZ1113" s="24">
        <f t="shared" ca="1" si="861"/>
        <v>0</v>
      </c>
      <c r="BA1113" s="25">
        <f t="shared" ca="1" si="862"/>
        <v>0</v>
      </c>
      <c r="BB1113" s="23">
        <f t="array" aca="1" ref="BB1113" ca="1">SUM(IF(w_start_date&lt;=AO1113,1,0)*IF(w_end_date&gt;=AO1113,1,0)*w_amount*(1+w_escalation/100)^(INT((AP1113-w_months_since_start)/12))*IF(MOD(AP1113-w_months_since_start,w_frequency)=0,1,0)*IF(w_frequency=13,0,1))+SUM(IF(w_start_date=AO1113,w_amount,0)*IF(w_frequency=13,1,0))</f>
        <v>0</v>
      </c>
      <c r="BC1113" s="25">
        <f t="shared" ca="1" si="863"/>
        <v>0</v>
      </c>
      <c r="BD1113" s="24" t="b">
        <f t="shared" ca="1" si="864"/>
        <v>1</v>
      </c>
      <c r="BE1113" s="24" t="b">
        <f t="shared" ca="1" si="865"/>
        <v>1</v>
      </c>
      <c r="BF1113" s="23">
        <f t="array" aca="1" ref="BF1113" ca="1">SUM(IF(BD1113,1,0)*IF(ap_start_date&lt;=AO1113,1,0)*IF(ap_end_date&gt;=AO1113,1,0)*ap_amount*(1+ap_escalation/100)^(INT((AP1113-ap_months_since_start)/12))*IF(MOD(AP1113-ap_months_since_start,ap_frequency)=0,1,0))</f>
        <v>839012.68614338851</v>
      </c>
      <c r="BG1113" s="24">
        <f t="shared" ca="1" si="866"/>
        <v>10068152.233720666</v>
      </c>
      <c r="BH1113" s="24">
        <f t="shared" ca="1" si="867"/>
        <v>24.917493321720595</v>
      </c>
      <c r="BI1113">
        <f t="shared" ca="1" si="868"/>
        <v>0</v>
      </c>
      <c r="BJ1113" s="24">
        <f t="shared" ca="1" si="869"/>
        <v>174.42245325204414</v>
      </c>
      <c r="BK1113">
        <f t="shared" ca="1" si="870"/>
        <v>1</v>
      </c>
      <c r="BL1113" s="25">
        <f t="shared" ca="1" si="871"/>
        <v>14.535204437670339</v>
      </c>
      <c r="BM1113" s="32">
        <f t="shared" ca="1" si="850"/>
        <v>974.16884150267742</v>
      </c>
      <c r="BN1113" s="23">
        <f t="shared" ca="1" si="872"/>
        <v>0</v>
      </c>
      <c r="BO1113" s="24">
        <f t="shared" ca="1" si="873"/>
        <v>0</v>
      </c>
      <c r="BP1113" s="25">
        <f t="shared" ca="1" si="874"/>
        <v>0</v>
      </c>
      <c r="BQ1113" s="34">
        <f t="shared" ca="1" si="875"/>
        <v>79290</v>
      </c>
      <c r="BR1113" s="23">
        <f t="shared" ca="1" si="876"/>
        <v>974.16884150267742</v>
      </c>
      <c r="BS1113" s="24">
        <f t="shared" ca="1" si="877"/>
        <v>0</v>
      </c>
      <c r="BT1113" s="24">
        <f t="shared" ca="1" si="882"/>
        <v>0</v>
      </c>
      <c r="BU1113" s="24">
        <f t="shared" ca="1" si="878"/>
        <v>0</v>
      </c>
      <c r="BV1113" s="24">
        <f t="shared" ca="1" si="883"/>
        <v>0</v>
      </c>
      <c r="BW1113" s="24">
        <f t="shared" ca="1" si="879"/>
        <v>-14.535204437670339</v>
      </c>
      <c r="BX1113" s="25">
        <f t="shared" ca="1" si="884"/>
        <v>-187.9025172419407</v>
      </c>
      <c r="BY1113" s="23">
        <f t="shared" ca="1" si="851"/>
        <v>26.225762824880956</v>
      </c>
      <c r="BZ1113" s="24">
        <f t="shared" ca="1" si="852"/>
        <v>0</v>
      </c>
      <c r="CA1113" s="24">
        <f t="shared" ca="1" si="885"/>
        <v>0</v>
      </c>
      <c r="CB1113" s="24">
        <f t="shared" ca="1" si="853"/>
        <v>0</v>
      </c>
      <c r="CC1113" s="24">
        <f t="shared" ca="1" si="886"/>
        <v>0</v>
      </c>
      <c r="CD1113" s="24">
        <f t="shared" ca="1" si="854"/>
        <v>-0.39258570702362022</v>
      </c>
      <c r="CE1113" s="25">
        <f t="shared" ca="1" si="887"/>
        <v>-5.1693119757894115</v>
      </c>
      <c r="CF1113" s="23">
        <f t="shared" ca="1" si="888"/>
        <v>9777724.765440261</v>
      </c>
      <c r="CG1113" s="25">
        <f t="array" aca="1" ref="CG1113" ca="1">SUM(BF1102:BF1113/(1+inflation/100)^(AP1102:AP1113/12))</f>
        <v>267980.53702225396</v>
      </c>
      <c r="CH1113" s="32">
        <f ca="1">IFERROR(IF(MOD(AP1113-ap_months_since_start,12)=0,ap_drawdown/100*(AQ1113+AV1113+BA1113-BC1113),CH1112),0)</f>
        <v>153.18689005588277</v>
      </c>
    </row>
    <row r="1114" spans="40:86" x14ac:dyDescent="0.25">
      <c r="AN1114" s="32">
        <f t="shared" ca="1" si="849"/>
        <v>147.08333333333334</v>
      </c>
      <c r="AO1114" s="53">
        <f t="shared" ca="1" si="880"/>
        <v>79291</v>
      </c>
      <c r="AP1114" s="22">
        <v>1107</v>
      </c>
      <c r="AQ1114" s="32">
        <f t="shared" ca="1" si="881"/>
        <v>974.16884150267742</v>
      </c>
      <c r="AR1114" s="23">
        <f t="array" aca="1" ref="AR1114" ca="1">SUM(IF(lsc_start_date=AO1114,lsc_amount,0))</f>
        <v>0</v>
      </c>
      <c r="AS1114" s="24">
        <f t="shared" ca="1" si="855"/>
        <v>0</v>
      </c>
      <c r="AT1114" s="24">
        <f t="shared" ca="1" si="856"/>
        <v>0</v>
      </c>
      <c r="AU1114" s="24">
        <f t="shared" ca="1" si="857"/>
        <v>0</v>
      </c>
      <c r="AV1114" s="25">
        <f t="shared" ca="1" si="858"/>
        <v>0</v>
      </c>
      <c r="AW1114" s="23">
        <f t="array" aca="1" ref="AW1114" ca="1">SUM(IF(rcs_start_date&lt;=AO1114,1,0)*IF(rcs_end_date&gt;=AO1114,1,0)*rcs_amount*(1+rcs_escalation/100)^(INT((AP1114-rcs_months_since_start)/12))*IF(MOD((AP1114-rcs_months_since_start),rcs_frequency)=0,1,0)*IF(rcs_frequency=13,0,1))+SUM(IF(rcs_start_date=AO1114,rcs_amount,0)*IF(rcs_frequency=13,1,0))</f>
        <v>0</v>
      </c>
      <c r="AX1114" s="24">
        <f t="shared" ca="1" si="859"/>
        <v>0</v>
      </c>
      <c r="AY1114" s="24">
        <f t="shared" ca="1" si="860"/>
        <v>0</v>
      </c>
      <c r="AZ1114" s="24">
        <f t="shared" ca="1" si="861"/>
        <v>0</v>
      </c>
      <c r="BA1114" s="25">
        <f t="shared" ca="1" si="862"/>
        <v>0</v>
      </c>
      <c r="BB1114" s="23">
        <f t="array" aca="1" ref="BB1114" ca="1">SUM(IF(w_start_date&lt;=AO1114,1,0)*IF(w_end_date&gt;=AO1114,1,0)*w_amount*(1+w_escalation/100)^(INT((AP1114-w_months_since_start)/12))*IF(MOD(AP1114-w_months_since_start,w_frequency)=0,1,0)*IF(w_frequency=13,0,1))+SUM(IF(w_start_date=AO1114,w_amount,0)*IF(w_frequency=13,1,0))</f>
        <v>0</v>
      </c>
      <c r="BC1114" s="25">
        <f t="shared" ca="1" si="863"/>
        <v>0</v>
      </c>
      <c r="BD1114" s="24" t="b">
        <f t="shared" ca="1" si="864"/>
        <v>1</v>
      </c>
      <c r="BE1114" s="24" t="b">
        <f t="shared" ca="1" si="865"/>
        <v>1</v>
      </c>
      <c r="BF1114" s="23">
        <f t="array" aca="1" ref="BF1114" ca="1">SUM(IF(BD1114,1,0)*IF(ap_start_date&lt;=AO1114,1,0)*IF(ap_end_date&gt;=AO1114,1,0)*ap_amount*(1+ap_escalation/100)^(INT((AP1114-ap_months_since_start)/12))*IF(MOD(AP1114-ap_months_since_start,ap_frequency)=0,1,0))</f>
        <v>839012.68614338851</v>
      </c>
      <c r="BG1114" s="24">
        <f t="shared" ca="1" si="866"/>
        <v>10068152.233720666</v>
      </c>
      <c r="BH1114" s="24">
        <f t="shared" ca="1" si="867"/>
        <v>24.917493321720595</v>
      </c>
      <c r="BI1114">
        <f t="shared" ca="1" si="868"/>
        <v>0</v>
      </c>
      <c r="BJ1114" s="24">
        <f t="shared" ca="1" si="869"/>
        <v>174.42245325204414</v>
      </c>
      <c r="BK1114">
        <f t="shared" ca="1" si="870"/>
        <v>1</v>
      </c>
      <c r="BL1114" s="25">
        <f t="shared" ca="1" si="871"/>
        <v>14.535204437670339</v>
      </c>
      <c r="BM1114" s="32">
        <f t="shared" ca="1" si="850"/>
        <v>966.55002695237476</v>
      </c>
      <c r="BN1114" s="23">
        <f t="shared" ca="1" si="872"/>
        <v>0</v>
      </c>
      <c r="BO1114" s="24">
        <f t="shared" ca="1" si="873"/>
        <v>0</v>
      </c>
      <c r="BP1114" s="25">
        <f t="shared" ca="1" si="874"/>
        <v>0</v>
      </c>
      <c r="BQ1114" s="34">
        <f t="shared" ca="1" si="875"/>
        <v>79318</v>
      </c>
      <c r="BR1114" s="23">
        <f t="shared" ca="1" si="876"/>
        <v>966.55002695237476</v>
      </c>
      <c r="BS1114" s="24">
        <f t="shared" ca="1" si="877"/>
        <v>0</v>
      </c>
      <c r="BT1114" s="24">
        <f t="shared" ca="1" si="882"/>
        <v>0</v>
      </c>
      <c r="BU1114" s="24">
        <f t="shared" ca="1" si="878"/>
        <v>0</v>
      </c>
      <c r="BV1114" s="24">
        <f t="shared" ca="1" si="883"/>
        <v>0</v>
      </c>
      <c r="BW1114" s="24">
        <f t="shared" ca="1" si="879"/>
        <v>-14.535204437670339</v>
      </c>
      <c r="BX1114" s="25">
        <f t="shared" ca="1" si="884"/>
        <v>-186.4047323541744</v>
      </c>
      <c r="BY1114" s="23">
        <f t="shared" ca="1" si="851"/>
        <v>25.935748548309355</v>
      </c>
      <c r="BZ1114" s="24">
        <f t="shared" ca="1" si="852"/>
        <v>0</v>
      </c>
      <c r="CA1114" s="24">
        <f t="shared" ca="1" si="885"/>
        <v>0</v>
      </c>
      <c r="CB1114" s="24">
        <f t="shared" ca="1" si="853"/>
        <v>0</v>
      </c>
      <c r="CC1114" s="24">
        <f t="shared" ca="1" si="886"/>
        <v>0</v>
      </c>
      <c r="CD1114" s="24">
        <f t="shared" ca="1" si="854"/>
        <v>-0.39130467733446989</v>
      </c>
      <c r="CE1114" s="25">
        <f t="shared" ca="1" si="887"/>
        <v>-5.1117247857088657</v>
      </c>
      <c r="CF1114" s="23">
        <f t="shared" ca="1" si="888"/>
        <v>9809994.4841380846</v>
      </c>
      <c r="CG1114" s="25">
        <f t="array" aca="1" ref="CG1114" ca="1">SUM(BF1103:BF1114/(1+inflation/100)^(AP1103:AP1114/12))</f>
        <v>267980.53702225396</v>
      </c>
      <c r="CH1114" s="32">
        <f ca="1">IFERROR(IF(MOD(AP1114-ap_months_since_start,12)=0,ap_drawdown/100*(AQ1114+AV1114+BA1114-BC1114),CH1113),0)</f>
        <v>153.18689005588277</v>
      </c>
    </row>
    <row r="1115" spans="40:86" x14ac:dyDescent="0.25">
      <c r="AN1115" s="32">
        <f t="shared" ca="1" si="849"/>
        <v>147.16666666666666</v>
      </c>
      <c r="AO1115" s="53">
        <f t="shared" ca="1" si="880"/>
        <v>79319</v>
      </c>
      <c r="AP1115" s="22">
        <v>1108</v>
      </c>
      <c r="AQ1115" s="32">
        <f t="shared" ca="1" si="881"/>
        <v>966.55002695237476</v>
      </c>
      <c r="AR1115" s="23">
        <f t="array" aca="1" ref="AR1115" ca="1">SUM(IF(lsc_start_date=AO1115,lsc_amount,0))</f>
        <v>0</v>
      </c>
      <c r="AS1115" s="24">
        <f t="shared" ca="1" si="855"/>
        <v>0</v>
      </c>
      <c r="AT1115" s="24">
        <f t="shared" ca="1" si="856"/>
        <v>0</v>
      </c>
      <c r="AU1115" s="24">
        <f t="shared" ca="1" si="857"/>
        <v>0</v>
      </c>
      <c r="AV1115" s="25">
        <f t="shared" ca="1" si="858"/>
        <v>0</v>
      </c>
      <c r="AW1115" s="23">
        <f t="array" aca="1" ref="AW1115" ca="1">SUM(IF(rcs_start_date&lt;=AO1115,1,0)*IF(rcs_end_date&gt;=AO1115,1,0)*rcs_amount*(1+rcs_escalation/100)^(INT((AP1115-rcs_months_since_start)/12))*IF(MOD((AP1115-rcs_months_since_start),rcs_frequency)=0,1,0)*IF(rcs_frequency=13,0,1))+SUM(IF(rcs_start_date=AO1115,rcs_amount,0)*IF(rcs_frequency=13,1,0))</f>
        <v>0</v>
      </c>
      <c r="AX1115" s="24">
        <f t="shared" ca="1" si="859"/>
        <v>0</v>
      </c>
      <c r="AY1115" s="24">
        <f t="shared" ca="1" si="860"/>
        <v>0</v>
      </c>
      <c r="AZ1115" s="24">
        <f t="shared" ca="1" si="861"/>
        <v>0</v>
      </c>
      <c r="BA1115" s="25">
        <f t="shared" ca="1" si="862"/>
        <v>0</v>
      </c>
      <c r="BB1115" s="23">
        <f t="array" aca="1" ref="BB1115" ca="1">SUM(IF(w_start_date&lt;=AO1115,1,0)*IF(w_end_date&gt;=AO1115,1,0)*w_amount*(1+w_escalation/100)^(INT((AP1115-w_months_since_start)/12))*IF(MOD(AP1115-w_months_since_start,w_frequency)=0,1,0)*IF(w_frequency=13,0,1))+SUM(IF(w_start_date=AO1115,w_amount,0)*IF(w_frequency=13,1,0))</f>
        <v>0</v>
      </c>
      <c r="BC1115" s="25">
        <f t="shared" ca="1" si="863"/>
        <v>0</v>
      </c>
      <c r="BD1115" s="24" t="b">
        <f t="shared" ca="1" si="864"/>
        <v>1</v>
      </c>
      <c r="BE1115" s="24" t="b">
        <f t="shared" ca="1" si="865"/>
        <v>1</v>
      </c>
      <c r="BF1115" s="23">
        <f t="array" aca="1" ref="BF1115" ca="1">SUM(IF(BD1115,1,0)*IF(ap_start_date&lt;=AO1115,1,0)*IF(ap_end_date&gt;=AO1115,1,0)*ap_amount*(1+ap_escalation/100)^(INT((AP1115-ap_months_since_start)/12))*IF(MOD(AP1115-ap_months_since_start,ap_frequency)=0,1,0))</f>
        <v>839012.68614338851</v>
      </c>
      <c r="BG1115" s="24">
        <f t="shared" ca="1" si="866"/>
        <v>10068152.233720666</v>
      </c>
      <c r="BH1115" s="24">
        <f t="shared" ca="1" si="867"/>
        <v>24.917493321720595</v>
      </c>
      <c r="BI1115">
        <f t="shared" ca="1" si="868"/>
        <v>0</v>
      </c>
      <c r="BJ1115" s="24">
        <f t="shared" ca="1" si="869"/>
        <v>174.42245325204414</v>
      </c>
      <c r="BK1115">
        <f t="shared" ca="1" si="870"/>
        <v>1</v>
      </c>
      <c r="BL1115" s="25">
        <f t="shared" ca="1" si="871"/>
        <v>14.535204437670339</v>
      </c>
      <c r="BM1115" s="32">
        <f t="shared" ca="1" si="850"/>
        <v>958.8763011423224</v>
      </c>
      <c r="BN1115" s="23">
        <f t="shared" ca="1" si="872"/>
        <v>0</v>
      </c>
      <c r="BO1115" s="24">
        <f t="shared" ca="1" si="873"/>
        <v>0</v>
      </c>
      <c r="BP1115" s="25">
        <f t="shared" ca="1" si="874"/>
        <v>0</v>
      </c>
      <c r="BQ1115" s="34">
        <f t="shared" ca="1" si="875"/>
        <v>79349</v>
      </c>
      <c r="BR1115" s="23">
        <f t="shared" ca="1" si="876"/>
        <v>958.8763011423224</v>
      </c>
      <c r="BS1115" s="24">
        <f t="shared" ca="1" si="877"/>
        <v>0</v>
      </c>
      <c r="BT1115" s="24">
        <f t="shared" ca="1" si="882"/>
        <v>0</v>
      </c>
      <c r="BU1115" s="24">
        <f t="shared" ca="1" si="878"/>
        <v>0</v>
      </c>
      <c r="BV1115" s="24">
        <f t="shared" ca="1" si="883"/>
        <v>0</v>
      </c>
      <c r="BW1115" s="24">
        <f t="shared" ca="1" si="879"/>
        <v>-14.535204437670339</v>
      </c>
      <c r="BX1115" s="25">
        <f t="shared" ca="1" si="884"/>
        <v>-184.90694746640813</v>
      </c>
      <c r="BY1115" s="23">
        <f t="shared" ca="1" si="851"/>
        <v>25.645879054656994</v>
      </c>
      <c r="BZ1115" s="24">
        <f t="shared" ca="1" si="852"/>
        <v>0</v>
      </c>
      <c r="CA1115" s="24">
        <f t="shared" ca="1" si="885"/>
        <v>0</v>
      </c>
      <c r="CB1115" s="24">
        <f t="shared" ca="1" si="853"/>
        <v>0</v>
      </c>
      <c r="CC1115" s="24">
        <f t="shared" ca="1" si="886"/>
        <v>0</v>
      </c>
      <c r="CD1115" s="24">
        <f t="shared" ca="1" si="854"/>
        <v>-0.39002782771870265</v>
      </c>
      <c r="CE1115" s="25">
        <f t="shared" ca="1" si="887"/>
        <v>-5.0543255059339884</v>
      </c>
      <c r="CF1115" s="23">
        <f t="shared" ca="1" si="888"/>
        <v>9842264.2028359063</v>
      </c>
      <c r="CG1115" s="25">
        <f t="array" aca="1" ref="CG1115" ca="1">SUM(BF1104:BF1115/(1+inflation/100)^(AP1104:AP1115/12))</f>
        <v>267980.53702225391</v>
      </c>
      <c r="CH1115" s="32">
        <f ca="1">IFERROR(IF(MOD(AP1115-ap_months_since_start,12)=0,ap_drawdown/100*(AQ1115+AV1115+BA1115-BC1115),CH1114),0)</f>
        <v>153.18689005588277</v>
      </c>
    </row>
    <row r="1116" spans="40:86" x14ac:dyDescent="0.25">
      <c r="AN1116" s="32">
        <f t="shared" ca="1" si="849"/>
        <v>147.25</v>
      </c>
      <c r="AO1116" s="53">
        <f t="shared" ca="1" si="880"/>
        <v>79350</v>
      </c>
      <c r="AP1116" s="22">
        <v>1109</v>
      </c>
      <c r="AQ1116" s="32">
        <f t="shared" ca="1" si="881"/>
        <v>958.8763011423224</v>
      </c>
      <c r="AR1116" s="23">
        <f t="array" aca="1" ref="AR1116" ca="1">SUM(IF(lsc_start_date=AO1116,lsc_amount,0))</f>
        <v>0</v>
      </c>
      <c r="AS1116" s="24">
        <f t="shared" ca="1" si="855"/>
        <v>0</v>
      </c>
      <c r="AT1116" s="24">
        <f t="shared" ca="1" si="856"/>
        <v>0</v>
      </c>
      <c r="AU1116" s="24">
        <f t="shared" ca="1" si="857"/>
        <v>0</v>
      </c>
      <c r="AV1116" s="25">
        <f t="shared" ca="1" si="858"/>
        <v>0</v>
      </c>
      <c r="AW1116" s="23">
        <f t="array" aca="1" ref="AW1116" ca="1">SUM(IF(rcs_start_date&lt;=AO1116,1,0)*IF(rcs_end_date&gt;=AO1116,1,0)*rcs_amount*(1+rcs_escalation/100)^(INT((AP1116-rcs_months_since_start)/12))*IF(MOD((AP1116-rcs_months_since_start),rcs_frequency)=0,1,0)*IF(rcs_frequency=13,0,1))+SUM(IF(rcs_start_date=AO1116,rcs_amount,0)*IF(rcs_frequency=13,1,0))</f>
        <v>0</v>
      </c>
      <c r="AX1116" s="24">
        <f t="shared" ca="1" si="859"/>
        <v>0</v>
      </c>
      <c r="AY1116" s="24">
        <f t="shared" ca="1" si="860"/>
        <v>0</v>
      </c>
      <c r="AZ1116" s="24">
        <f t="shared" ca="1" si="861"/>
        <v>0</v>
      </c>
      <c r="BA1116" s="25">
        <f t="shared" ca="1" si="862"/>
        <v>0</v>
      </c>
      <c r="BB1116" s="23">
        <f t="array" aca="1" ref="BB1116" ca="1">SUM(IF(w_start_date&lt;=AO1116,1,0)*IF(w_end_date&gt;=AO1116,1,0)*w_amount*(1+w_escalation/100)^(INT((AP1116-w_months_since_start)/12))*IF(MOD(AP1116-w_months_since_start,w_frequency)=0,1,0)*IF(w_frequency=13,0,1))+SUM(IF(w_start_date=AO1116,w_amount,0)*IF(w_frequency=13,1,0))</f>
        <v>0</v>
      </c>
      <c r="BC1116" s="25">
        <f t="shared" ca="1" si="863"/>
        <v>0</v>
      </c>
      <c r="BD1116" s="24" t="b">
        <f t="shared" ca="1" si="864"/>
        <v>1</v>
      </c>
      <c r="BE1116" s="24" t="b">
        <f t="shared" ca="1" si="865"/>
        <v>1</v>
      </c>
      <c r="BF1116" s="23">
        <f t="array" aca="1" ref="BF1116" ca="1">SUM(IF(BD1116,1,0)*IF(ap_start_date&lt;=AO1116,1,0)*IF(ap_end_date&gt;=AO1116,1,0)*ap_amount*(1+ap_escalation/100)^(INT((AP1116-ap_months_since_start)/12))*IF(MOD(AP1116-ap_months_since_start,ap_frequency)=0,1,0))</f>
        <v>839012.68614338851</v>
      </c>
      <c r="BG1116" s="24">
        <f t="shared" ca="1" si="866"/>
        <v>10068152.233720666</v>
      </c>
      <c r="BH1116" s="24">
        <f t="shared" ca="1" si="867"/>
        <v>24.917493321720595</v>
      </c>
      <c r="BI1116">
        <f t="shared" ca="1" si="868"/>
        <v>0</v>
      </c>
      <c r="BJ1116" s="24">
        <f t="shared" ca="1" si="869"/>
        <v>174.42245325204414</v>
      </c>
      <c r="BK1116">
        <f t="shared" ca="1" si="870"/>
        <v>1</v>
      </c>
      <c r="BL1116" s="25">
        <f t="shared" ca="1" si="871"/>
        <v>14.535204437670339</v>
      </c>
      <c r="BM1116" s="32">
        <f t="shared" ca="1" si="850"/>
        <v>951.14726830931761</v>
      </c>
      <c r="BN1116" s="23">
        <f t="shared" ca="1" si="872"/>
        <v>0</v>
      </c>
      <c r="BO1116" s="24">
        <f t="shared" ca="1" si="873"/>
        <v>0</v>
      </c>
      <c r="BP1116" s="25">
        <f t="shared" ca="1" si="874"/>
        <v>0</v>
      </c>
      <c r="BQ1116" s="34">
        <f t="shared" ca="1" si="875"/>
        <v>79379</v>
      </c>
      <c r="BR1116" s="23">
        <f t="shared" ca="1" si="876"/>
        <v>951.14726830931761</v>
      </c>
      <c r="BS1116" s="24">
        <f t="shared" ca="1" si="877"/>
        <v>0</v>
      </c>
      <c r="BT1116" s="24">
        <f t="shared" ca="1" si="882"/>
        <v>0</v>
      </c>
      <c r="BU1116" s="24">
        <f t="shared" ca="1" si="878"/>
        <v>0</v>
      </c>
      <c r="BV1116" s="24">
        <f t="shared" ca="1" si="883"/>
        <v>0</v>
      </c>
      <c r="BW1116" s="24">
        <f t="shared" ca="1" si="879"/>
        <v>-14.535204437670339</v>
      </c>
      <c r="BX1116" s="25">
        <f t="shared" ca="1" si="884"/>
        <v>-183.40916257864183</v>
      </c>
      <c r="BY1116" s="23">
        <f t="shared" ca="1" si="851"/>
        <v>25.356150728812114</v>
      </c>
      <c r="BZ1116" s="24">
        <f t="shared" ca="1" si="852"/>
        <v>0</v>
      </c>
      <c r="CA1116" s="24">
        <f t="shared" ca="1" si="885"/>
        <v>0</v>
      </c>
      <c r="CB1116" s="24">
        <f t="shared" ca="1" si="853"/>
        <v>0</v>
      </c>
      <c r="CC1116" s="24">
        <f t="shared" ca="1" si="886"/>
        <v>0</v>
      </c>
      <c r="CD1116" s="24">
        <f t="shared" ca="1" si="854"/>
        <v>-0.38875514453649906</v>
      </c>
      <c r="CE1116" s="25">
        <f t="shared" ca="1" si="887"/>
        <v>-4.9971135233026684</v>
      </c>
      <c r="CF1116" s="23">
        <f t="shared" ca="1" si="888"/>
        <v>9874533.9215337299</v>
      </c>
      <c r="CG1116" s="25">
        <f t="array" aca="1" ref="CG1116" ca="1">SUM(BF1105:BF1116/(1+inflation/100)^(AP1105:AP1116/12))</f>
        <v>267980.53702225391</v>
      </c>
      <c r="CH1116" s="32">
        <f ca="1">IFERROR(IF(MOD(AP1116-ap_months_since_start,12)=0,ap_drawdown/100*(AQ1116+AV1116+BA1116-BC1116),CH1115),0)</f>
        <v>153.18689005588277</v>
      </c>
    </row>
    <row r="1117" spans="40:86" x14ac:dyDescent="0.25">
      <c r="AN1117" s="32">
        <f t="shared" ca="1" si="849"/>
        <v>147.33333333333334</v>
      </c>
      <c r="AO1117" s="53">
        <f t="shared" ca="1" si="880"/>
        <v>79380</v>
      </c>
      <c r="AP1117" s="22">
        <v>1110</v>
      </c>
      <c r="AQ1117" s="32">
        <f t="shared" ca="1" si="881"/>
        <v>951.14726830931761</v>
      </c>
      <c r="AR1117" s="23">
        <f t="array" aca="1" ref="AR1117" ca="1">SUM(IF(lsc_start_date=AO1117,lsc_amount,0))</f>
        <v>0</v>
      </c>
      <c r="AS1117" s="24">
        <f t="shared" ca="1" si="855"/>
        <v>0</v>
      </c>
      <c r="AT1117" s="24">
        <f t="shared" ca="1" si="856"/>
        <v>0</v>
      </c>
      <c r="AU1117" s="24">
        <f t="shared" ca="1" si="857"/>
        <v>0</v>
      </c>
      <c r="AV1117" s="25">
        <f t="shared" ca="1" si="858"/>
        <v>0</v>
      </c>
      <c r="AW1117" s="23">
        <f t="array" aca="1" ref="AW1117" ca="1">SUM(IF(rcs_start_date&lt;=AO1117,1,0)*IF(rcs_end_date&gt;=AO1117,1,0)*rcs_amount*(1+rcs_escalation/100)^(INT((AP1117-rcs_months_since_start)/12))*IF(MOD((AP1117-rcs_months_since_start),rcs_frequency)=0,1,0)*IF(rcs_frequency=13,0,1))+SUM(IF(rcs_start_date=AO1117,rcs_amount,0)*IF(rcs_frequency=13,1,0))</f>
        <v>0</v>
      </c>
      <c r="AX1117" s="24">
        <f t="shared" ca="1" si="859"/>
        <v>0</v>
      </c>
      <c r="AY1117" s="24">
        <f t="shared" ca="1" si="860"/>
        <v>0</v>
      </c>
      <c r="AZ1117" s="24">
        <f t="shared" ca="1" si="861"/>
        <v>0</v>
      </c>
      <c r="BA1117" s="25">
        <f t="shared" ca="1" si="862"/>
        <v>0</v>
      </c>
      <c r="BB1117" s="23">
        <f t="array" aca="1" ref="BB1117" ca="1">SUM(IF(w_start_date&lt;=AO1117,1,0)*IF(w_end_date&gt;=AO1117,1,0)*w_amount*(1+w_escalation/100)^(INT((AP1117-w_months_since_start)/12))*IF(MOD(AP1117-w_months_since_start,w_frequency)=0,1,0)*IF(w_frequency=13,0,1))+SUM(IF(w_start_date=AO1117,w_amount,0)*IF(w_frequency=13,1,0))</f>
        <v>0</v>
      </c>
      <c r="BC1117" s="25">
        <f t="shared" ca="1" si="863"/>
        <v>0</v>
      </c>
      <c r="BD1117" s="24" t="b">
        <f t="shared" ca="1" si="864"/>
        <v>1</v>
      </c>
      <c r="BE1117" s="24" t="b">
        <f t="shared" ca="1" si="865"/>
        <v>1</v>
      </c>
      <c r="BF1117" s="23">
        <f t="array" aca="1" ref="BF1117" ca="1">SUM(IF(BD1117,1,0)*IF(ap_start_date&lt;=AO1117,1,0)*IF(ap_end_date&gt;=AO1117,1,0)*ap_amount*(1+ap_escalation/100)^(INT((AP1117-ap_months_since_start)/12))*IF(MOD(AP1117-ap_months_since_start,ap_frequency)=0,1,0))</f>
        <v>839012.68614338851</v>
      </c>
      <c r="BG1117" s="24">
        <f t="shared" ca="1" si="866"/>
        <v>10068152.233720666</v>
      </c>
      <c r="BH1117" s="24">
        <f t="shared" ca="1" si="867"/>
        <v>24.917493321720595</v>
      </c>
      <c r="BI1117">
        <f t="shared" ca="1" si="868"/>
        <v>0</v>
      </c>
      <c r="BJ1117" s="24">
        <f t="shared" ca="1" si="869"/>
        <v>174.42245325204414</v>
      </c>
      <c r="BK1117">
        <f t="shared" ca="1" si="870"/>
        <v>1</v>
      </c>
      <c r="BL1117" s="25">
        <f t="shared" ca="1" si="871"/>
        <v>14.535204437670339</v>
      </c>
      <c r="BM1117" s="32">
        <f t="shared" ca="1" si="850"/>
        <v>943.36252983776433</v>
      </c>
      <c r="BN1117" s="23">
        <f t="shared" ca="1" si="872"/>
        <v>0</v>
      </c>
      <c r="BO1117" s="24">
        <f t="shared" ca="1" si="873"/>
        <v>0</v>
      </c>
      <c r="BP1117" s="25">
        <f t="shared" ca="1" si="874"/>
        <v>0</v>
      </c>
      <c r="BQ1117" s="34">
        <f t="shared" ca="1" si="875"/>
        <v>79410</v>
      </c>
      <c r="BR1117" s="23">
        <f t="shared" ca="1" si="876"/>
        <v>943.36252983776433</v>
      </c>
      <c r="BS1117" s="24">
        <f t="shared" ca="1" si="877"/>
        <v>0</v>
      </c>
      <c r="BT1117" s="24">
        <f t="shared" ca="1" si="882"/>
        <v>0</v>
      </c>
      <c r="BU1117" s="24">
        <f t="shared" ca="1" si="878"/>
        <v>0</v>
      </c>
      <c r="BV1117" s="24">
        <f t="shared" ca="1" si="883"/>
        <v>0</v>
      </c>
      <c r="BW1117" s="24">
        <f t="shared" ca="1" si="879"/>
        <v>-14.535204437670339</v>
      </c>
      <c r="BX1117" s="25">
        <f t="shared" ca="1" si="884"/>
        <v>-181.91137769087555</v>
      </c>
      <c r="BY1117" s="23">
        <f t="shared" ca="1" si="851"/>
        <v>25.066559955137649</v>
      </c>
      <c r="BZ1117" s="24">
        <f t="shared" ca="1" si="852"/>
        <v>0</v>
      </c>
      <c r="CA1117" s="24">
        <f t="shared" ca="1" si="885"/>
        <v>0</v>
      </c>
      <c r="CB1117" s="24">
        <f t="shared" ca="1" si="853"/>
        <v>0</v>
      </c>
      <c r="CC1117" s="24">
        <f t="shared" ca="1" si="886"/>
        <v>0</v>
      </c>
      <c r="CD1117" s="24">
        <f t="shared" ca="1" si="854"/>
        <v>-0.38748661419254732</v>
      </c>
      <c r="CE1117" s="25">
        <f t="shared" ca="1" si="887"/>
        <v>-4.9400882266535824</v>
      </c>
      <c r="CF1117" s="23">
        <f t="shared" ca="1" si="888"/>
        <v>9906803.6402315516</v>
      </c>
      <c r="CG1117" s="25">
        <f t="array" aca="1" ref="CG1117" ca="1">SUM(BF1106:BF1117/(1+inflation/100)^(AP1106:AP1117/12))</f>
        <v>267980.53702225396</v>
      </c>
      <c r="CH1117" s="32">
        <f ca="1">IFERROR(IF(MOD(AP1117-ap_months_since_start,12)=0,ap_drawdown/100*(AQ1117+AV1117+BA1117-BC1117),CH1116),0)</f>
        <v>153.18689005588277</v>
      </c>
    </row>
    <row r="1118" spans="40:86" x14ac:dyDescent="0.25">
      <c r="AN1118" s="32">
        <f t="shared" ca="1" si="849"/>
        <v>147.41666666666666</v>
      </c>
      <c r="AO1118" s="53">
        <f t="shared" ca="1" si="880"/>
        <v>79411</v>
      </c>
      <c r="AP1118" s="22">
        <v>1111</v>
      </c>
      <c r="AQ1118" s="32">
        <f t="shared" ca="1" si="881"/>
        <v>943.36252983776433</v>
      </c>
      <c r="AR1118" s="23">
        <f t="array" aca="1" ref="AR1118" ca="1">SUM(IF(lsc_start_date=AO1118,lsc_amount,0))</f>
        <v>0</v>
      </c>
      <c r="AS1118" s="24">
        <f t="shared" ca="1" si="855"/>
        <v>0</v>
      </c>
      <c r="AT1118" s="24">
        <f t="shared" ca="1" si="856"/>
        <v>0</v>
      </c>
      <c r="AU1118" s="24">
        <f t="shared" ca="1" si="857"/>
        <v>0</v>
      </c>
      <c r="AV1118" s="25">
        <f t="shared" ca="1" si="858"/>
        <v>0</v>
      </c>
      <c r="AW1118" s="23">
        <f t="array" aca="1" ref="AW1118" ca="1">SUM(IF(rcs_start_date&lt;=AO1118,1,0)*IF(rcs_end_date&gt;=AO1118,1,0)*rcs_amount*(1+rcs_escalation/100)^(INT((AP1118-rcs_months_since_start)/12))*IF(MOD((AP1118-rcs_months_since_start),rcs_frequency)=0,1,0)*IF(rcs_frequency=13,0,1))+SUM(IF(rcs_start_date=AO1118,rcs_amount,0)*IF(rcs_frequency=13,1,0))</f>
        <v>0</v>
      </c>
      <c r="AX1118" s="24">
        <f t="shared" ca="1" si="859"/>
        <v>0</v>
      </c>
      <c r="AY1118" s="24">
        <f t="shared" ca="1" si="860"/>
        <v>0</v>
      </c>
      <c r="AZ1118" s="24">
        <f t="shared" ca="1" si="861"/>
        <v>0</v>
      </c>
      <c r="BA1118" s="25">
        <f t="shared" ca="1" si="862"/>
        <v>0</v>
      </c>
      <c r="BB1118" s="23">
        <f t="array" aca="1" ref="BB1118" ca="1">SUM(IF(w_start_date&lt;=AO1118,1,0)*IF(w_end_date&gt;=AO1118,1,0)*w_amount*(1+w_escalation/100)^(INT((AP1118-w_months_since_start)/12))*IF(MOD(AP1118-w_months_since_start,w_frequency)=0,1,0)*IF(w_frequency=13,0,1))+SUM(IF(w_start_date=AO1118,w_amount,0)*IF(w_frequency=13,1,0))</f>
        <v>0</v>
      </c>
      <c r="BC1118" s="25">
        <f t="shared" ca="1" si="863"/>
        <v>0</v>
      </c>
      <c r="BD1118" s="24" t="b">
        <f t="shared" ca="1" si="864"/>
        <v>1</v>
      </c>
      <c r="BE1118" s="24" t="b">
        <f t="shared" ca="1" si="865"/>
        <v>1</v>
      </c>
      <c r="BF1118" s="23">
        <f t="array" aca="1" ref="BF1118" ca="1">SUM(IF(BD1118,1,0)*IF(ap_start_date&lt;=AO1118,1,0)*IF(ap_end_date&gt;=AO1118,1,0)*ap_amount*(1+ap_escalation/100)^(INT((AP1118-ap_months_since_start)/12))*IF(MOD(AP1118-ap_months_since_start,ap_frequency)=0,1,0))</f>
        <v>839012.68614338851</v>
      </c>
      <c r="BG1118" s="24">
        <f t="shared" ca="1" si="866"/>
        <v>10068152.233720666</v>
      </c>
      <c r="BH1118" s="24">
        <f t="shared" ca="1" si="867"/>
        <v>24.917493321720595</v>
      </c>
      <c r="BI1118">
        <f t="shared" ca="1" si="868"/>
        <v>0</v>
      </c>
      <c r="BJ1118" s="24">
        <f t="shared" ca="1" si="869"/>
        <v>174.42245325204414</v>
      </c>
      <c r="BK1118">
        <f t="shared" ca="1" si="870"/>
        <v>1</v>
      </c>
      <c r="BL1118" s="25">
        <f t="shared" ca="1" si="871"/>
        <v>14.535204437670339</v>
      </c>
      <c r="BM1118" s="32">
        <f t="shared" ca="1" si="850"/>
        <v>935.52168423911496</v>
      </c>
      <c r="BN1118" s="23">
        <f t="shared" ca="1" si="872"/>
        <v>0</v>
      </c>
      <c r="BO1118" s="24">
        <f t="shared" ca="1" si="873"/>
        <v>0</v>
      </c>
      <c r="BP1118" s="25">
        <f t="shared" ca="1" si="874"/>
        <v>0</v>
      </c>
      <c r="BQ1118" s="34">
        <f t="shared" ca="1" si="875"/>
        <v>79440</v>
      </c>
      <c r="BR1118" s="23">
        <f t="shared" ca="1" si="876"/>
        <v>935.52168423911496</v>
      </c>
      <c r="BS1118" s="24">
        <f t="shared" ca="1" si="877"/>
        <v>0</v>
      </c>
      <c r="BT1118" s="24">
        <f t="shared" ca="1" si="882"/>
        <v>0</v>
      </c>
      <c r="BU1118" s="24">
        <f t="shared" ca="1" si="878"/>
        <v>0</v>
      </c>
      <c r="BV1118" s="24">
        <f t="shared" ca="1" si="883"/>
        <v>0</v>
      </c>
      <c r="BW1118" s="24">
        <f t="shared" ca="1" si="879"/>
        <v>-14.535204437670339</v>
      </c>
      <c r="BX1118" s="25">
        <f t="shared" ca="1" si="884"/>
        <v>-180.41359280310925</v>
      </c>
      <c r="BY1118" s="23">
        <f t="shared" ca="1" si="851"/>
        <v>24.777103117424581</v>
      </c>
      <c r="BZ1118" s="24">
        <f t="shared" ca="1" si="852"/>
        <v>0</v>
      </c>
      <c r="CA1118" s="24">
        <f t="shared" ca="1" si="885"/>
        <v>0</v>
      </c>
      <c r="CB1118" s="24">
        <f t="shared" ca="1" si="853"/>
        <v>0</v>
      </c>
      <c r="CC1118" s="24">
        <f t="shared" ca="1" si="886"/>
        <v>0</v>
      </c>
      <c r="CD1118" s="24">
        <f t="shared" ca="1" si="854"/>
        <v>-0.3862222231358981</v>
      </c>
      <c r="CE1118" s="25">
        <f t="shared" ca="1" si="887"/>
        <v>-4.8832490068196561</v>
      </c>
      <c r="CF1118" s="23">
        <f t="shared" ca="1" si="888"/>
        <v>9939073.3589293752</v>
      </c>
      <c r="CG1118" s="25">
        <f t="array" aca="1" ref="CG1118" ca="1">SUM(BF1107:BF1118/(1+inflation/100)^(AP1107:AP1118/12))</f>
        <v>267980.53702225396</v>
      </c>
      <c r="CH1118" s="32">
        <f ca="1">IFERROR(IF(MOD(AP1118-ap_months_since_start,12)=0,ap_drawdown/100*(AQ1118+AV1118+BA1118-BC1118),CH1117),0)</f>
        <v>153.18689005588277</v>
      </c>
    </row>
    <row r="1119" spans="40:86" x14ac:dyDescent="0.25">
      <c r="AN1119" s="32">
        <f t="shared" ca="1" si="849"/>
        <v>147.5</v>
      </c>
      <c r="AO1119" s="53">
        <f t="shared" ca="1" si="880"/>
        <v>79441</v>
      </c>
      <c r="AP1119" s="22">
        <v>1112</v>
      </c>
      <c r="AQ1119" s="32">
        <f t="shared" ca="1" si="881"/>
        <v>935.52168423911496</v>
      </c>
      <c r="AR1119" s="23">
        <f t="array" aca="1" ref="AR1119" ca="1">SUM(IF(lsc_start_date=AO1119,lsc_amount,0))</f>
        <v>0</v>
      </c>
      <c r="AS1119" s="24">
        <f t="shared" ca="1" si="855"/>
        <v>0</v>
      </c>
      <c r="AT1119" s="24">
        <f t="shared" ca="1" si="856"/>
        <v>0</v>
      </c>
      <c r="AU1119" s="24">
        <f t="shared" ca="1" si="857"/>
        <v>0</v>
      </c>
      <c r="AV1119" s="25">
        <f t="shared" ca="1" si="858"/>
        <v>0</v>
      </c>
      <c r="AW1119" s="23">
        <f t="array" aca="1" ref="AW1119" ca="1">SUM(IF(rcs_start_date&lt;=AO1119,1,0)*IF(rcs_end_date&gt;=AO1119,1,0)*rcs_amount*(1+rcs_escalation/100)^(INT((AP1119-rcs_months_since_start)/12))*IF(MOD((AP1119-rcs_months_since_start),rcs_frequency)=0,1,0)*IF(rcs_frequency=13,0,1))+SUM(IF(rcs_start_date=AO1119,rcs_amount,0)*IF(rcs_frequency=13,1,0))</f>
        <v>0</v>
      </c>
      <c r="AX1119" s="24">
        <f t="shared" ca="1" si="859"/>
        <v>0</v>
      </c>
      <c r="AY1119" s="24">
        <f t="shared" ca="1" si="860"/>
        <v>0</v>
      </c>
      <c r="AZ1119" s="24">
        <f t="shared" ca="1" si="861"/>
        <v>0</v>
      </c>
      <c r="BA1119" s="25">
        <f t="shared" ca="1" si="862"/>
        <v>0</v>
      </c>
      <c r="BB1119" s="23">
        <f t="array" aca="1" ref="BB1119" ca="1">SUM(IF(w_start_date&lt;=AO1119,1,0)*IF(w_end_date&gt;=AO1119,1,0)*w_amount*(1+w_escalation/100)^(INT((AP1119-w_months_since_start)/12))*IF(MOD(AP1119-w_months_since_start,w_frequency)=0,1,0)*IF(w_frequency=13,0,1))+SUM(IF(w_start_date=AO1119,w_amount,0)*IF(w_frequency=13,1,0))</f>
        <v>0</v>
      </c>
      <c r="BC1119" s="25">
        <f t="shared" ca="1" si="863"/>
        <v>0</v>
      </c>
      <c r="BD1119" s="24" t="b">
        <f t="shared" ca="1" si="864"/>
        <v>1</v>
      </c>
      <c r="BE1119" s="24" t="b">
        <f t="shared" ca="1" si="865"/>
        <v>1</v>
      </c>
      <c r="BF1119" s="23">
        <f t="array" aca="1" ref="BF1119" ca="1">SUM(IF(BD1119,1,0)*IF(ap_start_date&lt;=AO1119,1,0)*IF(ap_end_date&gt;=AO1119,1,0)*ap_amount*(1+ap_escalation/100)^(INT((AP1119-ap_months_since_start)/12))*IF(MOD(AP1119-ap_months_since_start,ap_frequency)=0,1,0))</f>
        <v>839012.68614338851</v>
      </c>
      <c r="BG1119" s="24">
        <f t="shared" ca="1" si="866"/>
        <v>10068152.233720666</v>
      </c>
      <c r="BH1119" s="24">
        <f t="shared" ca="1" si="867"/>
        <v>24.917493321720595</v>
      </c>
      <c r="BI1119">
        <f t="shared" ca="1" si="868"/>
        <v>0</v>
      </c>
      <c r="BJ1119" s="24">
        <f t="shared" ca="1" si="869"/>
        <v>174.42245325204414</v>
      </c>
      <c r="BK1119">
        <f t="shared" ca="1" si="870"/>
        <v>1</v>
      </c>
      <c r="BL1119" s="25">
        <f t="shared" ca="1" si="871"/>
        <v>14.535204437670339</v>
      </c>
      <c r="BM1119" s="32">
        <f t="shared" ca="1" si="850"/>
        <v>927.62432713116425</v>
      </c>
      <c r="BN1119" s="23">
        <f t="shared" ca="1" si="872"/>
        <v>0</v>
      </c>
      <c r="BO1119" s="24">
        <f t="shared" ca="1" si="873"/>
        <v>0</v>
      </c>
      <c r="BP1119" s="25">
        <f t="shared" ca="1" si="874"/>
        <v>0</v>
      </c>
      <c r="BQ1119" s="34">
        <f t="shared" ca="1" si="875"/>
        <v>79471</v>
      </c>
      <c r="BR1119" s="23">
        <f t="shared" ca="1" si="876"/>
        <v>927.62432713116425</v>
      </c>
      <c r="BS1119" s="24">
        <f t="shared" ca="1" si="877"/>
        <v>0</v>
      </c>
      <c r="BT1119" s="24">
        <f t="shared" ca="1" si="882"/>
        <v>0</v>
      </c>
      <c r="BU1119" s="24">
        <f t="shared" ca="1" si="878"/>
        <v>0</v>
      </c>
      <c r="BV1119" s="24">
        <f t="shared" ca="1" si="883"/>
        <v>0</v>
      </c>
      <c r="BW1119" s="24">
        <f t="shared" ca="1" si="879"/>
        <v>-14.535204437670339</v>
      </c>
      <c r="BX1119" s="25">
        <f t="shared" ca="1" si="884"/>
        <v>-178.91580791534295</v>
      </c>
      <c r="BY1119" s="23">
        <f t="shared" ca="1" si="851"/>
        <v>24.487776598845333</v>
      </c>
      <c r="BZ1119" s="24">
        <f t="shared" ca="1" si="852"/>
        <v>0</v>
      </c>
      <c r="CA1119" s="24">
        <f t="shared" ca="1" si="885"/>
        <v>0</v>
      </c>
      <c r="CB1119" s="24">
        <f t="shared" ca="1" si="853"/>
        <v>0</v>
      </c>
      <c r="CC1119" s="24">
        <f t="shared" ca="1" si="886"/>
        <v>0</v>
      </c>
      <c r="CD1119" s="24">
        <f t="shared" ca="1" si="854"/>
        <v>-0.38496195785981935</v>
      </c>
      <c r="CE1119" s="25">
        <f t="shared" ca="1" si="887"/>
        <v>-4.8265952566215633</v>
      </c>
      <c r="CF1119" s="23">
        <f t="shared" ca="1" si="888"/>
        <v>9971343.0776271969</v>
      </c>
      <c r="CG1119" s="25">
        <f t="array" aca="1" ref="CG1119" ca="1">SUM(BF1108:BF1119/(1+inflation/100)^(AP1108:AP1119/12))</f>
        <v>267980.53702225396</v>
      </c>
      <c r="CH1119" s="32">
        <f ca="1">IFERROR(IF(MOD(AP1119-ap_months_since_start,12)=0,ap_drawdown/100*(AQ1119+AV1119+BA1119-BC1119),CH1118),0)</f>
        <v>153.18689005588277</v>
      </c>
    </row>
    <row r="1120" spans="40:86" x14ac:dyDescent="0.25">
      <c r="AN1120" s="32">
        <f t="shared" ca="1" si="849"/>
        <v>147.58333333333334</v>
      </c>
      <c r="AO1120" s="53">
        <f t="shared" ca="1" si="880"/>
        <v>79472</v>
      </c>
      <c r="AP1120" s="22">
        <v>1113</v>
      </c>
      <c r="AQ1120" s="32">
        <f t="shared" ca="1" si="881"/>
        <v>927.62432713116425</v>
      </c>
      <c r="AR1120" s="23">
        <f t="array" aca="1" ref="AR1120" ca="1">SUM(IF(lsc_start_date=AO1120,lsc_amount,0))</f>
        <v>0</v>
      </c>
      <c r="AS1120" s="24">
        <f t="shared" ca="1" si="855"/>
        <v>0</v>
      </c>
      <c r="AT1120" s="24">
        <f t="shared" ca="1" si="856"/>
        <v>0</v>
      </c>
      <c r="AU1120" s="24">
        <f t="shared" ca="1" si="857"/>
        <v>0</v>
      </c>
      <c r="AV1120" s="25">
        <f t="shared" ca="1" si="858"/>
        <v>0</v>
      </c>
      <c r="AW1120" s="23">
        <f t="array" aca="1" ref="AW1120" ca="1">SUM(IF(rcs_start_date&lt;=AO1120,1,0)*IF(rcs_end_date&gt;=AO1120,1,0)*rcs_amount*(1+rcs_escalation/100)^(INT((AP1120-rcs_months_since_start)/12))*IF(MOD((AP1120-rcs_months_since_start),rcs_frequency)=0,1,0)*IF(rcs_frequency=13,0,1))+SUM(IF(rcs_start_date=AO1120,rcs_amount,0)*IF(rcs_frequency=13,1,0))</f>
        <v>0</v>
      </c>
      <c r="AX1120" s="24">
        <f t="shared" ca="1" si="859"/>
        <v>0</v>
      </c>
      <c r="AY1120" s="24">
        <f t="shared" ca="1" si="860"/>
        <v>0</v>
      </c>
      <c r="AZ1120" s="24">
        <f t="shared" ca="1" si="861"/>
        <v>0</v>
      </c>
      <c r="BA1120" s="25">
        <f t="shared" ca="1" si="862"/>
        <v>0</v>
      </c>
      <c r="BB1120" s="23">
        <f t="array" aca="1" ref="BB1120" ca="1">SUM(IF(w_start_date&lt;=AO1120,1,0)*IF(w_end_date&gt;=AO1120,1,0)*w_amount*(1+w_escalation/100)^(INT((AP1120-w_months_since_start)/12))*IF(MOD(AP1120-w_months_since_start,w_frequency)=0,1,0)*IF(w_frequency=13,0,1))+SUM(IF(w_start_date=AO1120,w_amount,0)*IF(w_frequency=13,1,0))</f>
        <v>0</v>
      </c>
      <c r="BC1120" s="25">
        <f t="shared" ca="1" si="863"/>
        <v>0</v>
      </c>
      <c r="BD1120" s="24" t="b">
        <f t="shared" ca="1" si="864"/>
        <v>1</v>
      </c>
      <c r="BE1120" s="24" t="b">
        <f t="shared" ca="1" si="865"/>
        <v>1</v>
      </c>
      <c r="BF1120" s="23">
        <f t="array" aca="1" ref="BF1120" ca="1">SUM(IF(BD1120,1,0)*IF(ap_start_date&lt;=AO1120,1,0)*IF(ap_end_date&gt;=AO1120,1,0)*ap_amount*(1+ap_escalation/100)^(INT((AP1120-ap_months_since_start)/12))*IF(MOD(AP1120-ap_months_since_start,ap_frequency)=0,1,0))</f>
        <v>839012.68614338851</v>
      </c>
      <c r="BG1120" s="24">
        <f t="shared" ca="1" si="866"/>
        <v>10068152.233720666</v>
      </c>
      <c r="BH1120" s="24">
        <f t="shared" ca="1" si="867"/>
        <v>24.917493321720595</v>
      </c>
      <c r="BI1120">
        <f t="shared" ca="1" si="868"/>
        <v>0</v>
      </c>
      <c r="BJ1120" s="24">
        <f t="shared" ca="1" si="869"/>
        <v>174.42245325204414</v>
      </c>
      <c r="BK1120">
        <f t="shared" ca="1" si="870"/>
        <v>1</v>
      </c>
      <c r="BL1120" s="25">
        <f t="shared" ca="1" si="871"/>
        <v>14.535204437670339</v>
      </c>
      <c r="BM1120" s="32">
        <f t="shared" ca="1" si="850"/>
        <v>919.67005121719353</v>
      </c>
      <c r="BN1120" s="23">
        <f t="shared" ca="1" si="872"/>
        <v>0</v>
      </c>
      <c r="BO1120" s="24">
        <f t="shared" ca="1" si="873"/>
        <v>0</v>
      </c>
      <c r="BP1120" s="25">
        <f t="shared" ca="1" si="874"/>
        <v>0</v>
      </c>
      <c r="BQ1120" s="34">
        <f t="shared" ca="1" si="875"/>
        <v>79502</v>
      </c>
      <c r="BR1120" s="23">
        <f t="shared" ca="1" si="876"/>
        <v>919.67005121719353</v>
      </c>
      <c r="BS1120" s="24">
        <f t="shared" ca="1" si="877"/>
        <v>0</v>
      </c>
      <c r="BT1120" s="24">
        <f t="shared" ca="1" si="882"/>
        <v>0</v>
      </c>
      <c r="BU1120" s="24">
        <f t="shared" ca="1" si="878"/>
        <v>0</v>
      </c>
      <c r="BV1120" s="24">
        <f t="shared" ca="1" si="883"/>
        <v>0</v>
      </c>
      <c r="BW1120" s="24">
        <f t="shared" ca="1" si="879"/>
        <v>-14.535204437670339</v>
      </c>
      <c r="BX1120" s="25">
        <f t="shared" ca="1" si="884"/>
        <v>-177.41802302757665</v>
      </c>
      <c r="BY1120" s="23">
        <f t="shared" ca="1" si="851"/>
        <v>24.198576781907164</v>
      </c>
      <c r="BZ1120" s="24">
        <f t="shared" ca="1" si="852"/>
        <v>0</v>
      </c>
      <c r="CA1120" s="24">
        <f t="shared" ca="1" si="885"/>
        <v>0</v>
      </c>
      <c r="CB1120" s="24">
        <f t="shared" ca="1" si="853"/>
        <v>0</v>
      </c>
      <c r="CC1120" s="24">
        <f t="shared" ca="1" si="886"/>
        <v>0</v>
      </c>
      <c r="CD1120" s="24">
        <f t="shared" ca="1" si="854"/>
        <v>-0.38370580490165185</v>
      </c>
      <c r="CE1120" s="25">
        <f t="shared" ca="1" si="887"/>
        <v>-4.7701263708612398</v>
      </c>
      <c r="CF1120" s="23">
        <f t="shared" ca="1" si="888"/>
        <v>10003612.79632502</v>
      </c>
      <c r="CG1120" s="25">
        <f t="array" aca="1" ref="CG1120" ca="1">SUM(BF1109:BF1120/(1+inflation/100)^(AP1109:AP1120/12))</f>
        <v>267980.53702225396</v>
      </c>
      <c r="CH1120" s="32">
        <f ca="1">IFERROR(IF(MOD(AP1120-ap_months_since_start,12)=0,ap_drawdown/100*(AQ1120+AV1120+BA1120-BC1120),CH1119),0)</f>
        <v>153.18689005588277</v>
      </c>
    </row>
    <row r="1121" spans="40:86" x14ac:dyDescent="0.25">
      <c r="AN1121" s="32">
        <f t="shared" ca="1" si="849"/>
        <v>147.66666666666666</v>
      </c>
      <c r="AO1121" s="53">
        <f t="shared" ca="1" si="880"/>
        <v>79503</v>
      </c>
      <c r="AP1121" s="22">
        <v>1114</v>
      </c>
      <c r="AQ1121" s="32">
        <f t="shared" ca="1" si="881"/>
        <v>919.67005121719353</v>
      </c>
      <c r="AR1121" s="23">
        <f t="array" aca="1" ref="AR1121" ca="1">SUM(IF(lsc_start_date=AO1121,lsc_amount,0))</f>
        <v>0</v>
      </c>
      <c r="AS1121" s="24">
        <f t="shared" ca="1" si="855"/>
        <v>0</v>
      </c>
      <c r="AT1121" s="24">
        <f t="shared" ca="1" si="856"/>
        <v>0</v>
      </c>
      <c r="AU1121" s="24">
        <f t="shared" ca="1" si="857"/>
        <v>0</v>
      </c>
      <c r="AV1121" s="25">
        <f t="shared" ca="1" si="858"/>
        <v>0</v>
      </c>
      <c r="AW1121" s="23">
        <f t="array" aca="1" ref="AW1121" ca="1">SUM(IF(rcs_start_date&lt;=AO1121,1,0)*IF(rcs_end_date&gt;=AO1121,1,0)*rcs_amount*(1+rcs_escalation/100)^(INT((AP1121-rcs_months_since_start)/12))*IF(MOD((AP1121-rcs_months_since_start),rcs_frequency)=0,1,0)*IF(rcs_frequency=13,0,1))+SUM(IF(rcs_start_date=AO1121,rcs_amount,0)*IF(rcs_frequency=13,1,0))</f>
        <v>0</v>
      </c>
      <c r="AX1121" s="24">
        <f t="shared" ca="1" si="859"/>
        <v>0</v>
      </c>
      <c r="AY1121" s="24">
        <f t="shared" ca="1" si="860"/>
        <v>0</v>
      </c>
      <c r="AZ1121" s="24">
        <f t="shared" ca="1" si="861"/>
        <v>0</v>
      </c>
      <c r="BA1121" s="25">
        <f t="shared" ca="1" si="862"/>
        <v>0</v>
      </c>
      <c r="BB1121" s="23">
        <f t="array" aca="1" ref="BB1121" ca="1">SUM(IF(w_start_date&lt;=AO1121,1,0)*IF(w_end_date&gt;=AO1121,1,0)*w_amount*(1+w_escalation/100)^(INT((AP1121-w_months_since_start)/12))*IF(MOD(AP1121-w_months_since_start,w_frequency)=0,1,0)*IF(w_frequency=13,0,1))+SUM(IF(w_start_date=AO1121,w_amount,0)*IF(w_frequency=13,1,0))</f>
        <v>0</v>
      </c>
      <c r="BC1121" s="25">
        <f t="shared" ca="1" si="863"/>
        <v>0</v>
      </c>
      <c r="BD1121" s="24" t="b">
        <f t="shared" ca="1" si="864"/>
        <v>1</v>
      </c>
      <c r="BE1121" s="24" t="b">
        <f t="shared" ca="1" si="865"/>
        <v>1</v>
      </c>
      <c r="BF1121" s="23">
        <f t="array" aca="1" ref="BF1121" ca="1">SUM(IF(BD1121,1,0)*IF(ap_start_date&lt;=AO1121,1,0)*IF(ap_end_date&gt;=AO1121,1,0)*ap_amount*(1+ap_escalation/100)^(INT((AP1121-ap_months_since_start)/12))*IF(MOD(AP1121-ap_months_since_start,ap_frequency)=0,1,0))</f>
        <v>839012.68614338851</v>
      </c>
      <c r="BG1121" s="24">
        <f t="shared" ca="1" si="866"/>
        <v>10068152.233720666</v>
      </c>
      <c r="BH1121" s="24">
        <f t="shared" ca="1" si="867"/>
        <v>24.917493321720595</v>
      </c>
      <c r="BI1121">
        <f t="shared" ca="1" si="868"/>
        <v>0</v>
      </c>
      <c r="BJ1121" s="24">
        <f t="shared" ca="1" si="869"/>
        <v>174.42245325204414</v>
      </c>
      <c r="BK1121">
        <f t="shared" ca="1" si="870"/>
        <v>1</v>
      </c>
      <c r="BL1121" s="25">
        <f t="shared" ca="1" si="871"/>
        <v>14.535204437670339</v>
      </c>
      <c r="BM1121" s="32">
        <f t="shared" ca="1" si="850"/>
        <v>911.65844626496505</v>
      </c>
      <c r="BN1121" s="23">
        <f t="shared" ca="1" si="872"/>
        <v>0</v>
      </c>
      <c r="BO1121" s="24">
        <f t="shared" ca="1" si="873"/>
        <v>0</v>
      </c>
      <c r="BP1121" s="25">
        <f t="shared" ca="1" si="874"/>
        <v>0</v>
      </c>
      <c r="BQ1121" s="34">
        <f t="shared" ca="1" si="875"/>
        <v>79532</v>
      </c>
      <c r="BR1121" s="23">
        <f t="shared" ca="1" si="876"/>
        <v>911.65844626496505</v>
      </c>
      <c r="BS1121" s="24">
        <f t="shared" ca="1" si="877"/>
        <v>0</v>
      </c>
      <c r="BT1121" s="24">
        <f t="shared" ca="1" si="882"/>
        <v>0</v>
      </c>
      <c r="BU1121" s="24">
        <f t="shared" ca="1" si="878"/>
        <v>0</v>
      </c>
      <c r="BV1121" s="24">
        <f t="shared" ca="1" si="883"/>
        <v>0</v>
      </c>
      <c r="BW1121" s="24">
        <f t="shared" ca="1" si="879"/>
        <v>-14.535204437670339</v>
      </c>
      <c r="BX1121" s="25">
        <f t="shared" ca="1" si="884"/>
        <v>-175.92023813981035</v>
      </c>
      <c r="BY1121" s="23">
        <f t="shared" ca="1" si="851"/>
        <v>23.90950004840532</v>
      </c>
      <c r="BZ1121" s="24">
        <f t="shared" ca="1" si="852"/>
        <v>0</v>
      </c>
      <c r="CA1121" s="24">
        <f t="shared" ca="1" si="885"/>
        <v>0</v>
      </c>
      <c r="CB1121" s="24">
        <f t="shared" ca="1" si="853"/>
        <v>0</v>
      </c>
      <c r="CC1121" s="24">
        <f t="shared" ca="1" si="886"/>
        <v>0</v>
      </c>
      <c r="CD1121" s="24">
        <f t="shared" ca="1" si="854"/>
        <v>-0.38245375084266714</v>
      </c>
      <c r="CE1121" s="25">
        <f t="shared" ca="1" si="887"/>
        <v>-4.7138417463154187</v>
      </c>
      <c r="CF1121" s="23">
        <f t="shared" ca="1" si="888"/>
        <v>10035882.515022842</v>
      </c>
      <c r="CG1121" s="25">
        <f t="array" aca="1" ref="CG1121" ca="1">SUM(BF1110:BF1121/(1+inflation/100)^(AP1110:AP1121/12))</f>
        <v>267980.53702225391</v>
      </c>
      <c r="CH1121" s="32">
        <f ca="1">IFERROR(IF(MOD(AP1121-ap_months_since_start,12)=0,ap_drawdown/100*(AQ1121+AV1121+BA1121-BC1121),CH1120),0)</f>
        <v>153.18689005588277</v>
      </c>
    </row>
    <row r="1122" spans="40:86" x14ac:dyDescent="0.25">
      <c r="AN1122" s="32">
        <f t="shared" ca="1" si="849"/>
        <v>147.75</v>
      </c>
      <c r="AO1122" s="53">
        <f t="shared" ca="1" si="880"/>
        <v>79533</v>
      </c>
      <c r="AP1122" s="22">
        <v>1115</v>
      </c>
      <c r="AQ1122" s="32">
        <f t="shared" ca="1" si="881"/>
        <v>911.65844626496505</v>
      </c>
      <c r="AR1122" s="23">
        <f t="array" aca="1" ref="AR1122" ca="1">SUM(IF(lsc_start_date=AO1122,lsc_amount,0))</f>
        <v>0</v>
      </c>
      <c r="AS1122" s="24">
        <f t="shared" ca="1" si="855"/>
        <v>0</v>
      </c>
      <c r="AT1122" s="24">
        <f t="shared" ca="1" si="856"/>
        <v>0</v>
      </c>
      <c r="AU1122" s="24">
        <f t="shared" ca="1" si="857"/>
        <v>0</v>
      </c>
      <c r="AV1122" s="25">
        <f t="shared" ca="1" si="858"/>
        <v>0</v>
      </c>
      <c r="AW1122" s="23">
        <f t="array" aca="1" ref="AW1122" ca="1">SUM(IF(rcs_start_date&lt;=AO1122,1,0)*IF(rcs_end_date&gt;=AO1122,1,0)*rcs_amount*(1+rcs_escalation/100)^(INT((AP1122-rcs_months_since_start)/12))*IF(MOD((AP1122-rcs_months_since_start),rcs_frequency)=0,1,0)*IF(rcs_frequency=13,0,1))+SUM(IF(rcs_start_date=AO1122,rcs_amount,0)*IF(rcs_frequency=13,1,0))</f>
        <v>0</v>
      </c>
      <c r="AX1122" s="24">
        <f t="shared" ca="1" si="859"/>
        <v>0</v>
      </c>
      <c r="AY1122" s="24">
        <f t="shared" ca="1" si="860"/>
        <v>0</v>
      </c>
      <c r="AZ1122" s="24">
        <f t="shared" ca="1" si="861"/>
        <v>0</v>
      </c>
      <c r="BA1122" s="25">
        <f t="shared" ca="1" si="862"/>
        <v>0</v>
      </c>
      <c r="BB1122" s="23">
        <f t="array" aca="1" ref="BB1122" ca="1">SUM(IF(w_start_date&lt;=AO1122,1,0)*IF(w_end_date&gt;=AO1122,1,0)*w_amount*(1+w_escalation/100)^(INT((AP1122-w_months_since_start)/12))*IF(MOD(AP1122-w_months_since_start,w_frequency)=0,1,0)*IF(w_frequency=13,0,1))+SUM(IF(w_start_date=AO1122,w_amount,0)*IF(w_frequency=13,1,0))</f>
        <v>0</v>
      </c>
      <c r="BC1122" s="25">
        <f t="shared" ca="1" si="863"/>
        <v>0</v>
      </c>
      <c r="BD1122" s="24" t="b">
        <f t="shared" ca="1" si="864"/>
        <v>1</v>
      </c>
      <c r="BE1122" s="24" t="b">
        <f t="shared" ca="1" si="865"/>
        <v>1</v>
      </c>
      <c r="BF1122" s="23">
        <f t="array" aca="1" ref="BF1122" ca="1">SUM(IF(BD1122,1,0)*IF(ap_start_date&lt;=AO1122,1,0)*IF(ap_end_date&gt;=AO1122,1,0)*ap_amount*(1+ap_escalation/100)^(INT((AP1122-ap_months_since_start)/12))*IF(MOD(AP1122-ap_months_since_start,ap_frequency)=0,1,0))</f>
        <v>839012.68614338851</v>
      </c>
      <c r="BG1122" s="24">
        <f t="shared" ca="1" si="866"/>
        <v>10068152.233720666</v>
      </c>
      <c r="BH1122" s="24">
        <f t="shared" ca="1" si="867"/>
        <v>24.917493321720595</v>
      </c>
      <c r="BI1122">
        <f t="shared" ca="1" si="868"/>
        <v>0</v>
      </c>
      <c r="BJ1122" s="24">
        <f t="shared" ca="1" si="869"/>
        <v>174.42245325204414</v>
      </c>
      <c r="BK1122">
        <f t="shared" ca="1" si="870"/>
        <v>1</v>
      </c>
      <c r="BL1122" s="25">
        <f t="shared" ca="1" si="871"/>
        <v>14.535204437670339</v>
      </c>
      <c r="BM1122" s="32">
        <f t="shared" ca="1" si="850"/>
        <v>903.58909908556473</v>
      </c>
      <c r="BN1122" s="23">
        <f t="shared" ca="1" si="872"/>
        <v>0</v>
      </c>
      <c r="BO1122" s="24">
        <f t="shared" ca="1" si="873"/>
        <v>0</v>
      </c>
      <c r="BP1122" s="25">
        <f t="shared" ca="1" si="874"/>
        <v>0</v>
      </c>
      <c r="BQ1122" s="34">
        <f t="shared" ca="1" si="875"/>
        <v>79563</v>
      </c>
      <c r="BR1122" s="23">
        <f t="shared" ca="1" si="876"/>
        <v>903.58909908556473</v>
      </c>
      <c r="BS1122" s="24">
        <f t="shared" ca="1" si="877"/>
        <v>0</v>
      </c>
      <c r="BT1122" s="24">
        <f t="shared" ca="1" si="882"/>
        <v>0</v>
      </c>
      <c r="BU1122" s="24">
        <f t="shared" ca="1" si="878"/>
        <v>0</v>
      </c>
      <c r="BV1122" s="24">
        <f t="shared" ca="1" si="883"/>
        <v>0</v>
      </c>
      <c r="BW1122" s="24">
        <f t="shared" ca="1" si="879"/>
        <v>-14.535204437670339</v>
      </c>
      <c r="BX1122" s="25">
        <f t="shared" ca="1" si="884"/>
        <v>-174.42245325204405</v>
      </c>
      <c r="BY1122" s="23">
        <f t="shared" ca="1" si="851"/>
        <v>23.620542779376393</v>
      </c>
      <c r="BZ1122" s="24">
        <f t="shared" ca="1" si="852"/>
        <v>0</v>
      </c>
      <c r="CA1122" s="24">
        <f t="shared" ca="1" si="885"/>
        <v>0</v>
      </c>
      <c r="CB1122" s="24">
        <f t="shared" ca="1" si="853"/>
        <v>0</v>
      </c>
      <c r="CC1122" s="24">
        <f t="shared" ca="1" si="886"/>
        <v>0</v>
      </c>
      <c r="CD1122" s="24">
        <f t="shared" ca="1" si="854"/>
        <v>-0.38120578230792151</v>
      </c>
      <c r="CE1122" s="25">
        <f t="shared" ca="1" si="887"/>
        <v>-4.6577407817291823</v>
      </c>
      <c r="CF1122" s="23">
        <f t="shared" ca="1" si="888"/>
        <v>10068152.233720666</v>
      </c>
      <c r="CG1122" s="25">
        <f t="array" aca="1" ref="CG1122" ca="1">SUM(BF1111:BF1122/(1+inflation/100)^(AP1111:AP1122/12))</f>
        <v>267980.53702225391</v>
      </c>
      <c r="CH1122" s="32">
        <f ca="1">IFERROR(IF(MOD(AP1122-ap_months_since_start,12)=0,ap_drawdown/100*(AQ1122+AV1122+BA1122-BC1122),CH1121),0)</f>
        <v>153.18689005588277</v>
      </c>
    </row>
    <row r="1123" spans="40:86" x14ac:dyDescent="0.25">
      <c r="AN1123" s="32">
        <f t="shared" ca="1" si="849"/>
        <v>147.83333333333334</v>
      </c>
      <c r="AO1123" s="53">
        <f t="shared" ca="1" si="880"/>
        <v>79564</v>
      </c>
      <c r="AP1123" s="22">
        <v>1116</v>
      </c>
      <c r="AQ1123" s="32">
        <f t="shared" ca="1" si="881"/>
        <v>903.58909908556473</v>
      </c>
      <c r="AR1123" s="23">
        <f t="array" aca="1" ref="AR1123" ca="1">SUM(IF(lsc_start_date=AO1123,lsc_amount,0))</f>
        <v>0</v>
      </c>
      <c r="AS1123" s="24">
        <f t="shared" ca="1" si="855"/>
        <v>0</v>
      </c>
      <c r="AT1123" s="24">
        <f t="shared" ca="1" si="856"/>
        <v>0</v>
      </c>
      <c r="AU1123" s="24">
        <f t="shared" ca="1" si="857"/>
        <v>0</v>
      </c>
      <c r="AV1123" s="25">
        <f t="shared" ca="1" si="858"/>
        <v>0</v>
      </c>
      <c r="AW1123" s="23">
        <f t="array" aca="1" ref="AW1123" ca="1">SUM(IF(rcs_start_date&lt;=AO1123,1,0)*IF(rcs_end_date&gt;=AO1123,1,0)*rcs_amount*(1+rcs_escalation/100)^(INT((AP1123-rcs_months_since_start)/12))*IF(MOD((AP1123-rcs_months_since_start),rcs_frequency)=0,1,0)*IF(rcs_frequency=13,0,1))+SUM(IF(rcs_start_date=AO1123,rcs_amount,0)*IF(rcs_frequency=13,1,0))</f>
        <v>0</v>
      </c>
      <c r="AX1123" s="24">
        <f t="shared" ca="1" si="859"/>
        <v>0</v>
      </c>
      <c r="AY1123" s="24">
        <f t="shared" ca="1" si="860"/>
        <v>0</v>
      </c>
      <c r="AZ1123" s="24">
        <f t="shared" ca="1" si="861"/>
        <v>0</v>
      </c>
      <c r="BA1123" s="25">
        <f t="shared" ca="1" si="862"/>
        <v>0</v>
      </c>
      <c r="BB1123" s="23">
        <f t="array" aca="1" ref="BB1123" ca="1">SUM(IF(w_start_date&lt;=AO1123,1,0)*IF(w_end_date&gt;=AO1123,1,0)*w_amount*(1+w_escalation/100)^(INT((AP1123-w_months_since_start)/12))*IF(MOD(AP1123-w_months_since_start,w_frequency)=0,1,0)*IF(w_frequency=13,0,1))+SUM(IF(w_start_date=AO1123,w_amount,0)*IF(w_frequency=13,1,0))</f>
        <v>0</v>
      </c>
      <c r="BC1123" s="25">
        <f t="shared" ca="1" si="863"/>
        <v>0</v>
      </c>
      <c r="BD1123" s="24" t="b">
        <f t="shared" ca="1" si="864"/>
        <v>1</v>
      </c>
      <c r="BE1123" s="24" t="b">
        <f t="shared" ca="1" si="865"/>
        <v>1</v>
      </c>
      <c r="BF1123" s="23">
        <f t="array" aca="1" ref="BF1123" ca="1">SUM(IF(BD1123,1,0)*IF(ap_start_date&lt;=AO1123,1,0)*IF(ap_end_date&gt;=AO1123,1,0)*ap_amount*(1+ap_escalation/100)^(INT((AP1123-ap_months_since_start)/12))*IF(MOD(AP1123-ap_months_since_start,ap_frequency)=0,1,0))</f>
        <v>872573.19358912413</v>
      </c>
      <c r="BG1123" s="24">
        <f t="shared" ca="1" si="866"/>
        <v>10470878.32306949</v>
      </c>
      <c r="BH1123" s="24">
        <f t="shared" ca="1" si="867"/>
        <v>22.589727477139121</v>
      </c>
      <c r="BI1123">
        <f t="shared" ca="1" si="868"/>
        <v>0</v>
      </c>
      <c r="BJ1123" s="24">
        <f t="shared" ca="1" si="869"/>
        <v>158.12809233997382</v>
      </c>
      <c r="BK1123">
        <f t="shared" ca="1" si="870"/>
        <v>1</v>
      </c>
      <c r="BL1123" s="25">
        <f t="shared" ca="1" si="871"/>
        <v>13.177341028331151</v>
      </c>
      <c r="BM1123" s="32">
        <f t="shared" ca="1" si="850"/>
        <v>896.82924348204176</v>
      </c>
      <c r="BN1123" s="23">
        <f t="shared" ca="1" si="872"/>
        <v>0</v>
      </c>
      <c r="BO1123" s="24">
        <f t="shared" ca="1" si="873"/>
        <v>0</v>
      </c>
      <c r="BP1123" s="25">
        <f t="shared" ca="1" si="874"/>
        <v>0</v>
      </c>
      <c r="BQ1123" s="34">
        <f t="shared" ca="1" si="875"/>
        <v>79593</v>
      </c>
      <c r="BR1123" s="23">
        <f t="shared" ca="1" si="876"/>
        <v>896.82924348204176</v>
      </c>
      <c r="BS1123" s="24">
        <f t="shared" ca="1" si="877"/>
        <v>0</v>
      </c>
      <c r="BT1123" s="24">
        <f t="shared" ca="1" si="882"/>
        <v>0</v>
      </c>
      <c r="BU1123" s="24">
        <f t="shared" ca="1" si="878"/>
        <v>0</v>
      </c>
      <c r="BV1123" s="24">
        <f t="shared" ca="1" si="883"/>
        <v>0</v>
      </c>
      <c r="BW1123" s="24">
        <f t="shared" ca="1" si="879"/>
        <v>-13.177341028331151</v>
      </c>
      <c r="BX1123" s="25">
        <f t="shared" ca="1" si="884"/>
        <v>-173.06458984270486</v>
      </c>
      <c r="BY1123" s="23">
        <f t="shared" ca="1" si="851"/>
        <v>23.367336161600747</v>
      </c>
      <c r="BZ1123" s="24">
        <f t="shared" ca="1" si="852"/>
        <v>0</v>
      </c>
      <c r="CA1123" s="24">
        <f t="shared" ca="1" si="885"/>
        <v>0</v>
      </c>
      <c r="CB1123" s="24">
        <f t="shared" ca="1" si="853"/>
        <v>0</v>
      </c>
      <c r="CC1123" s="24">
        <f t="shared" ca="1" si="886"/>
        <v>0</v>
      </c>
      <c r="CD1123" s="24">
        <f t="shared" ca="1" si="854"/>
        <v>-0.34446624886590566</v>
      </c>
      <c r="CE1123" s="25">
        <f t="shared" ca="1" si="887"/>
        <v>-4.6070466691903285</v>
      </c>
      <c r="CF1123" s="23">
        <f t="shared" ca="1" si="888"/>
        <v>10101712.741166402</v>
      </c>
      <c r="CG1123" s="25">
        <f t="array" aca="1" ref="CG1123" ca="1">SUM(BF1112:BF1123/(1+inflation/100)^(AP1112:AP1123/12))</f>
        <v>267980.53702225391</v>
      </c>
      <c r="CH1123" s="32">
        <f ca="1">IFERROR(IF(MOD(AP1123-ap_months_since_start,12)=0,ap_drawdown/100*(AQ1123+AV1123+BA1123-BC1123),CH1122),0)</f>
        <v>138.87633297432805</v>
      </c>
    </row>
    <row r="1124" spans="40:86" x14ac:dyDescent="0.25">
      <c r="AN1124" s="32">
        <f t="shared" ca="1" si="849"/>
        <v>147.91666666666666</v>
      </c>
      <c r="AO1124" s="53">
        <f t="shared" ca="1" si="880"/>
        <v>79594</v>
      </c>
      <c r="AP1124" s="22">
        <v>1117</v>
      </c>
      <c r="AQ1124" s="32">
        <f t="shared" ca="1" si="881"/>
        <v>896.82924348204176</v>
      </c>
      <c r="AR1124" s="23">
        <f t="array" aca="1" ref="AR1124" ca="1">SUM(IF(lsc_start_date=AO1124,lsc_amount,0))</f>
        <v>0</v>
      </c>
      <c r="AS1124" s="24">
        <f t="shared" ca="1" si="855"/>
        <v>0</v>
      </c>
      <c r="AT1124" s="24">
        <f t="shared" ca="1" si="856"/>
        <v>0</v>
      </c>
      <c r="AU1124" s="24">
        <f t="shared" ca="1" si="857"/>
        <v>0</v>
      </c>
      <c r="AV1124" s="25">
        <f t="shared" ca="1" si="858"/>
        <v>0</v>
      </c>
      <c r="AW1124" s="23">
        <f t="array" aca="1" ref="AW1124" ca="1">SUM(IF(rcs_start_date&lt;=AO1124,1,0)*IF(rcs_end_date&gt;=AO1124,1,0)*rcs_amount*(1+rcs_escalation/100)^(INT((AP1124-rcs_months_since_start)/12))*IF(MOD((AP1124-rcs_months_since_start),rcs_frequency)=0,1,0)*IF(rcs_frequency=13,0,1))+SUM(IF(rcs_start_date=AO1124,rcs_amount,0)*IF(rcs_frequency=13,1,0))</f>
        <v>0</v>
      </c>
      <c r="AX1124" s="24">
        <f t="shared" ca="1" si="859"/>
        <v>0</v>
      </c>
      <c r="AY1124" s="24">
        <f t="shared" ca="1" si="860"/>
        <v>0</v>
      </c>
      <c r="AZ1124" s="24">
        <f t="shared" ca="1" si="861"/>
        <v>0</v>
      </c>
      <c r="BA1124" s="25">
        <f t="shared" ca="1" si="862"/>
        <v>0</v>
      </c>
      <c r="BB1124" s="23">
        <f t="array" aca="1" ref="BB1124" ca="1">SUM(IF(w_start_date&lt;=AO1124,1,0)*IF(w_end_date&gt;=AO1124,1,0)*w_amount*(1+w_escalation/100)^(INT((AP1124-w_months_since_start)/12))*IF(MOD(AP1124-w_months_since_start,w_frequency)=0,1,0)*IF(w_frequency=13,0,1))+SUM(IF(w_start_date=AO1124,w_amount,0)*IF(w_frequency=13,1,0))</f>
        <v>0</v>
      </c>
      <c r="BC1124" s="25">
        <f t="shared" ca="1" si="863"/>
        <v>0</v>
      </c>
      <c r="BD1124" s="24" t="b">
        <f t="shared" ca="1" si="864"/>
        <v>1</v>
      </c>
      <c r="BE1124" s="24" t="b">
        <f t="shared" ca="1" si="865"/>
        <v>1</v>
      </c>
      <c r="BF1124" s="23">
        <f t="array" aca="1" ref="BF1124" ca="1">SUM(IF(BD1124,1,0)*IF(ap_start_date&lt;=AO1124,1,0)*IF(ap_end_date&gt;=AO1124,1,0)*ap_amount*(1+ap_escalation/100)^(INT((AP1124-ap_months_since_start)/12))*IF(MOD(AP1124-ap_months_since_start,ap_frequency)=0,1,0))</f>
        <v>872573.19358912413</v>
      </c>
      <c r="BG1124" s="24">
        <f t="shared" ca="1" si="866"/>
        <v>10470878.32306949</v>
      </c>
      <c r="BH1124" s="24">
        <f t="shared" ca="1" si="867"/>
        <v>22.589727477139121</v>
      </c>
      <c r="BI1124">
        <f t="shared" ca="1" si="868"/>
        <v>0</v>
      </c>
      <c r="BJ1124" s="24">
        <f t="shared" ca="1" si="869"/>
        <v>158.12809233997382</v>
      </c>
      <c r="BK1124">
        <f t="shared" ca="1" si="870"/>
        <v>1</v>
      </c>
      <c r="BL1124" s="25">
        <f t="shared" ca="1" si="871"/>
        <v>13.177341028331151</v>
      </c>
      <c r="BM1124" s="32">
        <f t="shared" ca="1" si="850"/>
        <v>890.02066741361375</v>
      </c>
      <c r="BN1124" s="23">
        <f t="shared" ca="1" si="872"/>
        <v>0</v>
      </c>
      <c r="BO1124" s="24">
        <f t="shared" ca="1" si="873"/>
        <v>0</v>
      </c>
      <c r="BP1124" s="25">
        <f t="shared" ca="1" si="874"/>
        <v>0</v>
      </c>
      <c r="BQ1124" s="34">
        <f t="shared" ca="1" si="875"/>
        <v>79624</v>
      </c>
      <c r="BR1124" s="23">
        <f t="shared" ca="1" si="876"/>
        <v>890.02066741361375</v>
      </c>
      <c r="BS1124" s="24">
        <f t="shared" ca="1" si="877"/>
        <v>0</v>
      </c>
      <c r="BT1124" s="24">
        <f t="shared" ca="1" si="882"/>
        <v>0</v>
      </c>
      <c r="BU1124" s="24">
        <f t="shared" ca="1" si="878"/>
        <v>0</v>
      </c>
      <c r="BV1124" s="24">
        <f t="shared" ca="1" si="883"/>
        <v>0</v>
      </c>
      <c r="BW1124" s="24">
        <f t="shared" ca="1" si="879"/>
        <v>-13.177341028331151</v>
      </c>
      <c r="BX1124" s="25">
        <f t="shared" ca="1" si="884"/>
        <v>-171.70672643336567</v>
      </c>
      <c r="BY1124" s="23">
        <f t="shared" ca="1" si="851"/>
        <v>23.114265204586857</v>
      </c>
      <c r="BZ1124" s="24">
        <f t="shared" ca="1" si="852"/>
        <v>0</v>
      </c>
      <c r="CA1124" s="24">
        <f t="shared" ca="1" si="885"/>
        <v>0</v>
      </c>
      <c r="CB1124" s="24">
        <f t="shared" ca="1" si="853"/>
        <v>0</v>
      </c>
      <c r="CC1124" s="24">
        <f t="shared" ca="1" si="886"/>
        <v>0</v>
      </c>
      <c r="CD1124" s="24">
        <f t="shared" ca="1" si="854"/>
        <v>-0.34334223572988726</v>
      </c>
      <c r="CE1124" s="25">
        <f t="shared" ca="1" si="887"/>
        <v>-4.5565179744495898</v>
      </c>
      <c r="CF1124" s="23">
        <f t="shared" ca="1" si="888"/>
        <v>10135273.248612138</v>
      </c>
      <c r="CG1124" s="25">
        <f t="array" aca="1" ref="CG1124" ca="1">SUM(BF1113:BF1124/(1+inflation/100)^(AP1113:AP1124/12))</f>
        <v>267980.53702225391</v>
      </c>
      <c r="CH1124" s="32">
        <f ca="1">IFERROR(IF(MOD(AP1124-ap_months_since_start,12)=0,ap_drawdown/100*(AQ1124+AV1124+BA1124-BC1124),CH1123),0)</f>
        <v>138.87633297432805</v>
      </c>
    </row>
    <row r="1125" spans="40:86" x14ac:dyDescent="0.25">
      <c r="AN1125" s="32">
        <f t="shared" ca="1" si="849"/>
        <v>148</v>
      </c>
      <c r="AO1125" s="53">
        <f t="shared" ca="1" si="880"/>
        <v>79625</v>
      </c>
      <c r="AP1125" s="22">
        <v>1118</v>
      </c>
      <c r="AQ1125" s="32">
        <f t="shared" ca="1" si="881"/>
        <v>890.02066741361375</v>
      </c>
      <c r="AR1125" s="23">
        <f t="array" aca="1" ref="AR1125" ca="1">SUM(IF(lsc_start_date=AO1125,lsc_amount,0))</f>
        <v>0</v>
      </c>
      <c r="AS1125" s="24">
        <f t="shared" ca="1" si="855"/>
        <v>0</v>
      </c>
      <c r="AT1125" s="24">
        <f t="shared" ca="1" si="856"/>
        <v>0</v>
      </c>
      <c r="AU1125" s="24">
        <f t="shared" ca="1" si="857"/>
        <v>0</v>
      </c>
      <c r="AV1125" s="25">
        <f t="shared" ca="1" si="858"/>
        <v>0</v>
      </c>
      <c r="AW1125" s="23">
        <f t="array" aca="1" ref="AW1125" ca="1">SUM(IF(rcs_start_date&lt;=AO1125,1,0)*IF(rcs_end_date&gt;=AO1125,1,0)*rcs_amount*(1+rcs_escalation/100)^(INT((AP1125-rcs_months_since_start)/12))*IF(MOD((AP1125-rcs_months_since_start),rcs_frequency)=0,1,0)*IF(rcs_frequency=13,0,1))+SUM(IF(rcs_start_date=AO1125,rcs_amount,0)*IF(rcs_frequency=13,1,0))</f>
        <v>0</v>
      </c>
      <c r="AX1125" s="24">
        <f t="shared" ca="1" si="859"/>
        <v>0</v>
      </c>
      <c r="AY1125" s="24">
        <f t="shared" ca="1" si="860"/>
        <v>0</v>
      </c>
      <c r="AZ1125" s="24">
        <f t="shared" ca="1" si="861"/>
        <v>0</v>
      </c>
      <c r="BA1125" s="25">
        <f t="shared" ca="1" si="862"/>
        <v>0</v>
      </c>
      <c r="BB1125" s="23">
        <f t="array" aca="1" ref="BB1125" ca="1">SUM(IF(w_start_date&lt;=AO1125,1,0)*IF(w_end_date&gt;=AO1125,1,0)*w_amount*(1+w_escalation/100)^(INT((AP1125-w_months_since_start)/12))*IF(MOD(AP1125-w_months_since_start,w_frequency)=0,1,0)*IF(w_frequency=13,0,1))+SUM(IF(w_start_date=AO1125,w_amount,0)*IF(w_frequency=13,1,0))</f>
        <v>0</v>
      </c>
      <c r="BC1125" s="25">
        <f t="shared" ca="1" si="863"/>
        <v>0</v>
      </c>
      <c r="BD1125" s="24" t="b">
        <f t="shared" ca="1" si="864"/>
        <v>1</v>
      </c>
      <c r="BE1125" s="24" t="b">
        <f t="shared" ca="1" si="865"/>
        <v>1</v>
      </c>
      <c r="BF1125" s="23">
        <f t="array" aca="1" ref="BF1125" ca="1">SUM(IF(BD1125,1,0)*IF(ap_start_date&lt;=AO1125,1,0)*IF(ap_end_date&gt;=AO1125,1,0)*ap_amount*(1+ap_escalation/100)^(INT((AP1125-ap_months_since_start)/12))*IF(MOD(AP1125-ap_months_since_start,ap_frequency)=0,1,0))</f>
        <v>872573.19358912413</v>
      </c>
      <c r="BG1125" s="24">
        <f t="shared" ca="1" si="866"/>
        <v>10470878.32306949</v>
      </c>
      <c r="BH1125" s="24">
        <f t="shared" ca="1" si="867"/>
        <v>22.589727477139121</v>
      </c>
      <c r="BI1125">
        <f t="shared" ca="1" si="868"/>
        <v>0</v>
      </c>
      <c r="BJ1125" s="24">
        <f t="shared" ca="1" si="869"/>
        <v>158.12809233997382</v>
      </c>
      <c r="BK1125">
        <f t="shared" ca="1" si="870"/>
        <v>1</v>
      </c>
      <c r="BL1125" s="25">
        <f t="shared" ca="1" si="871"/>
        <v>13.177341028331151</v>
      </c>
      <c r="BM1125" s="32">
        <f t="shared" ca="1" si="850"/>
        <v>883.16301973613815</v>
      </c>
      <c r="BN1125" s="23">
        <f t="shared" ca="1" si="872"/>
        <v>0</v>
      </c>
      <c r="BO1125" s="24">
        <f t="shared" ca="1" si="873"/>
        <v>0</v>
      </c>
      <c r="BP1125" s="25">
        <f t="shared" ca="1" si="874"/>
        <v>0</v>
      </c>
      <c r="BQ1125" s="34">
        <f t="shared" ca="1" si="875"/>
        <v>79655</v>
      </c>
      <c r="BR1125" s="23">
        <f t="shared" ca="1" si="876"/>
        <v>883.16301973613815</v>
      </c>
      <c r="BS1125" s="24">
        <f t="shared" ca="1" si="877"/>
        <v>0</v>
      </c>
      <c r="BT1125" s="24">
        <f t="shared" ca="1" si="882"/>
        <v>0</v>
      </c>
      <c r="BU1125" s="24">
        <f t="shared" ca="1" si="878"/>
        <v>0</v>
      </c>
      <c r="BV1125" s="24">
        <f t="shared" ca="1" si="883"/>
        <v>0</v>
      </c>
      <c r="BW1125" s="24">
        <f t="shared" ca="1" si="879"/>
        <v>-13.177341028331151</v>
      </c>
      <c r="BX1125" s="25">
        <f t="shared" ca="1" si="884"/>
        <v>-170.34886302402649</v>
      </c>
      <c r="BY1125" s="23">
        <f t="shared" ca="1" si="851"/>
        <v>22.861326758126737</v>
      </c>
      <c r="BZ1125" s="24">
        <f t="shared" ca="1" si="852"/>
        <v>0</v>
      </c>
      <c r="CA1125" s="24">
        <f t="shared" ca="1" si="885"/>
        <v>0</v>
      </c>
      <c r="CB1125" s="24">
        <f t="shared" ca="1" si="853"/>
        <v>0</v>
      </c>
      <c r="CC1125" s="24">
        <f t="shared" ca="1" si="886"/>
        <v>0</v>
      </c>
      <c r="CD1125" s="24">
        <f t="shared" ca="1" si="854"/>
        <v>-0.34222189031323003</v>
      </c>
      <c r="CE1125" s="25">
        <f t="shared" ca="1" si="887"/>
        <v>-4.506154157739199</v>
      </c>
      <c r="CF1125" s="23">
        <f t="shared" ca="1" si="888"/>
        <v>10168833.756057873</v>
      </c>
      <c r="CG1125" s="25">
        <f t="array" aca="1" ref="CG1125" ca="1">SUM(BF1114:BF1125/(1+inflation/100)^(AP1114:AP1125/12))</f>
        <v>267980.53702225396</v>
      </c>
      <c r="CH1125" s="32">
        <f ca="1">IFERROR(IF(MOD(AP1125-ap_months_since_start,12)=0,ap_drawdown/100*(AQ1125+AV1125+BA1125-BC1125),CH1124),0)</f>
        <v>138.87633297432805</v>
      </c>
    </row>
    <row r="1126" spans="40:86" x14ac:dyDescent="0.25">
      <c r="AN1126" s="32">
        <f t="shared" ca="1" si="849"/>
        <v>148.08333333333334</v>
      </c>
      <c r="AO1126" s="53">
        <f t="shared" ca="1" si="880"/>
        <v>79656</v>
      </c>
      <c r="AP1126" s="22">
        <v>1119</v>
      </c>
      <c r="AQ1126" s="32">
        <f t="shared" ca="1" si="881"/>
        <v>883.16301973613815</v>
      </c>
      <c r="AR1126" s="23">
        <f t="array" aca="1" ref="AR1126" ca="1">SUM(IF(lsc_start_date=AO1126,lsc_amount,0))</f>
        <v>0</v>
      </c>
      <c r="AS1126" s="24">
        <f t="shared" ca="1" si="855"/>
        <v>0</v>
      </c>
      <c r="AT1126" s="24">
        <f t="shared" ca="1" si="856"/>
        <v>0</v>
      </c>
      <c r="AU1126" s="24">
        <f t="shared" ca="1" si="857"/>
        <v>0</v>
      </c>
      <c r="AV1126" s="25">
        <f t="shared" ca="1" si="858"/>
        <v>0</v>
      </c>
      <c r="AW1126" s="23">
        <f t="array" aca="1" ref="AW1126" ca="1">SUM(IF(rcs_start_date&lt;=AO1126,1,0)*IF(rcs_end_date&gt;=AO1126,1,0)*rcs_amount*(1+rcs_escalation/100)^(INT((AP1126-rcs_months_since_start)/12))*IF(MOD((AP1126-rcs_months_since_start),rcs_frequency)=0,1,0)*IF(rcs_frequency=13,0,1))+SUM(IF(rcs_start_date=AO1126,rcs_amount,0)*IF(rcs_frequency=13,1,0))</f>
        <v>0</v>
      </c>
      <c r="AX1126" s="24">
        <f t="shared" ca="1" si="859"/>
        <v>0</v>
      </c>
      <c r="AY1126" s="24">
        <f t="shared" ca="1" si="860"/>
        <v>0</v>
      </c>
      <c r="AZ1126" s="24">
        <f t="shared" ca="1" si="861"/>
        <v>0</v>
      </c>
      <c r="BA1126" s="25">
        <f t="shared" ca="1" si="862"/>
        <v>0</v>
      </c>
      <c r="BB1126" s="23">
        <f t="array" aca="1" ref="BB1126" ca="1">SUM(IF(w_start_date&lt;=AO1126,1,0)*IF(w_end_date&gt;=AO1126,1,0)*w_amount*(1+w_escalation/100)^(INT((AP1126-w_months_since_start)/12))*IF(MOD(AP1126-w_months_since_start,w_frequency)=0,1,0)*IF(w_frequency=13,0,1))+SUM(IF(w_start_date=AO1126,w_amount,0)*IF(w_frequency=13,1,0))</f>
        <v>0</v>
      </c>
      <c r="BC1126" s="25">
        <f t="shared" ca="1" si="863"/>
        <v>0</v>
      </c>
      <c r="BD1126" s="24" t="b">
        <f t="shared" ca="1" si="864"/>
        <v>1</v>
      </c>
      <c r="BE1126" s="24" t="b">
        <f t="shared" ca="1" si="865"/>
        <v>1</v>
      </c>
      <c r="BF1126" s="23">
        <f t="array" aca="1" ref="BF1126" ca="1">SUM(IF(BD1126,1,0)*IF(ap_start_date&lt;=AO1126,1,0)*IF(ap_end_date&gt;=AO1126,1,0)*ap_amount*(1+ap_escalation/100)^(INT((AP1126-ap_months_since_start)/12))*IF(MOD(AP1126-ap_months_since_start,ap_frequency)=0,1,0))</f>
        <v>872573.19358912413</v>
      </c>
      <c r="BG1126" s="24">
        <f t="shared" ca="1" si="866"/>
        <v>10470878.32306949</v>
      </c>
      <c r="BH1126" s="24">
        <f t="shared" ca="1" si="867"/>
        <v>22.589727477139121</v>
      </c>
      <c r="BI1126">
        <f t="shared" ca="1" si="868"/>
        <v>0</v>
      </c>
      <c r="BJ1126" s="24">
        <f t="shared" ca="1" si="869"/>
        <v>158.12809233997382</v>
      </c>
      <c r="BK1126">
        <f t="shared" ca="1" si="870"/>
        <v>1</v>
      </c>
      <c r="BL1126" s="25">
        <f t="shared" ca="1" si="871"/>
        <v>13.177341028331151</v>
      </c>
      <c r="BM1126" s="32">
        <f t="shared" ca="1" si="850"/>
        <v>876.25594677466279</v>
      </c>
      <c r="BN1126" s="23">
        <f t="shared" ca="1" si="872"/>
        <v>0</v>
      </c>
      <c r="BO1126" s="24">
        <f t="shared" ca="1" si="873"/>
        <v>0</v>
      </c>
      <c r="BP1126" s="25">
        <f t="shared" ca="1" si="874"/>
        <v>0</v>
      </c>
      <c r="BQ1126" s="34">
        <f t="shared" ca="1" si="875"/>
        <v>79683</v>
      </c>
      <c r="BR1126" s="23">
        <f t="shared" ca="1" si="876"/>
        <v>876.25594677466279</v>
      </c>
      <c r="BS1126" s="24">
        <f t="shared" ca="1" si="877"/>
        <v>0</v>
      </c>
      <c r="BT1126" s="24">
        <f t="shared" ca="1" si="882"/>
        <v>0</v>
      </c>
      <c r="BU1126" s="24">
        <f t="shared" ca="1" si="878"/>
        <v>0</v>
      </c>
      <c r="BV1126" s="24">
        <f t="shared" ca="1" si="883"/>
        <v>0</v>
      </c>
      <c r="BW1126" s="24">
        <f t="shared" ca="1" si="879"/>
        <v>-13.177341028331151</v>
      </c>
      <c r="BX1126" s="25">
        <f t="shared" ca="1" si="884"/>
        <v>-168.9909996146873</v>
      </c>
      <c r="BY1126" s="23">
        <f t="shared" ca="1" si="851"/>
        <v>22.608517671676243</v>
      </c>
      <c r="BZ1126" s="24">
        <f t="shared" ca="1" si="852"/>
        <v>0</v>
      </c>
      <c r="CA1126" s="24">
        <f t="shared" ca="1" si="885"/>
        <v>0</v>
      </c>
      <c r="CB1126" s="24">
        <f t="shared" ca="1" si="853"/>
        <v>0</v>
      </c>
      <c r="CC1126" s="24">
        <f t="shared" ca="1" si="886"/>
        <v>0</v>
      </c>
      <c r="CD1126" s="24">
        <f t="shared" ca="1" si="854"/>
        <v>-0.34110520064795385</v>
      </c>
      <c r="CE1126" s="25">
        <f t="shared" ca="1" si="887"/>
        <v>-4.4559546810526838</v>
      </c>
      <c r="CF1126" s="23">
        <f t="shared" ca="1" si="888"/>
        <v>10202394.263503607</v>
      </c>
      <c r="CG1126" s="25">
        <f t="array" aca="1" ref="CG1126" ca="1">SUM(BF1115:BF1126/(1+inflation/100)^(AP1115:AP1126/12))</f>
        <v>267980.53702225391</v>
      </c>
      <c r="CH1126" s="32">
        <f ca="1">IFERROR(IF(MOD(AP1126-ap_months_since_start,12)=0,ap_drawdown/100*(AQ1126+AV1126+BA1126-BC1126),CH1125),0)</f>
        <v>138.87633297432805</v>
      </c>
    </row>
    <row r="1127" spans="40:86" x14ac:dyDescent="0.25">
      <c r="AN1127" s="32">
        <f t="shared" ca="1" si="849"/>
        <v>148.16666666666666</v>
      </c>
      <c r="AO1127" s="53">
        <f t="shared" ca="1" si="880"/>
        <v>79684</v>
      </c>
      <c r="AP1127" s="22">
        <v>1120</v>
      </c>
      <c r="AQ1127" s="32">
        <f t="shared" ca="1" si="881"/>
        <v>876.25594677466279</v>
      </c>
      <c r="AR1127" s="23">
        <f t="array" aca="1" ref="AR1127" ca="1">SUM(IF(lsc_start_date=AO1127,lsc_amount,0))</f>
        <v>0</v>
      </c>
      <c r="AS1127" s="24">
        <f t="shared" ca="1" si="855"/>
        <v>0</v>
      </c>
      <c r="AT1127" s="24">
        <f t="shared" ca="1" si="856"/>
        <v>0</v>
      </c>
      <c r="AU1127" s="24">
        <f t="shared" ca="1" si="857"/>
        <v>0</v>
      </c>
      <c r="AV1127" s="25">
        <f t="shared" ca="1" si="858"/>
        <v>0</v>
      </c>
      <c r="AW1127" s="23">
        <f t="array" aca="1" ref="AW1127" ca="1">SUM(IF(rcs_start_date&lt;=AO1127,1,0)*IF(rcs_end_date&gt;=AO1127,1,0)*rcs_amount*(1+rcs_escalation/100)^(INT((AP1127-rcs_months_since_start)/12))*IF(MOD((AP1127-rcs_months_since_start),rcs_frequency)=0,1,0)*IF(rcs_frequency=13,0,1))+SUM(IF(rcs_start_date=AO1127,rcs_amount,0)*IF(rcs_frequency=13,1,0))</f>
        <v>0</v>
      </c>
      <c r="AX1127" s="24">
        <f t="shared" ca="1" si="859"/>
        <v>0</v>
      </c>
      <c r="AY1127" s="24">
        <f t="shared" ca="1" si="860"/>
        <v>0</v>
      </c>
      <c r="AZ1127" s="24">
        <f t="shared" ca="1" si="861"/>
        <v>0</v>
      </c>
      <c r="BA1127" s="25">
        <f t="shared" ca="1" si="862"/>
        <v>0</v>
      </c>
      <c r="BB1127" s="23">
        <f t="array" aca="1" ref="BB1127" ca="1">SUM(IF(w_start_date&lt;=AO1127,1,0)*IF(w_end_date&gt;=AO1127,1,0)*w_amount*(1+w_escalation/100)^(INT((AP1127-w_months_since_start)/12))*IF(MOD(AP1127-w_months_since_start,w_frequency)=0,1,0)*IF(w_frequency=13,0,1))+SUM(IF(w_start_date=AO1127,w_amount,0)*IF(w_frequency=13,1,0))</f>
        <v>0</v>
      </c>
      <c r="BC1127" s="25">
        <f t="shared" ca="1" si="863"/>
        <v>0</v>
      </c>
      <c r="BD1127" s="24" t="b">
        <f t="shared" ca="1" si="864"/>
        <v>1</v>
      </c>
      <c r="BE1127" s="24" t="b">
        <f t="shared" ca="1" si="865"/>
        <v>1</v>
      </c>
      <c r="BF1127" s="23">
        <f t="array" aca="1" ref="BF1127" ca="1">SUM(IF(BD1127,1,0)*IF(ap_start_date&lt;=AO1127,1,0)*IF(ap_end_date&gt;=AO1127,1,0)*ap_amount*(1+ap_escalation/100)^(INT((AP1127-ap_months_since_start)/12))*IF(MOD(AP1127-ap_months_since_start,ap_frequency)=0,1,0))</f>
        <v>872573.19358912413</v>
      </c>
      <c r="BG1127" s="24">
        <f t="shared" ca="1" si="866"/>
        <v>10470878.32306949</v>
      </c>
      <c r="BH1127" s="24">
        <f t="shared" ca="1" si="867"/>
        <v>22.589727477139121</v>
      </c>
      <c r="BI1127">
        <f t="shared" ca="1" si="868"/>
        <v>0</v>
      </c>
      <c r="BJ1127" s="24">
        <f t="shared" ca="1" si="869"/>
        <v>158.12809233997382</v>
      </c>
      <c r="BK1127">
        <f t="shared" ca="1" si="870"/>
        <v>1</v>
      </c>
      <c r="BL1127" s="25">
        <f t="shared" ca="1" si="871"/>
        <v>13.177341028331151</v>
      </c>
      <c r="BM1127" s="32">
        <f t="shared" ca="1" si="850"/>
        <v>869.29909230518592</v>
      </c>
      <c r="BN1127" s="23">
        <f t="shared" ca="1" si="872"/>
        <v>0</v>
      </c>
      <c r="BO1127" s="24">
        <f t="shared" ca="1" si="873"/>
        <v>0</v>
      </c>
      <c r="BP1127" s="25">
        <f t="shared" ca="1" si="874"/>
        <v>0</v>
      </c>
      <c r="BQ1127" s="34">
        <f t="shared" ca="1" si="875"/>
        <v>79714</v>
      </c>
      <c r="BR1127" s="23">
        <f t="shared" ca="1" si="876"/>
        <v>869.29909230518592</v>
      </c>
      <c r="BS1127" s="24">
        <f t="shared" ca="1" si="877"/>
        <v>0</v>
      </c>
      <c r="BT1127" s="24">
        <f t="shared" ca="1" si="882"/>
        <v>0</v>
      </c>
      <c r="BU1127" s="24">
        <f t="shared" ca="1" si="878"/>
        <v>0</v>
      </c>
      <c r="BV1127" s="24">
        <f t="shared" ca="1" si="883"/>
        <v>0</v>
      </c>
      <c r="BW1127" s="24">
        <f t="shared" ca="1" si="879"/>
        <v>-13.177341028331151</v>
      </c>
      <c r="BX1127" s="25">
        <f t="shared" ca="1" si="884"/>
        <v>-167.63313620534811</v>
      </c>
      <c r="BY1127" s="23">
        <f t="shared" ca="1" si="851"/>
        <v>22.355834794314433</v>
      </c>
      <c r="BZ1127" s="24">
        <f t="shared" ca="1" si="852"/>
        <v>0</v>
      </c>
      <c r="CA1127" s="24">
        <f t="shared" ca="1" si="885"/>
        <v>0</v>
      </c>
      <c r="CB1127" s="24">
        <f t="shared" ca="1" si="853"/>
        <v>0</v>
      </c>
      <c r="CC1127" s="24">
        <f t="shared" ca="1" si="886"/>
        <v>0</v>
      </c>
      <c r="CD1127" s="24">
        <f t="shared" ca="1" si="854"/>
        <v>-0.33999215480513267</v>
      </c>
      <c r="CE1127" s="25">
        <f t="shared" ca="1" si="887"/>
        <v>-4.4059190081391142</v>
      </c>
      <c r="CF1127" s="23">
        <f t="shared" ca="1" si="888"/>
        <v>10235954.770949343</v>
      </c>
      <c r="CG1127" s="25">
        <f t="array" aca="1" ref="CG1127" ca="1">SUM(BF1116:BF1127/(1+inflation/100)^(AP1116:AP1127/12))</f>
        <v>267980.53702225391</v>
      </c>
      <c r="CH1127" s="32">
        <f ca="1">IFERROR(IF(MOD(AP1127-ap_months_since_start,12)=0,ap_drawdown/100*(AQ1127+AV1127+BA1127-BC1127),CH1126),0)</f>
        <v>138.87633297432805</v>
      </c>
    </row>
    <row r="1128" spans="40:86" x14ac:dyDescent="0.25">
      <c r="AN1128" s="32">
        <f t="shared" ca="1" si="849"/>
        <v>148.25</v>
      </c>
      <c r="AO1128" s="53">
        <f t="shared" ca="1" si="880"/>
        <v>79715</v>
      </c>
      <c r="AP1128" s="22">
        <v>1121</v>
      </c>
      <c r="AQ1128" s="32">
        <f t="shared" ca="1" si="881"/>
        <v>869.29909230518592</v>
      </c>
      <c r="AR1128" s="23">
        <f t="array" aca="1" ref="AR1128" ca="1">SUM(IF(lsc_start_date=AO1128,lsc_amount,0))</f>
        <v>0</v>
      </c>
      <c r="AS1128" s="24">
        <f t="shared" ca="1" si="855"/>
        <v>0</v>
      </c>
      <c r="AT1128" s="24">
        <f t="shared" ca="1" si="856"/>
        <v>0</v>
      </c>
      <c r="AU1128" s="24">
        <f t="shared" ca="1" si="857"/>
        <v>0</v>
      </c>
      <c r="AV1128" s="25">
        <f t="shared" ca="1" si="858"/>
        <v>0</v>
      </c>
      <c r="AW1128" s="23">
        <f t="array" aca="1" ref="AW1128" ca="1">SUM(IF(rcs_start_date&lt;=AO1128,1,0)*IF(rcs_end_date&gt;=AO1128,1,0)*rcs_amount*(1+rcs_escalation/100)^(INT((AP1128-rcs_months_since_start)/12))*IF(MOD((AP1128-rcs_months_since_start),rcs_frequency)=0,1,0)*IF(rcs_frequency=13,0,1))+SUM(IF(rcs_start_date=AO1128,rcs_amount,0)*IF(rcs_frequency=13,1,0))</f>
        <v>0</v>
      </c>
      <c r="AX1128" s="24">
        <f t="shared" ca="1" si="859"/>
        <v>0</v>
      </c>
      <c r="AY1128" s="24">
        <f t="shared" ca="1" si="860"/>
        <v>0</v>
      </c>
      <c r="AZ1128" s="24">
        <f t="shared" ca="1" si="861"/>
        <v>0</v>
      </c>
      <c r="BA1128" s="25">
        <f t="shared" ca="1" si="862"/>
        <v>0</v>
      </c>
      <c r="BB1128" s="23">
        <f t="array" aca="1" ref="BB1128" ca="1">SUM(IF(w_start_date&lt;=AO1128,1,0)*IF(w_end_date&gt;=AO1128,1,0)*w_amount*(1+w_escalation/100)^(INT((AP1128-w_months_since_start)/12))*IF(MOD(AP1128-w_months_since_start,w_frequency)=0,1,0)*IF(w_frequency=13,0,1))+SUM(IF(w_start_date=AO1128,w_amount,0)*IF(w_frequency=13,1,0))</f>
        <v>0</v>
      </c>
      <c r="BC1128" s="25">
        <f t="shared" ca="1" si="863"/>
        <v>0</v>
      </c>
      <c r="BD1128" s="24" t="b">
        <f t="shared" ca="1" si="864"/>
        <v>1</v>
      </c>
      <c r="BE1128" s="24" t="b">
        <f t="shared" ca="1" si="865"/>
        <v>1</v>
      </c>
      <c r="BF1128" s="23">
        <f t="array" aca="1" ref="BF1128" ca="1">SUM(IF(BD1128,1,0)*IF(ap_start_date&lt;=AO1128,1,0)*IF(ap_end_date&gt;=AO1128,1,0)*ap_amount*(1+ap_escalation/100)^(INT((AP1128-ap_months_since_start)/12))*IF(MOD(AP1128-ap_months_since_start,ap_frequency)=0,1,0))</f>
        <v>872573.19358912413</v>
      </c>
      <c r="BG1128" s="24">
        <f t="shared" ca="1" si="866"/>
        <v>10470878.32306949</v>
      </c>
      <c r="BH1128" s="24">
        <f t="shared" ca="1" si="867"/>
        <v>22.589727477139121</v>
      </c>
      <c r="BI1128">
        <f t="shared" ca="1" si="868"/>
        <v>0</v>
      </c>
      <c r="BJ1128" s="24">
        <f t="shared" ca="1" si="869"/>
        <v>158.12809233997382</v>
      </c>
      <c r="BK1128">
        <f t="shared" ca="1" si="870"/>
        <v>1</v>
      </c>
      <c r="BL1128" s="25">
        <f t="shared" ca="1" si="871"/>
        <v>13.177341028331151</v>
      </c>
      <c r="BM1128" s="32">
        <f t="shared" ca="1" si="850"/>
        <v>862.29209753628425</v>
      </c>
      <c r="BN1128" s="23">
        <f t="shared" ca="1" si="872"/>
        <v>0</v>
      </c>
      <c r="BO1128" s="24">
        <f t="shared" ca="1" si="873"/>
        <v>0</v>
      </c>
      <c r="BP1128" s="25">
        <f t="shared" ca="1" si="874"/>
        <v>0</v>
      </c>
      <c r="BQ1128" s="34">
        <f t="shared" ca="1" si="875"/>
        <v>79744</v>
      </c>
      <c r="BR1128" s="23">
        <f t="shared" ca="1" si="876"/>
        <v>862.29209753628425</v>
      </c>
      <c r="BS1128" s="24">
        <f t="shared" ca="1" si="877"/>
        <v>0</v>
      </c>
      <c r="BT1128" s="24">
        <f t="shared" ca="1" si="882"/>
        <v>0</v>
      </c>
      <c r="BU1128" s="24">
        <f t="shared" ca="1" si="878"/>
        <v>0</v>
      </c>
      <c r="BV1128" s="24">
        <f t="shared" ca="1" si="883"/>
        <v>0</v>
      </c>
      <c r="BW1128" s="24">
        <f t="shared" ca="1" si="879"/>
        <v>-13.177341028331151</v>
      </c>
      <c r="BX1128" s="25">
        <f t="shared" ca="1" si="884"/>
        <v>-166.27527279600895</v>
      </c>
      <c r="BY1128" s="23">
        <f t="shared" ca="1" si="851"/>
        <v>22.103274974702973</v>
      </c>
      <c r="BZ1128" s="24">
        <f t="shared" ca="1" si="852"/>
        <v>0</v>
      </c>
      <c r="CA1128" s="24">
        <f t="shared" ca="1" si="885"/>
        <v>0</v>
      </c>
      <c r="CB1128" s="24">
        <f t="shared" ca="1" si="853"/>
        <v>0</v>
      </c>
      <c r="CC1128" s="24">
        <f t="shared" ca="1" si="886"/>
        <v>0</v>
      </c>
      <c r="CD1128" s="24">
        <f t="shared" ca="1" si="854"/>
        <v>-0.33888274089476494</v>
      </c>
      <c r="CE1128" s="25">
        <f t="shared" ca="1" si="887"/>
        <v>-4.3560466044973802</v>
      </c>
      <c r="CF1128" s="23">
        <f t="shared" ca="1" si="888"/>
        <v>10269515.278395077</v>
      </c>
      <c r="CG1128" s="25">
        <f t="array" aca="1" ref="CG1128" ca="1">SUM(BF1117:BF1128/(1+inflation/100)^(AP1117:AP1128/12))</f>
        <v>267980.53702225396</v>
      </c>
      <c r="CH1128" s="32">
        <f ca="1">IFERROR(IF(MOD(AP1128-ap_months_since_start,12)=0,ap_drawdown/100*(AQ1128+AV1128+BA1128-BC1128),CH1127),0)</f>
        <v>138.87633297432805</v>
      </c>
    </row>
    <row r="1129" spans="40:86" x14ac:dyDescent="0.25">
      <c r="AN1129" s="32">
        <f t="shared" ca="1" si="849"/>
        <v>148.33333333333334</v>
      </c>
      <c r="AO1129" s="53">
        <f t="shared" ca="1" si="880"/>
        <v>79745</v>
      </c>
      <c r="AP1129" s="22">
        <v>1122</v>
      </c>
      <c r="AQ1129" s="32">
        <f t="shared" ca="1" si="881"/>
        <v>862.29209753628425</v>
      </c>
      <c r="AR1129" s="23">
        <f t="array" aca="1" ref="AR1129" ca="1">SUM(IF(lsc_start_date=AO1129,lsc_amount,0))</f>
        <v>0</v>
      </c>
      <c r="AS1129" s="24">
        <f t="shared" ca="1" si="855"/>
        <v>0</v>
      </c>
      <c r="AT1129" s="24">
        <f t="shared" ca="1" si="856"/>
        <v>0</v>
      </c>
      <c r="AU1129" s="24">
        <f t="shared" ca="1" si="857"/>
        <v>0</v>
      </c>
      <c r="AV1129" s="25">
        <f t="shared" ca="1" si="858"/>
        <v>0</v>
      </c>
      <c r="AW1129" s="23">
        <f t="array" aca="1" ref="AW1129" ca="1">SUM(IF(rcs_start_date&lt;=AO1129,1,0)*IF(rcs_end_date&gt;=AO1129,1,0)*rcs_amount*(1+rcs_escalation/100)^(INT((AP1129-rcs_months_since_start)/12))*IF(MOD((AP1129-rcs_months_since_start),rcs_frequency)=0,1,0)*IF(rcs_frequency=13,0,1))+SUM(IF(rcs_start_date=AO1129,rcs_amount,0)*IF(rcs_frequency=13,1,0))</f>
        <v>0</v>
      </c>
      <c r="AX1129" s="24">
        <f t="shared" ca="1" si="859"/>
        <v>0</v>
      </c>
      <c r="AY1129" s="24">
        <f t="shared" ca="1" si="860"/>
        <v>0</v>
      </c>
      <c r="AZ1129" s="24">
        <f t="shared" ca="1" si="861"/>
        <v>0</v>
      </c>
      <c r="BA1129" s="25">
        <f t="shared" ca="1" si="862"/>
        <v>0</v>
      </c>
      <c r="BB1129" s="23">
        <f t="array" aca="1" ref="BB1129" ca="1">SUM(IF(w_start_date&lt;=AO1129,1,0)*IF(w_end_date&gt;=AO1129,1,0)*w_amount*(1+w_escalation/100)^(INT((AP1129-w_months_since_start)/12))*IF(MOD(AP1129-w_months_since_start,w_frequency)=0,1,0)*IF(w_frequency=13,0,1))+SUM(IF(w_start_date=AO1129,w_amount,0)*IF(w_frequency=13,1,0))</f>
        <v>0</v>
      </c>
      <c r="BC1129" s="25">
        <f t="shared" ca="1" si="863"/>
        <v>0</v>
      </c>
      <c r="BD1129" s="24" t="b">
        <f t="shared" ca="1" si="864"/>
        <v>1</v>
      </c>
      <c r="BE1129" s="24" t="b">
        <f t="shared" ca="1" si="865"/>
        <v>1</v>
      </c>
      <c r="BF1129" s="23">
        <f t="array" aca="1" ref="BF1129" ca="1">SUM(IF(BD1129,1,0)*IF(ap_start_date&lt;=AO1129,1,0)*IF(ap_end_date&gt;=AO1129,1,0)*ap_amount*(1+ap_escalation/100)^(INT((AP1129-ap_months_since_start)/12))*IF(MOD(AP1129-ap_months_since_start,ap_frequency)=0,1,0))</f>
        <v>872573.19358912413</v>
      </c>
      <c r="BG1129" s="24">
        <f t="shared" ca="1" si="866"/>
        <v>10470878.32306949</v>
      </c>
      <c r="BH1129" s="24">
        <f t="shared" ca="1" si="867"/>
        <v>22.589727477139121</v>
      </c>
      <c r="BI1129">
        <f t="shared" ca="1" si="868"/>
        <v>0</v>
      </c>
      <c r="BJ1129" s="24">
        <f t="shared" ca="1" si="869"/>
        <v>158.12809233997382</v>
      </c>
      <c r="BK1129">
        <f t="shared" ca="1" si="870"/>
        <v>1</v>
      </c>
      <c r="BL1129" s="25">
        <f t="shared" ca="1" si="871"/>
        <v>13.177341028331151</v>
      </c>
      <c r="BM1129" s="32">
        <f t="shared" ca="1" si="850"/>
        <v>855.23460109060863</v>
      </c>
      <c r="BN1129" s="23">
        <f t="shared" ca="1" si="872"/>
        <v>0</v>
      </c>
      <c r="BO1129" s="24">
        <f t="shared" ca="1" si="873"/>
        <v>0</v>
      </c>
      <c r="BP1129" s="25">
        <f t="shared" ca="1" si="874"/>
        <v>0</v>
      </c>
      <c r="BQ1129" s="34">
        <f t="shared" ca="1" si="875"/>
        <v>79775</v>
      </c>
      <c r="BR1129" s="23">
        <f t="shared" ca="1" si="876"/>
        <v>855.23460109060863</v>
      </c>
      <c r="BS1129" s="24">
        <f t="shared" ca="1" si="877"/>
        <v>0</v>
      </c>
      <c r="BT1129" s="24">
        <f t="shared" ca="1" si="882"/>
        <v>0</v>
      </c>
      <c r="BU1129" s="24">
        <f t="shared" ca="1" si="878"/>
        <v>0</v>
      </c>
      <c r="BV1129" s="24">
        <f t="shared" ca="1" si="883"/>
        <v>0</v>
      </c>
      <c r="BW1129" s="24">
        <f t="shared" ca="1" si="879"/>
        <v>-13.177341028331151</v>
      </c>
      <c r="BX1129" s="25">
        <f t="shared" ca="1" si="884"/>
        <v>-164.91740938666976</v>
      </c>
      <c r="BY1129" s="23">
        <f t="shared" ca="1" si="851"/>
        <v>21.85083506104564</v>
      </c>
      <c r="BZ1129" s="24">
        <f t="shared" ca="1" si="852"/>
        <v>0</v>
      </c>
      <c r="CA1129" s="24">
        <f t="shared" ca="1" si="885"/>
        <v>0</v>
      </c>
      <c r="CB1129" s="24">
        <f t="shared" ca="1" si="853"/>
        <v>0</v>
      </c>
      <c r="CC1129" s="24">
        <f t="shared" ca="1" si="886"/>
        <v>0</v>
      </c>
      <c r="CD1129" s="24">
        <f t="shared" ca="1" si="854"/>
        <v>-0.33777694706564637</v>
      </c>
      <c r="CE1129" s="25">
        <f t="shared" ca="1" si="887"/>
        <v>-4.3063369373704798</v>
      </c>
      <c r="CF1129" s="23">
        <f t="shared" ca="1" si="888"/>
        <v>10303075.785840813</v>
      </c>
      <c r="CG1129" s="25">
        <f t="array" aca="1" ref="CG1129" ca="1">SUM(BF1118:BF1129/(1+inflation/100)^(AP1118:AP1129/12))</f>
        <v>267980.53702225396</v>
      </c>
      <c r="CH1129" s="32">
        <f ca="1">IFERROR(IF(MOD(AP1129-ap_months_since_start,12)=0,ap_drawdown/100*(AQ1129+AV1129+BA1129-BC1129),CH1128),0)</f>
        <v>138.87633297432805</v>
      </c>
    </row>
    <row r="1130" spans="40:86" x14ac:dyDescent="0.25">
      <c r="AN1130" s="32">
        <f t="shared" ca="1" si="849"/>
        <v>148.41666666666666</v>
      </c>
      <c r="AO1130" s="53">
        <f t="shared" ca="1" si="880"/>
        <v>79776</v>
      </c>
      <c r="AP1130" s="22">
        <v>1123</v>
      </c>
      <c r="AQ1130" s="32">
        <f t="shared" ca="1" si="881"/>
        <v>855.23460109060863</v>
      </c>
      <c r="AR1130" s="23">
        <f t="array" aca="1" ref="AR1130" ca="1">SUM(IF(lsc_start_date=AO1130,lsc_amount,0))</f>
        <v>0</v>
      </c>
      <c r="AS1130" s="24">
        <f t="shared" ca="1" si="855"/>
        <v>0</v>
      </c>
      <c r="AT1130" s="24">
        <f t="shared" ca="1" si="856"/>
        <v>0</v>
      </c>
      <c r="AU1130" s="24">
        <f t="shared" ca="1" si="857"/>
        <v>0</v>
      </c>
      <c r="AV1130" s="25">
        <f t="shared" ca="1" si="858"/>
        <v>0</v>
      </c>
      <c r="AW1130" s="23">
        <f t="array" aca="1" ref="AW1130" ca="1">SUM(IF(rcs_start_date&lt;=AO1130,1,0)*IF(rcs_end_date&gt;=AO1130,1,0)*rcs_amount*(1+rcs_escalation/100)^(INT((AP1130-rcs_months_since_start)/12))*IF(MOD((AP1130-rcs_months_since_start),rcs_frequency)=0,1,0)*IF(rcs_frequency=13,0,1))+SUM(IF(rcs_start_date=AO1130,rcs_amount,0)*IF(rcs_frequency=13,1,0))</f>
        <v>0</v>
      </c>
      <c r="AX1130" s="24">
        <f t="shared" ca="1" si="859"/>
        <v>0</v>
      </c>
      <c r="AY1130" s="24">
        <f t="shared" ca="1" si="860"/>
        <v>0</v>
      </c>
      <c r="AZ1130" s="24">
        <f t="shared" ca="1" si="861"/>
        <v>0</v>
      </c>
      <c r="BA1130" s="25">
        <f t="shared" ca="1" si="862"/>
        <v>0</v>
      </c>
      <c r="BB1130" s="23">
        <f t="array" aca="1" ref="BB1130" ca="1">SUM(IF(w_start_date&lt;=AO1130,1,0)*IF(w_end_date&gt;=AO1130,1,0)*w_amount*(1+w_escalation/100)^(INT((AP1130-w_months_since_start)/12))*IF(MOD(AP1130-w_months_since_start,w_frequency)=0,1,0)*IF(w_frequency=13,0,1))+SUM(IF(w_start_date=AO1130,w_amount,0)*IF(w_frequency=13,1,0))</f>
        <v>0</v>
      </c>
      <c r="BC1130" s="25">
        <f t="shared" ca="1" si="863"/>
        <v>0</v>
      </c>
      <c r="BD1130" s="24" t="b">
        <f t="shared" ca="1" si="864"/>
        <v>1</v>
      </c>
      <c r="BE1130" s="24" t="b">
        <f t="shared" ca="1" si="865"/>
        <v>1</v>
      </c>
      <c r="BF1130" s="23">
        <f t="array" aca="1" ref="BF1130" ca="1">SUM(IF(BD1130,1,0)*IF(ap_start_date&lt;=AO1130,1,0)*IF(ap_end_date&gt;=AO1130,1,0)*ap_amount*(1+ap_escalation/100)^(INT((AP1130-ap_months_since_start)/12))*IF(MOD(AP1130-ap_months_since_start,ap_frequency)=0,1,0))</f>
        <v>872573.19358912413</v>
      </c>
      <c r="BG1130" s="24">
        <f t="shared" ca="1" si="866"/>
        <v>10470878.32306949</v>
      </c>
      <c r="BH1130" s="24">
        <f t="shared" ca="1" si="867"/>
        <v>22.589727477139121</v>
      </c>
      <c r="BI1130">
        <f t="shared" ca="1" si="868"/>
        <v>0</v>
      </c>
      <c r="BJ1130" s="24">
        <f t="shared" ca="1" si="869"/>
        <v>158.12809233997382</v>
      </c>
      <c r="BK1130">
        <f t="shared" ca="1" si="870"/>
        <v>1</v>
      </c>
      <c r="BL1130" s="25">
        <f t="shared" ca="1" si="871"/>
        <v>13.177341028331151</v>
      </c>
      <c r="BM1130" s="32">
        <f t="shared" ca="1" si="850"/>
        <v>848.12623898624656</v>
      </c>
      <c r="BN1130" s="23">
        <f t="shared" ca="1" si="872"/>
        <v>0</v>
      </c>
      <c r="BO1130" s="24">
        <f t="shared" ca="1" si="873"/>
        <v>0</v>
      </c>
      <c r="BP1130" s="25">
        <f t="shared" ca="1" si="874"/>
        <v>0</v>
      </c>
      <c r="BQ1130" s="34">
        <f t="shared" ca="1" si="875"/>
        <v>79805</v>
      </c>
      <c r="BR1130" s="23">
        <f t="shared" ca="1" si="876"/>
        <v>848.12623898624656</v>
      </c>
      <c r="BS1130" s="24">
        <f t="shared" ca="1" si="877"/>
        <v>0</v>
      </c>
      <c r="BT1130" s="24">
        <f t="shared" ca="1" si="882"/>
        <v>0</v>
      </c>
      <c r="BU1130" s="24">
        <f t="shared" ca="1" si="878"/>
        <v>0</v>
      </c>
      <c r="BV1130" s="24">
        <f t="shared" ca="1" si="883"/>
        <v>0</v>
      </c>
      <c r="BW1130" s="24">
        <f t="shared" ca="1" si="879"/>
        <v>-13.177341028331151</v>
      </c>
      <c r="BX1130" s="25">
        <f t="shared" ca="1" si="884"/>
        <v>-163.55954597733057</v>
      </c>
      <c r="BY1130" s="23">
        <f t="shared" ca="1" si="851"/>
        <v>21.598511901047626</v>
      </c>
      <c r="BZ1130" s="24">
        <f t="shared" ca="1" si="852"/>
        <v>0</v>
      </c>
      <c r="CA1130" s="24">
        <f t="shared" ca="1" si="885"/>
        <v>0</v>
      </c>
      <c r="CB1130" s="24">
        <f t="shared" ca="1" si="853"/>
        <v>0</v>
      </c>
      <c r="CC1130" s="24">
        <f t="shared" ca="1" si="886"/>
        <v>0</v>
      </c>
      <c r="CD1130" s="24">
        <f t="shared" ca="1" si="854"/>
        <v>-0.33667476150524439</v>
      </c>
      <c r="CE1130" s="25">
        <f t="shared" ca="1" si="887"/>
        <v>-4.2567894757398257</v>
      </c>
      <c r="CF1130" s="23">
        <f t="shared" ca="1" si="888"/>
        <v>10336636.293286547</v>
      </c>
      <c r="CG1130" s="25">
        <f t="array" aca="1" ref="CG1130" ca="1">SUM(BF1119:BF1130/(1+inflation/100)^(AP1119:AP1130/12))</f>
        <v>267980.53702225391</v>
      </c>
      <c r="CH1130" s="32">
        <f ca="1">IFERROR(IF(MOD(AP1130-ap_months_since_start,12)=0,ap_drawdown/100*(AQ1130+AV1130+BA1130-BC1130),CH1129),0)</f>
        <v>138.87633297432805</v>
      </c>
    </row>
    <row r="1131" spans="40:86" x14ac:dyDescent="0.25">
      <c r="AN1131" s="32">
        <f t="shared" ca="1" si="849"/>
        <v>148.5</v>
      </c>
      <c r="AO1131" s="53">
        <f t="shared" ca="1" si="880"/>
        <v>79806</v>
      </c>
      <c r="AP1131" s="22">
        <v>1124</v>
      </c>
      <c r="AQ1131" s="32">
        <f t="shared" ca="1" si="881"/>
        <v>848.12623898624656</v>
      </c>
      <c r="AR1131" s="23">
        <f t="array" aca="1" ref="AR1131" ca="1">SUM(IF(lsc_start_date=AO1131,lsc_amount,0))</f>
        <v>0</v>
      </c>
      <c r="AS1131" s="24">
        <f t="shared" ca="1" si="855"/>
        <v>0</v>
      </c>
      <c r="AT1131" s="24">
        <f t="shared" ca="1" si="856"/>
        <v>0</v>
      </c>
      <c r="AU1131" s="24">
        <f t="shared" ca="1" si="857"/>
        <v>0</v>
      </c>
      <c r="AV1131" s="25">
        <f t="shared" ca="1" si="858"/>
        <v>0</v>
      </c>
      <c r="AW1131" s="23">
        <f t="array" aca="1" ref="AW1131" ca="1">SUM(IF(rcs_start_date&lt;=AO1131,1,0)*IF(rcs_end_date&gt;=AO1131,1,0)*rcs_amount*(1+rcs_escalation/100)^(INT((AP1131-rcs_months_since_start)/12))*IF(MOD((AP1131-rcs_months_since_start),rcs_frequency)=0,1,0)*IF(rcs_frequency=13,0,1))+SUM(IF(rcs_start_date=AO1131,rcs_amount,0)*IF(rcs_frequency=13,1,0))</f>
        <v>0</v>
      </c>
      <c r="AX1131" s="24">
        <f t="shared" ca="1" si="859"/>
        <v>0</v>
      </c>
      <c r="AY1131" s="24">
        <f t="shared" ca="1" si="860"/>
        <v>0</v>
      </c>
      <c r="AZ1131" s="24">
        <f t="shared" ca="1" si="861"/>
        <v>0</v>
      </c>
      <c r="BA1131" s="25">
        <f t="shared" ca="1" si="862"/>
        <v>0</v>
      </c>
      <c r="BB1131" s="23">
        <f t="array" aca="1" ref="BB1131" ca="1">SUM(IF(w_start_date&lt;=AO1131,1,0)*IF(w_end_date&gt;=AO1131,1,0)*w_amount*(1+w_escalation/100)^(INT((AP1131-w_months_since_start)/12))*IF(MOD(AP1131-w_months_since_start,w_frequency)=0,1,0)*IF(w_frequency=13,0,1))+SUM(IF(w_start_date=AO1131,w_amount,0)*IF(w_frequency=13,1,0))</f>
        <v>0</v>
      </c>
      <c r="BC1131" s="25">
        <f t="shared" ca="1" si="863"/>
        <v>0</v>
      </c>
      <c r="BD1131" s="24" t="b">
        <f t="shared" ca="1" si="864"/>
        <v>1</v>
      </c>
      <c r="BE1131" s="24" t="b">
        <f t="shared" ca="1" si="865"/>
        <v>1</v>
      </c>
      <c r="BF1131" s="23">
        <f t="array" aca="1" ref="BF1131" ca="1">SUM(IF(BD1131,1,0)*IF(ap_start_date&lt;=AO1131,1,0)*IF(ap_end_date&gt;=AO1131,1,0)*ap_amount*(1+ap_escalation/100)^(INT((AP1131-ap_months_since_start)/12))*IF(MOD(AP1131-ap_months_since_start,ap_frequency)=0,1,0))</f>
        <v>872573.19358912413</v>
      </c>
      <c r="BG1131" s="24">
        <f t="shared" ca="1" si="866"/>
        <v>10470878.32306949</v>
      </c>
      <c r="BH1131" s="24">
        <f t="shared" ca="1" si="867"/>
        <v>22.589727477139121</v>
      </c>
      <c r="BI1131">
        <f t="shared" ca="1" si="868"/>
        <v>0</v>
      </c>
      <c r="BJ1131" s="24">
        <f t="shared" ca="1" si="869"/>
        <v>158.12809233997382</v>
      </c>
      <c r="BK1131">
        <f t="shared" ca="1" si="870"/>
        <v>1</v>
      </c>
      <c r="BL1131" s="25">
        <f t="shared" ca="1" si="871"/>
        <v>13.177341028331151</v>
      </c>
      <c r="BM1131" s="32">
        <f t="shared" ca="1" si="850"/>
        <v>840.96664461795012</v>
      </c>
      <c r="BN1131" s="23">
        <f t="shared" ca="1" si="872"/>
        <v>0</v>
      </c>
      <c r="BO1131" s="24">
        <f t="shared" ca="1" si="873"/>
        <v>0</v>
      </c>
      <c r="BP1131" s="25">
        <f t="shared" ca="1" si="874"/>
        <v>0</v>
      </c>
      <c r="BQ1131" s="34">
        <f t="shared" ca="1" si="875"/>
        <v>79836</v>
      </c>
      <c r="BR1131" s="23">
        <f t="shared" ca="1" si="876"/>
        <v>840.96664461795012</v>
      </c>
      <c r="BS1131" s="24">
        <f t="shared" ca="1" si="877"/>
        <v>0</v>
      </c>
      <c r="BT1131" s="24">
        <f t="shared" ca="1" si="882"/>
        <v>0</v>
      </c>
      <c r="BU1131" s="24">
        <f t="shared" ca="1" si="878"/>
        <v>0</v>
      </c>
      <c r="BV1131" s="24">
        <f t="shared" ca="1" si="883"/>
        <v>0</v>
      </c>
      <c r="BW1131" s="24">
        <f t="shared" ca="1" si="879"/>
        <v>-13.177341028331151</v>
      </c>
      <c r="BX1131" s="25">
        <f t="shared" ca="1" si="884"/>
        <v>-162.20168256799138</v>
      </c>
      <c r="BY1131" s="23">
        <f t="shared" ca="1" si="851"/>
        <v>21.346302341874921</v>
      </c>
      <c r="BZ1131" s="24">
        <f t="shared" ca="1" si="852"/>
        <v>0</v>
      </c>
      <c r="CA1131" s="24">
        <f t="shared" ca="1" si="885"/>
        <v>0</v>
      </c>
      <c r="CB1131" s="24">
        <f t="shared" ca="1" si="853"/>
        <v>0</v>
      </c>
      <c r="CC1131" s="24">
        <f t="shared" ca="1" si="886"/>
        <v>0</v>
      </c>
      <c r="CD1131" s="24">
        <f t="shared" ca="1" si="854"/>
        <v>-0.33557617243957105</v>
      </c>
      <c r="CE1131" s="25">
        <f t="shared" ca="1" si="887"/>
        <v>-4.2074036903195768</v>
      </c>
      <c r="CF1131" s="23">
        <f t="shared" ca="1" si="888"/>
        <v>10370196.800732283</v>
      </c>
      <c r="CG1131" s="25">
        <f t="array" aca="1" ref="CG1131" ca="1">SUM(BF1120:BF1131/(1+inflation/100)^(AP1120:AP1131/12))</f>
        <v>267980.53702225396</v>
      </c>
      <c r="CH1131" s="32">
        <f ca="1">IFERROR(IF(MOD(AP1131-ap_months_since_start,12)=0,ap_drawdown/100*(AQ1131+AV1131+BA1131-BC1131),CH1130),0)</f>
        <v>138.87633297432805</v>
      </c>
    </row>
    <row r="1132" spans="40:86" x14ac:dyDescent="0.25">
      <c r="AN1132" s="32">
        <f t="shared" ca="1" si="849"/>
        <v>148.58333333333334</v>
      </c>
      <c r="AO1132" s="53">
        <f t="shared" ca="1" si="880"/>
        <v>79837</v>
      </c>
      <c r="AP1132" s="22">
        <v>1125</v>
      </c>
      <c r="AQ1132" s="32">
        <f t="shared" ca="1" si="881"/>
        <v>840.96664461795012</v>
      </c>
      <c r="AR1132" s="23">
        <f t="array" aca="1" ref="AR1132" ca="1">SUM(IF(lsc_start_date=AO1132,lsc_amount,0))</f>
        <v>0</v>
      </c>
      <c r="AS1132" s="24">
        <f t="shared" ca="1" si="855"/>
        <v>0</v>
      </c>
      <c r="AT1132" s="24">
        <f t="shared" ca="1" si="856"/>
        <v>0</v>
      </c>
      <c r="AU1132" s="24">
        <f t="shared" ca="1" si="857"/>
        <v>0</v>
      </c>
      <c r="AV1132" s="25">
        <f t="shared" ca="1" si="858"/>
        <v>0</v>
      </c>
      <c r="AW1132" s="23">
        <f t="array" aca="1" ref="AW1132" ca="1">SUM(IF(rcs_start_date&lt;=AO1132,1,0)*IF(rcs_end_date&gt;=AO1132,1,0)*rcs_amount*(1+rcs_escalation/100)^(INT((AP1132-rcs_months_since_start)/12))*IF(MOD((AP1132-rcs_months_since_start),rcs_frequency)=0,1,0)*IF(rcs_frequency=13,0,1))+SUM(IF(rcs_start_date=AO1132,rcs_amount,0)*IF(rcs_frequency=13,1,0))</f>
        <v>0</v>
      </c>
      <c r="AX1132" s="24">
        <f t="shared" ca="1" si="859"/>
        <v>0</v>
      </c>
      <c r="AY1132" s="24">
        <f t="shared" ca="1" si="860"/>
        <v>0</v>
      </c>
      <c r="AZ1132" s="24">
        <f t="shared" ca="1" si="861"/>
        <v>0</v>
      </c>
      <c r="BA1132" s="25">
        <f t="shared" ca="1" si="862"/>
        <v>0</v>
      </c>
      <c r="BB1132" s="23">
        <f t="array" aca="1" ref="BB1132" ca="1">SUM(IF(w_start_date&lt;=AO1132,1,0)*IF(w_end_date&gt;=AO1132,1,0)*w_amount*(1+w_escalation/100)^(INT((AP1132-w_months_since_start)/12))*IF(MOD(AP1132-w_months_since_start,w_frequency)=0,1,0)*IF(w_frequency=13,0,1))+SUM(IF(w_start_date=AO1132,w_amount,0)*IF(w_frequency=13,1,0))</f>
        <v>0</v>
      </c>
      <c r="BC1132" s="25">
        <f t="shared" ca="1" si="863"/>
        <v>0</v>
      </c>
      <c r="BD1132" s="24" t="b">
        <f t="shared" ca="1" si="864"/>
        <v>1</v>
      </c>
      <c r="BE1132" s="24" t="b">
        <f t="shared" ca="1" si="865"/>
        <v>1</v>
      </c>
      <c r="BF1132" s="23">
        <f t="array" aca="1" ref="BF1132" ca="1">SUM(IF(BD1132,1,0)*IF(ap_start_date&lt;=AO1132,1,0)*IF(ap_end_date&gt;=AO1132,1,0)*ap_amount*(1+ap_escalation/100)^(INT((AP1132-ap_months_since_start)/12))*IF(MOD(AP1132-ap_months_since_start,ap_frequency)=0,1,0))</f>
        <v>872573.19358912413</v>
      </c>
      <c r="BG1132" s="24">
        <f t="shared" ca="1" si="866"/>
        <v>10470878.32306949</v>
      </c>
      <c r="BH1132" s="24">
        <f t="shared" ca="1" si="867"/>
        <v>22.589727477139121</v>
      </c>
      <c r="BI1132">
        <f t="shared" ca="1" si="868"/>
        <v>0</v>
      </c>
      <c r="BJ1132" s="24">
        <f t="shared" ca="1" si="869"/>
        <v>158.12809233997382</v>
      </c>
      <c r="BK1132">
        <f t="shared" ca="1" si="870"/>
        <v>1</v>
      </c>
      <c r="BL1132" s="25">
        <f t="shared" ca="1" si="871"/>
        <v>13.177341028331151</v>
      </c>
      <c r="BM1132" s="32">
        <f t="shared" ca="1" si="850"/>
        <v>833.75544873822901</v>
      </c>
      <c r="BN1132" s="23">
        <f t="shared" ca="1" si="872"/>
        <v>0</v>
      </c>
      <c r="BO1132" s="24">
        <f t="shared" ca="1" si="873"/>
        <v>0</v>
      </c>
      <c r="BP1132" s="25">
        <f t="shared" ca="1" si="874"/>
        <v>0</v>
      </c>
      <c r="BQ1132" s="34">
        <f t="shared" ca="1" si="875"/>
        <v>79867</v>
      </c>
      <c r="BR1132" s="23">
        <f t="shared" ca="1" si="876"/>
        <v>833.75544873822901</v>
      </c>
      <c r="BS1132" s="24">
        <f t="shared" ca="1" si="877"/>
        <v>0</v>
      </c>
      <c r="BT1132" s="24">
        <f t="shared" ca="1" si="882"/>
        <v>0</v>
      </c>
      <c r="BU1132" s="24">
        <f t="shared" ca="1" si="878"/>
        <v>0</v>
      </c>
      <c r="BV1132" s="24">
        <f t="shared" ca="1" si="883"/>
        <v>0</v>
      </c>
      <c r="BW1132" s="24">
        <f t="shared" ca="1" si="879"/>
        <v>-13.177341028331151</v>
      </c>
      <c r="BX1132" s="25">
        <f t="shared" ca="1" si="884"/>
        <v>-160.8438191586522</v>
      </c>
      <c r="BY1132" s="23">
        <f t="shared" ca="1" si="851"/>
        <v>21.094203230113663</v>
      </c>
      <c r="BZ1132" s="24">
        <f t="shared" ca="1" si="852"/>
        <v>0</v>
      </c>
      <c r="CA1132" s="24">
        <f t="shared" ca="1" si="885"/>
        <v>0</v>
      </c>
      <c r="CB1132" s="24">
        <f t="shared" ca="1" si="853"/>
        <v>0</v>
      </c>
      <c r="CC1132" s="24">
        <f t="shared" ca="1" si="886"/>
        <v>0</v>
      </c>
      <c r="CD1132" s="24">
        <f t="shared" ca="1" si="854"/>
        <v>-0.33448116813305745</v>
      </c>
      <c r="CE1132" s="25">
        <f t="shared" ca="1" si="887"/>
        <v>-4.1581790535509828</v>
      </c>
      <c r="CF1132" s="23">
        <f t="shared" ca="1" si="888"/>
        <v>10403757.308178019</v>
      </c>
      <c r="CG1132" s="25">
        <f t="array" aca="1" ref="CG1132" ca="1">SUM(BF1121:BF1132/(1+inflation/100)^(AP1121:AP1132/12))</f>
        <v>267980.53702225391</v>
      </c>
      <c r="CH1132" s="32">
        <f ca="1">IFERROR(IF(MOD(AP1132-ap_months_since_start,12)=0,ap_drawdown/100*(AQ1132+AV1132+BA1132-BC1132),CH1131),0)</f>
        <v>138.87633297432805</v>
      </c>
    </row>
    <row r="1133" spans="40:86" x14ac:dyDescent="0.25">
      <c r="AN1133" s="32">
        <f t="shared" ca="1" si="849"/>
        <v>148.66666666666666</v>
      </c>
      <c r="AO1133" s="53">
        <f t="shared" ca="1" si="880"/>
        <v>79868</v>
      </c>
      <c r="AP1133" s="22">
        <v>1126</v>
      </c>
      <c r="AQ1133" s="32">
        <f t="shared" ca="1" si="881"/>
        <v>833.75544873822901</v>
      </c>
      <c r="AR1133" s="23">
        <f t="array" aca="1" ref="AR1133" ca="1">SUM(IF(lsc_start_date=AO1133,lsc_amount,0))</f>
        <v>0</v>
      </c>
      <c r="AS1133" s="24">
        <f t="shared" ca="1" si="855"/>
        <v>0</v>
      </c>
      <c r="AT1133" s="24">
        <f t="shared" ca="1" si="856"/>
        <v>0</v>
      </c>
      <c r="AU1133" s="24">
        <f t="shared" ca="1" si="857"/>
        <v>0</v>
      </c>
      <c r="AV1133" s="25">
        <f t="shared" ca="1" si="858"/>
        <v>0</v>
      </c>
      <c r="AW1133" s="23">
        <f t="array" aca="1" ref="AW1133" ca="1">SUM(IF(rcs_start_date&lt;=AO1133,1,0)*IF(rcs_end_date&gt;=AO1133,1,0)*rcs_amount*(1+rcs_escalation/100)^(INT((AP1133-rcs_months_since_start)/12))*IF(MOD((AP1133-rcs_months_since_start),rcs_frequency)=0,1,0)*IF(rcs_frequency=13,0,1))+SUM(IF(rcs_start_date=AO1133,rcs_amount,0)*IF(rcs_frequency=13,1,0))</f>
        <v>0</v>
      </c>
      <c r="AX1133" s="24">
        <f t="shared" ca="1" si="859"/>
        <v>0</v>
      </c>
      <c r="AY1133" s="24">
        <f t="shared" ca="1" si="860"/>
        <v>0</v>
      </c>
      <c r="AZ1133" s="24">
        <f t="shared" ca="1" si="861"/>
        <v>0</v>
      </c>
      <c r="BA1133" s="25">
        <f t="shared" ca="1" si="862"/>
        <v>0</v>
      </c>
      <c r="BB1133" s="23">
        <f t="array" aca="1" ref="BB1133" ca="1">SUM(IF(w_start_date&lt;=AO1133,1,0)*IF(w_end_date&gt;=AO1133,1,0)*w_amount*(1+w_escalation/100)^(INT((AP1133-w_months_since_start)/12))*IF(MOD(AP1133-w_months_since_start,w_frequency)=0,1,0)*IF(w_frequency=13,0,1))+SUM(IF(w_start_date=AO1133,w_amount,0)*IF(w_frequency=13,1,0))</f>
        <v>0</v>
      </c>
      <c r="BC1133" s="25">
        <f t="shared" ca="1" si="863"/>
        <v>0</v>
      </c>
      <c r="BD1133" s="24" t="b">
        <f t="shared" ca="1" si="864"/>
        <v>1</v>
      </c>
      <c r="BE1133" s="24" t="b">
        <f t="shared" ca="1" si="865"/>
        <v>1</v>
      </c>
      <c r="BF1133" s="23">
        <f t="array" aca="1" ref="BF1133" ca="1">SUM(IF(BD1133,1,0)*IF(ap_start_date&lt;=AO1133,1,0)*IF(ap_end_date&gt;=AO1133,1,0)*ap_amount*(1+ap_escalation/100)^(INT((AP1133-ap_months_since_start)/12))*IF(MOD(AP1133-ap_months_since_start,ap_frequency)=0,1,0))</f>
        <v>872573.19358912413</v>
      </c>
      <c r="BG1133" s="24">
        <f t="shared" ca="1" si="866"/>
        <v>10470878.32306949</v>
      </c>
      <c r="BH1133" s="24">
        <f t="shared" ca="1" si="867"/>
        <v>22.589727477139121</v>
      </c>
      <c r="BI1133">
        <f t="shared" ca="1" si="868"/>
        <v>0</v>
      </c>
      <c r="BJ1133" s="24">
        <f t="shared" ca="1" si="869"/>
        <v>158.12809233997382</v>
      </c>
      <c r="BK1133">
        <f t="shared" ca="1" si="870"/>
        <v>1</v>
      </c>
      <c r="BL1133" s="25">
        <f t="shared" ca="1" si="871"/>
        <v>13.177341028331151</v>
      </c>
      <c r="BM1133" s="32">
        <f t="shared" ca="1" si="850"/>
        <v>826.4922794383067</v>
      </c>
      <c r="BN1133" s="23">
        <f t="shared" ca="1" si="872"/>
        <v>0</v>
      </c>
      <c r="BO1133" s="24">
        <f t="shared" ca="1" si="873"/>
        <v>0</v>
      </c>
      <c r="BP1133" s="25">
        <f t="shared" ca="1" si="874"/>
        <v>0</v>
      </c>
      <c r="BQ1133" s="34">
        <f t="shared" ca="1" si="875"/>
        <v>79897</v>
      </c>
      <c r="BR1133" s="23">
        <f t="shared" ca="1" si="876"/>
        <v>826.4922794383067</v>
      </c>
      <c r="BS1133" s="24">
        <f t="shared" ca="1" si="877"/>
        <v>0</v>
      </c>
      <c r="BT1133" s="24">
        <f t="shared" ca="1" si="882"/>
        <v>0</v>
      </c>
      <c r="BU1133" s="24">
        <f t="shared" ca="1" si="878"/>
        <v>0</v>
      </c>
      <c r="BV1133" s="24">
        <f t="shared" ca="1" si="883"/>
        <v>0</v>
      </c>
      <c r="BW1133" s="24">
        <f t="shared" ca="1" si="879"/>
        <v>-13.177341028331151</v>
      </c>
      <c r="BX1133" s="25">
        <f t="shared" ca="1" si="884"/>
        <v>-159.48595574931301</v>
      </c>
      <c r="BY1133" s="23">
        <f t="shared" ca="1" si="851"/>
        <v>20.842211411729345</v>
      </c>
      <c r="BZ1133" s="24">
        <f t="shared" ca="1" si="852"/>
        <v>0</v>
      </c>
      <c r="CA1133" s="24">
        <f t="shared" ca="1" si="885"/>
        <v>0</v>
      </c>
      <c r="CB1133" s="24">
        <f t="shared" ca="1" si="853"/>
        <v>0</v>
      </c>
      <c r="CC1133" s="24">
        <f t="shared" ca="1" si="886"/>
        <v>0</v>
      </c>
      <c r="CD1133" s="24">
        <f t="shared" ca="1" si="854"/>
        <v>-0.33338973688842904</v>
      </c>
      <c r="CE1133" s="25">
        <f t="shared" ca="1" si="887"/>
        <v>-4.1091150395967446</v>
      </c>
      <c r="CF1133" s="23">
        <f t="shared" ca="1" si="888"/>
        <v>10437317.815623755</v>
      </c>
      <c r="CG1133" s="25">
        <f t="array" aca="1" ref="CG1133" ca="1">SUM(BF1122:BF1133/(1+inflation/100)^(AP1122:AP1133/12))</f>
        <v>267980.53702225396</v>
      </c>
      <c r="CH1133" s="32">
        <f ca="1">IFERROR(IF(MOD(AP1133-ap_months_since_start,12)=0,ap_drawdown/100*(AQ1133+AV1133+BA1133-BC1133),CH1132),0)</f>
        <v>138.87633297432805</v>
      </c>
    </row>
    <row r="1134" spans="40:86" x14ac:dyDescent="0.25">
      <c r="AN1134" s="32">
        <f t="shared" ca="1" si="849"/>
        <v>148.75</v>
      </c>
      <c r="AO1134" s="53">
        <f t="shared" ca="1" si="880"/>
        <v>79898</v>
      </c>
      <c r="AP1134" s="22">
        <v>1127</v>
      </c>
      <c r="AQ1134" s="32">
        <f t="shared" ca="1" si="881"/>
        <v>826.4922794383067</v>
      </c>
      <c r="AR1134" s="23">
        <f t="array" aca="1" ref="AR1134" ca="1">SUM(IF(lsc_start_date=AO1134,lsc_amount,0))</f>
        <v>0</v>
      </c>
      <c r="AS1134" s="24">
        <f t="shared" ca="1" si="855"/>
        <v>0</v>
      </c>
      <c r="AT1134" s="24">
        <f t="shared" ca="1" si="856"/>
        <v>0</v>
      </c>
      <c r="AU1134" s="24">
        <f t="shared" ca="1" si="857"/>
        <v>0</v>
      </c>
      <c r="AV1134" s="25">
        <f t="shared" ca="1" si="858"/>
        <v>0</v>
      </c>
      <c r="AW1134" s="23">
        <f t="array" aca="1" ref="AW1134" ca="1">SUM(IF(rcs_start_date&lt;=AO1134,1,0)*IF(rcs_end_date&gt;=AO1134,1,0)*rcs_amount*(1+rcs_escalation/100)^(INT((AP1134-rcs_months_since_start)/12))*IF(MOD((AP1134-rcs_months_since_start),rcs_frequency)=0,1,0)*IF(rcs_frequency=13,0,1))+SUM(IF(rcs_start_date=AO1134,rcs_amount,0)*IF(rcs_frequency=13,1,0))</f>
        <v>0</v>
      </c>
      <c r="AX1134" s="24">
        <f t="shared" ca="1" si="859"/>
        <v>0</v>
      </c>
      <c r="AY1134" s="24">
        <f t="shared" ca="1" si="860"/>
        <v>0</v>
      </c>
      <c r="AZ1134" s="24">
        <f t="shared" ca="1" si="861"/>
        <v>0</v>
      </c>
      <c r="BA1134" s="25">
        <f t="shared" ca="1" si="862"/>
        <v>0</v>
      </c>
      <c r="BB1134" s="23">
        <f t="array" aca="1" ref="BB1134" ca="1">SUM(IF(w_start_date&lt;=AO1134,1,0)*IF(w_end_date&gt;=AO1134,1,0)*w_amount*(1+w_escalation/100)^(INT((AP1134-w_months_since_start)/12))*IF(MOD(AP1134-w_months_since_start,w_frequency)=0,1,0)*IF(w_frequency=13,0,1))+SUM(IF(w_start_date=AO1134,w_amount,0)*IF(w_frequency=13,1,0))</f>
        <v>0</v>
      </c>
      <c r="BC1134" s="25">
        <f t="shared" ca="1" si="863"/>
        <v>0</v>
      </c>
      <c r="BD1134" s="24" t="b">
        <f t="shared" ca="1" si="864"/>
        <v>1</v>
      </c>
      <c r="BE1134" s="24" t="b">
        <f t="shared" ca="1" si="865"/>
        <v>1</v>
      </c>
      <c r="BF1134" s="23">
        <f t="array" aca="1" ref="BF1134" ca="1">SUM(IF(BD1134,1,0)*IF(ap_start_date&lt;=AO1134,1,0)*IF(ap_end_date&gt;=AO1134,1,0)*ap_amount*(1+ap_escalation/100)^(INT((AP1134-ap_months_since_start)/12))*IF(MOD(AP1134-ap_months_since_start,ap_frequency)=0,1,0))</f>
        <v>872573.19358912413</v>
      </c>
      <c r="BG1134" s="24">
        <f t="shared" ca="1" si="866"/>
        <v>10470878.32306949</v>
      </c>
      <c r="BH1134" s="24">
        <f t="shared" ca="1" si="867"/>
        <v>22.589727477139121</v>
      </c>
      <c r="BI1134">
        <f t="shared" ca="1" si="868"/>
        <v>0</v>
      </c>
      <c r="BJ1134" s="24">
        <f t="shared" ca="1" si="869"/>
        <v>158.12809233997382</v>
      </c>
      <c r="BK1134">
        <f t="shared" ca="1" si="870"/>
        <v>1</v>
      </c>
      <c r="BL1134" s="25">
        <f t="shared" ca="1" si="871"/>
        <v>13.177341028331151</v>
      </c>
      <c r="BM1134" s="32">
        <f t="shared" ca="1" si="850"/>
        <v>819.17676212894003</v>
      </c>
      <c r="BN1134" s="23">
        <f t="shared" ca="1" si="872"/>
        <v>0</v>
      </c>
      <c r="BO1134" s="24">
        <f t="shared" ca="1" si="873"/>
        <v>0</v>
      </c>
      <c r="BP1134" s="25">
        <f t="shared" ca="1" si="874"/>
        <v>0</v>
      </c>
      <c r="BQ1134" s="34">
        <f t="shared" ca="1" si="875"/>
        <v>79928</v>
      </c>
      <c r="BR1134" s="23">
        <f t="shared" ca="1" si="876"/>
        <v>819.17676212894003</v>
      </c>
      <c r="BS1134" s="24">
        <f t="shared" ca="1" si="877"/>
        <v>0</v>
      </c>
      <c r="BT1134" s="24">
        <f t="shared" ca="1" si="882"/>
        <v>0</v>
      </c>
      <c r="BU1134" s="24">
        <f t="shared" ca="1" si="878"/>
        <v>0</v>
      </c>
      <c r="BV1134" s="24">
        <f t="shared" ca="1" si="883"/>
        <v>0</v>
      </c>
      <c r="BW1134" s="24">
        <f t="shared" ca="1" si="879"/>
        <v>-13.177341028331151</v>
      </c>
      <c r="BX1134" s="25">
        <f t="shared" ca="1" si="884"/>
        <v>-158.12809233997382</v>
      </c>
      <c r="BY1134" s="23">
        <f t="shared" ca="1" si="851"/>
        <v>20.590323732026111</v>
      </c>
      <c r="BZ1134" s="24">
        <f t="shared" ca="1" si="852"/>
        <v>0</v>
      </c>
      <c r="CA1134" s="24">
        <f t="shared" ca="1" si="885"/>
        <v>0</v>
      </c>
      <c r="CB1134" s="24">
        <f t="shared" ca="1" si="853"/>
        <v>0</v>
      </c>
      <c r="CC1134" s="24">
        <f t="shared" ca="1" si="886"/>
        <v>0</v>
      </c>
      <c r="CD1134" s="24">
        <f t="shared" ca="1" si="854"/>
        <v>-0.33230186704657977</v>
      </c>
      <c r="CE1134" s="25">
        <f t="shared" ca="1" si="887"/>
        <v>-4.0602111243354022</v>
      </c>
      <c r="CF1134" s="23">
        <f t="shared" ca="1" si="888"/>
        <v>10470878.32306949</v>
      </c>
      <c r="CG1134" s="25">
        <f t="array" aca="1" ref="CG1134" ca="1">SUM(BF1123:BF1134/(1+inflation/100)^(AP1123:AP1134/12))</f>
        <v>267980.53702225396</v>
      </c>
      <c r="CH1134" s="32">
        <f ca="1">IFERROR(IF(MOD(AP1134-ap_months_since_start,12)=0,ap_drawdown/100*(AQ1134+AV1134+BA1134-BC1134),CH1133),0)</f>
        <v>138.87633297432805</v>
      </c>
    </row>
    <row r="1135" spans="40:86" x14ac:dyDescent="0.25">
      <c r="AN1135" s="32">
        <f t="shared" ca="1" si="849"/>
        <v>148.83333333333334</v>
      </c>
      <c r="AO1135" s="53">
        <f t="shared" ca="1" si="880"/>
        <v>79929</v>
      </c>
      <c r="AP1135" s="22">
        <v>1128</v>
      </c>
      <c r="AQ1135" s="32">
        <f t="shared" ca="1" si="881"/>
        <v>819.17676212894003</v>
      </c>
      <c r="AR1135" s="23">
        <f t="array" aca="1" ref="AR1135" ca="1">SUM(IF(lsc_start_date=AO1135,lsc_amount,0))</f>
        <v>0</v>
      </c>
      <c r="AS1135" s="24">
        <f t="shared" ca="1" si="855"/>
        <v>0</v>
      </c>
      <c r="AT1135" s="24">
        <f t="shared" ca="1" si="856"/>
        <v>0</v>
      </c>
      <c r="AU1135" s="24">
        <f t="shared" ca="1" si="857"/>
        <v>0</v>
      </c>
      <c r="AV1135" s="25">
        <f t="shared" ca="1" si="858"/>
        <v>0</v>
      </c>
      <c r="AW1135" s="23">
        <f t="array" aca="1" ref="AW1135" ca="1">SUM(IF(rcs_start_date&lt;=AO1135,1,0)*IF(rcs_end_date&gt;=AO1135,1,0)*rcs_amount*(1+rcs_escalation/100)^(INT((AP1135-rcs_months_since_start)/12))*IF(MOD((AP1135-rcs_months_since_start),rcs_frequency)=0,1,0)*IF(rcs_frequency=13,0,1))+SUM(IF(rcs_start_date=AO1135,rcs_amount,0)*IF(rcs_frequency=13,1,0))</f>
        <v>0</v>
      </c>
      <c r="AX1135" s="24">
        <f t="shared" ca="1" si="859"/>
        <v>0</v>
      </c>
      <c r="AY1135" s="24">
        <f t="shared" ca="1" si="860"/>
        <v>0</v>
      </c>
      <c r="AZ1135" s="24">
        <f t="shared" ca="1" si="861"/>
        <v>0</v>
      </c>
      <c r="BA1135" s="25">
        <f t="shared" ca="1" si="862"/>
        <v>0</v>
      </c>
      <c r="BB1135" s="23">
        <f t="array" aca="1" ref="BB1135" ca="1">SUM(IF(w_start_date&lt;=AO1135,1,0)*IF(w_end_date&gt;=AO1135,1,0)*w_amount*(1+w_escalation/100)^(INT((AP1135-w_months_since_start)/12))*IF(MOD(AP1135-w_months_since_start,w_frequency)=0,1,0)*IF(w_frequency=13,0,1))+SUM(IF(w_start_date=AO1135,w_amount,0)*IF(w_frequency=13,1,0))</f>
        <v>0</v>
      </c>
      <c r="BC1135" s="25">
        <f t="shared" ca="1" si="863"/>
        <v>0</v>
      </c>
      <c r="BD1135" s="24" t="b">
        <f t="shared" ca="1" si="864"/>
        <v>1</v>
      </c>
      <c r="BE1135" s="24" t="b">
        <f t="shared" ca="1" si="865"/>
        <v>1</v>
      </c>
      <c r="BF1135" s="23">
        <f t="array" aca="1" ref="BF1135" ca="1">SUM(IF(BD1135,1,0)*IF(ap_start_date&lt;=AO1135,1,0)*IF(ap_end_date&gt;=AO1135,1,0)*ap_amount*(1+ap_escalation/100)^(INT((AP1135-ap_months_since_start)/12))*IF(MOD(AP1135-ap_months_since_start,ap_frequency)=0,1,0))</f>
        <v>907476.12133268907</v>
      </c>
      <c r="BG1135" s="24">
        <f t="shared" ca="1" si="866"/>
        <v>10889713.455992267</v>
      </c>
      <c r="BH1135" s="24">
        <f t="shared" ca="1" si="867"/>
        <v>20.479419053223502</v>
      </c>
      <c r="BI1135">
        <f t="shared" ca="1" si="868"/>
        <v>0</v>
      </c>
      <c r="BJ1135" s="24">
        <f t="shared" ca="1" si="869"/>
        <v>143.35593337256449</v>
      </c>
      <c r="BK1135">
        <f t="shared" ca="1" si="870"/>
        <v>1</v>
      </c>
      <c r="BL1135" s="25">
        <f t="shared" ca="1" si="871"/>
        <v>11.946327781047044</v>
      </c>
      <c r="BM1135" s="32">
        <f t="shared" ca="1" si="850"/>
        <v>813.04840507886377</v>
      </c>
      <c r="BN1135" s="23">
        <f t="shared" ca="1" si="872"/>
        <v>0</v>
      </c>
      <c r="BO1135" s="24">
        <f t="shared" ca="1" si="873"/>
        <v>0</v>
      </c>
      <c r="BP1135" s="25">
        <f t="shared" ca="1" si="874"/>
        <v>0</v>
      </c>
      <c r="BQ1135" s="34">
        <f t="shared" ca="1" si="875"/>
        <v>79958</v>
      </c>
      <c r="BR1135" s="23">
        <f t="shared" ca="1" si="876"/>
        <v>813.04840507886377</v>
      </c>
      <c r="BS1135" s="24">
        <f t="shared" ca="1" si="877"/>
        <v>0</v>
      </c>
      <c r="BT1135" s="24">
        <f t="shared" ca="1" si="882"/>
        <v>0</v>
      </c>
      <c r="BU1135" s="24">
        <f t="shared" ca="1" si="878"/>
        <v>0</v>
      </c>
      <c r="BV1135" s="24">
        <f t="shared" ca="1" si="883"/>
        <v>0</v>
      </c>
      <c r="BW1135" s="24">
        <f t="shared" ca="1" si="879"/>
        <v>-11.946327781047044</v>
      </c>
      <c r="BX1135" s="25">
        <f t="shared" ca="1" si="884"/>
        <v>-156.89707909268972</v>
      </c>
      <c r="BY1135" s="23">
        <f t="shared" ca="1" si="851"/>
        <v>20.369600343923285</v>
      </c>
      <c r="BZ1135" s="24">
        <f t="shared" ca="1" si="852"/>
        <v>0</v>
      </c>
      <c r="CA1135" s="24">
        <f t="shared" ca="1" si="885"/>
        <v>0</v>
      </c>
      <c r="CB1135" s="24">
        <f t="shared" ca="1" si="853"/>
        <v>0</v>
      </c>
      <c r="CC1135" s="24">
        <f t="shared" ca="1" si="886"/>
        <v>0</v>
      </c>
      <c r="CD1135" s="24">
        <f t="shared" ca="1" si="854"/>
        <v>-0.30027555442538084</v>
      </c>
      <c r="CE1135" s="25">
        <f t="shared" ca="1" si="887"/>
        <v>-4.0160204298948781</v>
      </c>
      <c r="CF1135" s="23">
        <f t="shared" ca="1" si="888"/>
        <v>10505781.250813054</v>
      </c>
      <c r="CG1135" s="25">
        <f t="array" aca="1" ref="CG1135" ca="1">SUM(BF1124:BF1135/(1+inflation/100)^(AP1124:AP1135/12))</f>
        <v>267980.53702225391</v>
      </c>
      <c r="CH1135" s="32">
        <f ca="1">IFERROR(IF(MOD(AP1135-ap_months_since_start,12)=0,ap_drawdown/100*(AQ1135+AV1135+BA1135-BC1135),CH1134),0)</f>
        <v>125.9026529839508</v>
      </c>
    </row>
    <row r="1136" spans="40:86" x14ac:dyDescent="0.25">
      <c r="AN1136" s="32">
        <f t="shared" ca="1" si="849"/>
        <v>148.91666666666666</v>
      </c>
      <c r="AO1136" s="53">
        <f t="shared" ca="1" si="880"/>
        <v>79959</v>
      </c>
      <c r="AP1136" s="22">
        <v>1129</v>
      </c>
      <c r="AQ1136" s="32">
        <f t="shared" ca="1" si="881"/>
        <v>813.04840507886377</v>
      </c>
      <c r="AR1136" s="23">
        <f t="array" aca="1" ref="AR1136" ca="1">SUM(IF(lsc_start_date=AO1136,lsc_amount,0))</f>
        <v>0</v>
      </c>
      <c r="AS1136" s="24">
        <f t="shared" ca="1" si="855"/>
        <v>0</v>
      </c>
      <c r="AT1136" s="24">
        <f t="shared" ca="1" si="856"/>
        <v>0</v>
      </c>
      <c r="AU1136" s="24">
        <f t="shared" ca="1" si="857"/>
        <v>0</v>
      </c>
      <c r="AV1136" s="25">
        <f t="shared" ca="1" si="858"/>
        <v>0</v>
      </c>
      <c r="AW1136" s="23">
        <f t="array" aca="1" ref="AW1136" ca="1">SUM(IF(rcs_start_date&lt;=AO1136,1,0)*IF(rcs_end_date&gt;=AO1136,1,0)*rcs_amount*(1+rcs_escalation/100)^(INT((AP1136-rcs_months_since_start)/12))*IF(MOD((AP1136-rcs_months_since_start),rcs_frequency)=0,1,0)*IF(rcs_frequency=13,0,1))+SUM(IF(rcs_start_date=AO1136,rcs_amount,0)*IF(rcs_frequency=13,1,0))</f>
        <v>0</v>
      </c>
      <c r="AX1136" s="24">
        <f t="shared" ca="1" si="859"/>
        <v>0</v>
      </c>
      <c r="AY1136" s="24">
        <f t="shared" ca="1" si="860"/>
        <v>0</v>
      </c>
      <c r="AZ1136" s="24">
        <f t="shared" ca="1" si="861"/>
        <v>0</v>
      </c>
      <c r="BA1136" s="25">
        <f t="shared" ca="1" si="862"/>
        <v>0</v>
      </c>
      <c r="BB1136" s="23">
        <f t="array" aca="1" ref="BB1136" ca="1">SUM(IF(w_start_date&lt;=AO1136,1,0)*IF(w_end_date&gt;=AO1136,1,0)*w_amount*(1+w_escalation/100)^(INT((AP1136-w_months_since_start)/12))*IF(MOD(AP1136-w_months_since_start,w_frequency)=0,1,0)*IF(w_frequency=13,0,1))+SUM(IF(w_start_date=AO1136,w_amount,0)*IF(w_frequency=13,1,0))</f>
        <v>0</v>
      </c>
      <c r="BC1136" s="25">
        <f t="shared" ca="1" si="863"/>
        <v>0</v>
      </c>
      <c r="BD1136" s="24" t="b">
        <f t="shared" ca="1" si="864"/>
        <v>1</v>
      </c>
      <c r="BE1136" s="24" t="b">
        <f t="shared" ca="1" si="865"/>
        <v>1</v>
      </c>
      <c r="BF1136" s="23">
        <f t="array" aca="1" ref="BF1136" ca="1">SUM(IF(BD1136,1,0)*IF(ap_start_date&lt;=AO1136,1,0)*IF(ap_end_date&gt;=AO1136,1,0)*ap_amount*(1+ap_escalation/100)^(INT((AP1136-ap_months_since_start)/12))*IF(MOD(AP1136-ap_months_since_start,ap_frequency)=0,1,0))</f>
        <v>907476.12133268907</v>
      </c>
      <c r="BG1136" s="24">
        <f t="shared" ca="1" si="866"/>
        <v>10889713.455992267</v>
      </c>
      <c r="BH1136" s="24">
        <f t="shared" ca="1" si="867"/>
        <v>20.479419053223502</v>
      </c>
      <c r="BI1136">
        <f t="shared" ca="1" si="868"/>
        <v>0</v>
      </c>
      <c r="BJ1136" s="24">
        <f t="shared" ca="1" si="869"/>
        <v>143.35593337256449</v>
      </c>
      <c r="BK1136">
        <f t="shared" ca="1" si="870"/>
        <v>1</v>
      </c>
      <c r="BL1136" s="25">
        <f t="shared" ca="1" si="871"/>
        <v>11.946327781047044</v>
      </c>
      <c r="BM1136" s="32">
        <f t="shared" ca="1" si="850"/>
        <v>806.87587897813091</v>
      </c>
      <c r="BN1136" s="23">
        <f t="shared" ca="1" si="872"/>
        <v>0</v>
      </c>
      <c r="BO1136" s="24">
        <f t="shared" ca="1" si="873"/>
        <v>0</v>
      </c>
      <c r="BP1136" s="25">
        <f t="shared" ca="1" si="874"/>
        <v>0</v>
      </c>
      <c r="BQ1136" s="34">
        <f t="shared" ca="1" si="875"/>
        <v>79989</v>
      </c>
      <c r="BR1136" s="23">
        <f t="shared" ca="1" si="876"/>
        <v>806.87587897813091</v>
      </c>
      <c r="BS1136" s="24">
        <f t="shared" ca="1" si="877"/>
        <v>0</v>
      </c>
      <c r="BT1136" s="24">
        <f t="shared" ca="1" si="882"/>
        <v>0</v>
      </c>
      <c r="BU1136" s="24">
        <f t="shared" ca="1" si="878"/>
        <v>0</v>
      </c>
      <c r="BV1136" s="24">
        <f t="shared" ca="1" si="883"/>
        <v>0</v>
      </c>
      <c r="BW1136" s="24">
        <f t="shared" ca="1" si="879"/>
        <v>-11.946327781047044</v>
      </c>
      <c r="BX1136" s="25">
        <f t="shared" ca="1" si="884"/>
        <v>-155.66606584540563</v>
      </c>
      <c r="BY1136" s="23">
        <f t="shared" ca="1" si="851"/>
        <v>20.14899521300989</v>
      </c>
      <c r="BZ1136" s="24">
        <f t="shared" ca="1" si="852"/>
        <v>0</v>
      </c>
      <c r="CA1136" s="24">
        <f t="shared" ca="1" si="885"/>
        <v>0</v>
      </c>
      <c r="CB1136" s="24">
        <f t="shared" ca="1" si="853"/>
        <v>0</v>
      </c>
      <c r="CC1136" s="24">
        <f t="shared" ca="1" si="886"/>
        <v>0</v>
      </c>
      <c r="CD1136" s="24">
        <f t="shared" ca="1" si="854"/>
        <v>-0.29929573806104764</v>
      </c>
      <c r="CE1136" s="25">
        <f t="shared" ca="1" si="887"/>
        <v>-3.9719739322260379</v>
      </c>
      <c r="CF1136" s="23">
        <f t="shared" ca="1" si="888"/>
        <v>10540684.178556617</v>
      </c>
      <c r="CG1136" s="25">
        <f t="array" aca="1" ref="CG1136" ca="1">SUM(BF1125:BF1136/(1+inflation/100)^(AP1125:AP1136/12))</f>
        <v>267980.53702225396</v>
      </c>
      <c r="CH1136" s="32">
        <f ca="1">IFERROR(IF(MOD(AP1136-ap_months_since_start,12)=0,ap_drawdown/100*(AQ1136+AV1136+BA1136-BC1136),CH1135),0)</f>
        <v>125.9026529839508</v>
      </c>
    </row>
    <row r="1137" spans="40:86" x14ac:dyDescent="0.25">
      <c r="AN1137" s="32">
        <f t="shared" ca="1" si="849"/>
        <v>149</v>
      </c>
      <c r="AO1137" s="53">
        <f t="shared" ca="1" si="880"/>
        <v>79990</v>
      </c>
      <c r="AP1137" s="22">
        <v>1130</v>
      </c>
      <c r="AQ1137" s="32">
        <f t="shared" ca="1" si="881"/>
        <v>806.87587897813091</v>
      </c>
      <c r="AR1137" s="23">
        <f t="array" aca="1" ref="AR1137" ca="1">SUM(IF(lsc_start_date=AO1137,lsc_amount,0))</f>
        <v>0</v>
      </c>
      <c r="AS1137" s="24">
        <f t="shared" ca="1" si="855"/>
        <v>0</v>
      </c>
      <c r="AT1137" s="24">
        <f t="shared" ca="1" si="856"/>
        <v>0</v>
      </c>
      <c r="AU1137" s="24">
        <f t="shared" ca="1" si="857"/>
        <v>0</v>
      </c>
      <c r="AV1137" s="25">
        <f t="shared" ca="1" si="858"/>
        <v>0</v>
      </c>
      <c r="AW1137" s="23">
        <f t="array" aca="1" ref="AW1137" ca="1">SUM(IF(rcs_start_date&lt;=AO1137,1,0)*IF(rcs_end_date&gt;=AO1137,1,0)*rcs_amount*(1+rcs_escalation/100)^(INT((AP1137-rcs_months_since_start)/12))*IF(MOD((AP1137-rcs_months_since_start),rcs_frequency)=0,1,0)*IF(rcs_frequency=13,0,1))+SUM(IF(rcs_start_date=AO1137,rcs_amount,0)*IF(rcs_frequency=13,1,0))</f>
        <v>0</v>
      </c>
      <c r="AX1137" s="24">
        <f t="shared" ca="1" si="859"/>
        <v>0</v>
      </c>
      <c r="AY1137" s="24">
        <f t="shared" ca="1" si="860"/>
        <v>0</v>
      </c>
      <c r="AZ1137" s="24">
        <f t="shared" ca="1" si="861"/>
        <v>0</v>
      </c>
      <c r="BA1137" s="25">
        <f t="shared" ca="1" si="862"/>
        <v>0</v>
      </c>
      <c r="BB1137" s="23">
        <f t="array" aca="1" ref="BB1137" ca="1">SUM(IF(w_start_date&lt;=AO1137,1,0)*IF(w_end_date&gt;=AO1137,1,0)*w_amount*(1+w_escalation/100)^(INT((AP1137-w_months_since_start)/12))*IF(MOD(AP1137-w_months_since_start,w_frequency)=0,1,0)*IF(w_frequency=13,0,1))+SUM(IF(w_start_date=AO1137,w_amount,0)*IF(w_frequency=13,1,0))</f>
        <v>0</v>
      </c>
      <c r="BC1137" s="25">
        <f t="shared" ca="1" si="863"/>
        <v>0</v>
      </c>
      <c r="BD1137" s="24" t="b">
        <f t="shared" ca="1" si="864"/>
        <v>1</v>
      </c>
      <c r="BE1137" s="24" t="b">
        <f t="shared" ca="1" si="865"/>
        <v>1</v>
      </c>
      <c r="BF1137" s="23">
        <f t="array" aca="1" ref="BF1137" ca="1">SUM(IF(BD1137,1,0)*IF(ap_start_date&lt;=AO1137,1,0)*IF(ap_end_date&gt;=AO1137,1,0)*ap_amount*(1+ap_escalation/100)^(INT((AP1137-ap_months_since_start)/12))*IF(MOD(AP1137-ap_months_since_start,ap_frequency)=0,1,0))</f>
        <v>907476.12133268907</v>
      </c>
      <c r="BG1137" s="24">
        <f t="shared" ca="1" si="866"/>
        <v>10889713.455992267</v>
      </c>
      <c r="BH1137" s="24">
        <f t="shared" ca="1" si="867"/>
        <v>20.479419053223502</v>
      </c>
      <c r="BI1137">
        <f t="shared" ca="1" si="868"/>
        <v>0</v>
      </c>
      <c r="BJ1137" s="24">
        <f t="shared" ca="1" si="869"/>
        <v>143.35593337256449</v>
      </c>
      <c r="BK1137">
        <f t="shared" ca="1" si="870"/>
        <v>1</v>
      </c>
      <c r="BL1137" s="25">
        <f t="shared" ca="1" si="871"/>
        <v>11.946327781047044</v>
      </c>
      <c r="BM1137" s="32">
        <f t="shared" ca="1" si="850"/>
        <v>800.65886548611275</v>
      </c>
      <c r="BN1137" s="23">
        <f t="shared" ca="1" si="872"/>
        <v>0</v>
      </c>
      <c r="BO1137" s="24">
        <f t="shared" ca="1" si="873"/>
        <v>0</v>
      </c>
      <c r="BP1137" s="25">
        <f t="shared" ca="1" si="874"/>
        <v>0</v>
      </c>
      <c r="BQ1137" s="34">
        <f t="shared" ca="1" si="875"/>
        <v>80020</v>
      </c>
      <c r="BR1137" s="23">
        <f t="shared" ca="1" si="876"/>
        <v>800.65886548611275</v>
      </c>
      <c r="BS1137" s="24">
        <f t="shared" ca="1" si="877"/>
        <v>0</v>
      </c>
      <c r="BT1137" s="24">
        <f t="shared" ca="1" si="882"/>
        <v>0</v>
      </c>
      <c r="BU1137" s="24">
        <f t="shared" ca="1" si="878"/>
        <v>0</v>
      </c>
      <c r="BV1137" s="24">
        <f t="shared" ca="1" si="883"/>
        <v>0</v>
      </c>
      <c r="BW1137" s="24">
        <f t="shared" ca="1" si="879"/>
        <v>-11.946327781047044</v>
      </c>
      <c r="BX1137" s="25">
        <f t="shared" ca="1" si="884"/>
        <v>-154.4350525981215</v>
      </c>
      <c r="BY1137" s="23">
        <f t="shared" ca="1" si="851"/>
        <v>19.928505593210087</v>
      </c>
      <c r="BZ1137" s="24">
        <f t="shared" ca="1" si="852"/>
        <v>0</v>
      </c>
      <c r="CA1137" s="24">
        <f t="shared" ca="1" si="885"/>
        <v>0</v>
      </c>
      <c r="CB1137" s="24">
        <f t="shared" ca="1" si="853"/>
        <v>0</v>
      </c>
      <c r="CC1137" s="24">
        <f t="shared" ca="1" si="886"/>
        <v>0</v>
      </c>
      <c r="CD1137" s="24">
        <f t="shared" ca="1" si="854"/>
        <v>-0.29831911889373502</v>
      </c>
      <c r="CE1137" s="25">
        <f t="shared" ca="1" si="887"/>
        <v>-3.9280711608065428</v>
      </c>
      <c r="CF1137" s="23">
        <f t="shared" ca="1" si="888"/>
        <v>10575587.106300181</v>
      </c>
      <c r="CG1137" s="25">
        <f t="array" aca="1" ref="CG1137" ca="1">SUM(BF1126:BF1137/(1+inflation/100)^(AP1126:AP1137/12))</f>
        <v>267980.53702225391</v>
      </c>
      <c r="CH1137" s="32">
        <f ca="1">IFERROR(IF(MOD(AP1137-ap_months_since_start,12)=0,ap_drawdown/100*(AQ1137+AV1137+BA1137-BC1137),CH1136),0)</f>
        <v>125.9026529839508</v>
      </c>
    </row>
    <row r="1138" spans="40:86" x14ac:dyDescent="0.25">
      <c r="AN1138" s="32">
        <f t="shared" ca="1" si="849"/>
        <v>149.08333333333334</v>
      </c>
      <c r="AO1138" s="53">
        <f t="shared" ca="1" si="880"/>
        <v>80021</v>
      </c>
      <c r="AP1138" s="22">
        <v>1131</v>
      </c>
      <c r="AQ1138" s="32">
        <f t="shared" ca="1" si="881"/>
        <v>800.65886548611275</v>
      </c>
      <c r="AR1138" s="23">
        <f t="array" aca="1" ref="AR1138" ca="1">SUM(IF(lsc_start_date=AO1138,lsc_amount,0))</f>
        <v>0</v>
      </c>
      <c r="AS1138" s="24">
        <f t="shared" ca="1" si="855"/>
        <v>0</v>
      </c>
      <c r="AT1138" s="24">
        <f t="shared" ca="1" si="856"/>
        <v>0</v>
      </c>
      <c r="AU1138" s="24">
        <f t="shared" ca="1" si="857"/>
        <v>0</v>
      </c>
      <c r="AV1138" s="25">
        <f t="shared" ca="1" si="858"/>
        <v>0</v>
      </c>
      <c r="AW1138" s="23">
        <f t="array" aca="1" ref="AW1138" ca="1">SUM(IF(rcs_start_date&lt;=AO1138,1,0)*IF(rcs_end_date&gt;=AO1138,1,0)*rcs_amount*(1+rcs_escalation/100)^(INT((AP1138-rcs_months_since_start)/12))*IF(MOD((AP1138-rcs_months_since_start),rcs_frequency)=0,1,0)*IF(rcs_frequency=13,0,1))+SUM(IF(rcs_start_date=AO1138,rcs_amount,0)*IF(rcs_frequency=13,1,0))</f>
        <v>0</v>
      </c>
      <c r="AX1138" s="24">
        <f t="shared" ca="1" si="859"/>
        <v>0</v>
      </c>
      <c r="AY1138" s="24">
        <f t="shared" ca="1" si="860"/>
        <v>0</v>
      </c>
      <c r="AZ1138" s="24">
        <f t="shared" ca="1" si="861"/>
        <v>0</v>
      </c>
      <c r="BA1138" s="25">
        <f t="shared" ca="1" si="862"/>
        <v>0</v>
      </c>
      <c r="BB1138" s="23">
        <f t="array" aca="1" ref="BB1138" ca="1">SUM(IF(w_start_date&lt;=AO1138,1,0)*IF(w_end_date&gt;=AO1138,1,0)*w_amount*(1+w_escalation/100)^(INT((AP1138-w_months_since_start)/12))*IF(MOD(AP1138-w_months_since_start,w_frequency)=0,1,0)*IF(w_frequency=13,0,1))+SUM(IF(w_start_date=AO1138,w_amount,0)*IF(w_frequency=13,1,0))</f>
        <v>0</v>
      </c>
      <c r="BC1138" s="25">
        <f t="shared" ca="1" si="863"/>
        <v>0</v>
      </c>
      <c r="BD1138" s="24" t="b">
        <f t="shared" ca="1" si="864"/>
        <v>1</v>
      </c>
      <c r="BE1138" s="24" t="b">
        <f t="shared" ca="1" si="865"/>
        <v>1</v>
      </c>
      <c r="BF1138" s="23">
        <f t="array" aca="1" ref="BF1138" ca="1">SUM(IF(BD1138,1,0)*IF(ap_start_date&lt;=AO1138,1,0)*IF(ap_end_date&gt;=AO1138,1,0)*ap_amount*(1+ap_escalation/100)^(INT((AP1138-ap_months_since_start)/12))*IF(MOD(AP1138-ap_months_since_start,ap_frequency)=0,1,0))</f>
        <v>907476.12133268907</v>
      </c>
      <c r="BG1138" s="24">
        <f t="shared" ca="1" si="866"/>
        <v>10889713.455992267</v>
      </c>
      <c r="BH1138" s="24">
        <f t="shared" ca="1" si="867"/>
        <v>20.479419053223502</v>
      </c>
      <c r="BI1138">
        <f t="shared" ca="1" si="868"/>
        <v>0</v>
      </c>
      <c r="BJ1138" s="24">
        <f t="shared" ca="1" si="869"/>
        <v>143.35593337256449</v>
      </c>
      <c r="BK1138">
        <f t="shared" ca="1" si="870"/>
        <v>1</v>
      </c>
      <c r="BL1138" s="25">
        <f t="shared" ca="1" si="871"/>
        <v>11.946327781047044</v>
      </c>
      <c r="BM1138" s="32">
        <f t="shared" ca="1" si="850"/>
        <v>794.39704396779689</v>
      </c>
      <c r="BN1138" s="23">
        <f t="shared" ca="1" si="872"/>
        <v>0</v>
      </c>
      <c r="BO1138" s="24">
        <f t="shared" ca="1" si="873"/>
        <v>0</v>
      </c>
      <c r="BP1138" s="25">
        <f t="shared" ca="1" si="874"/>
        <v>0</v>
      </c>
      <c r="BQ1138" s="34">
        <f t="shared" ca="1" si="875"/>
        <v>80048</v>
      </c>
      <c r="BR1138" s="23">
        <f t="shared" ca="1" si="876"/>
        <v>794.39704396779689</v>
      </c>
      <c r="BS1138" s="24">
        <f t="shared" ca="1" si="877"/>
        <v>0</v>
      </c>
      <c r="BT1138" s="24">
        <f t="shared" ca="1" si="882"/>
        <v>0</v>
      </c>
      <c r="BU1138" s="24">
        <f t="shared" ca="1" si="878"/>
        <v>0</v>
      </c>
      <c r="BV1138" s="24">
        <f t="shared" ca="1" si="883"/>
        <v>0</v>
      </c>
      <c r="BW1138" s="24">
        <f t="shared" ca="1" si="879"/>
        <v>-11.946327781047044</v>
      </c>
      <c r="BX1138" s="25">
        <f t="shared" ca="1" si="884"/>
        <v>-153.20403935083741</v>
      </c>
      <c r="BY1138" s="23">
        <f t="shared" ca="1" si="851"/>
        <v>19.708128738155004</v>
      </c>
      <c r="BZ1138" s="24">
        <f t="shared" ca="1" si="852"/>
        <v>0</v>
      </c>
      <c r="CA1138" s="24">
        <f t="shared" ca="1" si="885"/>
        <v>0</v>
      </c>
      <c r="CB1138" s="24">
        <f t="shared" ca="1" si="853"/>
        <v>0</v>
      </c>
      <c r="CC1138" s="24">
        <f t="shared" ca="1" si="886"/>
        <v>0</v>
      </c>
      <c r="CD1138" s="24">
        <f t="shared" ca="1" si="854"/>
        <v>-0.29734568649080473</v>
      </c>
      <c r="CE1138" s="25">
        <f t="shared" ca="1" si="887"/>
        <v>-3.8843116466493934</v>
      </c>
      <c r="CF1138" s="23">
        <f t="shared" ca="1" si="888"/>
        <v>10610490.034043746</v>
      </c>
      <c r="CG1138" s="25">
        <f t="array" aca="1" ref="CG1138" ca="1">SUM(BF1127:BF1138/(1+inflation/100)^(AP1127:AP1138/12))</f>
        <v>267980.53702225391</v>
      </c>
      <c r="CH1138" s="32">
        <f ca="1">IFERROR(IF(MOD(AP1138-ap_months_since_start,12)=0,ap_drawdown/100*(AQ1138+AV1138+BA1138-BC1138),CH1137),0)</f>
        <v>125.9026529839508</v>
      </c>
    </row>
    <row r="1139" spans="40:86" x14ac:dyDescent="0.25">
      <c r="AN1139" s="32">
        <f t="shared" ca="1" si="849"/>
        <v>149.16666666666666</v>
      </c>
      <c r="AO1139" s="53">
        <f t="shared" ca="1" si="880"/>
        <v>80049</v>
      </c>
      <c r="AP1139" s="22">
        <v>1132</v>
      </c>
      <c r="AQ1139" s="32">
        <f t="shared" ca="1" si="881"/>
        <v>794.39704396779689</v>
      </c>
      <c r="AR1139" s="23">
        <f t="array" aca="1" ref="AR1139" ca="1">SUM(IF(lsc_start_date=AO1139,lsc_amount,0))</f>
        <v>0</v>
      </c>
      <c r="AS1139" s="24">
        <f t="shared" ca="1" si="855"/>
        <v>0</v>
      </c>
      <c r="AT1139" s="24">
        <f t="shared" ca="1" si="856"/>
        <v>0</v>
      </c>
      <c r="AU1139" s="24">
        <f t="shared" ca="1" si="857"/>
        <v>0</v>
      </c>
      <c r="AV1139" s="25">
        <f t="shared" ca="1" si="858"/>
        <v>0</v>
      </c>
      <c r="AW1139" s="23">
        <f t="array" aca="1" ref="AW1139" ca="1">SUM(IF(rcs_start_date&lt;=AO1139,1,0)*IF(rcs_end_date&gt;=AO1139,1,0)*rcs_amount*(1+rcs_escalation/100)^(INT((AP1139-rcs_months_since_start)/12))*IF(MOD((AP1139-rcs_months_since_start),rcs_frequency)=0,1,0)*IF(rcs_frequency=13,0,1))+SUM(IF(rcs_start_date=AO1139,rcs_amount,0)*IF(rcs_frequency=13,1,0))</f>
        <v>0</v>
      </c>
      <c r="AX1139" s="24">
        <f t="shared" ca="1" si="859"/>
        <v>0</v>
      </c>
      <c r="AY1139" s="24">
        <f t="shared" ca="1" si="860"/>
        <v>0</v>
      </c>
      <c r="AZ1139" s="24">
        <f t="shared" ca="1" si="861"/>
        <v>0</v>
      </c>
      <c r="BA1139" s="25">
        <f t="shared" ca="1" si="862"/>
        <v>0</v>
      </c>
      <c r="BB1139" s="23">
        <f t="array" aca="1" ref="BB1139" ca="1">SUM(IF(w_start_date&lt;=AO1139,1,0)*IF(w_end_date&gt;=AO1139,1,0)*w_amount*(1+w_escalation/100)^(INT((AP1139-w_months_since_start)/12))*IF(MOD(AP1139-w_months_since_start,w_frequency)=0,1,0)*IF(w_frequency=13,0,1))+SUM(IF(w_start_date=AO1139,w_amount,0)*IF(w_frequency=13,1,0))</f>
        <v>0</v>
      </c>
      <c r="BC1139" s="25">
        <f t="shared" ca="1" si="863"/>
        <v>0</v>
      </c>
      <c r="BD1139" s="24" t="b">
        <f t="shared" ca="1" si="864"/>
        <v>1</v>
      </c>
      <c r="BE1139" s="24" t="b">
        <f t="shared" ca="1" si="865"/>
        <v>1</v>
      </c>
      <c r="BF1139" s="23">
        <f t="array" aca="1" ref="BF1139" ca="1">SUM(IF(BD1139,1,0)*IF(ap_start_date&lt;=AO1139,1,0)*IF(ap_end_date&gt;=AO1139,1,0)*ap_amount*(1+ap_escalation/100)^(INT((AP1139-ap_months_since_start)/12))*IF(MOD(AP1139-ap_months_since_start,ap_frequency)=0,1,0))</f>
        <v>907476.12133268907</v>
      </c>
      <c r="BG1139" s="24">
        <f t="shared" ca="1" si="866"/>
        <v>10889713.455992267</v>
      </c>
      <c r="BH1139" s="24">
        <f t="shared" ca="1" si="867"/>
        <v>20.479419053223502</v>
      </c>
      <c r="BI1139">
        <f t="shared" ca="1" si="868"/>
        <v>0</v>
      </c>
      <c r="BJ1139" s="24">
        <f t="shared" ca="1" si="869"/>
        <v>143.35593337256449</v>
      </c>
      <c r="BK1139">
        <f t="shared" ca="1" si="870"/>
        <v>1</v>
      </c>
      <c r="BL1139" s="25">
        <f t="shared" ca="1" si="871"/>
        <v>11.946327781047044</v>
      </c>
      <c r="BM1139" s="32">
        <f t="shared" ca="1" si="850"/>
        <v>788.09009147725055</v>
      </c>
      <c r="BN1139" s="23">
        <f t="shared" ca="1" si="872"/>
        <v>0</v>
      </c>
      <c r="BO1139" s="24">
        <f t="shared" ca="1" si="873"/>
        <v>0</v>
      </c>
      <c r="BP1139" s="25">
        <f t="shared" ca="1" si="874"/>
        <v>0</v>
      </c>
      <c r="BQ1139" s="34">
        <f t="shared" ca="1" si="875"/>
        <v>80079</v>
      </c>
      <c r="BR1139" s="23">
        <f t="shared" ca="1" si="876"/>
        <v>788.09009147725055</v>
      </c>
      <c r="BS1139" s="24">
        <f t="shared" ca="1" si="877"/>
        <v>0</v>
      </c>
      <c r="BT1139" s="24">
        <f t="shared" ca="1" si="882"/>
        <v>0</v>
      </c>
      <c r="BU1139" s="24">
        <f t="shared" ca="1" si="878"/>
        <v>0</v>
      </c>
      <c r="BV1139" s="24">
        <f t="shared" ca="1" si="883"/>
        <v>0</v>
      </c>
      <c r="BW1139" s="24">
        <f t="shared" ca="1" si="879"/>
        <v>-11.946327781047044</v>
      </c>
      <c r="BX1139" s="25">
        <f t="shared" ca="1" si="884"/>
        <v>-151.97302610355328</v>
      </c>
      <c r="BY1139" s="23">
        <f t="shared" ca="1" si="851"/>
        <v>19.487861901147252</v>
      </c>
      <c r="BZ1139" s="24">
        <f t="shared" ca="1" si="852"/>
        <v>0</v>
      </c>
      <c r="CA1139" s="24">
        <f t="shared" ca="1" si="885"/>
        <v>0</v>
      </c>
      <c r="CB1139" s="24">
        <f t="shared" ca="1" si="853"/>
        <v>0</v>
      </c>
      <c r="CC1139" s="24">
        <f t="shared" ca="1" si="886"/>
        <v>0</v>
      </c>
      <c r="CD1139" s="24">
        <f t="shared" ca="1" si="854"/>
        <v>-0.29637543045366238</v>
      </c>
      <c r="CE1139" s="25">
        <f t="shared" ca="1" si="887"/>
        <v>-3.8406949222979234</v>
      </c>
      <c r="CF1139" s="23">
        <f t="shared" ca="1" si="888"/>
        <v>10645392.961787311</v>
      </c>
      <c r="CG1139" s="25">
        <f t="array" aca="1" ref="CG1139" ca="1">SUM(BF1128:BF1139/(1+inflation/100)^(AP1128:AP1139/12))</f>
        <v>267980.53702225391</v>
      </c>
      <c r="CH1139" s="32">
        <f ca="1">IFERROR(IF(MOD(AP1139-ap_months_since_start,12)=0,ap_drawdown/100*(AQ1139+AV1139+BA1139-BC1139),CH1138),0)</f>
        <v>125.9026529839508</v>
      </c>
    </row>
    <row r="1140" spans="40:86" x14ac:dyDescent="0.25">
      <c r="AN1140" s="32">
        <f t="shared" ca="1" si="849"/>
        <v>149.25</v>
      </c>
      <c r="AO1140" s="53">
        <f t="shared" ca="1" si="880"/>
        <v>80080</v>
      </c>
      <c r="AP1140" s="22">
        <v>1133</v>
      </c>
      <c r="AQ1140" s="32">
        <f t="shared" ca="1" si="881"/>
        <v>788.09009147725055</v>
      </c>
      <c r="AR1140" s="23">
        <f t="array" aca="1" ref="AR1140" ca="1">SUM(IF(lsc_start_date=AO1140,lsc_amount,0))</f>
        <v>0</v>
      </c>
      <c r="AS1140" s="24">
        <f t="shared" ca="1" si="855"/>
        <v>0</v>
      </c>
      <c r="AT1140" s="24">
        <f t="shared" ca="1" si="856"/>
        <v>0</v>
      </c>
      <c r="AU1140" s="24">
        <f t="shared" ca="1" si="857"/>
        <v>0</v>
      </c>
      <c r="AV1140" s="25">
        <f t="shared" ca="1" si="858"/>
        <v>0</v>
      </c>
      <c r="AW1140" s="23">
        <f t="array" aca="1" ref="AW1140" ca="1">SUM(IF(rcs_start_date&lt;=AO1140,1,0)*IF(rcs_end_date&gt;=AO1140,1,0)*rcs_amount*(1+rcs_escalation/100)^(INT((AP1140-rcs_months_since_start)/12))*IF(MOD((AP1140-rcs_months_since_start),rcs_frequency)=0,1,0)*IF(rcs_frequency=13,0,1))+SUM(IF(rcs_start_date=AO1140,rcs_amount,0)*IF(rcs_frequency=13,1,0))</f>
        <v>0</v>
      </c>
      <c r="AX1140" s="24">
        <f t="shared" ca="1" si="859"/>
        <v>0</v>
      </c>
      <c r="AY1140" s="24">
        <f t="shared" ca="1" si="860"/>
        <v>0</v>
      </c>
      <c r="AZ1140" s="24">
        <f t="shared" ca="1" si="861"/>
        <v>0</v>
      </c>
      <c r="BA1140" s="25">
        <f t="shared" ca="1" si="862"/>
        <v>0</v>
      </c>
      <c r="BB1140" s="23">
        <f t="array" aca="1" ref="BB1140" ca="1">SUM(IF(w_start_date&lt;=AO1140,1,0)*IF(w_end_date&gt;=AO1140,1,0)*w_amount*(1+w_escalation/100)^(INT((AP1140-w_months_since_start)/12))*IF(MOD(AP1140-w_months_since_start,w_frequency)=0,1,0)*IF(w_frequency=13,0,1))+SUM(IF(w_start_date=AO1140,w_amount,0)*IF(w_frequency=13,1,0))</f>
        <v>0</v>
      </c>
      <c r="BC1140" s="25">
        <f t="shared" ca="1" si="863"/>
        <v>0</v>
      </c>
      <c r="BD1140" s="24" t="b">
        <f t="shared" ca="1" si="864"/>
        <v>1</v>
      </c>
      <c r="BE1140" s="24" t="b">
        <f t="shared" ca="1" si="865"/>
        <v>1</v>
      </c>
      <c r="BF1140" s="23">
        <f t="array" aca="1" ref="BF1140" ca="1">SUM(IF(BD1140,1,0)*IF(ap_start_date&lt;=AO1140,1,0)*IF(ap_end_date&gt;=AO1140,1,0)*ap_amount*(1+ap_escalation/100)^(INT((AP1140-ap_months_since_start)/12))*IF(MOD(AP1140-ap_months_since_start,ap_frequency)=0,1,0))</f>
        <v>907476.12133268907</v>
      </c>
      <c r="BG1140" s="24">
        <f t="shared" ca="1" si="866"/>
        <v>10889713.455992267</v>
      </c>
      <c r="BH1140" s="24">
        <f t="shared" ca="1" si="867"/>
        <v>20.479419053223502</v>
      </c>
      <c r="BI1140">
        <f t="shared" ca="1" si="868"/>
        <v>0</v>
      </c>
      <c r="BJ1140" s="24">
        <f t="shared" ca="1" si="869"/>
        <v>143.35593337256449</v>
      </c>
      <c r="BK1140">
        <f t="shared" ca="1" si="870"/>
        <v>1</v>
      </c>
      <c r="BL1140" s="25">
        <f t="shared" ca="1" si="871"/>
        <v>11.946327781047044</v>
      </c>
      <c r="BM1140" s="32">
        <f t="shared" ca="1" si="850"/>
        <v>781.73768274096528</v>
      </c>
      <c r="BN1140" s="23">
        <f t="shared" ca="1" si="872"/>
        <v>0</v>
      </c>
      <c r="BO1140" s="24">
        <f t="shared" ca="1" si="873"/>
        <v>0</v>
      </c>
      <c r="BP1140" s="25">
        <f t="shared" ca="1" si="874"/>
        <v>0</v>
      </c>
      <c r="BQ1140" s="34">
        <f t="shared" ca="1" si="875"/>
        <v>80109</v>
      </c>
      <c r="BR1140" s="23">
        <f t="shared" ca="1" si="876"/>
        <v>781.73768274096528</v>
      </c>
      <c r="BS1140" s="24">
        <f t="shared" ca="1" si="877"/>
        <v>0</v>
      </c>
      <c r="BT1140" s="24">
        <f t="shared" ca="1" si="882"/>
        <v>0</v>
      </c>
      <c r="BU1140" s="24">
        <f t="shared" ca="1" si="878"/>
        <v>0</v>
      </c>
      <c r="BV1140" s="24">
        <f t="shared" ca="1" si="883"/>
        <v>0</v>
      </c>
      <c r="BW1140" s="24">
        <f t="shared" ca="1" si="879"/>
        <v>-11.946327781047044</v>
      </c>
      <c r="BX1140" s="25">
        <f t="shared" ca="1" si="884"/>
        <v>-150.74201285626918</v>
      </c>
      <c r="BY1140" s="23">
        <f t="shared" ca="1" si="851"/>
        <v>19.267702335125655</v>
      </c>
      <c r="BZ1140" s="24">
        <f t="shared" ca="1" si="852"/>
        <v>0</v>
      </c>
      <c r="CA1140" s="24">
        <f t="shared" ca="1" si="885"/>
        <v>0</v>
      </c>
      <c r="CB1140" s="24">
        <f t="shared" ca="1" si="853"/>
        <v>0</v>
      </c>
      <c r="CC1140" s="24">
        <f t="shared" ca="1" si="886"/>
        <v>0</v>
      </c>
      <c r="CD1140" s="24">
        <f t="shared" ca="1" si="854"/>
        <v>-0.2954083404176438</v>
      </c>
      <c r="CE1140" s="25">
        <f t="shared" ca="1" si="887"/>
        <v>-3.7972205218208028</v>
      </c>
      <c r="CF1140" s="23">
        <f t="shared" ca="1" si="888"/>
        <v>10680295.889530877</v>
      </c>
      <c r="CG1140" s="25">
        <f t="array" aca="1" ref="CG1140" ca="1">SUM(BF1129:BF1140/(1+inflation/100)^(AP1129:AP1140/12))</f>
        <v>267980.53702225391</v>
      </c>
      <c r="CH1140" s="32">
        <f ca="1">IFERROR(IF(MOD(AP1140-ap_months_since_start,12)=0,ap_drawdown/100*(AQ1140+AV1140+BA1140-BC1140),CH1139),0)</f>
        <v>125.9026529839508</v>
      </c>
    </row>
    <row r="1141" spans="40:86" x14ac:dyDescent="0.25">
      <c r="AN1141" s="32">
        <f t="shared" ca="1" si="849"/>
        <v>149.33333333333334</v>
      </c>
      <c r="AO1141" s="53">
        <f t="shared" ca="1" si="880"/>
        <v>80110</v>
      </c>
      <c r="AP1141" s="22">
        <v>1134</v>
      </c>
      <c r="AQ1141" s="32">
        <f t="shared" ca="1" si="881"/>
        <v>781.73768274096528</v>
      </c>
      <c r="AR1141" s="23">
        <f t="array" aca="1" ref="AR1141" ca="1">SUM(IF(lsc_start_date=AO1141,lsc_amount,0))</f>
        <v>0</v>
      </c>
      <c r="AS1141" s="24">
        <f t="shared" ca="1" si="855"/>
        <v>0</v>
      </c>
      <c r="AT1141" s="24">
        <f t="shared" ca="1" si="856"/>
        <v>0</v>
      </c>
      <c r="AU1141" s="24">
        <f t="shared" ca="1" si="857"/>
        <v>0</v>
      </c>
      <c r="AV1141" s="25">
        <f t="shared" ca="1" si="858"/>
        <v>0</v>
      </c>
      <c r="AW1141" s="23">
        <f t="array" aca="1" ref="AW1141" ca="1">SUM(IF(rcs_start_date&lt;=AO1141,1,0)*IF(rcs_end_date&gt;=AO1141,1,0)*rcs_amount*(1+rcs_escalation/100)^(INT((AP1141-rcs_months_since_start)/12))*IF(MOD((AP1141-rcs_months_since_start),rcs_frequency)=0,1,0)*IF(rcs_frequency=13,0,1))+SUM(IF(rcs_start_date=AO1141,rcs_amount,0)*IF(rcs_frequency=13,1,0))</f>
        <v>0</v>
      </c>
      <c r="AX1141" s="24">
        <f t="shared" ca="1" si="859"/>
        <v>0</v>
      </c>
      <c r="AY1141" s="24">
        <f t="shared" ca="1" si="860"/>
        <v>0</v>
      </c>
      <c r="AZ1141" s="24">
        <f t="shared" ca="1" si="861"/>
        <v>0</v>
      </c>
      <c r="BA1141" s="25">
        <f t="shared" ca="1" si="862"/>
        <v>0</v>
      </c>
      <c r="BB1141" s="23">
        <f t="array" aca="1" ref="BB1141" ca="1">SUM(IF(w_start_date&lt;=AO1141,1,0)*IF(w_end_date&gt;=AO1141,1,0)*w_amount*(1+w_escalation/100)^(INT((AP1141-w_months_since_start)/12))*IF(MOD(AP1141-w_months_since_start,w_frequency)=0,1,0)*IF(w_frequency=13,0,1))+SUM(IF(w_start_date=AO1141,w_amount,0)*IF(w_frequency=13,1,0))</f>
        <v>0</v>
      </c>
      <c r="BC1141" s="25">
        <f t="shared" ca="1" si="863"/>
        <v>0</v>
      </c>
      <c r="BD1141" s="24" t="b">
        <f t="shared" ca="1" si="864"/>
        <v>1</v>
      </c>
      <c r="BE1141" s="24" t="b">
        <f t="shared" ca="1" si="865"/>
        <v>1</v>
      </c>
      <c r="BF1141" s="23">
        <f t="array" aca="1" ref="BF1141" ca="1">SUM(IF(BD1141,1,0)*IF(ap_start_date&lt;=AO1141,1,0)*IF(ap_end_date&gt;=AO1141,1,0)*ap_amount*(1+ap_escalation/100)^(INT((AP1141-ap_months_since_start)/12))*IF(MOD(AP1141-ap_months_since_start,ap_frequency)=0,1,0))</f>
        <v>907476.12133268907</v>
      </c>
      <c r="BG1141" s="24">
        <f t="shared" ca="1" si="866"/>
        <v>10889713.455992267</v>
      </c>
      <c r="BH1141" s="24">
        <f t="shared" ca="1" si="867"/>
        <v>20.479419053223502</v>
      </c>
      <c r="BI1141">
        <f t="shared" ca="1" si="868"/>
        <v>0</v>
      </c>
      <c r="BJ1141" s="24">
        <f t="shared" ca="1" si="869"/>
        <v>143.35593337256449</v>
      </c>
      <c r="BK1141">
        <f t="shared" ca="1" si="870"/>
        <v>1</v>
      </c>
      <c r="BL1141" s="25">
        <f t="shared" ca="1" si="871"/>
        <v>11.946327781047044</v>
      </c>
      <c r="BM1141" s="32">
        <f t="shared" ca="1" si="850"/>
        <v>775.33949014108134</v>
      </c>
      <c r="BN1141" s="23">
        <f t="shared" ca="1" si="872"/>
        <v>0</v>
      </c>
      <c r="BO1141" s="24">
        <f t="shared" ca="1" si="873"/>
        <v>0</v>
      </c>
      <c r="BP1141" s="25">
        <f t="shared" ca="1" si="874"/>
        <v>0</v>
      </c>
      <c r="BQ1141" s="34">
        <f t="shared" ca="1" si="875"/>
        <v>80140</v>
      </c>
      <c r="BR1141" s="23">
        <f t="shared" ca="1" si="876"/>
        <v>775.33949014108134</v>
      </c>
      <c r="BS1141" s="24">
        <f t="shared" ca="1" si="877"/>
        <v>0</v>
      </c>
      <c r="BT1141" s="24">
        <f t="shared" ca="1" si="882"/>
        <v>0</v>
      </c>
      <c r="BU1141" s="24">
        <f t="shared" ca="1" si="878"/>
        <v>0</v>
      </c>
      <c r="BV1141" s="24">
        <f t="shared" ca="1" si="883"/>
        <v>0</v>
      </c>
      <c r="BW1141" s="24">
        <f t="shared" ca="1" si="879"/>
        <v>-11.946327781047044</v>
      </c>
      <c r="BX1141" s="25">
        <f t="shared" ca="1" si="884"/>
        <v>-149.51099960898506</v>
      </c>
      <c r="BY1141" s="23">
        <f t="shared" ca="1" si="851"/>
        <v>19.047647292629868</v>
      </c>
      <c r="BZ1141" s="24">
        <f t="shared" ca="1" si="852"/>
        <v>0</v>
      </c>
      <c r="CA1141" s="24">
        <f t="shared" ca="1" si="885"/>
        <v>0</v>
      </c>
      <c r="CB1141" s="24">
        <f t="shared" ca="1" si="853"/>
        <v>0</v>
      </c>
      <c r="CC1141" s="24">
        <f t="shared" ca="1" si="886"/>
        <v>0</v>
      </c>
      <c r="CD1141" s="24">
        <f t="shared" ca="1" si="854"/>
        <v>-0.29444440605190569</v>
      </c>
      <c r="CE1141" s="25">
        <f t="shared" ca="1" si="887"/>
        <v>-3.753887980807062</v>
      </c>
      <c r="CF1141" s="23">
        <f t="shared" ca="1" si="888"/>
        <v>10715198.817274442</v>
      </c>
      <c r="CG1141" s="25">
        <f t="array" aca="1" ref="CG1141" ca="1">SUM(BF1130:BF1141/(1+inflation/100)^(AP1130:AP1141/12))</f>
        <v>267980.53702225396</v>
      </c>
      <c r="CH1141" s="32">
        <f ca="1">IFERROR(IF(MOD(AP1141-ap_months_since_start,12)=0,ap_drawdown/100*(AQ1141+AV1141+BA1141-BC1141),CH1140),0)</f>
        <v>125.9026529839508</v>
      </c>
    </row>
    <row r="1142" spans="40:86" x14ac:dyDescent="0.25">
      <c r="AN1142" s="32">
        <f t="shared" ca="1" si="849"/>
        <v>149.41666666666666</v>
      </c>
      <c r="AO1142" s="53">
        <f t="shared" ca="1" si="880"/>
        <v>80141</v>
      </c>
      <c r="AP1142" s="22">
        <v>1135</v>
      </c>
      <c r="AQ1142" s="32">
        <f t="shared" ca="1" si="881"/>
        <v>775.33949014108134</v>
      </c>
      <c r="AR1142" s="23">
        <f t="array" aca="1" ref="AR1142" ca="1">SUM(IF(lsc_start_date=AO1142,lsc_amount,0))</f>
        <v>0</v>
      </c>
      <c r="AS1142" s="24">
        <f t="shared" ca="1" si="855"/>
        <v>0</v>
      </c>
      <c r="AT1142" s="24">
        <f t="shared" ca="1" si="856"/>
        <v>0</v>
      </c>
      <c r="AU1142" s="24">
        <f t="shared" ca="1" si="857"/>
        <v>0</v>
      </c>
      <c r="AV1142" s="25">
        <f t="shared" ca="1" si="858"/>
        <v>0</v>
      </c>
      <c r="AW1142" s="23">
        <f t="array" aca="1" ref="AW1142" ca="1">SUM(IF(rcs_start_date&lt;=AO1142,1,0)*IF(rcs_end_date&gt;=AO1142,1,0)*rcs_amount*(1+rcs_escalation/100)^(INT((AP1142-rcs_months_since_start)/12))*IF(MOD((AP1142-rcs_months_since_start),rcs_frequency)=0,1,0)*IF(rcs_frequency=13,0,1))+SUM(IF(rcs_start_date=AO1142,rcs_amount,0)*IF(rcs_frequency=13,1,0))</f>
        <v>0</v>
      </c>
      <c r="AX1142" s="24">
        <f t="shared" ca="1" si="859"/>
        <v>0</v>
      </c>
      <c r="AY1142" s="24">
        <f t="shared" ca="1" si="860"/>
        <v>0</v>
      </c>
      <c r="AZ1142" s="24">
        <f t="shared" ca="1" si="861"/>
        <v>0</v>
      </c>
      <c r="BA1142" s="25">
        <f t="shared" ca="1" si="862"/>
        <v>0</v>
      </c>
      <c r="BB1142" s="23">
        <f t="array" aca="1" ref="BB1142" ca="1">SUM(IF(w_start_date&lt;=AO1142,1,0)*IF(w_end_date&gt;=AO1142,1,0)*w_amount*(1+w_escalation/100)^(INT((AP1142-w_months_since_start)/12))*IF(MOD(AP1142-w_months_since_start,w_frequency)=0,1,0)*IF(w_frequency=13,0,1))+SUM(IF(w_start_date=AO1142,w_amount,0)*IF(w_frequency=13,1,0))</f>
        <v>0</v>
      </c>
      <c r="BC1142" s="25">
        <f t="shared" ca="1" si="863"/>
        <v>0</v>
      </c>
      <c r="BD1142" s="24" t="b">
        <f t="shared" ca="1" si="864"/>
        <v>1</v>
      </c>
      <c r="BE1142" s="24" t="b">
        <f t="shared" ca="1" si="865"/>
        <v>1</v>
      </c>
      <c r="BF1142" s="23">
        <f t="array" aca="1" ref="BF1142" ca="1">SUM(IF(BD1142,1,0)*IF(ap_start_date&lt;=AO1142,1,0)*IF(ap_end_date&gt;=AO1142,1,0)*ap_amount*(1+ap_escalation/100)^(INT((AP1142-ap_months_since_start)/12))*IF(MOD(AP1142-ap_months_since_start,ap_frequency)=0,1,0))</f>
        <v>907476.12133268907</v>
      </c>
      <c r="BG1142" s="24">
        <f t="shared" ca="1" si="866"/>
        <v>10889713.455992267</v>
      </c>
      <c r="BH1142" s="24">
        <f t="shared" ca="1" si="867"/>
        <v>20.479419053223502</v>
      </c>
      <c r="BI1142">
        <f t="shared" ca="1" si="868"/>
        <v>0</v>
      </c>
      <c r="BJ1142" s="24">
        <f t="shared" ca="1" si="869"/>
        <v>143.35593337256449</v>
      </c>
      <c r="BK1142">
        <f t="shared" ca="1" si="870"/>
        <v>1</v>
      </c>
      <c r="BL1142" s="25">
        <f t="shared" ca="1" si="871"/>
        <v>11.946327781047044</v>
      </c>
      <c r="BM1142" s="32">
        <f t="shared" ca="1" si="850"/>
        <v>768.89518369849122</v>
      </c>
      <c r="BN1142" s="23">
        <f t="shared" ca="1" si="872"/>
        <v>0</v>
      </c>
      <c r="BO1142" s="24">
        <f t="shared" ca="1" si="873"/>
        <v>0</v>
      </c>
      <c r="BP1142" s="25">
        <f t="shared" ca="1" si="874"/>
        <v>0</v>
      </c>
      <c r="BQ1142" s="34">
        <f t="shared" ca="1" si="875"/>
        <v>80170</v>
      </c>
      <c r="BR1142" s="23">
        <f t="shared" ca="1" si="876"/>
        <v>768.89518369849122</v>
      </c>
      <c r="BS1142" s="24">
        <f t="shared" ca="1" si="877"/>
        <v>0</v>
      </c>
      <c r="BT1142" s="24">
        <f t="shared" ca="1" si="882"/>
        <v>0</v>
      </c>
      <c r="BU1142" s="24">
        <f t="shared" ca="1" si="878"/>
        <v>0</v>
      </c>
      <c r="BV1142" s="24">
        <f t="shared" ca="1" si="883"/>
        <v>0</v>
      </c>
      <c r="BW1142" s="24">
        <f t="shared" ca="1" si="879"/>
        <v>-11.946327781047044</v>
      </c>
      <c r="BX1142" s="25">
        <f t="shared" ca="1" si="884"/>
        <v>-148.27998636170096</v>
      </c>
      <c r="BY1142" s="23">
        <f t="shared" ca="1" si="851"/>
        <v>18.827694025764927</v>
      </c>
      <c r="BZ1142" s="24">
        <f t="shared" ca="1" si="852"/>
        <v>0</v>
      </c>
      <c r="CA1142" s="24">
        <f t="shared" ca="1" si="885"/>
        <v>0</v>
      </c>
      <c r="CB1142" s="24">
        <f t="shared" ca="1" si="853"/>
        <v>0</v>
      </c>
      <c r="CC1142" s="24">
        <f t="shared" ca="1" si="886"/>
        <v>0</v>
      </c>
      <c r="CD1142" s="24">
        <f t="shared" ca="1" si="854"/>
        <v>-0.29348361705931508</v>
      </c>
      <c r="CE1142" s="25">
        <f t="shared" ca="1" si="887"/>
        <v>-3.7106968363611323</v>
      </c>
      <c r="CF1142" s="23">
        <f t="shared" ca="1" si="888"/>
        <v>10750101.745018007</v>
      </c>
      <c r="CG1142" s="25">
        <f t="array" aca="1" ref="CG1142" ca="1">SUM(BF1131:BF1142/(1+inflation/100)^(AP1131:AP1142/12))</f>
        <v>267980.53702225391</v>
      </c>
      <c r="CH1142" s="32">
        <f ca="1">IFERROR(IF(MOD(AP1142-ap_months_since_start,12)=0,ap_drawdown/100*(AQ1142+AV1142+BA1142-BC1142),CH1141),0)</f>
        <v>125.9026529839508</v>
      </c>
    </row>
    <row r="1143" spans="40:86" x14ac:dyDescent="0.25">
      <c r="AN1143" s="32">
        <f t="shared" ca="1" si="849"/>
        <v>149.5</v>
      </c>
      <c r="AO1143" s="53">
        <f t="shared" ca="1" si="880"/>
        <v>80171</v>
      </c>
      <c r="AP1143" s="22">
        <v>1136</v>
      </c>
      <c r="AQ1143" s="32">
        <f t="shared" ca="1" si="881"/>
        <v>768.89518369849122</v>
      </c>
      <c r="AR1143" s="23">
        <f t="array" aca="1" ref="AR1143" ca="1">SUM(IF(lsc_start_date=AO1143,lsc_amount,0))</f>
        <v>0</v>
      </c>
      <c r="AS1143" s="24">
        <f t="shared" ca="1" si="855"/>
        <v>0</v>
      </c>
      <c r="AT1143" s="24">
        <f t="shared" ca="1" si="856"/>
        <v>0</v>
      </c>
      <c r="AU1143" s="24">
        <f t="shared" ca="1" si="857"/>
        <v>0</v>
      </c>
      <c r="AV1143" s="25">
        <f t="shared" ca="1" si="858"/>
        <v>0</v>
      </c>
      <c r="AW1143" s="23">
        <f t="array" aca="1" ref="AW1143" ca="1">SUM(IF(rcs_start_date&lt;=AO1143,1,0)*IF(rcs_end_date&gt;=AO1143,1,0)*rcs_amount*(1+rcs_escalation/100)^(INT((AP1143-rcs_months_since_start)/12))*IF(MOD((AP1143-rcs_months_since_start),rcs_frequency)=0,1,0)*IF(rcs_frequency=13,0,1))+SUM(IF(rcs_start_date=AO1143,rcs_amount,0)*IF(rcs_frequency=13,1,0))</f>
        <v>0</v>
      </c>
      <c r="AX1143" s="24">
        <f t="shared" ca="1" si="859"/>
        <v>0</v>
      </c>
      <c r="AY1143" s="24">
        <f t="shared" ca="1" si="860"/>
        <v>0</v>
      </c>
      <c r="AZ1143" s="24">
        <f t="shared" ca="1" si="861"/>
        <v>0</v>
      </c>
      <c r="BA1143" s="25">
        <f t="shared" ca="1" si="862"/>
        <v>0</v>
      </c>
      <c r="BB1143" s="23">
        <f t="array" aca="1" ref="BB1143" ca="1">SUM(IF(w_start_date&lt;=AO1143,1,0)*IF(w_end_date&gt;=AO1143,1,0)*w_amount*(1+w_escalation/100)^(INT((AP1143-w_months_since_start)/12))*IF(MOD(AP1143-w_months_since_start,w_frequency)=0,1,0)*IF(w_frequency=13,0,1))+SUM(IF(w_start_date=AO1143,w_amount,0)*IF(w_frequency=13,1,0))</f>
        <v>0</v>
      </c>
      <c r="BC1143" s="25">
        <f t="shared" ca="1" si="863"/>
        <v>0</v>
      </c>
      <c r="BD1143" s="24" t="b">
        <f t="shared" ca="1" si="864"/>
        <v>1</v>
      </c>
      <c r="BE1143" s="24" t="b">
        <f t="shared" ca="1" si="865"/>
        <v>1</v>
      </c>
      <c r="BF1143" s="23">
        <f t="array" aca="1" ref="BF1143" ca="1">SUM(IF(BD1143,1,0)*IF(ap_start_date&lt;=AO1143,1,0)*IF(ap_end_date&gt;=AO1143,1,0)*ap_amount*(1+ap_escalation/100)^(INT((AP1143-ap_months_since_start)/12))*IF(MOD(AP1143-ap_months_since_start,ap_frequency)=0,1,0))</f>
        <v>907476.12133268907</v>
      </c>
      <c r="BG1143" s="24">
        <f t="shared" ca="1" si="866"/>
        <v>10889713.455992267</v>
      </c>
      <c r="BH1143" s="24">
        <f t="shared" ca="1" si="867"/>
        <v>20.479419053223502</v>
      </c>
      <c r="BI1143">
        <f t="shared" ca="1" si="868"/>
        <v>0</v>
      </c>
      <c r="BJ1143" s="24">
        <f t="shared" ca="1" si="869"/>
        <v>143.35593337256449</v>
      </c>
      <c r="BK1143">
        <f t="shared" ca="1" si="870"/>
        <v>1</v>
      </c>
      <c r="BL1143" s="25">
        <f t="shared" ca="1" si="871"/>
        <v>11.946327781047044</v>
      </c>
      <c r="BM1143" s="32">
        <f t="shared" ca="1" si="850"/>
        <v>762.40443105582108</v>
      </c>
      <c r="BN1143" s="23">
        <f t="shared" ca="1" si="872"/>
        <v>0</v>
      </c>
      <c r="BO1143" s="24">
        <f t="shared" ca="1" si="873"/>
        <v>0</v>
      </c>
      <c r="BP1143" s="25">
        <f t="shared" ca="1" si="874"/>
        <v>0</v>
      </c>
      <c r="BQ1143" s="34">
        <f t="shared" ca="1" si="875"/>
        <v>80201</v>
      </c>
      <c r="BR1143" s="23">
        <f t="shared" ca="1" si="876"/>
        <v>762.40443105582108</v>
      </c>
      <c r="BS1143" s="24">
        <f t="shared" ca="1" si="877"/>
        <v>0</v>
      </c>
      <c r="BT1143" s="24">
        <f t="shared" ca="1" si="882"/>
        <v>0</v>
      </c>
      <c r="BU1143" s="24">
        <f t="shared" ca="1" si="878"/>
        <v>0</v>
      </c>
      <c r="BV1143" s="24">
        <f t="shared" ca="1" si="883"/>
        <v>0</v>
      </c>
      <c r="BW1143" s="24">
        <f t="shared" ca="1" si="879"/>
        <v>-11.946327781047044</v>
      </c>
      <c r="BX1143" s="25">
        <f t="shared" ca="1" si="884"/>
        <v>-147.04897311441687</v>
      </c>
      <c r="BY1143" s="23">
        <f t="shared" ca="1" si="851"/>
        <v>18.60783978616583</v>
      </c>
      <c r="BZ1143" s="24">
        <f t="shared" ca="1" si="852"/>
        <v>0</v>
      </c>
      <c r="CA1143" s="24">
        <f t="shared" ca="1" si="885"/>
        <v>0</v>
      </c>
      <c r="CB1143" s="24">
        <f t="shared" ca="1" si="853"/>
        <v>0</v>
      </c>
      <c r="CC1143" s="24">
        <f t="shared" ca="1" si="886"/>
        <v>0</v>
      </c>
      <c r="CD1143" s="24">
        <f t="shared" ca="1" si="854"/>
        <v>-0.29252596317633872</v>
      </c>
      <c r="CE1143" s="25">
        <f t="shared" ca="1" si="887"/>
        <v>-3.6676466270979002</v>
      </c>
      <c r="CF1143" s="23">
        <f t="shared" ca="1" si="888"/>
        <v>10785004.672761573</v>
      </c>
      <c r="CG1143" s="25">
        <f t="array" aca="1" ref="CG1143" ca="1">SUM(BF1132:BF1143/(1+inflation/100)^(AP1132:AP1143/12))</f>
        <v>267980.53702225396</v>
      </c>
      <c r="CH1143" s="32">
        <f ca="1">IFERROR(IF(MOD(AP1143-ap_months_since_start,12)=0,ap_drawdown/100*(AQ1143+AV1143+BA1143-BC1143),CH1142),0)</f>
        <v>125.9026529839508</v>
      </c>
    </row>
    <row r="1144" spans="40:86" x14ac:dyDescent="0.25">
      <c r="AN1144" s="32">
        <f t="shared" ca="1" si="849"/>
        <v>149.58333333333334</v>
      </c>
      <c r="AO1144" s="53">
        <f t="shared" ca="1" si="880"/>
        <v>80202</v>
      </c>
      <c r="AP1144" s="22">
        <v>1137</v>
      </c>
      <c r="AQ1144" s="32">
        <f t="shared" ca="1" si="881"/>
        <v>762.40443105582108</v>
      </c>
      <c r="AR1144" s="23">
        <f t="array" aca="1" ref="AR1144" ca="1">SUM(IF(lsc_start_date=AO1144,lsc_amount,0))</f>
        <v>0</v>
      </c>
      <c r="AS1144" s="24">
        <f t="shared" ca="1" si="855"/>
        <v>0</v>
      </c>
      <c r="AT1144" s="24">
        <f t="shared" ca="1" si="856"/>
        <v>0</v>
      </c>
      <c r="AU1144" s="24">
        <f t="shared" ca="1" si="857"/>
        <v>0</v>
      </c>
      <c r="AV1144" s="25">
        <f t="shared" ca="1" si="858"/>
        <v>0</v>
      </c>
      <c r="AW1144" s="23">
        <f t="array" aca="1" ref="AW1144" ca="1">SUM(IF(rcs_start_date&lt;=AO1144,1,0)*IF(rcs_end_date&gt;=AO1144,1,0)*rcs_amount*(1+rcs_escalation/100)^(INT((AP1144-rcs_months_since_start)/12))*IF(MOD((AP1144-rcs_months_since_start),rcs_frequency)=0,1,0)*IF(rcs_frequency=13,0,1))+SUM(IF(rcs_start_date=AO1144,rcs_amount,0)*IF(rcs_frequency=13,1,0))</f>
        <v>0</v>
      </c>
      <c r="AX1144" s="24">
        <f t="shared" ca="1" si="859"/>
        <v>0</v>
      </c>
      <c r="AY1144" s="24">
        <f t="shared" ca="1" si="860"/>
        <v>0</v>
      </c>
      <c r="AZ1144" s="24">
        <f t="shared" ca="1" si="861"/>
        <v>0</v>
      </c>
      <c r="BA1144" s="25">
        <f t="shared" ca="1" si="862"/>
        <v>0</v>
      </c>
      <c r="BB1144" s="23">
        <f t="array" aca="1" ref="BB1144" ca="1">SUM(IF(w_start_date&lt;=AO1144,1,0)*IF(w_end_date&gt;=AO1144,1,0)*w_amount*(1+w_escalation/100)^(INT((AP1144-w_months_since_start)/12))*IF(MOD(AP1144-w_months_since_start,w_frequency)=0,1,0)*IF(w_frequency=13,0,1))+SUM(IF(w_start_date=AO1144,w_amount,0)*IF(w_frequency=13,1,0))</f>
        <v>0</v>
      </c>
      <c r="BC1144" s="25">
        <f t="shared" ca="1" si="863"/>
        <v>0</v>
      </c>
      <c r="BD1144" s="24" t="b">
        <f t="shared" ca="1" si="864"/>
        <v>1</v>
      </c>
      <c r="BE1144" s="24" t="b">
        <f t="shared" ca="1" si="865"/>
        <v>1</v>
      </c>
      <c r="BF1144" s="23">
        <f t="array" aca="1" ref="BF1144" ca="1">SUM(IF(BD1144,1,0)*IF(ap_start_date&lt;=AO1144,1,0)*IF(ap_end_date&gt;=AO1144,1,0)*ap_amount*(1+ap_escalation/100)^(INT((AP1144-ap_months_since_start)/12))*IF(MOD(AP1144-ap_months_since_start,ap_frequency)=0,1,0))</f>
        <v>907476.12133268907</v>
      </c>
      <c r="BG1144" s="24">
        <f t="shared" ca="1" si="866"/>
        <v>10889713.455992267</v>
      </c>
      <c r="BH1144" s="24">
        <f t="shared" ca="1" si="867"/>
        <v>20.479419053223502</v>
      </c>
      <c r="BI1144">
        <f t="shared" ca="1" si="868"/>
        <v>0</v>
      </c>
      <c r="BJ1144" s="24">
        <f t="shared" ca="1" si="869"/>
        <v>143.35593337256449</v>
      </c>
      <c r="BK1144">
        <f t="shared" ca="1" si="870"/>
        <v>1</v>
      </c>
      <c r="BL1144" s="25">
        <f t="shared" ca="1" si="871"/>
        <v>11.946327781047044</v>
      </c>
      <c r="BM1144" s="32">
        <f t="shared" ca="1" si="850"/>
        <v>755.86689746029015</v>
      </c>
      <c r="BN1144" s="23">
        <f t="shared" ca="1" si="872"/>
        <v>0</v>
      </c>
      <c r="BO1144" s="24">
        <f t="shared" ca="1" si="873"/>
        <v>0</v>
      </c>
      <c r="BP1144" s="25">
        <f t="shared" ca="1" si="874"/>
        <v>0</v>
      </c>
      <c r="BQ1144" s="34">
        <f t="shared" ca="1" si="875"/>
        <v>80232</v>
      </c>
      <c r="BR1144" s="23">
        <f t="shared" ca="1" si="876"/>
        <v>755.86689746029015</v>
      </c>
      <c r="BS1144" s="24">
        <f t="shared" ca="1" si="877"/>
        <v>0</v>
      </c>
      <c r="BT1144" s="24">
        <f t="shared" ca="1" si="882"/>
        <v>0</v>
      </c>
      <c r="BU1144" s="24">
        <f t="shared" ca="1" si="878"/>
        <v>0</v>
      </c>
      <c r="BV1144" s="24">
        <f t="shared" ca="1" si="883"/>
        <v>0</v>
      </c>
      <c r="BW1144" s="24">
        <f t="shared" ca="1" si="879"/>
        <v>-11.946327781047044</v>
      </c>
      <c r="BX1144" s="25">
        <f t="shared" ca="1" si="884"/>
        <v>-145.81795986713274</v>
      </c>
      <c r="BY1144" s="23">
        <f t="shared" ca="1" si="851"/>
        <v>18.388081824962136</v>
      </c>
      <c r="BZ1144" s="24">
        <f t="shared" ca="1" si="852"/>
        <v>0</v>
      </c>
      <c r="CA1144" s="24">
        <f t="shared" ca="1" si="885"/>
        <v>0</v>
      </c>
      <c r="CB1144" s="24">
        <f t="shared" ca="1" si="853"/>
        <v>0</v>
      </c>
      <c r="CC1144" s="24">
        <f t="shared" ca="1" si="886"/>
        <v>0</v>
      </c>
      <c r="CD1144" s="24">
        <f t="shared" ca="1" si="854"/>
        <v>-0.29157143417293374</v>
      </c>
      <c r="CE1144" s="25">
        <f t="shared" ca="1" si="887"/>
        <v>-3.6247368931377766</v>
      </c>
      <c r="CF1144" s="23">
        <f t="shared" ca="1" si="888"/>
        <v>10819907.600505138</v>
      </c>
      <c r="CG1144" s="25">
        <f t="array" aca="1" ref="CG1144" ca="1">SUM(BF1133:BF1144/(1+inflation/100)^(AP1133:AP1144/12))</f>
        <v>267980.53702225396</v>
      </c>
      <c r="CH1144" s="32">
        <f ca="1">IFERROR(IF(MOD(AP1144-ap_months_since_start,12)=0,ap_drawdown/100*(AQ1144+AV1144+BA1144-BC1144),CH1143),0)</f>
        <v>125.9026529839508</v>
      </c>
    </row>
    <row r="1145" spans="40:86" x14ac:dyDescent="0.25">
      <c r="AN1145" s="32">
        <f t="shared" ca="1" si="849"/>
        <v>149.66666666666666</v>
      </c>
      <c r="AO1145" s="53">
        <f t="shared" ca="1" si="880"/>
        <v>80233</v>
      </c>
      <c r="AP1145" s="22">
        <v>1138</v>
      </c>
      <c r="AQ1145" s="32">
        <f t="shared" ca="1" si="881"/>
        <v>755.86689746029015</v>
      </c>
      <c r="AR1145" s="23">
        <f t="array" aca="1" ref="AR1145" ca="1">SUM(IF(lsc_start_date=AO1145,lsc_amount,0))</f>
        <v>0</v>
      </c>
      <c r="AS1145" s="24">
        <f t="shared" ca="1" si="855"/>
        <v>0</v>
      </c>
      <c r="AT1145" s="24">
        <f t="shared" ca="1" si="856"/>
        <v>0</v>
      </c>
      <c r="AU1145" s="24">
        <f t="shared" ca="1" si="857"/>
        <v>0</v>
      </c>
      <c r="AV1145" s="25">
        <f t="shared" ca="1" si="858"/>
        <v>0</v>
      </c>
      <c r="AW1145" s="23">
        <f t="array" aca="1" ref="AW1145" ca="1">SUM(IF(rcs_start_date&lt;=AO1145,1,0)*IF(rcs_end_date&gt;=AO1145,1,0)*rcs_amount*(1+rcs_escalation/100)^(INT((AP1145-rcs_months_since_start)/12))*IF(MOD((AP1145-rcs_months_since_start),rcs_frequency)=0,1,0)*IF(rcs_frequency=13,0,1))+SUM(IF(rcs_start_date=AO1145,rcs_amount,0)*IF(rcs_frequency=13,1,0))</f>
        <v>0</v>
      </c>
      <c r="AX1145" s="24">
        <f t="shared" ca="1" si="859"/>
        <v>0</v>
      </c>
      <c r="AY1145" s="24">
        <f t="shared" ca="1" si="860"/>
        <v>0</v>
      </c>
      <c r="AZ1145" s="24">
        <f t="shared" ca="1" si="861"/>
        <v>0</v>
      </c>
      <c r="BA1145" s="25">
        <f t="shared" ca="1" si="862"/>
        <v>0</v>
      </c>
      <c r="BB1145" s="23">
        <f t="array" aca="1" ref="BB1145" ca="1">SUM(IF(w_start_date&lt;=AO1145,1,0)*IF(w_end_date&gt;=AO1145,1,0)*w_amount*(1+w_escalation/100)^(INT((AP1145-w_months_since_start)/12))*IF(MOD(AP1145-w_months_since_start,w_frequency)=0,1,0)*IF(w_frequency=13,0,1))+SUM(IF(w_start_date=AO1145,w_amount,0)*IF(w_frequency=13,1,0))</f>
        <v>0</v>
      </c>
      <c r="BC1145" s="25">
        <f t="shared" ca="1" si="863"/>
        <v>0</v>
      </c>
      <c r="BD1145" s="24" t="b">
        <f t="shared" ca="1" si="864"/>
        <v>1</v>
      </c>
      <c r="BE1145" s="24" t="b">
        <f t="shared" ca="1" si="865"/>
        <v>1</v>
      </c>
      <c r="BF1145" s="23">
        <f t="array" aca="1" ref="BF1145" ca="1">SUM(IF(BD1145,1,0)*IF(ap_start_date&lt;=AO1145,1,0)*IF(ap_end_date&gt;=AO1145,1,0)*ap_amount*(1+ap_escalation/100)^(INT((AP1145-ap_months_since_start)/12))*IF(MOD(AP1145-ap_months_since_start,ap_frequency)=0,1,0))</f>
        <v>907476.12133268907</v>
      </c>
      <c r="BG1145" s="24">
        <f t="shared" ca="1" si="866"/>
        <v>10889713.455992267</v>
      </c>
      <c r="BH1145" s="24">
        <f t="shared" ca="1" si="867"/>
        <v>20.479419053223502</v>
      </c>
      <c r="BI1145">
        <f t="shared" ca="1" si="868"/>
        <v>0</v>
      </c>
      <c r="BJ1145" s="24">
        <f t="shared" ca="1" si="869"/>
        <v>143.35593337256449</v>
      </c>
      <c r="BK1145">
        <f t="shared" ca="1" si="870"/>
        <v>1</v>
      </c>
      <c r="BL1145" s="25">
        <f t="shared" ca="1" si="871"/>
        <v>11.946327781047044</v>
      </c>
      <c r="BM1145" s="32">
        <f t="shared" ca="1" si="850"/>
        <v>749.28224574644605</v>
      </c>
      <c r="BN1145" s="23">
        <f t="shared" ca="1" si="872"/>
        <v>0</v>
      </c>
      <c r="BO1145" s="24">
        <f t="shared" ca="1" si="873"/>
        <v>0</v>
      </c>
      <c r="BP1145" s="25">
        <f t="shared" ca="1" si="874"/>
        <v>0</v>
      </c>
      <c r="BQ1145" s="34">
        <f t="shared" ca="1" si="875"/>
        <v>80262</v>
      </c>
      <c r="BR1145" s="23">
        <f t="shared" ca="1" si="876"/>
        <v>749.28224574644605</v>
      </c>
      <c r="BS1145" s="24">
        <f t="shared" ca="1" si="877"/>
        <v>0</v>
      </c>
      <c r="BT1145" s="24">
        <f t="shared" ca="1" si="882"/>
        <v>0</v>
      </c>
      <c r="BU1145" s="24">
        <f t="shared" ca="1" si="878"/>
        <v>0</v>
      </c>
      <c r="BV1145" s="24">
        <f t="shared" ca="1" si="883"/>
        <v>0</v>
      </c>
      <c r="BW1145" s="24">
        <f t="shared" ca="1" si="879"/>
        <v>-11.946327781047044</v>
      </c>
      <c r="BX1145" s="25">
        <f t="shared" ca="1" si="884"/>
        <v>-144.58694661984865</v>
      </c>
      <c r="BY1145" s="23">
        <f t="shared" ca="1" si="851"/>
        <v>18.168417392742345</v>
      </c>
      <c r="BZ1145" s="24">
        <f t="shared" ca="1" si="852"/>
        <v>0</v>
      </c>
      <c r="CA1145" s="24">
        <f t="shared" ca="1" si="885"/>
        <v>0</v>
      </c>
      <c r="CB1145" s="24">
        <f t="shared" ca="1" si="853"/>
        <v>0</v>
      </c>
      <c r="CC1145" s="24">
        <f t="shared" ca="1" si="886"/>
        <v>0</v>
      </c>
      <c r="CD1145" s="24">
        <f t="shared" ca="1" si="854"/>
        <v>-0.29062001985243952</v>
      </c>
      <c r="CE1145" s="25">
        <f t="shared" ca="1" si="887"/>
        <v>-3.5819671761017871</v>
      </c>
      <c r="CF1145" s="23">
        <f t="shared" ca="1" si="888"/>
        <v>10854810.528248703</v>
      </c>
      <c r="CG1145" s="25">
        <f t="array" aca="1" ref="CG1145" ca="1">SUM(BF1134:BF1145/(1+inflation/100)^(AP1134:AP1145/12))</f>
        <v>267980.53702225391</v>
      </c>
      <c r="CH1145" s="32">
        <f ca="1">IFERROR(IF(MOD(AP1145-ap_months_since_start,12)=0,ap_drawdown/100*(AQ1145+AV1145+BA1145-BC1145),CH1144),0)</f>
        <v>125.9026529839508</v>
      </c>
    </row>
    <row r="1146" spans="40:86" x14ac:dyDescent="0.25">
      <c r="AN1146" s="32">
        <f t="shared" ca="1" si="849"/>
        <v>149.75</v>
      </c>
      <c r="AO1146" s="53">
        <f t="shared" ca="1" si="880"/>
        <v>80263</v>
      </c>
      <c r="AP1146" s="22">
        <v>1139</v>
      </c>
      <c r="AQ1146" s="32">
        <f t="shared" ca="1" si="881"/>
        <v>749.28224574644605</v>
      </c>
      <c r="AR1146" s="23">
        <f t="array" aca="1" ref="AR1146" ca="1">SUM(IF(lsc_start_date=AO1146,lsc_amount,0))</f>
        <v>0</v>
      </c>
      <c r="AS1146" s="24">
        <f t="shared" ca="1" si="855"/>
        <v>0</v>
      </c>
      <c r="AT1146" s="24">
        <f t="shared" ca="1" si="856"/>
        <v>0</v>
      </c>
      <c r="AU1146" s="24">
        <f t="shared" ca="1" si="857"/>
        <v>0</v>
      </c>
      <c r="AV1146" s="25">
        <f t="shared" ca="1" si="858"/>
        <v>0</v>
      </c>
      <c r="AW1146" s="23">
        <f t="array" aca="1" ref="AW1146" ca="1">SUM(IF(rcs_start_date&lt;=AO1146,1,0)*IF(rcs_end_date&gt;=AO1146,1,0)*rcs_amount*(1+rcs_escalation/100)^(INT((AP1146-rcs_months_since_start)/12))*IF(MOD((AP1146-rcs_months_since_start),rcs_frequency)=0,1,0)*IF(rcs_frequency=13,0,1))+SUM(IF(rcs_start_date=AO1146,rcs_amount,0)*IF(rcs_frequency=13,1,0))</f>
        <v>0</v>
      </c>
      <c r="AX1146" s="24">
        <f t="shared" ca="1" si="859"/>
        <v>0</v>
      </c>
      <c r="AY1146" s="24">
        <f t="shared" ca="1" si="860"/>
        <v>0</v>
      </c>
      <c r="AZ1146" s="24">
        <f t="shared" ca="1" si="861"/>
        <v>0</v>
      </c>
      <c r="BA1146" s="25">
        <f t="shared" ca="1" si="862"/>
        <v>0</v>
      </c>
      <c r="BB1146" s="23">
        <f t="array" aca="1" ref="BB1146" ca="1">SUM(IF(w_start_date&lt;=AO1146,1,0)*IF(w_end_date&gt;=AO1146,1,0)*w_amount*(1+w_escalation/100)^(INT((AP1146-w_months_since_start)/12))*IF(MOD(AP1146-w_months_since_start,w_frequency)=0,1,0)*IF(w_frequency=13,0,1))+SUM(IF(w_start_date=AO1146,w_amount,0)*IF(w_frequency=13,1,0))</f>
        <v>0</v>
      </c>
      <c r="BC1146" s="25">
        <f t="shared" ca="1" si="863"/>
        <v>0</v>
      </c>
      <c r="BD1146" s="24" t="b">
        <f t="shared" ca="1" si="864"/>
        <v>1</v>
      </c>
      <c r="BE1146" s="24" t="b">
        <f t="shared" ca="1" si="865"/>
        <v>1</v>
      </c>
      <c r="BF1146" s="23">
        <f t="array" aca="1" ref="BF1146" ca="1">SUM(IF(BD1146,1,0)*IF(ap_start_date&lt;=AO1146,1,0)*IF(ap_end_date&gt;=AO1146,1,0)*ap_amount*(1+ap_escalation/100)^(INT((AP1146-ap_months_since_start)/12))*IF(MOD(AP1146-ap_months_since_start,ap_frequency)=0,1,0))</f>
        <v>907476.12133268907</v>
      </c>
      <c r="BG1146" s="24">
        <f t="shared" ca="1" si="866"/>
        <v>10889713.455992267</v>
      </c>
      <c r="BH1146" s="24">
        <f t="shared" ca="1" si="867"/>
        <v>20.479419053223502</v>
      </c>
      <c r="BI1146">
        <f t="shared" ca="1" si="868"/>
        <v>0</v>
      </c>
      <c r="BJ1146" s="24">
        <f t="shared" ca="1" si="869"/>
        <v>143.35593337256449</v>
      </c>
      <c r="BK1146">
        <f t="shared" ca="1" si="870"/>
        <v>1</v>
      </c>
      <c r="BL1146" s="25">
        <f t="shared" ca="1" si="871"/>
        <v>11.946327781047044</v>
      </c>
      <c r="BM1146" s="32">
        <f t="shared" ca="1" si="850"/>
        <v>742.65013631877616</v>
      </c>
      <c r="BN1146" s="23">
        <f t="shared" ca="1" si="872"/>
        <v>0</v>
      </c>
      <c r="BO1146" s="24">
        <f t="shared" ca="1" si="873"/>
        <v>0</v>
      </c>
      <c r="BP1146" s="25">
        <f t="shared" ca="1" si="874"/>
        <v>0</v>
      </c>
      <c r="BQ1146" s="34">
        <f t="shared" ca="1" si="875"/>
        <v>80293</v>
      </c>
      <c r="BR1146" s="23">
        <f t="shared" ca="1" si="876"/>
        <v>742.65013631877616</v>
      </c>
      <c r="BS1146" s="24">
        <f t="shared" ca="1" si="877"/>
        <v>0</v>
      </c>
      <c r="BT1146" s="24">
        <f t="shared" ca="1" si="882"/>
        <v>0</v>
      </c>
      <c r="BU1146" s="24">
        <f t="shared" ca="1" si="878"/>
        <v>0</v>
      </c>
      <c r="BV1146" s="24">
        <f t="shared" ca="1" si="883"/>
        <v>0</v>
      </c>
      <c r="BW1146" s="24">
        <f t="shared" ca="1" si="879"/>
        <v>-11.946327781047044</v>
      </c>
      <c r="BX1146" s="25">
        <f t="shared" ca="1" si="884"/>
        <v>-143.35593337256452</v>
      </c>
      <c r="BY1146" s="23">
        <f t="shared" ca="1" si="851"/>
        <v>17.94884373951848</v>
      </c>
      <c r="BZ1146" s="24">
        <f t="shared" ca="1" si="852"/>
        <v>0</v>
      </c>
      <c r="CA1146" s="24">
        <f t="shared" ca="1" si="885"/>
        <v>0</v>
      </c>
      <c r="CB1146" s="24">
        <f t="shared" ca="1" si="853"/>
        <v>0</v>
      </c>
      <c r="CC1146" s="24">
        <f t="shared" ca="1" si="886"/>
        <v>0</v>
      </c>
      <c r="CD1146" s="24">
        <f t="shared" ca="1" si="854"/>
        <v>-0.28967171005146652</v>
      </c>
      <c r="CE1146" s="25">
        <f t="shared" ca="1" si="887"/>
        <v>-3.5393370191066733</v>
      </c>
      <c r="CF1146" s="23">
        <f t="shared" ca="1" si="888"/>
        <v>10889713.455992267</v>
      </c>
      <c r="CG1146" s="25">
        <f t="array" aca="1" ref="CG1146" ca="1">SUM(BF1135:BF1146/(1+inflation/100)^(AP1135:AP1146/12))</f>
        <v>267980.53702225391</v>
      </c>
      <c r="CH1146" s="32">
        <f ca="1">IFERROR(IF(MOD(AP1146-ap_months_since_start,12)=0,ap_drawdown/100*(AQ1146+AV1146+BA1146-BC1146),CH1145),0)</f>
        <v>125.9026529839508</v>
      </c>
    </row>
    <row r="1147" spans="40:86" x14ac:dyDescent="0.25">
      <c r="AN1147" s="32">
        <f t="shared" ca="1" si="849"/>
        <v>149.83333333333334</v>
      </c>
      <c r="AO1147" s="53">
        <f t="shared" ca="1" si="880"/>
        <v>80294</v>
      </c>
      <c r="AP1147" s="22">
        <v>1140</v>
      </c>
      <c r="AQ1147" s="32">
        <f t="shared" ca="1" si="881"/>
        <v>742.65013631877616</v>
      </c>
      <c r="AR1147" s="23">
        <f t="array" aca="1" ref="AR1147" ca="1">SUM(IF(lsc_start_date=AO1147,lsc_amount,0))</f>
        <v>0</v>
      </c>
      <c r="AS1147" s="24">
        <f t="shared" ca="1" si="855"/>
        <v>0</v>
      </c>
      <c r="AT1147" s="24">
        <f t="shared" ca="1" si="856"/>
        <v>0</v>
      </c>
      <c r="AU1147" s="24">
        <f t="shared" ca="1" si="857"/>
        <v>0</v>
      </c>
      <c r="AV1147" s="25">
        <f t="shared" ca="1" si="858"/>
        <v>0</v>
      </c>
      <c r="AW1147" s="23">
        <f t="array" aca="1" ref="AW1147" ca="1">SUM(IF(rcs_start_date&lt;=AO1147,1,0)*IF(rcs_end_date&gt;=AO1147,1,0)*rcs_amount*(1+rcs_escalation/100)^(INT((AP1147-rcs_months_since_start)/12))*IF(MOD((AP1147-rcs_months_since_start),rcs_frequency)=0,1,0)*IF(rcs_frequency=13,0,1))+SUM(IF(rcs_start_date=AO1147,rcs_amount,0)*IF(rcs_frequency=13,1,0))</f>
        <v>0</v>
      </c>
      <c r="AX1147" s="24">
        <f t="shared" ca="1" si="859"/>
        <v>0</v>
      </c>
      <c r="AY1147" s="24">
        <f t="shared" ca="1" si="860"/>
        <v>0</v>
      </c>
      <c r="AZ1147" s="24">
        <f t="shared" ca="1" si="861"/>
        <v>0</v>
      </c>
      <c r="BA1147" s="25">
        <f t="shared" ca="1" si="862"/>
        <v>0</v>
      </c>
      <c r="BB1147" s="23">
        <f t="array" aca="1" ref="BB1147" ca="1">SUM(IF(w_start_date&lt;=AO1147,1,0)*IF(w_end_date&gt;=AO1147,1,0)*w_amount*(1+w_escalation/100)^(INT((AP1147-w_months_since_start)/12))*IF(MOD(AP1147-w_months_since_start,w_frequency)=0,1,0)*IF(w_frequency=13,0,1))+SUM(IF(w_start_date=AO1147,w_amount,0)*IF(w_frequency=13,1,0))</f>
        <v>0</v>
      </c>
      <c r="BC1147" s="25">
        <f t="shared" ca="1" si="863"/>
        <v>0</v>
      </c>
      <c r="BD1147" s="24" t="b">
        <f t="shared" ca="1" si="864"/>
        <v>1</v>
      </c>
      <c r="BE1147" s="24" t="b">
        <f t="shared" ca="1" si="865"/>
        <v>1</v>
      </c>
      <c r="BF1147" s="23">
        <f t="array" aca="1" ref="BF1147" ca="1">SUM(IF(BD1147,1,0)*IF(ap_start_date&lt;=AO1147,1,0)*IF(ap_end_date&gt;=AO1147,1,0)*ap_amount*(1+ap_escalation/100)^(INT((AP1147-ap_months_since_start)/12))*IF(MOD(AP1147-ap_months_since_start,ap_frequency)=0,1,0))</f>
        <v>943775.16618599673</v>
      </c>
      <c r="BG1147" s="24">
        <f t="shared" ca="1" si="866"/>
        <v>11325301.994231962</v>
      </c>
      <c r="BH1147" s="24">
        <f t="shared" ca="1" si="867"/>
        <v>18.566253407969405</v>
      </c>
      <c r="BI1147">
        <f t="shared" ca="1" si="868"/>
        <v>0</v>
      </c>
      <c r="BJ1147" s="24">
        <f t="shared" ca="1" si="869"/>
        <v>129.96377385578583</v>
      </c>
      <c r="BK1147">
        <f t="shared" ca="1" si="870"/>
        <v>1</v>
      </c>
      <c r="BL1147" s="25">
        <f t="shared" ca="1" si="871"/>
        <v>10.830314487982152</v>
      </c>
      <c r="BM1147" s="32">
        <f t="shared" ca="1" si="850"/>
        <v>737.09428389588606</v>
      </c>
      <c r="BN1147" s="23">
        <f t="shared" ca="1" si="872"/>
        <v>0</v>
      </c>
      <c r="BO1147" s="24">
        <f t="shared" ca="1" si="873"/>
        <v>0</v>
      </c>
      <c r="BP1147" s="25">
        <f t="shared" ca="1" si="874"/>
        <v>0</v>
      </c>
      <c r="BQ1147" s="34">
        <f t="shared" ca="1" si="875"/>
        <v>80323</v>
      </c>
      <c r="BR1147" s="23">
        <f t="shared" ca="1" si="876"/>
        <v>737.09428389588606</v>
      </c>
      <c r="BS1147" s="24">
        <f t="shared" ca="1" si="877"/>
        <v>0</v>
      </c>
      <c r="BT1147" s="24">
        <f t="shared" ca="1" si="882"/>
        <v>0</v>
      </c>
      <c r="BU1147" s="24">
        <f t="shared" ca="1" si="878"/>
        <v>0</v>
      </c>
      <c r="BV1147" s="24">
        <f t="shared" ca="1" si="883"/>
        <v>0</v>
      </c>
      <c r="BW1147" s="24">
        <f t="shared" ca="1" si="879"/>
        <v>-10.830314487982152</v>
      </c>
      <c r="BX1147" s="25">
        <f t="shared" ca="1" si="884"/>
        <v>-142.23992007949963</v>
      </c>
      <c r="BY1147" s="23">
        <f t="shared" ca="1" si="851"/>
        <v>17.756436390596967</v>
      </c>
      <c r="BZ1147" s="24">
        <f t="shared" ca="1" si="852"/>
        <v>0</v>
      </c>
      <c r="CA1147" s="24">
        <f t="shared" ca="1" si="885"/>
        <v>0</v>
      </c>
      <c r="CB1147" s="24">
        <f t="shared" ca="1" si="853"/>
        <v>0</v>
      </c>
      <c r="CC1147" s="24">
        <f t="shared" ca="1" si="886"/>
        <v>0</v>
      </c>
      <c r="CD1147" s="24">
        <f t="shared" ca="1" si="854"/>
        <v>-0.26175397120131116</v>
      </c>
      <c r="CE1147" s="25">
        <f t="shared" ca="1" si="887"/>
        <v>-3.5008154358826031</v>
      </c>
      <c r="CF1147" s="23">
        <f t="shared" ca="1" si="888"/>
        <v>10926012.500845576</v>
      </c>
      <c r="CG1147" s="25">
        <f t="array" aca="1" ref="CG1147" ca="1">SUM(BF1136:BF1147/(1+inflation/100)^(AP1136:AP1147/12))</f>
        <v>267980.53702225391</v>
      </c>
      <c r="CH1147" s="32">
        <f ca="1">IFERROR(IF(MOD(AP1147-ap_months_since_start,12)=0,ap_drawdown/100*(AQ1147+AV1147+BA1147-BC1147),CH1146),0)</f>
        <v>114.1409604423194</v>
      </c>
    </row>
    <row r="1148" spans="40:86" x14ac:dyDescent="0.25">
      <c r="AN1148" s="32">
        <f t="shared" ca="1" si="849"/>
        <v>149.91666666666666</v>
      </c>
      <c r="AO1148" s="53">
        <f t="shared" ca="1" si="880"/>
        <v>80324</v>
      </c>
      <c r="AP1148" s="22">
        <v>1141</v>
      </c>
      <c r="AQ1148" s="32">
        <f t="shared" ca="1" si="881"/>
        <v>737.09428389588606</v>
      </c>
      <c r="AR1148" s="23">
        <f t="array" aca="1" ref="AR1148" ca="1">SUM(IF(lsc_start_date=AO1148,lsc_amount,0))</f>
        <v>0</v>
      </c>
      <c r="AS1148" s="24">
        <f t="shared" ca="1" si="855"/>
        <v>0</v>
      </c>
      <c r="AT1148" s="24">
        <f t="shared" ca="1" si="856"/>
        <v>0</v>
      </c>
      <c r="AU1148" s="24">
        <f t="shared" ca="1" si="857"/>
        <v>0</v>
      </c>
      <c r="AV1148" s="25">
        <f t="shared" ca="1" si="858"/>
        <v>0</v>
      </c>
      <c r="AW1148" s="23">
        <f t="array" aca="1" ref="AW1148" ca="1">SUM(IF(rcs_start_date&lt;=AO1148,1,0)*IF(rcs_end_date&gt;=AO1148,1,0)*rcs_amount*(1+rcs_escalation/100)^(INT((AP1148-rcs_months_since_start)/12))*IF(MOD((AP1148-rcs_months_since_start),rcs_frequency)=0,1,0)*IF(rcs_frequency=13,0,1))+SUM(IF(rcs_start_date=AO1148,rcs_amount,0)*IF(rcs_frequency=13,1,0))</f>
        <v>0</v>
      </c>
      <c r="AX1148" s="24">
        <f t="shared" ca="1" si="859"/>
        <v>0</v>
      </c>
      <c r="AY1148" s="24">
        <f t="shared" ca="1" si="860"/>
        <v>0</v>
      </c>
      <c r="AZ1148" s="24">
        <f t="shared" ca="1" si="861"/>
        <v>0</v>
      </c>
      <c r="BA1148" s="25">
        <f t="shared" ca="1" si="862"/>
        <v>0</v>
      </c>
      <c r="BB1148" s="23">
        <f t="array" aca="1" ref="BB1148" ca="1">SUM(IF(w_start_date&lt;=AO1148,1,0)*IF(w_end_date&gt;=AO1148,1,0)*w_amount*(1+w_escalation/100)^(INT((AP1148-w_months_since_start)/12))*IF(MOD(AP1148-w_months_since_start,w_frequency)=0,1,0)*IF(w_frequency=13,0,1))+SUM(IF(w_start_date=AO1148,w_amount,0)*IF(w_frequency=13,1,0))</f>
        <v>0</v>
      </c>
      <c r="BC1148" s="25">
        <f t="shared" ca="1" si="863"/>
        <v>0</v>
      </c>
      <c r="BD1148" s="24" t="b">
        <f t="shared" ca="1" si="864"/>
        <v>1</v>
      </c>
      <c r="BE1148" s="24" t="b">
        <f t="shared" ca="1" si="865"/>
        <v>1</v>
      </c>
      <c r="BF1148" s="23">
        <f t="array" aca="1" ref="BF1148" ca="1">SUM(IF(BD1148,1,0)*IF(ap_start_date&lt;=AO1148,1,0)*IF(ap_end_date&gt;=AO1148,1,0)*ap_amount*(1+ap_escalation/100)^(INT((AP1148-ap_months_since_start)/12))*IF(MOD(AP1148-ap_months_since_start,ap_frequency)=0,1,0))</f>
        <v>943775.16618599673</v>
      </c>
      <c r="BG1148" s="24">
        <f t="shared" ca="1" si="866"/>
        <v>11325301.994231962</v>
      </c>
      <c r="BH1148" s="24">
        <f t="shared" ca="1" si="867"/>
        <v>18.566253407969405</v>
      </c>
      <c r="BI1148">
        <f t="shared" ca="1" si="868"/>
        <v>0</v>
      </c>
      <c r="BJ1148" s="24">
        <f t="shared" ca="1" si="869"/>
        <v>129.96377385578583</v>
      </c>
      <c r="BK1148">
        <f t="shared" ca="1" si="870"/>
        <v>1</v>
      </c>
      <c r="BL1148" s="25">
        <f t="shared" ca="1" si="871"/>
        <v>10.830314487982152</v>
      </c>
      <c r="BM1148" s="32">
        <f t="shared" ca="1" si="850"/>
        <v>731.49838864828746</v>
      </c>
      <c r="BN1148" s="23">
        <f t="shared" ca="1" si="872"/>
        <v>0</v>
      </c>
      <c r="BO1148" s="24">
        <f t="shared" ca="1" si="873"/>
        <v>0</v>
      </c>
      <c r="BP1148" s="25">
        <f t="shared" ca="1" si="874"/>
        <v>0</v>
      </c>
      <c r="BQ1148" s="34">
        <f t="shared" ca="1" si="875"/>
        <v>80354</v>
      </c>
      <c r="BR1148" s="23">
        <f t="shared" ca="1" si="876"/>
        <v>731.49838864828746</v>
      </c>
      <c r="BS1148" s="24">
        <f t="shared" ca="1" si="877"/>
        <v>0</v>
      </c>
      <c r="BT1148" s="24">
        <f t="shared" ca="1" si="882"/>
        <v>0</v>
      </c>
      <c r="BU1148" s="24">
        <f t="shared" ca="1" si="878"/>
        <v>0</v>
      </c>
      <c r="BV1148" s="24">
        <f t="shared" ca="1" si="883"/>
        <v>0</v>
      </c>
      <c r="BW1148" s="24">
        <f t="shared" ca="1" si="879"/>
        <v>-10.830314487982152</v>
      </c>
      <c r="BX1148" s="25">
        <f t="shared" ca="1" si="884"/>
        <v>-141.12390678643476</v>
      </c>
      <c r="BY1148" s="23">
        <f t="shared" ca="1" si="851"/>
        <v>17.564132127952387</v>
      </c>
      <c r="BZ1148" s="24">
        <f t="shared" ca="1" si="852"/>
        <v>0</v>
      </c>
      <c r="CA1148" s="24">
        <f t="shared" ca="1" si="885"/>
        <v>0</v>
      </c>
      <c r="CB1148" s="24">
        <f t="shared" ca="1" si="853"/>
        <v>0</v>
      </c>
      <c r="CC1148" s="24">
        <f t="shared" ca="1" si="886"/>
        <v>0</v>
      </c>
      <c r="CD1148" s="24">
        <f t="shared" ca="1" si="854"/>
        <v>-0.26089985297346185</v>
      </c>
      <c r="CE1148" s="25">
        <f t="shared" ca="1" si="887"/>
        <v>-3.4624195507950182</v>
      </c>
      <c r="CF1148" s="23">
        <f t="shared" ca="1" si="888"/>
        <v>10962311.545698885</v>
      </c>
      <c r="CG1148" s="25">
        <f t="array" aca="1" ref="CG1148" ca="1">SUM(BF1137:BF1148/(1+inflation/100)^(AP1137:AP1148/12))</f>
        <v>267980.53702225391</v>
      </c>
      <c r="CH1148" s="32">
        <f ca="1">IFERROR(IF(MOD(AP1148-ap_months_since_start,12)=0,ap_drawdown/100*(AQ1148+AV1148+BA1148-BC1148),CH1147),0)</f>
        <v>114.1409604423194</v>
      </c>
    </row>
    <row r="1149" spans="40:86" x14ac:dyDescent="0.25">
      <c r="AN1149" s="32">
        <f t="shared" ca="1" si="849"/>
        <v>150</v>
      </c>
      <c r="AO1149" s="53">
        <f t="shared" ca="1" si="880"/>
        <v>80355</v>
      </c>
      <c r="AP1149" s="22">
        <v>1142</v>
      </c>
      <c r="AQ1149" s="32">
        <f t="shared" ca="1" si="881"/>
        <v>731.49838864828746</v>
      </c>
      <c r="AR1149" s="23">
        <f t="array" aca="1" ref="AR1149" ca="1">SUM(IF(lsc_start_date=AO1149,lsc_amount,0))</f>
        <v>0</v>
      </c>
      <c r="AS1149" s="24">
        <f t="shared" ca="1" si="855"/>
        <v>0</v>
      </c>
      <c r="AT1149" s="24">
        <f t="shared" ca="1" si="856"/>
        <v>0</v>
      </c>
      <c r="AU1149" s="24">
        <f t="shared" ca="1" si="857"/>
        <v>0</v>
      </c>
      <c r="AV1149" s="25">
        <f t="shared" ca="1" si="858"/>
        <v>0</v>
      </c>
      <c r="AW1149" s="23">
        <f t="array" aca="1" ref="AW1149" ca="1">SUM(IF(rcs_start_date&lt;=AO1149,1,0)*IF(rcs_end_date&gt;=AO1149,1,0)*rcs_amount*(1+rcs_escalation/100)^(INT((AP1149-rcs_months_since_start)/12))*IF(MOD((AP1149-rcs_months_since_start),rcs_frequency)=0,1,0)*IF(rcs_frequency=13,0,1))+SUM(IF(rcs_start_date=AO1149,rcs_amount,0)*IF(rcs_frequency=13,1,0))</f>
        <v>0</v>
      </c>
      <c r="AX1149" s="24">
        <f t="shared" ca="1" si="859"/>
        <v>0</v>
      </c>
      <c r="AY1149" s="24">
        <f t="shared" ca="1" si="860"/>
        <v>0</v>
      </c>
      <c r="AZ1149" s="24">
        <f t="shared" ca="1" si="861"/>
        <v>0</v>
      </c>
      <c r="BA1149" s="25">
        <f t="shared" ca="1" si="862"/>
        <v>0</v>
      </c>
      <c r="BB1149" s="23">
        <f t="array" aca="1" ref="BB1149" ca="1">SUM(IF(w_start_date&lt;=AO1149,1,0)*IF(w_end_date&gt;=AO1149,1,0)*w_amount*(1+w_escalation/100)^(INT((AP1149-w_months_since_start)/12))*IF(MOD(AP1149-w_months_since_start,w_frequency)=0,1,0)*IF(w_frequency=13,0,1))+SUM(IF(w_start_date=AO1149,w_amount,0)*IF(w_frequency=13,1,0))</f>
        <v>0</v>
      </c>
      <c r="BC1149" s="25">
        <f t="shared" ca="1" si="863"/>
        <v>0</v>
      </c>
      <c r="BD1149" s="24" t="b">
        <f t="shared" ca="1" si="864"/>
        <v>1</v>
      </c>
      <c r="BE1149" s="24" t="b">
        <f t="shared" ca="1" si="865"/>
        <v>1</v>
      </c>
      <c r="BF1149" s="23">
        <f t="array" aca="1" ref="BF1149" ca="1">SUM(IF(BD1149,1,0)*IF(ap_start_date&lt;=AO1149,1,0)*IF(ap_end_date&gt;=AO1149,1,0)*ap_amount*(1+ap_escalation/100)^(INT((AP1149-ap_months_since_start)/12))*IF(MOD(AP1149-ap_months_since_start,ap_frequency)=0,1,0))</f>
        <v>943775.16618599673</v>
      </c>
      <c r="BG1149" s="24">
        <f t="shared" ca="1" si="866"/>
        <v>11325301.994231962</v>
      </c>
      <c r="BH1149" s="24">
        <f t="shared" ca="1" si="867"/>
        <v>18.566253407969405</v>
      </c>
      <c r="BI1149">
        <f t="shared" ca="1" si="868"/>
        <v>0</v>
      </c>
      <c r="BJ1149" s="24">
        <f t="shared" ca="1" si="869"/>
        <v>129.96377385578583</v>
      </c>
      <c r="BK1149">
        <f t="shared" ca="1" si="870"/>
        <v>1</v>
      </c>
      <c r="BL1149" s="25">
        <f t="shared" ca="1" si="871"/>
        <v>10.830314487982152</v>
      </c>
      <c r="BM1149" s="32">
        <f t="shared" ca="1" si="850"/>
        <v>725.86216197439626</v>
      </c>
      <c r="BN1149" s="23">
        <f t="shared" ca="1" si="872"/>
        <v>0</v>
      </c>
      <c r="BO1149" s="24">
        <f t="shared" ca="1" si="873"/>
        <v>0</v>
      </c>
      <c r="BP1149" s="25">
        <f t="shared" ca="1" si="874"/>
        <v>0</v>
      </c>
      <c r="BQ1149" s="34">
        <f t="shared" ca="1" si="875"/>
        <v>80385</v>
      </c>
      <c r="BR1149" s="23">
        <f t="shared" ca="1" si="876"/>
        <v>725.86216197439626</v>
      </c>
      <c r="BS1149" s="24">
        <f t="shared" ca="1" si="877"/>
        <v>0</v>
      </c>
      <c r="BT1149" s="24">
        <f t="shared" ca="1" si="882"/>
        <v>0</v>
      </c>
      <c r="BU1149" s="24">
        <f t="shared" ca="1" si="878"/>
        <v>0</v>
      </c>
      <c r="BV1149" s="24">
        <f t="shared" ca="1" si="883"/>
        <v>0</v>
      </c>
      <c r="BW1149" s="24">
        <f t="shared" ca="1" si="879"/>
        <v>-10.830314487982152</v>
      </c>
      <c r="BX1149" s="25">
        <f t="shared" ca="1" si="884"/>
        <v>-140.00789349336986</v>
      </c>
      <c r="BY1149" s="23">
        <f t="shared" ca="1" si="851"/>
        <v>17.371928557795936</v>
      </c>
      <c r="BZ1149" s="24">
        <f t="shared" ca="1" si="852"/>
        <v>0</v>
      </c>
      <c r="CA1149" s="24">
        <f t="shared" ca="1" si="885"/>
        <v>0</v>
      </c>
      <c r="CB1149" s="24">
        <f t="shared" ca="1" si="853"/>
        <v>0</v>
      </c>
      <c r="CC1149" s="24">
        <f t="shared" ca="1" si="886"/>
        <v>0</v>
      </c>
      <c r="CD1149" s="24">
        <f t="shared" ca="1" si="854"/>
        <v>-0.26004852178240118</v>
      </c>
      <c r="CE1149" s="25">
        <f t="shared" ca="1" si="887"/>
        <v>-3.4241489536836842</v>
      </c>
      <c r="CF1149" s="23">
        <f t="shared" ca="1" si="888"/>
        <v>10998610.590552194</v>
      </c>
      <c r="CG1149" s="25">
        <f t="array" aca="1" ref="CG1149" ca="1">SUM(BF1138:BF1149/(1+inflation/100)^(AP1138:AP1149/12))</f>
        <v>267980.53702225391</v>
      </c>
      <c r="CH1149" s="32">
        <f ca="1">IFERROR(IF(MOD(AP1149-ap_months_since_start,12)=0,ap_drawdown/100*(AQ1149+AV1149+BA1149-BC1149),CH1148),0)</f>
        <v>114.1409604423194</v>
      </c>
    </row>
    <row r="1150" spans="40:86" x14ac:dyDescent="0.25">
      <c r="AN1150" s="32">
        <f t="shared" ca="1" si="849"/>
        <v>150.08333333333334</v>
      </c>
      <c r="AO1150" s="53">
        <f t="shared" ca="1" si="880"/>
        <v>80386</v>
      </c>
      <c r="AP1150" s="22">
        <v>1143</v>
      </c>
      <c r="AQ1150" s="32">
        <f t="shared" ca="1" si="881"/>
        <v>725.86216197439626</v>
      </c>
      <c r="AR1150" s="23">
        <f t="array" aca="1" ref="AR1150" ca="1">SUM(IF(lsc_start_date=AO1150,lsc_amount,0))</f>
        <v>0</v>
      </c>
      <c r="AS1150" s="24">
        <f t="shared" ca="1" si="855"/>
        <v>0</v>
      </c>
      <c r="AT1150" s="24">
        <f t="shared" ca="1" si="856"/>
        <v>0</v>
      </c>
      <c r="AU1150" s="24">
        <f t="shared" ca="1" si="857"/>
        <v>0</v>
      </c>
      <c r="AV1150" s="25">
        <f t="shared" ca="1" si="858"/>
        <v>0</v>
      </c>
      <c r="AW1150" s="23">
        <f t="array" aca="1" ref="AW1150" ca="1">SUM(IF(rcs_start_date&lt;=AO1150,1,0)*IF(rcs_end_date&gt;=AO1150,1,0)*rcs_amount*(1+rcs_escalation/100)^(INT((AP1150-rcs_months_since_start)/12))*IF(MOD((AP1150-rcs_months_since_start),rcs_frequency)=0,1,0)*IF(rcs_frequency=13,0,1))+SUM(IF(rcs_start_date=AO1150,rcs_amount,0)*IF(rcs_frequency=13,1,0))</f>
        <v>0</v>
      </c>
      <c r="AX1150" s="24">
        <f t="shared" ca="1" si="859"/>
        <v>0</v>
      </c>
      <c r="AY1150" s="24">
        <f t="shared" ca="1" si="860"/>
        <v>0</v>
      </c>
      <c r="AZ1150" s="24">
        <f t="shared" ca="1" si="861"/>
        <v>0</v>
      </c>
      <c r="BA1150" s="25">
        <f t="shared" ca="1" si="862"/>
        <v>0</v>
      </c>
      <c r="BB1150" s="23">
        <f t="array" aca="1" ref="BB1150" ca="1">SUM(IF(w_start_date&lt;=AO1150,1,0)*IF(w_end_date&gt;=AO1150,1,0)*w_amount*(1+w_escalation/100)^(INT((AP1150-w_months_since_start)/12))*IF(MOD(AP1150-w_months_since_start,w_frequency)=0,1,0)*IF(w_frequency=13,0,1))+SUM(IF(w_start_date=AO1150,w_amount,0)*IF(w_frequency=13,1,0))</f>
        <v>0</v>
      </c>
      <c r="BC1150" s="25">
        <f t="shared" ca="1" si="863"/>
        <v>0</v>
      </c>
      <c r="BD1150" s="24" t="b">
        <f t="shared" ca="1" si="864"/>
        <v>1</v>
      </c>
      <c r="BE1150" s="24" t="b">
        <f t="shared" ca="1" si="865"/>
        <v>1</v>
      </c>
      <c r="BF1150" s="23">
        <f t="array" aca="1" ref="BF1150" ca="1">SUM(IF(BD1150,1,0)*IF(ap_start_date&lt;=AO1150,1,0)*IF(ap_end_date&gt;=AO1150,1,0)*ap_amount*(1+ap_escalation/100)^(INT((AP1150-ap_months_since_start)/12))*IF(MOD(AP1150-ap_months_since_start,ap_frequency)=0,1,0))</f>
        <v>943775.16618599673</v>
      </c>
      <c r="BG1150" s="24">
        <f t="shared" ca="1" si="866"/>
        <v>11325301.994231962</v>
      </c>
      <c r="BH1150" s="24">
        <f t="shared" ca="1" si="867"/>
        <v>18.566253407969405</v>
      </c>
      <c r="BI1150">
        <f t="shared" ca="1" si="868"/>
        <v>0</v>
      </c>
      <c r="BJ1150" s="24">
        <f t="shared" ca="1" si="869"/>
        <v>129.96377385578583</v>
      </c>
      <c r="BK1150">
        <f t="shared" ca="1" si="870"/>
        <v>1</v>
      </c>
      <c r="BL1150" s="25">
        <f t="shared" ca="1" si="871"/>
        <v>10.830314487982152</v>
      </c>
      <c r="BM1150" s="32">
        <f t="shared" ca="1" si="850"/>
        <v>720.18531319258329</v>
      </c>
      <c r="BN1150" s="23">
        <f t="shared" ca="1" si="872"/>
        <v>0</v>
      </c>
      <c r="BO1150" s="24">
        <f t="shared" ca="1" si="873"/>
        <v>0</v>
      </c>
      <c r="BP1150" s="25">
        <f t="shared" ca="1" si="874"/>
        <v>0</v>
      </c>
      <c r="BQ1150" s="34">
        <f t="shared" ca="1" si="875"/>
        <v>80414</v>
      </c>
      <c r="BR1150" s="23">
        <f t="shared" ca="1" si="876"/>
        <v>720.18531319258329</v>
      </c>
      <c r="BS1150" s="24">
        <f t="shared" ca="1" si="877"/>
        <v>0</v>
      </c>
      <c r="BT1150" s="24">
        <f t="shared" ca="1" si="882"/>
        <v>0</v>
      </c>
      <c r="BU1150" s="24">
        <f t="shared" ca="1" si="878"/>
        <v>0</v>
      </c>
      <c r="BV1150" s="24">
        <f t="shared" ca="1" si="883"/>
        <v>0</v>
      </c>
      <c r="BW1150" s="24">
        <f t="shared" ca="1" si="879"/>
        <v>-10.830314487982152</v>
      </c>
      <c r="BX1150" s="25">
        <f t="shared" ca="1" si="884"/>
        <v>-138.89188020030497</v>
      </c>
      <c r="BY1150" s="23">
        <f t="shared" ca="1" si="851"/>
        <v>17.179823286083387</v>
      </c>
      <c r="BZ1150" s="24">
        <f t="shared" ca="1" si="852"/>
        <v>0</v>
      </c>
      <c r="CA1150" s="24">
        <f t="shared" ca="1" si="885"/>
        <v>0</v>
      </c>
      <c r="CB1150" s="24">
        <f t="shared" ca="1" si="853"/>
        <v>0</v>
      </c>
      <c r="CC1150" s="24">
        <f t="shared" ca="1" si="886"/>
        <v>0</v>
      </c>
      <c r="CD1150" s="24">
        <f t="shared" ca="1" si="854"/>
        <v>-0.25919996853386706</v>
      </c>
      <c r="CE1150" s="25">
        <f t="shared" ca="1" si="887"/>
        <v>-3.3860032357267467</v>
      </c>
      <c r="CF1150" s="23">
        <f t="shared" ca="1" si="888"/>
        <v>11034909.635405501</v>
      </c>
      <c r="CG1150" s="25">
        <f t="array" aca="1" ref="CG1150" ca="1">SUM(BF1139:BF1150/(1+inflation/100)^(AP1139:AP1150/12))</f>
        <v>267980.53702225391</v>
      </c>
      <c r="CH1150" s="32">
        <f ca="1">IFERROR(IF(MOD(AP1150-ap_months_since_start,12)=0,ap_drawdown/100*(AQ1150+AV1150+BA1150-BC1150),CH1149),0)</f>
        <v>114.1409604423194</v>
      </c>
    </row>
    <row r="1151" spans="40:86" x14ac:dyDescent="0.25">
      <c r="AN1151" s="32">
        <f t="shared" ca="1" si="849"/>
        <v>150.16666666666666</v>
      </c>
      <c r="AO1151" s="53">
        <f t="shared" ca="1" si="880"/>
        <v>80415</v>
      </c>
      <c r="AP1151" s="22">
        <v>1144</v>
      </c>
      <c r="AQ1151" s="32">
        <f t="shared" ca="1" si="881"/>
        <v>720.18531319258329</v>
      </c>
      <c r="AR1151" s="23">
        <f t="array" aca="1" ref="AR1151" ca="1">SUM(IF(lsc_start_date=AO1151,lsc_amount,0))</f>
        <v>0</v>
      </c>
      <c r="AS1151" s="24">
        <f t="shared" ca="1" si="855"/>
        <v>0</v>
      </c>
      <c r="AT1151" s="24">
        <f t="shared" ca="1" si="856"/>
        <v>0</v>
      </c>
      <c r="AU1151" s="24">
        <f t="shared" ca="1" si="857"/>
        <v>0</v>
      </c>
      <c r="AV1151" s="25">
        <f t="shared" ca="1" si="858"/>
        <v>0</v>
      </c>
      <c r="AW1151" s="23">
        <f t="array" aca="1" ref="AW1151" ca="1">SUM(IF(rcs_start_date&lt;=AO1151,1,0)*IF(rcs_end_date&gt;=AO1151,1,0)*rcs_amount*(1+rcs_escalation/100)^(INT((AP1151-rcs_months_since_start)/12))*IF(MOD((AP1151-rcs_months_since_start),rcs_frequency)=0,1,0)*IF(rcs_frequency=13,0,1))+SUM(IF(rcs_start_date=AO1151,rcs_amount,0)*IF(rcs_frequency=13,1,0))</f>
        <v>0</v>
      </c>
      <c r="AX1151" s="24">
        <f t="shared" ca="1" si="859"/>
        <v>0</v>
      </c>
      <c r="AY1151" s="24">
        <f t="shared" ca="1" si="860"/>
        <v>0</v>
      </c>
      <c r="AZ1151" s="24">
        <f t="shared" ca="1" si="861"/>
        <v>0</v>
      </c>
      <c r="BA1151" s="25">
        <f t="shared" ca="1" si="862"/>
        <v>0</v>
      </c>
      <c r="BB1151" s="23">
        <f t="array" aca="1" ref="BB1151" ca="1">SUM(IF(w_start_date&lt;=AO1151,1,0)*IF(w_end_date&gt;=AO1151,1,0)*w_amount*(1+w_escalation/100)^(INT((AP1151-w_months_since_start)/12))*IF(MOD(AP1151-w_months_since_start,w_frequency)=0,1,0)*IF(w_frequency=13,0,1))+SUM(IF(w_start_date=AO1151,w_amount,0)*IF(w_frequency=13,1,0))</f>
        <v>0</v>
      </c>
      <c r="BC1151" s="25">
        <f t="shared" ca="1" si="863"/>
        <v>0</v>
      </c>
      <c r="BD1151" s="24" t="b">
        <f t="shared" ca="1" si="864"/>
        <v>1</v>
      </c>
      <c r="BE1151" s="24" t="b">
        <f t="shared" ca="1" si="865"/>
        <v>1</v>
      </c>
      <c r="BF1151" s="23">
        <f t="array" aca="1" ref="BF1151" ca="1">SUM(IF(BD1151,1,0)*IF(ap_start_date&lt;=AO1151,1,0)*IF(ap_end_date&gt;=AO1151,1,0)*ap_amount*(1+ap_escalation/100)^(INT((AP1151-ap_months_since_start)/12))*IF(MOD(AP1151-ap_months_since_start,ap_frequency)=0,1,0))</f>
        <v>943775.16618599673</v>
      </c>
      <c r="BG1151" s="24">
        <f t="shared" ca="1" si="866"/>
        <v>11325301.994231962</v>
      </c>
      <c r="BH1151" s="24">
        <f t="shared" ca="1" si="867"/>
        <v>18.566253407969405</v>
      </c>
      <c r="BI1151">
        <f t="shared" ca="1" si="868"/>
        <v>0</v>
      </c>
      <c r="BJ1151" s="24">
        <f t="shared" ca="1" si="869"/>
        <v>129.96377385578583</v>
      </c>
      <c r="BK1151">
        <f t="shared" ca="1" si="870"/>
        <v>1</v>
      </c>
      <c r="BL1151" s="25">
        <f t="shared" ca="1" si="871"/>
        <v>10.830314487982152</v>
      </c>
      <c r="BM1151" s="32">
        <f t="shared" ca="1" si="850"/>
        <v>714.46754952618289</v>
      </c>
      <c r="BN1151" s="23">
        <f t="shared" ca="1" si="872"/>
        <v>0</v>
      </c>
      <c r="BO1151" s="24">
        <f t="shared" ca="1" si="873"/>
        <v>0</v>
      </c>
      <c r="BP1151" s="25">
        <f t="shared" ca="1" si="874"/>
        <v>0</v>
      </c>
      <c r="BQ1151" s="34">
        <f t="shared" ca="1" si="875"/>
        <v>80445</v>
      </c>
      <c r="BR1151" s="23">
        <f t="shared" ca="1" si="876"/>
        <v>714.46754952618289</v>
      </c>
      <c r="BS1151" s="24">
        <f t="shared" ca="1" si="877"/>
        <v>0</v>
      </c>
      <c r="BT1151" s="24">
        <f t="shared" ca="1" si="882"/>
        <v>0</v>
      </c>
      <c r="BU1151" s="24">
        <f t="shared" ca="1" si="878"/>
        <v>0</v>
      </c>
      <c r="BV1151" s="24">
        <f t="shared" ca="1" si="883"/>
        <v>0</v>
      </c>
      <c r="BW1151" s="24">
        <f t="shared" ca="1" si="879"/>
        <v>-10.830314487982152</v>
      </c>
      <c r="BX1151" s="25">
        <f t="shared" ca="1" si="884"/>
        <v>-137.77586690724007</v>
      </c>
      <c r="BY1151" s="23">
        <f t="shared" ca="1" si="851"/>
        <v>16.987813918484136</v>
      </c>
      <c r="BZ1151" s="24">
        <f t="shared" ca="1" si="852"/>
        <v>0</v>
      </c>
      <c r="CA1151" s="24">
        <f t="shared" ca="1" si="885"/>
        <v>0</v>
      </c>
      <c r="CB1151" s="24">
        <f t="shared" ca="1" si="853"/>
        <v>0</v>
      </c>
      <c r="CC1151" s="24">
        <f t="shared" ca="1" si="886"/>
        <v>0</v>
      </c>
      <c r="CD1151" s="24">
        <f t="shared" ca="1" si="854"/>
        <v>-0.25835418416327427</v>
      </c>
      <c r="CE1151" s="25">
        <f t="shared" ca="1" si="887"/>
        <v>-3.3479819894363585</v>
      </c>
      <c r="CF1151" s="23">
        <f t="shared" ca="1" si="888"/>
        <v>11071208.680258809</v>
      </c>
      <c r="CG1151" s="25">
        <f t="array" aca="1" ref="CG1151" ca="1">SUM(BF1140:BF1151/(1+inflation/100)^(AP1140:AP1151/12))</f>
        <v>267980.53702225396</v>
      </c>
      <c r="CH1151" s="32">
        <f ca="1">IFERROR(IF(MOD(AP1151-ap_months_since_start,12)=0,ap_drawdown/100*(AQ1151+AV1151+BA1151-BC1151),CH1150),0)</f>
        <v>114.1409604423194</v>
      </c>
    </row>
    <row r="1152" spans="40:86" x14ac:dyDescent="0.25">
      <c r="AN1152" s="32">
        <f t="shared" ca="1" si="849"/>
        <v>150.25</v>
      </c>
      <c r="AO1152" s="53">
        <f t="shared" ca="1" si="880"/>
        <v>80446</v>
      </c>
      <c r="AP1152" s="22">
        <v>1145</v>
      </c>
      <c r="AQ1152" s="32">
        <f t="shared" ca="1" si="881"/>
        <v>714.46754952618289</v>
      </c>
      <c r="AR1152" s="23">
        <f t="array" aca="1" ref="AR1152" ca="1">SUM(IF(lsc_start_date=AO1152,lsc_amount,0))</f>
        <v>0</v>
      </c>
      <c r="AS1152" s="24">
        <f t="shared" ca="1" si="855"/>
        <v>0</v>
      </c>
      <c r="AT1152" s="24">
        <f t="shared" ca="1" si="856"/>
        <v>0</v>
      </c>
      <c r="AU1152" s="24">
        <f t="shared" ca="1" si="857"/>
        <v>0</v>
      </c>
      <c r="AV1152" s="25">
        <f t="shared" ca="1" si="858"/>
        <v>0</v>
      </c>
      <c r="AW1152" s="23">
        <f t="array" aca="1" ref="AW1152" ca="1">SUM(IF(rcs_start_date&lt;=AO1152,1,0)*IF(rcs_end_date&gt;=AO1152,1,0)*rcs_amount*(1+rcs_escalation/100)^(INT((AP1152-rcs_months_since_start)/12))*IF(MOD((AP1152-rcs_months_since_start),rcs_frequency)=0,1,0)*IF(rcs_frequency=13,0,1))+SUM(IF(rcs_start_date=AO1152,rcs_amount,0)*IF(rcs_frequency=13,1,0))</f>
        <v>0</v>
      </c>
      <c r="AX1152" s="24">
        <f t="shared" ca="1" si="859"/>
        <v>0</v>
      </c>
      <c r="AY1152" s="24">
        <f t="shared" ca="1" si="860"/>
        <v>0</v>
      </c>
      <c r="AZ1152" s="24">
        <f t="shared" ca="1" si="861"/>
        <v>0</v>
      </c>
      <c r="BA1152" s="25">
        <f t="shared" ca="1" si="862"/>
        <v>0</v>
      </c>
      <c r="BB1152" s="23">
        <f t="array" aca="1" ref="BB1152" ca="1">SUM(IF(w_start_date&lt;=AO1152,1,0)*IF(w_end_date&gt;=AO1152,1,0)*w_amount*(1+w_escalation/100)^(INT((AP1152-w_months_since_start)/12))*IF(MOD(AP1152-w_months_since_start,w_frequency)=0,1,0)*IF(w_frequency=13,0,1))+SUM(IF(w_start_date=AO1152,w_amount,0)*IF(w_frequency=13,1,0))</f>
        <v>0</v>
      </c>
      <c r="BC1152" s="25">
        <f t="shared" ca="1" si="863"/>
        <v>0</v>
      </c>
      <c r="BD1152" s="24" t="b">
        <f t="shared" ca="1" si="864"/>
        <v>1</v>
      </c>
      <c r="BE1152" s="24" t="b">
        <f t="shared" ca="1" si="865"/>
        <v>1</v>
      </c>
      <c r="BF1152" s="23">
        <f t="array" aca="1" ref="BF1152" ca="1">SUM(IF(BD1152,1,0)*IF(ap_start_date&lt;=AO1152,1,0)*IF(ap_end_date&gt;=AO1152,1,0)*ap_amount*(1+ap_escalation/100)^(INT((AP1152-ap_months_since_start)/12))*IF(MOD(AP1152-ap_months_since_start,ap_frequency)=0,1,0))</f>
        <v>943775.16618599673</v>
      </c>
      <c r="BG1152" s="24">
        <f t="shared" ca="1" si="866"/>
        <v>11325301.994231962</v>
      </c>
      <c r="BH1152" s="24">
        <f t="shared" ca="1" si="867"/>
        <v>18.566253407969405</v>
      </c>
      <c r="BI1152">
        <f t="shared" ca="1" si="868"/>
        <v>0</v>
      </c>
      <c r="BJ1152" s="24">
        <f t="shared" ca="1" si="869"/>
        <v>129.96377385578583</v>
      </c>
      <c r="BK1152">
        <f t="shared" ca="1" si="870"/>
        <v>1</v>
      </c>
      <c r="BL1152" s="25">
        <f t="shared" ca="1" si="871"/>
        <v>10.830314487982152</v>
      </c>
      <c r="BM1152" s="32">
        <f t="shared" ca="1" si="850"/>
        <v>708.70857608839356</v>
      </c>
      <c r="BN1152" s="23">
        <f t="shared" ca="1" si="872"/>
        <v>0</v>
      </c>
      <c r="BO1152" s="24">
        <f t="shared" ca="1" si="873"/>
        <v>0</v>
      </c>
      <c r="BP1152" s="25">
        <f t="shared" ca="1" si="874"/>
        <v>0</v>
      </c>
      <c r="BQ1152" s="34">
        <f t="shared" ca="1" si="875"/>
        <v>80475</v>
      </c>
      <c r="BR1152" s="23">
        <f t="shared" ca="1" si="876"/>
        <v>708.70857608839356</v>
      </c>
      <c r="BS1152" s="24">
        <f t="shared" ca="1" si="877"/>
        <v>0</v>
      </c>
      <c r="BT1152" s="24">
        <f t="shared" ca="1" si="882"/>
        <v>0</v>
      </c>
      <c r="BU1152" s="24">
        <f t="shared" ca="1" si="878"/>
        <v>0</v>
      </c>
      <c r="BV1152" s="24">
        <f t="shared" ca="1" si="883"/>
        <v>0</v>
      </c>
      <c r="BW1152" s="24">
        <f t="shared" ca="1" si="879"/>
        <v>-10.830314487982152</v>
      </c>
      <c r="BX1152" s="25">
        <f t="shared" ca="1" si="884"/>
        <v>-136.65985361417518</v>
      </c>
      <c r="BY1152" s="23">
        <f t="shared" ca="1" si="851"/>
        <v>16.79589806035046</v>
      </c>
      <c r="BZ1152" s="24">
        <f t="shared" ca="1" si="852"/>
        <v>0</v>
      </c>
      <c r="CA1152" s="24">
        <f t="shared" ca="1" si="885"/>
        <v>0</v>
      </c>
      <c r="CB1152" s="24">
        <f t="shared" ca="1" si="853"/>
        <v>0</v>
      </c>
      <c r="CC1152" s="24">
        <f t="shared" ca="1" si="886"/>
        <v>0</v>
      </c>
      <c r="CD1152" s="24">
        <f t="shared" ca="1" si="854"/>
        <v>-0.25751115963561505</v>
      </c>
      <c r="CE1152" s="25">
        <f t="shared" ca="1" si="887"/>
        <v>-3.3100848086543295</v>
      </c>
      <c r="CF1152" s="23">
        <f t="shared" ca="1" si="888"/>
        <v>11107507.725112116</v>
      </c>
      <c r="CG1152" s="25">
        <f t="array" aca="1" ref="CG1152" ca="1">SUM(BF1141:BF1152/(1+inflation/100)^(AP1141:AP1152/12))</f>
        <v>267980.53702225396</v>
      </c>
      <c r="CH1152" s="32">
        <f ca="1">IFERROR(IF(MOD(AP1152-ap_months_since_start,12)=0,ap_drawdown/100*(AQ1152+AV1152+BA1152-BC1152),CH1151),0)</f>
        <v>114.1409604423194</v>
      </c>
    </row>
    <row r="1153" spans="40:86" x14ac:dyDescent="0.25">
      <c r="AN1153" s="32">
        <f t="shared" ca="1" si="849"/>
        <v>150.33333333333334</v>
      </c>
      <c r="AO1153" s="53">
        <f t="shared" ca="1" si="880"/>
        <v>80476</v>
      </c>
      <c r="AP1153" s="22">
        <v>1146</v>
      </c>
      <c r="AQ1153" s="32">
        <f t="shared" ca="1" si="881"/>
        <v>708.70857608839356</v>
      </c>
      <c r="AR1153" s="23">
        <f t="array" aca="1" ref="AR1153" ca="1">SUM(IF(lsc_start_date=AO1153,lsc_amount,0))</f>
        <v>0</v>
      </c>
      <c r="AS1153" s="24">
        <f t="shared" ca="1" si="855"/>
        <v>0</v>
      </c>
      <c r="AT1153" s="24">
        <f t="shared" ca="1" si="856"/>
        <v>0</v>
      </c>
      <c r="AU1153" s="24">
        <f t="shared" ca="1" si="857"/>
        <v>0</v>
      </c>
      <c r="AV1153" s="25">
        <f t="shared" ca="1" si="858"/>
        <v>0</v>
      </c>
      <c r="AW1153" s="23">
        <f t="array" aca="1" ref="AW1153" ca="1">SUM(IF(rcs_start_date&lt;=AO1153,1,0)*IF(rcs_end_date&gt;=AO1153,1,0)*rcs_amount*(1+rcs_escalation/100)^(INT((AP1153-rcs_months_since_start)/12))*IF(MOD((AP1153-rcs_months_since_start),rcs_frequency)=0,1,0)*IF(rcs_frequency=13,0,1))+SUM(IF(rcs_start_date=AO1153,rcs_amount,0)*IF(rcs_frequency=13,1,0))</f>
        <v>0</v>
      </c>
      <c r="AX1153" s="24">
        <f t="shared" ca="1" si="859"/>
        <v>0</v>
      </c>
      <c r="AY1153" s="24">
        <f t="shared" ca="1" si="860"/>
        <v>0</v>
      </c>
      <c r="AZ1153" s="24">
        <f t="shared" ca="1" si="861"/>
        <v>0</v>
      </c>
      <c r="BA1153" s="25">
        <f t="shared" ca="1" si="862"/>
        <v>0</v>
      </c>
      <c r="BB1153" s="23">
        <f t="array" aca="1" ref="BB1153" ca="1">SUM(IF(w_start_date&lt;=AO1153,1,0)*IF(w_end_date&gt;=AO1153,1,0)*w_amount*(1+w_escalation/100)^(INT((AP1153-w_months_since_start)/12))*IF(MOD(AP1153-w_months_since_start,w_frequency)=0,1,0)*IF(w_frequency=13,0,1))+SUM(IF(w_start_date=AO1153,w_amount,0)*IF(w_frequency=13,1,0))</f>
        <v>0</v>
      </c>
      <c r="BC1153" s="25">
        <f t="shared" ca="1" si="863"/>
        <v>0</v>
      </c>
      <c r="BD1153" s="24" t="b">
        <f t="shared" ca="1" si="864"/>
        <v>1</v>
      </c>
      <c r="BE1153" s="24" t="b">
        <f t="shared" ca="1" si="865"/>
        <v>1</v>
      </c>
      <c r="BF1153" s="23">
        <f t="array" aca="1" ref="BF1153" ca="1">SUM(IF(BD1153,1,0)*IF(ap_start_date&lt;=AO1153,1,0)*IF(ap_end_date&gt;=AO1153,1,0)*ap_amount*(1+ap_escalation/100)^(INT((AP1153-ap_months_since_start)/12))*IF(MOD(AP1153-ap_months_since_start,ap_frequency)=0,1,0))</f>
        <v>943775.16618599673</v>
      </c>
      <c r="BG1153" s="24">
        <f t="shared" ca="1" si="866"/>
        <v>11325301.994231962</v>
      </c>
      <c r="BH1153" s="24">
        <f t="shared" ca="1" si="867"/>
        <v>18.566253407969405</v>
      </c>
      <c r="BI1153">
        <f t="shared" ca="1" si="868"/>
        <v>0</v>
      </c>
      <c r="BJ1153" s="24">
        <f t="shared" ca="1" si="869"/>
        <v>129.96377385578583</v>
      </c>
      <c r="BK1153">
        <f t="shared" ca="1" si="870"/>
        <v>1</v>
      </c>
      <c r="BL1153" s="25">
        <f t="shared" ca="1" si="871"/>
        <v>10.830314487982152</v>
      </c>
      <c r="BM1153" s="32">
        <f t="shared" ca="1" si="850"/>
        <v>702.90809586706905</v>
      </c>
      <c r="BN1153" s="23">
        <f t="shared" ca="1" si="872"/>
        <v>0</v>
      </c>
      <c r="BO1153" s="24">
        <f t="shared" ca="1" si="873"/>
        <v>0</v>
      </c>
      <c r="BP1153" s="25">
        <f t="shared" ca="1" si="874"/>
        <v>0</v>
      </c>
      <c r="BQ1153" s="34">
        <f t="shared" ca="1" si="875"/>
        <v>80506</v>
      </c>
      <c r="BR1153" s="23">
        <f t="shared" ca="1" si="876"/>
        <v>702.90809586706905</v>
      </c>
      <c r="BS1153" s="24">
        <f t="shared" ca="1" si="877"/>
        <v>0</v>
      </c>
      <c r="BT1153" s="24">
        <f t="shared" ca="1" si="882"/>
        <v>0</v>
      </c>
      <c r="BU1153" s="24">
        <f t="shared" ca="1" si="878"/>
        <v>0</v>
      </c>
      <c r="BV1153" s="24">
        <f t="shared" ca="1" si="883"/>
        <v>0</v>
      </c>
      <c r="BW1153" s="24">
        <f t="shared" ca="1" si="879"/>
        <v>-10.830314487982152</v>
      </c>
      <c r="BX1153" s="25">
        <f t="shared" ca="1" si="884"/>
        <v>-135.54384032111028</v>
      </c>
      <c r="BY1153" s="23">
        <f t="shared" ca="1" si="851"/>
        <v>16.604073316686691</v>
      </c>
      <c r="BZ1153" s="24">
        <f t="shared" ca="1" si="852"/>
        <v>0</v>
      </c>
      <c r="CA1153" s="24">
        <f t="shared" ca="1" si="885"/>
        <v>0</v>
      </c>
      <c r="CB1153" s="24">
        <f t="shared" ca="1" si="853"/>
        <v>0</v>
      </c>
      <c r="CC1153" s="24">
        <f t="shared" ca="1" si="886"/>
        <v>0</v>
      </c>
      <c r="CD1153" s="24">
        <f t="shared" ca="1" si="854"/>
        <v>-0.25667088594536336</v>
      </c>
      <c r="CE1153" s="25">
        <f t="shared" ca="1" si="887"/>
        <v>-3.2723112885477872</v>
      </c>
      <c r="CF1153" s="23">
        <f t="shared" ca="1" si="888"/>
        <v>11143806.769965423</v>
      </c>
      <c r="CG1153" s="25">
        <f t="array" aca="1" ref="CG1153" ca="1">SUM(BF1142:BF1153/(1+inflation/100)^(AP1142:AP1153/12))</f>
        <v>267980.53702225396</v>
      </c>
      <c r="CH1153" s="32">
        <f ca="1">IFERROR(IF(MOD(AP1153-ap_months_since_start,12)=0,ap_drawdown/100*(AQ1153+AV1153+BA1153-BC1153),CH1152),0)</f>
        <v>114.1409604423194</v>
      </c>
    </row>
    <row r="1154" spans="40:86" x14ac:dyDescent="0.25">
      <c r="AN1154" s="32">
        <f t="shared" ca="1" si="849"/>
        <v>150.41666666666666</v>
      </c>
      <c r="AO1154" s="53">
        <f t="shared" ca="1" si="880"/>
        <v>80507</v>
      </c>
      <c r="AP1154" s="22">
        <v>1147</v>
      </c>
      <c r="AQ1154" s="32">
        <f t="shared" ca="1" si="881"/>
        <v>702.90809586706905</v>
      </c>
      <c r="AR1154" s="23">
        <f t="array" aca="1" ref="AR1154" ca="1">SUM(IF(lsc_start_date=AO1154,lsc_amount,0))</f>
        <v>0</v>
      </c>
      <c r="AS1154" s="24">
        <f t="shared" ca="1" si="855"/>
        <v>0</v>
      </c>
      <c r="AT1154" s="24">
        <f t="shared" ca="1" si="856"/>
        <v>0</v>
      </c>
      <c r="AU1154" s="24">
        <f t="shared" ca="1" si="857"/>
        <v>0</v>
      </c>
      <c r="AV1154" s="25">
        <f t="shared" ca="1" si="858"/>
        <v>0</v>
      </c>
      <c r="AW1154" s="23">
        <f t="array" aca="1" ref="AW1154" ca="1">SUM(IF(rcs_start_date&lt;=AO1154,1,0)*IF(rcs_end_date&gt;=AO1154,1,0)*rcs_amount*(1+rcs_escalation/100)^(INT((AP1154-rcs_months_since_start)/12))*IF(MOD((AP1154-rcs_months_since_start),rcs_frequency)=0,1,0)*IF(rcs_frequency=13,0,1))+SUM(IF(rcs_start_date=AO1154,rcs_amount,0)*IF(rcs_frequency=13,1,0))</f>
        <v>0</v>
      </c>
      <c r="AX1154" s="24">
        <f t="shared" ca="1" si="859"/>
        <v>0</v>
      </c>
      <c r="AY1154" s="24">
        <f t="shared" ca="1" si="860"/>
        <v>0</v>
      </c>
      <c r="AZ1154" s="24">
        <f t="shared" ca="1" si="861"/>
        <v>0</v>
      </c>
      <c r="BA1154" s="25">
        <f t="shared" ca="1" si="862"/>
        <v>0</v>
      </c>
      <c r="BB1154" s="23">
        <f t="array" aca="1" ref="BB1154" ca="1">SUM(IF(w_start_date&lt;=AO1154,1,0)*IF(w_end_date&gt;=AO1154,1,0)*w_amount*(1+w_escalation/100)^(INT((AP1154-w_months_since_start)/12))*IF(MOD(AP1154-w_months_since_start,w_frequency)=0,1,0)*IF(w_frequency=13,0,1))+SUM(IF(w_start_date=AO1154,w_amount,0)*IF(w_frequency=13,1,0))</f>
        <v>0</v>
      </c>
      <c r="BC1154" s="25">
        <f t="shared" ca="1" si="863"/>
        <v>0</v>
      </c>
      <c r="BD1154" s="24" t="b">
        <f t="shared" ca="1" si="864"/>
        <v>1</v>
      </c>
      <c r="BE1154" s="24" t="b">
        <f t="shared" ca="1" si="865"/>
        <v>1</v>
      </c>
      <c r="BF1154" s="23">
        <f t="array" aca="1" ref="BF1154" ca="1">SUM(IF(BD1154,1,0)*IF(ap_start_date&lt;=AO1154,1,0)*IF(ap_end_date&gt;=AO1154,1,0)*ap_amount*(1+ap_escalation/100)^(INT((AP1154-ap_months_since_start)/12))*IF(MOD(AP1154-ap_months_since_start,ap_frequency)=0,1,0))</f>
        <v>943775.16618599673</v>
      </c>
      <c r="BG1154" s="24">
        <f t="shared" ca="1" si="866"/>
        <v>11325301.994231962</v>
      </c>
      <c r="BH1154" s="24">
        <f t="shared" ca="1" si="867"/>
        <v>18.566253407969405</v>
      </c>
      <c r="BI1154">
        <f t="shared" ca="1" si="868"/>
        <v>0</v>
      </c>
      <c r="BJ1154" s="24">
        <f t="shared" ca="1" si="869"/>
        <v>129.96377385578583</v>
      </c>
      <c r="BK1154">
        <f t="shared" ca="1" si="870"/>
        <v>1</v>
      </c>
      <c r="BL1154" s="25">
        <f t="shared" ca="1" si="871"/>
        <v>10.830314487982152</v>
      </c>
      <c r="BM1154" s="32">
        <f t="shared" ca="1" si="850"/>
        <v>697.06580970940058</v>
      </c>
      <c r="BN1154" s="23">
        <f t="shared" ca="1" si="872"/>
        <v>0</v>
      </c>
      <c r="BO1154" s="24">
        <f t="shared" ca="1" si="873"/>
        <v>0</v>
      </c>
      <c r="BP1154" s="25">
        <f t="shared" ca="1" si="874"/>
        <v>0</v>
      </c>
      <c r="BQ1154" s="34">
        <f t="shared" ca="1" si="875"/>
        <v>80536</v>
      </c>
      <c r="BR1154" s="23">
        <f t="shared" ca="1" si="876"/>
        <v>697.06580970940058</v>
      </c>
      <c r="BS1154" s="24">
        <f t="shared" ca="1" si="877"/>
        <v>0</v>
      </c>
      <c r="BT1154" s="24">
        <f t="shared" ca="1" si="882"/>
        <v>0</v>
      </c>
      <c r="BU1154" s="24">
        <f t="shared" ca="1" si="878"/>
        <v>0</v>
      </c>
      <c r="BV1154" s="24">
        <f t="shared" ca="1" si="883"/>
        <v>0</v>
      </c>
      <c r="BW1154" s="24">
        <f t="shared" ca="1" si="879"/>
        <v>-10.830314487982152</v>
      </c>
      <c r="BX1154" s="25">
        <f t="shared" ca="1" si="884"/>
        <v>-134.42782702804539</v>
      </c>
      <c r="BY1154" s="23">
        <f t="shared" ca="1" si="851"/>
        <v>16.41233729211827</v>
      </c>
      <c r="BZ1154" s="24">
        <f t="shared" ca="1" si="852"/>
        <v>0</v>
      </c>
      <c r="CA1154" s="24">
        <f t="shared" ca="1" si="885"/>
        <v>0</v>
      </c>
      <c r="CB1154" s="24">
        <f t="shared" ca="1" si="853"/>
        <v>0</v>
      </c>
      <c r="CC1154" s="24">
        <f t="shared" ca="1" si="886"/>
        <v>0</v>
      </c>
      <c r="CD1154" s="24">
        <f t="shared" ca="1" si="854"/>
        <v>-0.25583335411637925</v>
      </c>
      <c r="CE1154" s="25">
        <f t="shared" ca="1" si="887"/>
        <v>-3.2346610256048516</v>
      </c>
      <c r="CF1154" s="23">
        <f t="shared" ca="1" si="888"/>
        <v>11180105.814818731</v>
      </c>
      <c r="CG1154" s="25">
        <f t="array" aca="1" ref="CG1154" ca="1">SUM(BF1143:BF1154/(1+inflation/100)^(AP1143:AP1154/12))</f>
        <v>267980.53702225391</v>
      </c>
      <c r="CH1154" s="32">
        <f ca="1">IFERROR(IF(MOD(AP1154-ap_months_since_start,12)=0,ap_drawdown/100*(AQ1154+AV1154+BA1154-BC1154),CH1153),0)</f>
        <v>114.1409604423194</v>
      </c>
    </row>
    <row r="1155" spans="40:86" x14ac:dyDescent="0.25">
      <c r="AN1155" s="32">
        <f t="shared" ca="1" si="849"/>
        <v>150.5</v>
      </c>
      <c r="AO1155" s="53">
        <f t="shared" ca="1" si="880"/>
        <v>80537</v>
      </c>
      <c r="AP1155" s="22">
        <v>1148</v>
      </c>
      <c r="AQ1155" s="32">
        <f t="shared" ca="1" si="881"/>
        <v>697.06580970940058</v>
      </c>
      <c r="AR1155" s="23">
        <f t="array" aca="1" ref="AR1155" ca="1">SUM(IF(lsc_start_date=AO1155,lsc_amount,0))</f>
        <v>0</v>
      </c>
      <c r="AS1155" s="24">
        <f t="shared" ca="1" si="855"/>
        <v>0</v>
      </c>
      <c r="AT1155" s="24">
        <f t="shared" ca="1" si="856"/>
        <v>0</v>
      </c>
      <c r="AU1155" s="24">
        <f t="shared" ca="1" si="857"/>
        <v>0</v>
      </c>
      <c r="AV1155" s="25">
        <f t="shared" ca="1" si="858"/>
        <v>0</v>
      </c>
      <c r="AW1155" s="23">
        <f t="array" aca="1" ref="AW1155" ca="1">SUM(IF(rcs_start_date&lt;=AO1155,1,0)*IF(rcs_end_date&gt;=AO1155,1,0)*rcs_amount*(1+rcs_escalation/100)^(INT((AP1155-rcs_months_since_start)/12))*IF(MOD((AP1155-rcs_months_since_start),rcs_frequency)=0,1,0)*IF(rcs_frequency=13,0,1))+SUM(IF(rcs_start_date=AO1155,rcs_amount,0)*IF(rcs_frequency=13,1,0))</f>
        <v>0</v>
      </c>
      <c r="AX1155" s="24">
        <f t="shared" ca="1" si="859"/>
        <v>0</v>
      </c>
      <c r="AY1155" s="24">
        <f t="shared" ca="1" si="860"/>
        <v>0</v>
      </c>
      <c r="AZ1155" s="24">
        <f t="shared" ca="1" si="861"/>
        <v>0</v>
      </c>
      <c r="BA1155" s="25">
        <f t="shared" ca="1" si="862"/>
        <v>0</v>
      </c>
      <c r="BB1155" s="23">
        <f t="array" aca="1" ref="BB1155" ca="1">SUM(IF(w_start_date&lt;=AO1155,1,0)*IF(w_end_date&gt;=AO1155,1,0)*w_amount*(1+w_escalation/100)^(INT((AP1155-w_months_since_start)/12))*IF(MOD(AP1155-w_months_since_start,w_frequency)=0,1,0)*IF(w_frequency=13,0,1))+SUM(IF(w_start_date=AO1155,w_amount,0)*IF(w_frequency=13,1,0))</f>
        <v>0</v>
      </c>
      <c r="BC1155" s="25">
        <f t="shared" ca="1" si="863"/>
        <v>0</v>
      </c>
      <c r="BD1155" s="24" t="b">
        <f t="shared" ca="1" si="864"/>
        <v>1</v>
      </c>
      <c r="BE1155" s="24" t="b">
        <f t="shared" ca="1" si="865"/>
        <v>1</v>
      </c>
      <c r="BF1155" s="23">
        <f t="array" aca="1" ref="BF1155" ca="1">SUM(IF(BD1155,1,0)*IF(ap_start_date&lt;=AO1155,1,0)*IF(ap_end_date&gt;=AO1155,1,0)*ap_amount*(1+ap_escalation/100)^(INT((AP1155-ap_months_since_start)/12))*IF(MOD(AP1155-ap_months_since_start,ap_frequency)=0,1,0))</f>
        <v>943775.16618599673</v>
      </c>
      <c r="BG1155" s="24">
        <f t="shared" ca="1" si="866"/>
        <v>11325301.994231962</v>
      </c>
      <c r="BH1155" s="24">
        <f t="shared" ca="1" si="867"/>
        <v>18.566253407969405</v>
      </c>
      <c r="BI1155">
        <f t="shared" ca="1" si="868"/>
        <v>0</v>
      </c>
      <c r="BJ1155" s="24">
        <f t="shared" ca="1" si="869"/>
        <v>129.96377385578583</v>
      </c>
      <c r="BK1155">
        <f t="shared" ca="1" si="870"/>
        <v>1</v>
      </c>
      <c r="BL1155" s="25">
        <f t="shared" ca="1" si="871"/>
        <v>10.830314487982152</v>
      </c>
      <c r="BM1155" s="32">
        <f t="shared" ca="1" si="850"/>
        <v>691.18141630648836</v>
      </c>
      <c r="BN1155" s="23">
        <f t="shared" ca="1" si="872"/>
        <v>0</v>
      </c>
      <c r="BO1155" s="24">
        <f t="shared" ca="1" si="873"/>
        <v>0</v>
      </c>
      <c r="BP1155" s="25">
        <f t="shared" ca="1" si="874"/>
        <v>0</v>
      </c>
      <c r="BQ1155" s="34">
        <f t="shared" ca="1" si="875"/>
        <v>80567</v>
      </c>
      <c r="BR1155" s="23">
        <f t="shared" ca="1" si="876"/>
        <v>691.18141630648836</v>
      </c>
      <c r="BS1155" s="24">
        <f t="shared" ca="1" si="877"/>
        <v>0</v>
      </c>
      <c r="BT1155" s="24">
        <f t="shared" ca="1" si="882"/>
        <v>0</v>
      </c>
      <c r="BU1155" s="24">
        <f t="shared" ca="1" si="878"/>
        <v>0</v>
      </c>
      <c r="BV1155" s="24">
        <f t="shared" ca="1" si="883"/>
        <v>0</v>
      </c>
      <c r="BW1155" s="24">
        <f t="shared" ca="1" si="879"/>
        <v>-10.830314487982152</v>
      </c>
      <c r="BX1155" s="25">
        <f t="shared" ca="1" si="884"/>
        <v>-133.31181373498049</v>
      </c>
      <c r="BY1155" s="23">
        <f t="shared" ca="1" si="851"/>
        <v>16.22068759086093</v>
      </c>
      <c r="BZ1155" s="24">
        <f t="shared" ca="1" si="852"/>
        <v>0</v>
      </c>
      <c r="CA1155" s="24">
        <f t="shared" ca="1" si="885"/>
        <v>0</v>
      </c>
      <c r="CB1155" s="24">
        <f t="shared" ca="1" si="853"/>
        <v>0</v>
      </c>
      <c r="CC1155" s="24">
        <f t="shared" ca="1" si="886"/>
        <v>0</v>
      </c>
      <c r="CD1155" s="24">
        <f t="shared" ca="1" si="854"/>
        <v>-0.25499855520181186</v>
      </c>
      <c r="CE1155" s="25">
        <f t="shared" ca="1" si="887"/>
        <v>-3.1971336176303247</v>
      </c>
      <c r="CF1155" s="23">
        <f t="shared" ca="1" si="888"/>
        <v>11216404.859672038</v>
      </c>
      <c r="CG1155" s="25">
        <f t="array" aca="1" ref="CG1155" ca="1">SUM(BF1144:BF1155/(1+inflation/100)^(AP1144:AP1155/12))</f>
        <v>267980.53702225396</v>
      </c>
      <c r="CH1155" s="32">
        <f ca="1">IFERROR(IF(MOD(AP1155-ap_months_since_start,12)=0,ap_drawdown/100*(AQ1155+AV1155+BA1155-BC1155),CH1154),0)</f>
        <v>114.1409604423194</v>
      </c>
    </row>
    <row r="1156" spans="40:86" x14ac:dyDescent="0.25">
      <c r="AN1156" s="32">
        <f t="shared" ca="1" si="849"/>
        <v>150.58333333333334</v>
      </c>
      <c r="AO1156" s="53">
        <f t="shared" ca="1" si="880"/>
        <v>80568</v>
      </c>
      <c r="AP1156" s="22">
        <v>1149</v>
      </c>
      <c r="AQ1156" s="32">
        <f t="shared" ca="1" si="881"/>
        <v>691.18141630648836</v>
      </c>
      <c r="AR1156" s="23">
        <f t="array" aca="1" ref="AR1156" ca="1">SUM(IF(lsc_start_date=AO1156,lsc_amount,0))</f>
        <v>0</v>
      </c>
      <c r="AS1156" s="24">
        <f t="shared" ca="1" si="855"/>
        <v>0</v>
      </c>
      <c r="AT1156" s="24">
        <f t="shared" ca="1" si="856"/>
        <v>0</v>
      </c>
      <c r="AU1156" s="24">
        <f t="shared" ca="1" si="857"/>
        <v>0</v>
      </c>
      <c r="AV1156" s="25">
        <f t="shared" ca="1" si="858"/>
        <v>0</v>
      </c>
      <c r="AW1156" s="23">
        <f t="array" aca="1" ref="AW1156" ca="1">SUM(IF(rcs_start_date&lt;=AO1156,1,0)*IF(rcs_end_date&gt;=AO1156,1,0)*rcs_amount*(1+rcs_escalation/100)^(INT((AP1156-rcs_months_since_start)/12))*IF(MOD((AP1156-rcs_months_since_start),rcs_frequency)=0,1,0)*IF(rcs_frequency=13,0,1))+SUM(IF(rcs_start_date=AO1156,rcs_amount,0)*IF(rcs_frequency=13,1,0))</f>
        <v>0</v>
      </c>
      <c r="AX1156" s="24">
        <f t="shared" ca="1" si="859"/>
        <v>0</v>
      </c>
      <c r="AY1156" s="24">
        <f t="shared" ca="1" si="860"/>
        <v>0</v>
      </c>
      <c r="AZ1156" s="24">
        <f t="shared" ca="1" si="861"/>
        <v>0</v>
      </c>
      <c r="BA1156" s="25">
        <f t="shared" ca="1" si="862"/>
        <v>0</v>
      </c>
      <c r="BB1156" s="23">
        <f t="array" aca="1" ref="BB1156" ca="1">SUM(IF(w_start_date&lt;=AO1156,1,0)*IF(w_end_date&gt;=AO1156,1,0)*w_amount*(1+w_escalation/100)^(INT((AP1156-w_months_since_start)/12))*IF(MOD(AP1156-w_months_since_start,w_frequency)=0,1,0)*IF(w_frequency=13,0,1))+SUM(IF(w_start_date=AO1156,w_amount,0)*IF(w_frequency=13,1,0))</f>
        <v>0</v>
      </c>
      <c r="BC1156" s="25">
        <f t="shared" ca="1" si="863"/>
        <v>0</v>
      </c>
      <c r="BD1156" s="24" t="b">
        <f t="shared" ca="1" si="864"/>
        <v>1</v>
      </c>
      <c r="BE1156" s="24" t="b">
        <f t="shared" ca="1" si="865"/>
        <v>1</v>
      </c>
      <c r="BF1156" s="23">
        <f t="array" aca="1" ref="BF1156" ca="1">SUM(IF(BD1156,1,0)*IF(ap_start_date&lt;=AO1156,1,0)*IF(ap_end_date&gt;=AO1156,1,0)*ap_amount*(1+ap_escalation/100)^(INT((AP1156-ap_months_since_start)/12))*IF(MOD(AP1156-ap_months_since_start,ap_frequency)=0,1,0))</f>
        <v>943775.16618599673</v>
      </c>
      <c r="BG1156" s="24">
        <f t="shared" ca="1" si="866"/>
        <v>11325301.994231962</v>
      </c>
      <c r="BH1156" s="24">
        <f t="shared" ca="1" si="867"/>
        <v>18.566253407969405</v>
      </c>
      <c r="BI1156">
        <f t="shared" ca="1" si="868"/>
        <v>0</v>
      </c>
      <c r="BJ1156" s="24">
        <f t="shared" ca="1" si="869"/>
        <v>129.96377385578583</v>
      </c>
      <c r="BK1156">
        <f t="shared" ca="1" si="870"/>
        <v>1</v>
      </c>
      <c r="BL1156" s="25">
        <f t="shared" ca="1" si="871"/>
        <v>10.830314487982152</v>
      </c>
      <c r="BM1156" s="32">
        <f t="shared" ca="1" si="850"/>
        <v>685.25461217780207</v>
      </c>
      <c r="BN1156" s="23">
        <f t="shared" ca="1" si="872"/>
        <v>0</v>
      </c>
      <c r="BO1156" s="24">
        <f t="shared" ca="1" si="873"/>
        <v>0</v>
      </c>
      <c r="BP1156" s="25">
        <f t="shared" ca="1" si="874"/>
        <v>0</v>
      </c>
      <c r="BQ1156" s="34">
        <f t="shared" ca="1" si="875"/>
        <v>80598</v>
      </c>
      <c r="BR1156" s="23">
        <f t="shared" ca="1" si="876"/>
        <v>685.25461217780207</v>
      </c>
      <c r="BS1156" s="24">
        <f t="shared" ca="1" si="877"/>
        <v>0</v>
      </c>
      <c r="BT1156" s="24">
        <f t="shared" ca="1" si="882"/>
        <v>0</v>
      </c>
      <c r="BU1156" s="24">
        <f t="shared" ca="1" si="878"/>
        <v>0</v>
      </c>
      <c r="BV1156" s="24">
        <f t="shared" ca="1" si="883"/>
        <v>0</v>
      </c>
      <c r="BW1156" s="24">
        <f t="shared" ca="1" si="879"/>
        <v>-10.830314487982152</v>
      </c>
      <c r="BX1156" s="25">
        <f t="shared" ca="1" si="884"/>
        <v>-132.19580044191559</v>
      </c>
      <c r="BY1156" s="23">
        <f t="shared" ca="1" si="851"/>
        <v>16.02912181668977</v>
      </c>
      <c r="BZ1156" s="24">
        <f t="shared" ca="1" si="852"/>
        <v>0</v>
      </c>
      <c r="CA1156" s="24">
        <f t="shared" ca="1" si="885"/>
        <v>0</v>
      </c>
      <c r="CB1156" s="24">
        <f t="shared" ca="1" si="853"/>
        <v>0</v>
      </c>
      <c r="CC1156" s="24">
        <f t="shared" ca="1" si="886"/>
        <v>0</v>
      </c>
      <c r="CD1156" s="24">
        <f t="shared" ca="1" si="854"/>
        <v>-0.25416648028400457</v>
      </c>
      <c r="CE1156" s="25">
        <f t="shared" ca="1" si="887"/>
        <v>-3.1597286637413955</v>
      </c>
      <c r="CF1156" s="23">
        <f t="shared" ca="1" si="888"/>
        <v>11252703.904525347</v>
      </c>
      <c r="CG1156" s="25">
        <f t="array" aca="1" ref="CG1156" ca="1">SUM(BF1145:BF1156/(1+inflation/100)^(AP1145:AP1156/12))</f>
        <v>267980.53702225396</v>
      </c>
      <c r="CH1156" s="32">
        <f ca="1">IFERROR(IF(MOD(AP1156-ap_months_since_start,12)=0,ap_drawdown/100*(AQ1156+AV1156+BA1156-BC1156),CH1155),0)</f>
        <v>114.1409604423194</v>
      </c>
    </row>
    <row r="1157" spans="40:86" x14ac:dyDescent="0.25">
      <c r="AN1157" s="32">
        <f t="shared" ca="1" si="849"/>
        <v>150.66666666666666</v>
      </c>
      <c r="AO1157" s="53">
        <f t="shared" ca="1" si="880"/>
        <v>80599</v>
      </c>
      <c r="AP1157" s="22">
        <v>1150</v>
      </c>
      <c r="AQ1157" s="32">
        <f t="shared" ca="1" si="881"/>
        <v>685.25461217780207</v>
      </c>
      <c r="AR1157" s="23">
        <f t="array" aca="1" ref="AR1157" ca="1">SUM(IF(lsc_start_date=AO1157,lsc_amount,0))</f>
        <v>0</v>
      </c>
      <c r="AS1157" s="24">
        <f t="shared" ca="1" si="855"/>
        <v>0</v>
      </c>
      <c r="AT1157" s="24">
        <f t="shared" ca="1" si="856"/>
        <v>0</v>
      </c>
      <c r="AU1157" s="24">
        <f t="shared" ca="1" si="857"/>
        <v>0</v>
      </c>
      <c r="AV1157" s="25">
        <f t="shared" ca="1" si="858"/>
        <v>0</v>
      </c>
      <c r="AW1157" s="23">
        <f t="array" aca="1" ref="AW1157" ca="1">SUM(IF(rcs_start_date&lt;=AO1157,1,0)*IF(rcs_end_date&gt;=AO1157,1,0)*rcs_amount*(1+rcs_escalation/100)^(INT((AP1157-rcs_months_since_start)/12))*IF(MOD((AP1157-rcs_months_since_start),rcs_frequency)=0,1,0)*IF(rcs_frequency=13,0,1))+SUM(IF(rcs_start_date=AO1157,rcs_amount,0)*IF(rcs_frequency=13,1,0))</f>
        <v>0</v>
      </c>
      <c r="AX1157" s="24">
        <f t="shared" ca="1" si="859"/>
        <v>0</v>
      </c>
      <c r="AY1157" s="24">
        <f t="shared" ca="1" si="860"/>
        <v>0</v>
      </c>
      <c r="AZ1157" s="24">
        <f t="shared" ca="1" si="861"/>
        <v>0</v>
      </c>
      <c r="BA1157" s="25">
        <f t="shared" ca="1" si="862"/>
        <v>0</v>
      </c>
      <c r="BB1157" s="23">
        <f t="array" aca="1" ref="BB1157" ca="1">SUM(IF(w_start_date&lt;=AO1157,1,0)*IF(w_end_date&gt;=AO1157,1,0)*w_amount*(1+w_escalation/100)^(INT((AP1157-w_months_since_start)/12))*IF(MOD(AP1157-w_months_since_start,w_frequency)=0,1,0)*IF(w_frequency=13,0,1))+SUM(IF(w_start_date=AO1157,w_amount,0)*IF(w_frequency=13,1,0))</f>
        <v>0</v>
      </c>
      <c r="BC1157" s="25">
        <f t="shared" ca="1" si="863"/>
        <v>0</v>
      </c>
      <c r="BD1157" s="24" t="b">
        <f t="shared" ca="1" si="864"/>
        <v>1</v>
      </c>
      <c r="BE1157" s="24" t="b">
        <f t="shared" ca="1" si="865"/>
        <v>1</v>
      </c>
      <c r="BF1157" s="23">
        <f t="array" aca="1" ref="BF1157" ca="1">SUM(IF(BD1157,1,0)*IF(ap_start_date&lt;=AO1157,1,0)*IF(ap_end_date&gt;=AO1157,1,0)*ap_amount*(1+ap_escalation/100)^(INT((AP1157-ap_months_since_start)/12))*IF(MOD(AP1157-ap_months_since_start,ap_frequency)=0,1,0))</f>
        <v>943775.16618599673</v>
      </c>
      <c r="BG1157" s="24">
        <f t="shared" ca="1" si="866"/>
        <v>11325301.994231962</v>
      </c>
      <c r="BH1157" s="24">
        <f t="shared" ca="1" si="867"/>
        <v>18.566253407969405</v>
      </c>
      <c r="BI1157">
        <f t="shared" ca="1" si="868"/>
        <v>0</v>
      </c>
      <c r="BJ1157" s="24">
        <f t="shared" ca="1" si="869"/>
        <v>129.96377385578583</v>
      </c>
      <c r="BK1157">
        <f t="shared" ca="1" si="870"/>
        <v>1</v>
      </c>
      <c r="BL1157" s="25">
        <f t="shared" ca="1" si="871"/>
        <v>10.830314487982152</v>
      </c>
      <c r="BM1157" s="32">
        <f t="shared" ca="1" si="850"/>
        <v>679.28509165552884</v>
      </c>
      <c r="BN1157" s="23">
        <f t="shared" ca="1" si="872"/>
        <v>0</v>
      </c>
      <c r="BO1157" s="24">
        <f t="shared" ca="1" si="873"/>
        <v>0</v>
      </c>
      <c r="BP1157" s="25">
        <f t="shared" ca="1" si="874"/>
        <v>0</v>
      </c>
      <c r="BQ1157" s="34">
        <f t="shared" ca="1" si="875"/>
        <v>80628</v>
      </c>
      <c r="BR1157" s="23">
        <f t="shared" ca="1" si="876"/>
        <v>679.28509165552884</v>
      </c>
      <c r="BS1157" s="24">
        <f t="shared" ca="1" si="877"/>
        <v>0</v>
      </c>
      <c r="BT1157" s="24">
        <f t="shared" ca="1" si="882"/>
        <v>0</v>
      </c>
      <c r="BU1157" s="24">
        <f t="shared" ca="1" si="878"/>
        <v>0</v>
      </c>
      <c r="BV1157" s="24">
        <f t="shared" ca="1" si="883"/>
        <v>0</v>
      </c>
      <c r="BW1157" s="24">
        <f t="shared" ca="1" si="879"/>
        <v>-10.830314487982152</v>
      </c>
      <c r="BX1157" s="25">
        <f t="shared" ca="1" si="884"/>
        <v>-131.0797871488507</v>
      </c>
      <c r="BY1157" s="23">
        <f t="shared" ca="1" si="851"/>
        <v>15.837637572908283</v>
      </c>
      <c r="BZ1157" s="24">
        <f t="shared" ca="1" si="852"/>
        <v>0</v>
      </c>
      <c r="CA1157" s="24">
        <f t="shared" ca="1" si="885"/>
        <v>0</v>
      </c>
      <c r="CB1157" s="24">
        <f t="shared" ca="1" si="853"/>
        <v>0</v>
      </c>
      <c r="CC1157" s="24">
        <f t="shared" ca="1" si="886"/>
        <v>0</v>
      </c>
      <c r="CD1157" s="24">
        <f t="shared" ca="1" si="854"/>
        <v>-0.25333712047439988</v>
      </c>
      <c r="CE1157" s="25">
        <f t="shared" ca="1" si="887"/>
        <v>-3.1224457643633561</v>
      </c>
      <c r="CF1157" s="23">
        <f t="shared" ca="1" si="888"/>
        <v>11289002.949378654</v>
      </c>
      <c r="CG1157" s="25">
        <f t="array" aca="1" ref="CG1157" ca="1">SUM(BF1146:BF1157/(1+inflation/100)^(AP1146:AP1157/12))</f>
        <v>267980.53702225396</v>
      </c>
      <c r="CH1157" s="32">
        <f ca="1">IFERROR(IF(MOD(AP1157-ap_months_since_start,12)=0,ap_drawdown/100*(AQ1157+AV1157+BA1157-BC1157),CH1156),0)</f>
        <v>114.1409604423194</v>
      </c>
    </row>
    <row r="1158" spans="40:86" x14ac:dyDescent="0.25">
      <c r="AN1158" s="32">
        <f t="shared" ca="1" si="849"/>
        <v>150.75</v>
      </c>
      <c r="AO1158" s="53">
        <f t="shared" ca="1" si="880"/>
        <v>80629</v>
      </c>
      <c r="AP1158" s="22">
        <v>1151</v>
      </c>
      <c r="AQ1158" s="32">
        <f t="shared" ca="1" si="881"/>
        <v>679.28509165552884</v>
      </c>
      <c r="AR1158" s="23">
        <f t="array" aca="1" ref="AR1158" ca="1">SUM(IF(lsc_start_date=AO1158,lsc_amount,0))</f>
        <v>0</v>
      </c>
      <c r="AS1158" s="24">
        <f t="shared" ca="1" si="855"/>
        <v>0</v>
      </c>
      <c r="AT1158" s="24">
        <f t="shared" ca="1" si="856"/>
        <v>0</v>
      </c>
      <c r="AU1158" s="24">
        <f t="shared" ca="1" si="857"/>
        <v>0</v>
      </c>
      <c r="AV1158" s="25">
        <f t="shared" ca="1" si="858"/>
        <v>0</v>
      </c>
      <c r="AW1158" s="23">
        <f t="array" aca="1" ref="AW1158" ca="1">SUM(IF(rcs_start_date&lt;=AO1158,1,0)*IF(rcs_end_date&gt;=AO1158,1,0)*rcs_amount*(1+rcs_escalation/100)^(INT((AP1158-rcs_months_since_start)/12))*IF(MOD((AP1158-rcs_months_since_start),rcs_frequency)=0,1,0)*IF(rcs_frequency=13,0,1))+SUM(IF(rcs_start_date=AO1158,rcs_amount,0)*IF(rcs_frequency=13,1,0))</f>
        <v>0</v>
      </c>
      <c r="AX1158" s="24">
        <f t="shared" ca="1" si="859"/>
        <v>0</v>
      </c>
      <c r="AY1158" s="24">
        <f t="shared" ca="1" si="860"/>
        <v>0</v>
      </c>
      <c r="AZ1158" s="24">
        <f t="shared" ca="1" si="861"/>
        <v>0</v>
      </c>
      <c r="BA1158" s="25">
        <f t="shared" ca="1" si="862"/>
        <v>0</v>
      </c>
      <c r="BB1158" s="23">
        <f t="array" aca="1" ref="BB1158" ca="1">SUM(IF(w_start_date&lt;=AO1158,1,0)*IF(w_end_date&gt;=AO1158,1,0)*w_amount*(1+w_escalation/100)^(INT((AP1158-w_months_since_start)/12))*IF(MOD(AP1158-w_months_since_start,w_frequency)=0,1,0)*IF(w_frequency=13,0,1))+SUM(IF(w_start_date=AO1158,w_amount,0)*IF(w_frequency=13,1,0))</f>
        <v>0</v>
      </c>
      <c r="BC1158" s="25">
        <f t="shared" ca="1" si="863"/>
        <v>0</v>
      </c>
      <c r="BD1158" s="24" t="b">
        <f t="shared" ca="1" si="864"/>
        <v>1</v>
      </c>
      <c r="BE1158" s="24" t="b">
        <f t="shared" ca="1" si="865"/>
        <v>1</v>
      </c>
      <c r="BF1158" s="23">
        <f t="array" aca="1" ref="BF1158" ca="1">SUM(IF(BD1158,1,0)*IF(ap_start_date&lt;=AO1158,1,0)*IF(ap_end_date&gt;=AO1158,1,0)*ap_amount*(1+ap_escalation/100)^(INT((AP1158-ap_months_since_start)/12))*IF(MOD(AP1158-ap_months_since_start,ap_frequency)=0,1,0))</f>
        <v>943775.16618599673</v>
      </c>
      <c r="BG1158" s="24">
        <f t="shared" ca="1" si="866"/>
        <v>11325301.994231962</v>
      </c>
      <c r="BH1158" s="24">
        <f t="shared" ca="1" si="867"/>
        <v>18.566253407969405</v>
      </c>
      <c r="BI1158">
        <f t="shared" ca="1" si="868"/>
        <v>0</v>
      </c>
      <c r="BJ1158" s="24">
        <f t="shared" ca="1" si="869"/>
        <v>129.96377385578583</v>
      </c>
      <c r="BK1158">
        <f t="shared" ca="1" si="870"/>
        <v>1</v>
      </c>
      <c r="BL1158" s="25">
        <f t="shared" ca="1" si="871"/>
        <v>10.830314487982152</v>
      </c>
      <c r="BM1158" s="32">
        <f t="shared" ca="1" si="850"/>
        <v>673.27254686880929</v>
      </c>
      <c r="BN1158" s="23">
        <f t="shared" ca="1" si="872"/>
        <v>0</v>
      </c>
      <c r="BO1158" s="24">
        <f t="shared" ca="1" si="873"/>
        <v>0</v>
      </c>
      <c r="BP1158" s="25">
        <f t="shared" ca="1" si="874"/>
        <v>0</v>
      </c>
      <c r="BQ1158" s="34">
        <f t="shared" ca="1" si="875"/>
        <v>80659</v>
      </c>
      <c r="BR1158" s="23">
        <f t="shared" ca="1" si="876"/>
        <v>673.27254686880929</v>
      </c>
      <c r="BS1158" s="24">
        <f t="shared" ca="1" si="877"/>
        <v>0</v>
      </c>
      <c r="BT1158" s="24">
        <f t="shared" ca="1" si="882"/>
        <v>0</v>
      </c>
      <c r="BU1158" s="24">
        <f t="shared" ca="1" si="878"/>
        <v>0</v>
      </c>
      <c r="BV1158" s="24">
        <f t="shared" ca="1" si="883"/>
        <v>0</v>
      </c>
      <c r="BW1158" s="24">
        <f t="shared" ca="1" si="879"/>
        <v>-10.830314487982152</v>
      </c>
      <c r="BX1158" s="25">
        <f t="shared" ca="1" si="884"/>
        <v>-129.96377385578583</v>
      </c>
      <c r="BY1158" s="23">
        <f t="shared" ca="1" si="851"/>
        <v>15.646232462317402</v>
      </c>
      <c r="BZ1158" s="24">
        <f t="shared" ca="1" si="852"/>
        <v>0</v>
      </c>
      <c r="CA1158" s="24">
        <f t="shared" ca="1" si="885"/>
        <v>0</v>
      </c>
      <c r="CB1158" s="24">
        <f t="shared" ca="1" si="853"/>
        <v>0</v>
      </c>
      <c r="CC1158" s="24">
        <f t="shared" ca="1" si="886"/>
        <v>0</v>
      </c>
      <c r="CD1158" s="24">
        <f t="shared" ca="1" si="854"/>
        <v>-0.25251046691344381</v>
      </c>
      <c r="CE1158" s="25">
        <f t="shared" ca="1" si="887"/>
        <v>-3.0852845212253337</v>
      </c>
      <c r="CF1158" s="23">
        <f t="shared" ca="1" si="888"/>
        <v>11325301.994231962</v>
      </c>
      <c r="CG1158" s="25">
        <f t="array" aca="1" ref="CG1158" ca="1">SUM(BF1147:BF1158/(1+inflation/100)^(AP1147:AP1158/12))</f>
        <v>267980.53702225396</v>
      </c>
      <c r="CH1158" s="32">
        <f ca="1">IFERROR(IF(MOD(AP1158-ap_months_since_start,12)=0,ap_drawdown/100*(AQ1158+AV1158+BA1158-BC1158),CH1157),0)</f>
        <v>114.1409604423194</v>
      </c>
    </row>
    <row r="1159" spans="40:86" x14ac:dyDescent="0.25">
      <c r="AN1159" s="32">
        <f t="shared" ca="1" si="849"/>
        <v>150.83333333333334</v>
      </c>
      <c r="AO1159" s="53">
        <f t="shared" ca="1" si="880"/>
        <v>80660</v>
      </c>
      <c r="AP1159" s="22">
        <v>1152</v>
      </c>
      <c r="AQ1159" s="32">
        <f t="shared" ca="1" si="881"/>
        <v>673.27254686880929</v>
      </c>
      <c r="AR1159" s="23">
        <f t="array" aca="1" ref="AR1159" ca="1">SUM(IF(lsc_start_date=AO1159,lsc_amount,0))</f>
        <v>0</v>
      </c>
      <c r="AS1159" s="24">
        <f t="shared" ca="1" si="855"/>
        <v>0</v>
      </c>
      <c r="AT1159" s="24">
        <f t="shared" ca="1" si="856"/>
        <v>0</v>
      </c>
      <c r="AU1159" s="24">
        <f t="shared" ca="1" si="857"/>
        <v>0</v>
      </c>
      <c r="AV1159" s="25">
        <f t="shared" ca="1" si="858"/>
        <v>0</v>
      </c>
      <c r="AW1159" s="23">
        <f t="array" aca="1" ref="AW1159" ca="1">SUM(IF(rcs_start_date&lt;=AO1159,1,0)*IF(rcs_end_date&gt;=AO1159,1,0)*rcs_amount*(1+rcs_escalation/100)^(INT((AP1159-rcs_months_since_start)/12))*IF(MOD((AP1159-rcs_months_since_start),rcs_frequency)=0,1,0)*IF(rcs_frequency=13,0,1))+SUM(IF(rcs_start_date=AO1159,rcs_amount,0)*IF(rcs_frequency=13,1,0))</f>
        <v>0</v>
      </c>
      <c r="AX1159" s="24">
        <f t="shared" ca="1" si="859"/>
        <v>0</v>
      </c>
      <c r="AY1159" s="24">
        <f t="shared" ca="1" si="860"/>
        <v>0</v>
      </c>
      <c r="AZ1159" s="24">
        <f t="shared" ca="1" si="861"/>
        <v>0</v>
      </c>
      <c r="BA1159" s="25">
        <f t="shared" ca="1" si="862"/>
        <v>0</v>
      </c>
      <c r="BB1159" s="23">
        <f t="array" aca="1" ref="BB1159" ca="1">SUM(IF(w_start_date&lt;=AO1159,1,0)*IF(w_end_date&gt;=AO1159,1,0)*w_amount*(1+w_escalation/100)^(INT((AP1159-w_months_since_start)/12))*IF(MOD(AP1159-w_months_since_start,w_frequency)=0,1,0)*IF(w_frequency=13,0,1))+SUM(IF(w_start_date=AO1159,w_amount,0)*IF(w_frequency=13,1,0))</f>
        <v>0</v>
      </c>
      <c r="BC1159" s="25">
        <f t="shared" ca="1" si="863"/>
        <v>0</v>
      </c>
      <c r="BD1159" s="24" t="b">
        <f t="shared" ca="1" si="864"/>
        <v>1</v>
      </c>
      <c r="BE1159" s="24" t="b">
        <f t="shared" ca="1" si="865"/>
        <v>1</v>
      </c>
      <c r="BF1159" s="23">
        <f t="array" aca="1" ref="BF1159" ca="1">SUM(IF(BD1159,1,0)*IF(ap_start_date&lt;=AO1159,1,0)*IF(ap_end_date&gt;=AO1159,1,0)*ap_amount*(1+ap_escalation/100)^(INT((AP1159-ap_months_since_start)/12))*IF(MOD(AP1159-ap_months_since_start,ap_frequency)=0,1,0))</f>
        <v>981526.17283343687</v>
      </c>
      <c r="BG1159" s="24">
        <f t="shared" ca="1" si="866"/>
        <v>11778314.074001243</v>
      </c>
      <c r="BH1159" s="24">
        <f t="shared" ca="1" si="867"/>
        <v>16.831813671720234</v>
      </c>
      <c r="BI1159">
        <f t="shared" ca="1" si="868"/>
        <v>0</v>
      </c>
      <c r="BJ1159" s="24">
        <f t="shared" ca="1" si="869"/>
        <v>117.82269570204161</v>
      </c>
      <c r="BK1159">
        <f t="shared" ca="1" si="870"/>
        <v>1</v>
      </c>
      <c r="BL1159" s="25">
        <f t="shared" ca="1" si="871"/>
        <v>9.8185579751701333</v>
      </c>
      <c r="BM1159" s="32">
        <f t="shared" ca="1" si="850"/>
        <v>668.23571629697619</v>
      </c>
      <c r="BN1159" s="23">
        <f t="shared" ca="1" si="872"/>
        <v>0</v>
      </c>
      <c r="BO1159" s="24">
        <f t="shared" ca="1" si="873"/>
        <v>0</v>
      </c>
      <c r="BP1159" s="25">
        <f t="shared" ca="1" si="874"/>
        <v>0</v>
      </c>
      <c r="BQ1159" s="34">
        <f t="shared" ca="1" si="875"/>
        <v>80689</v>
      </c>
      <c r="BR1159" s="23">
        <f t="shared" ca="1" si="876"/>
        <v>668.23571629697619</v>
      </c>
      <c r="BS1159" s="24">
        <f t="shared" ca="1" si="877"/>
        <v>0</v>
      </c>
      <c r="BT1159" s="24">
        <f t="shared" ca="1" si="882"/>
        <v>0</v>
      </c>
      <c r="BU1159" s="24">
        <f t="shared" ca="1" si="878"/>
        <v>0</v>
      </c>
      <c r="BV1159" s="24">
        <f t="shared" ca="1" si="883"/>
        <v>0</v>
      </c>
      <c r="BW1159" s="24">
        <f t="shared" ca="1" si="879"/>
        <v>-9.8185579751701333</v>
      </c>
      <c r="BX1159" s="25">
        <f t="shared" ca="1" si="884"/>
        <v>-128.95201734297379</v>
      </c>
      <c r="BY1159" s="23">
        <f t="shared" ca="1" si="851"/>
        <v>15.478508560300469</v>
      </c>
      <c r="BZ1159" s="24">
        <f t="shared" ca="1" si="852"/>
        <v>0</v>
      </c>
      <c r="CA1159" s="24">
        <f t="shared" ca="1" si="885"/>
        <v>0</v>
      </c>
      <c r="CB1159" s="24">
        <f t="shared" ca="1" si="853"/>
        <v>0</v>
      </c>
      <c r="CC1159" s="24">
        <f t="shared" ca="1" si="886"/>
        <v>0</v>
      </c>
      <c r="CD1159" s="24">
        <f t="shared" ca="1" si="854"/>
        <v>-0.2281742234087954</v>
      </c>
      <c r="CE1159" s="25">
        <f t="shared" ca="1" si="887"/>
        <v>-3.0517047734328178</v>
      </c>
      <c r="CF1159" s="23">
        <f t="shared" ca="1" si="888"/>
        <v>11363053.000879401</v>
      </c>
      <c r="CG1159" s="25">
        <f t="array" aca="1" ref="CG1159" ca="1">SUM(BF1148:BF1159/(1+inflation/100)^(AP1148:AP1159/12))</f>
        <v>267980.53702225396</v>
      </c>
      <c r="CH1159" s="32">
        <f ca="1">IFERROR(IF(MOD(AP1159-ap_months_since_start,12)=0,ap_drawdown/100*(AQ1159+AV1159+BA1159-BC1159),CH1158),0)</f>
        <v>103.47803276517014</v>
      </c>
    </row>
    <row r="1160" spans="40:86" x14ac:dyDescent="0.25">
      <c r="AN1160" s="32">
        <f t="shared" ref="AN1160:AN1219" ca="1" si="889">IF(AND(Date_of_birth&lt;&gt;"",Date_of_birth&lt;&gt;"Please enter date of birth"),YEARFRAC(Date_of_birth,AO1160),AP1160/12)</f>
        <v>150.91666666666666</v>
      </c>
      <c r="AO1160" s="53">
        <f t="shared" ca="1" si="880"/>
        <v>80690</v>
      </c>
      <c r="AP1160" s="22">
        <v>1153</v>
      </c>
      <c r="AQ1160" s="32">
        <f t="shared" ca="1" si="881"/>
        <v>668.23571629697619</v>
      </c>
      <c r="AR1160" s="23">
        <f t="array" aca="1" ref="AR1160" ca="1">SUM(IF(lsc_start_date=AO1160,lsc_amount,0))</f>
        <v>0</v>
      </c>
      <c r="AS1160" s="24">
        <f t="shared" ca="1" si="855"/>
        <v>0</v>
      </c>
      <c r="AT1160" s="24">
        <f t="shared" ca="1" si="856"/>
        <v>0</v>
      </c>
      <c r="AU1160" s="24">
        <f t="shared" ca="1" si="857"/>
        <v>0</v>
      </c>
      <c r="AV1160" s="25">
        <f t="shared" ca="1" si="858"/>
        <v>0</v>
      </c>
      <c r="AW1160" s="23">
        <f t="array" aca="1" ref="AW1160" ca="1">SUM(IF(rcs_start_date&lt;=AO1160,1,0)*IF(rcs_end_date&gt;=AO1160,1,0)*rcs_amount*(1+rcs_escalation/100)^(INT((AP1160-rcs_months_since_start)/12))*IF(MOD((AP1160-rcs_months_since_start),rcs_frequency)=0,1,0)*IF(rcs_frequency=13,0,1))+SUM(IF(rcs_start_date=AO1160,rcs_amount,0)*IF(rcs_frequency=13,1,0))</f>
        <v>0</v>
      </c>
      <c r="AX1160" s="24">
        <f t="shared" ca="1" si="859"/>
        <v>0</v>
      </c>
      <c r="AY1160" s="24">
        <f t="shared" ca="1" si="860"/>
        <v>0</v>
      </c>
      <c r="AZ1160" s="24">
        <f t="shared" ca="1" si="861"/>
        <v>0</v>
      </c>
      <c r="BA1160" s="25">
        <f t="shared" ca="1" si="862"/>
        <v>0</v>
      </c>
      <c r="BB1160" s="23">
        <f t="array" aca="1" ref="BB1160" ca="1">SUM(IF(w_start_date&lt;=AO1160,1,0)*IF(w_end_date&gt;=AO1160,1,0)*w_amount*(1+w_escalation/100)^(INT((AP1160-w_months_since_start)/12))*IF(MOD(AP1160-w_months_since_start,w_frequency)=0,1,0)*IF(w_frequency=13,0,1))+SUM(IF(w_start_date=AO1160,w_amount,0)*IF(w_frequency=13,1,0))</f>
        <v>0</v>
      </c>
      <c r="BC1160" s="25">
        <f t="shared" ca="1" si="863"/>
        <v>0</v>
      </c>
      <c r="BD1160" s="24" t="b">
        <f t="shared" ca="1" si="864"/>
        <v>1</v>
      </c>
      <c r="BE1160" s="24" t="b">
        <f t="shared" ca="1" si="865"/>
        <v>1</v>
      </c>
      <c r="BF1160" s="23">
        <f t="array" aca="1" ref="BF1160" ca="1">SUM(IF(BD1160,1,0)*IF(ap_start_date&lt;=AO1160,1,0)*IF(ap_end_date&gt;=AO1160,1,0)*ap_amount*(1+ap_escalation/100)^(INT((AP1160-ap_months_since_start)/12))*IF(MOD(AP1160-ap_months_since_start,ap_frequency)=0,1,0))</f>
        <v>981526.17283343687</v>
      </c>
      <c r="BG1160" s="24">
        <f t="shared" ca="1" si="866"/>
        <v>11778314.074001243</v>
      </c>
      <c r="BH1160" s="24">
        <f t="shared" ca="1" si="867"/>
        <v>16.831813671720234</v>
      </c>
      <c r="BI1160">
        <f t="shared" ca="1" si="868"/>
        <v>0</v>
      </c>
      <c r="BJ1160" s="24">
        <f t="shared" ca="1" si="869"/>
        <v>117.82269570204161</v>
      </c>
      <c r="BK1160">
        <f t="shared" ca="1" si="870"/>
        <v>1</v>
      </c>
      <c r="BL1160" s="25">
        <f t="shared" ca="1" si="871"/>
        <v>9.8185579751701333</v>
      </c>
      <c r="BM1160" s="32">
        <f t="shared" ref="BM1160:BM1219" ca="1" si="890">(AQ1160+AV1160+BA1160-BC1160-BL1160)*(1+NomRetn/100)^(1/12)</f>
        <v>663.16258365872329</v>
      </c>
      <c r="BN1160" s="23">
        <f t="shared" ca="1" si="872"/>
        <v>0</v>
      </c>
      <c r="BO1160" s="24">
        <f t="shared" ca="1" si="873"/>
        <v>0</v>
      </c>
      <c r="BP1160" s="25">
        <f t="shared" ca="1" si="874"/>
        <v>0</v>
      </c>
      <c r="BQ1160" s="34">
        <f t="shared" ca="1" si="875"/>
        <v>80720</v>
      </c>
      <c r="BR1160" s="23">
        <f t="shared" ca="1" si="876"/>
        <v>663.16258365872329</v>
      </c>
      <c r="BS1160" s="24">
        <f t="shared" ca="1" si="877"/>
        <v>0</v>
      </c>
      <c r="BT1160" s="24">
        <f t="shared" ca="1" si="882"/>
        <v>0</v>
      </c>
      <c r="BU1160" s="24">
        <f t="shared" ca="1" si="878"/>
        <v>0</v>
      </c>
      <c r="BV1160" s="24">
        <f t="shared" ca="1" si="883"/>
        <v>0</v>
      </c>
      <c r="BW1160" s="24">
        <f t="shared" ca="1" si="879"/>
        <v>-9.8185579751701333</v>
      </c>
      <c r="BX1160" s="25">
        <f t="shared" ca="1" si="884"/>
        <v>-127.94026083016179</v>
      </c>
      <c r="BY1160" s="23">
        <f t="shared" ref="BY1160:BY1219" ca="1" si="891">BR1160*(1+inflation/100)^(-$AP1160/12)</f>
        <v>15.310874519885541</v>
      </c>
      <c r="BZ1160" s="24">
        <f t="shared" ref="BZ1160:BZ1219" ca="1" si="892">BS1160*(1+inflation/100)^(-(AP1160-1)/12)</f>
        <v>0</v>
      </c>
      <c r="CA1160" s="24">
        <f t="shared" ca="1" si="885"/>
        <v>0</v>
      </c>
      <c r="CB1160" s="24">
        <f t="shared" ref="CB1160:CB1219" ca="1" si="893">BU1160*(1+inflation/100)^(-($AP1160-1)/12)</f>
        <v>0</v>
      </c>
      <c r="CC1160" s="24">
        <f t="shared" ca="1" si="886"/>
        <v>0</v>
      </c>
      <c r="CD1160" s="24">
        <f t="shared" ref="CD1160:CD1219" ca="1" si="894">BW1160*(1+inflation/100)^(-($AP1160-1)/12)</f>
        <v>-0.22742967782484727</v>
      </c>
      <c r="CE1160" s="25">
        <f t="shared" ca="1" si="887"/>
        <v>-3.0182345982842032</v>
      </c>
      <c r="CF1160" s="23">
        <f t="shared" ca="1" si="888"/>
        <v>11400804.007526841</v>
      </c>
      <c r="CG1160" s="25">
        <f t="array" aca="1" ref="CG1160" ca="1">SUM(BF1149:BF1160/(1+inflation/100)^(AP1149:AP1160/12))</f>
        <v>267980.53702225396</v>
      </c>
      <c r="CH1160" s="32">
        <f ca="1">IFERROR(IF(MOD(AP1160-ap_months_since_start,12)=0,ap_drawdown/100*(AQ1160+AV1160+BA1160-BC1160),CH1159),0)</f>
        <v>103.47803276517014</v>
      </c>
    </row>
    <row r="1161" spans="40:86" x14ac:dyDescent="0.25">
      <c r="AN1161" s="32">
        <f t="shared" ca="1" si="889"/>
        <v>151</v>
      </c>
      <c r="AO1161" s="53">
        <f t="shared" ca="1" si="880"/>
        <v>80721</v>
      </c>
      <c r="AP1161" s="22">
        <v>1154</v>
      </c>
      <c r="AQ1161" s="32">
        <f t="shared" ca="1" si="881"/>
        <v>663.16258365872329</v>
      </c>
      <c r="AR1161" s="23">
        <f t="array" aca="1" ref="AR1161" ca="1">SUM(IF(lsc_start_date=AO1161,lsc_amount,0))</f>
        <v>0</v>
      </c>
      <c r="AS1161" s="24">
        <f t="shared" ref="AS1161:AS1219" ca="1" si="895">AR1161*$D$34/100</f>
        <v>0</v>
      </c>
      <c r="AT1161" s="24">
        <f t="shared" ref="AT1161:AT1219" ca="1" si="896">AR1161*$D$33/100</f>
        <v>0</v>
      </c>
      <c r="AU1161" s="24">
        <f t="shared" ref="AU1161:AU1219" ca="1" si="897">AR1161*$D$35/100</f>
        <v>0</v>
      </c>
      <c r="AV1161" s="25">
        <f t="shared" ref="AV1161:AV1219" ca="1" si="898">AR1161-AS1161-AT1161-AU1161</f>
        <v>0</v>
      </c>
      <c r="AW1161" s="23">
        <f t="array" aca="1" ref="AW1161" ca="1">SUM(IF(rcs_start_date&lt;=AO1161,1,0)*IF(rcs_end_date&gt;=AO1161,1,0)*rcs_amount*(1+rcs_escalation/100)^(INT((AP1161-rcs_months_since_start)/12))*IF(MOD((AP1161-rcs_months_since_start),rcs_frequency)=0,1,0)*IF(rcs_frequency=13,0,1))+SUM(IF(rcs_start_date=AO1161,rcs_amount,0)*IF(rcs_frequency=13,1,0))</f>
        <v>0</v>
      </c>
      <c r="AX1161" s="24">
        <f t="shared" ref="AX1161:AX1219" ca="1" si="899">AW1161*$D$34/100</f>
        <v>0</v>
      </c>
      <c r="AY1161" s="24">
        <f t="shared" ref="AY1161:AY1219" ca="1" si="900">AW1161*$D$33/100</f>
        <v>0</v>
      </c>
      <c r="AZ1161" s="24">
        <f t="shared" ref="AZ1161:AZ1219" ca="1" si="901">AW1161*$D$35/100</f>
        <v>0</v>
      </c>
      <c r="BA1161" s="25">
        <f t="shared" ref="BA1161:BA1219" ca="1" si="902">AW1161-AX1161-AY1161-AZ1161</f>
        <v>0</v>
      </c>
      <c r="BB1161" s="23">
        <f t="array" aca="1" ref="BB1161" ca="1">SUM(IF(w_start_date&lt;=AO1161,1,0)*IF(w_end_date&gt;=AO1161,1,0)*w_amount*(1+w_escalation/100)^(INT((AP1161-w_months_since_start)/12))*IF(MOD(AP1161-w_months_since_start,w_frequency)=0,1,0)*IF(w_frequency=13,0,1))+SUM(IF(w_start_date=AO1161,w_amount,0)*IF(w_frequency=13,1,0))</f>
        <v>0</v>
      </c>
      <c r="BC1161" s="25">
        <f t="shared" ref="BC1161:BC1219" ca="1" si="903">IF(BB1161&gt;AQ1161+AV1161+BA1161,AQ1161+AV1161+BA1161,BB1161)</f>
        <v>0</v>
      </c>
      <c r="BD1161" s="24" t="b">
        <f t="shared" ref="BD1161:BD1219" ca="1" si="904">AND($DV$11&lt;=AO1161,$DV$11&lt;&gt;0)</f>
        <v>1</v>
      </c>
      <c r="BE1161" s="24" t="b">
        <f t="shared" ref="BE1161:BE1219" ca="1" si="905">$DW$11&lt;&gt;""</f>
        <v>1</v>
      </c>
      <c r="BF1161" s="23">
        <f t="array" aca="1" ref="BF1161" ca="1">SUM(IF(BD1161,1,0)*IF(ap_start_date&lt;=AO1161,1,0)*IF(ap_end_date&gt;=AO1161,1,0)*ap_amount*(1+ap_escalation/100)^(INT((AP1161-ap_months_since_start)/12))*IF(MOD(AP1161-ap_months_since_start,ap_frequency)=0,1,0))</f>
        <v>981526.17283343687</v>
      </c>
      <c r="BG1161" s="24">
        <f t="shared" ref="BG1161:BG1219" ca="1" si="906">IF(MOD(YEAR(AO1161)*12+MONTH(AO1161)-YEAR(Earliest_annuity_payment)*12-MONTH(Earliest_annuity_payment),12)=0,SUM(BF1161:BF1172),BG1160)</f>
        <v>11778314.074001243</v>
      </c>
      <c r="BH1161" s="24">
        <f t="shared" ref="BH1161:BH1219" ca="1" si="907">IF(AO1161&gt;=Earliest_annuity_payment,IF(MOD(YEAR(AO1161)*12+MONTH(AO1161)-YEAR(Earliest_annuity_payment)*12-MONTH(Earliest_annuity_payment),12)=0,(AQ1161+AV1161+BA1161-BC1161)*Annuity_min,BH1160),0)</f>
        <v>16.831813671720234</v>
      </c>
      <c r="BI1161">
        <f t="shared" ref="BI1161:BI1219" ca="1" si="908">IF(AND(BH1161&gt;BG1161,BD1161),1,0)</f>
        <v>0</v>
      </c>
      <c r="BJ1161" s="24">
        <f t="shared" ref="BJ1161:BJ1219" ca="1" si="909">IF(AO1161&gt;=Earliest_annuity_payment,IF(MOD(YEAR(AO1161)*12+MONTH(AO1161)-YEAR(Earliest_annuity_payment)*12-MONTH(Earliest_annuity_payment),12)=0,(AQ1161+AV1161+BA1161-BC1161)*Annuity_cap,BJ1160),0)</f>
        <v>117.82269570204161</v>
      </c>
      <c r="BK1161">
        <f t="shared" ref="BK1161:BK1219" ca="1" si="910">IF(BJ1161&lt;BG1161,1,0)</f>
        <v>1</v>
      </c>
      <c r="BL1161" s="25">
        <f t="shared" ref="BL1161:BL1219" ca="1" si="911">IF(BJ1161&lt;BG1161,BF1161/BG1161*BJ1161,IF(AND(BH1161&gt;BG1161,BG1161&lt;&gt;0),BF1161/BG1161*BH1161,BF1161))</f>
        <v>9.8185579751701333</v>
      </c>
      <c r="BM1161" s="32">
        <f t="shared" ca="1" si="890"/>
        <v>658.05288731332087</v>
      </c>
      <c r="BN1161" s="23">
        <f t="shared" ref="BN1161:BN1219" ca="1" si="912">BM1161*$E$34/1200</f>
        <v>0</v>
      </c>
      <c r="BO1161" s="24">
        <f t="shared" ref="BO1161:BO1219" ca="1" si="913">BM1161*$E$33/1200</f>
        <v>0</v>
      </c>
      <c r="BP1161" s="25">
        <f t="shared" ref="BP1161:BP1219" ca="1" si="914">BM1161*$E$35/1200</f>
        <v>0</v>
      </c>
      <c r="BQ1161" s="34">
        <f t="shared" ref="BQ1161:BQ1218" ca="1" si="915">EOMONTH(AO1161,0)</f>
        <v>80751</v>
      </c>
      <c r="BR1161" s="23">
        <f t="shared" ref="BR1161:BR1219" ca="1" si="916">BM1161-BN1161-BO1161-BP1161</f>
        <v>658.05288731332087</v>
      </c>
      <c r="BS1161" s="24">
        <f t="shared" ref="BS1161:BS1219" ca="1" si="917">AV1161+BA1161</f>
        <v>0</v>
      </c>
      <c r="BT1161" s="24">
        <f t="shared" ca="1" si="882"/>
        <v>0</v>
      </c>
      <c r="BU1161" s="24">
        <f t="shared" ref="BU1161:BU1219" ca="1" si="918">-BC1161</f>
        <v>0</v>
      </c>
      <c r="BV1161" s="24">
        <f t="shared" ca="1" si="883"/>
        <v>0</v>
      </c>
      <c r="BW1161" s="24">
        <f t="shared" ref="BW1161:BW1219" ca="1" si="919">-BL1161</f>
        <v>-9.8185579751701333</v>
      </c>
      <c r="BX1161" s="25">
        <f t="shared" ca="1" si="884"/>
        <v>-126.92850431734978</v>
      </c>
      <c r="BY1161" s="23">
        <f t="shared" ca="1" si="891"/>
        <v>15.143328254376865</v>
      </c>
      <c r="BZ1161" s="24">
        <f t="shared" ca="1" si="892"/>
        <v>0</v>
      </c>
      <c r="CA1161" s="24">
        <f t="shared" ca="1" si="885"/>
        <v>0</v>
      </c>
      <c r="CB1161" s="24">
        <f t="shared" ca="1" si="893"/>
        <v>0</v>
      </c>
      <c r="CC1161" s="24">
        <f t="shared" ca="1" si="886"/>
        <v>0</v>
      </c>
      <c r="CD1161" s="24">
        <f t="shared" ca="1" si="894"/>
        <v>-0.22668756173586319</v>
      </c>
      <c r="CE1161" s="25">
        <f t="shared" ca="1" si="887"/>
        <v>-2.9848736382376653</v>
      </c>
      <c r="CF1161" s="23">
        <f t="shared" ca="1" si="888"/>
        <v>11438555.014174281</v>
      </c>
      <c r="CG1161" s="25">
        <f t="array" aca="1" ref="CG1161" ca="1">SUM(BF1150:BF1161/(1+inflation/100)^(AP1150:AP1161/12))</f>
        <v>267980.53702225402</v>
      </c>
      <c r="CH1161" s="32">
        <f ca="1">IFERROR(IF(MOD(AP1161-ap_months_since_start,12)=0,ap_drawdown/100*(AQ1161+AV1161+BA1161-BC1161),CH1160),0)</f>
        <v>103.47803276517014</v>
      </c>
    </row>
    <row r="1162" spans="40:86" x14ac:dyDescent="0.25">
      <c r="AN1162" s="32">
        <f t="shared" ca="1" si="889"/>
        <v>151.08333333333334</v>
      </c>
      <c r="AO1162" s="53">
        <f t="shared" ref="AO1162:AO1219" ca="1" si="920">DATE(YEAR(AO1161),MONTH(AO1161)+1,1)</f>
        <v>80752</v>
      </c>
      <c r="AP1162" s="22">
        <v>1155</v>
      </c>
      <c r="AQ1162" s="32">
        <f t="shared" ref="AQ1162:AQ1219" ca="1" si="921">IF(BR1161&lt;0,0,BR1161)</f>
        <v>658.05288731332087</v>
      </c>
      <c r="AR1162" s="23">
        <f t="array" aca="1" ref="AR1162" ca="1">SUM(IF(lsc_start_date=AO1162,lsc_amount,0))</f>
        <v>0</v>
      </c>
      <c r="AS1162" s="24">
        <f t="shared" ca="1" si="895"/>
        <v>0</v>
      </c>
      <c r="AT1162" s="24">
        <f t="shared" ca="1" si="896"/>
        <v>0</v>
      </c>
      <c r="AU1162" s="24">
        <f t="shared" ca="1" si="897"/>
        <v>0</v>
      </c>
      <c r="AV1162" s="25">
        <f t="shared" ca="1" si="898"/>
        <v>0</v>
      </c>
      <c r="AW1162" s="23">
        <f t="array" aca="1" ref="AW1162" ca="1">SUM(IF(rcs_start_date&lt;=AO1162,1,0)*IF(rcs_end_date&gt;=AO1162,1,0)*rcs_amount*(1+rcs_escalation/100)^(INT((AP1162-rcs_months_since_start)/12))*IF(MOD((AP1162-rcs_months_since_start),rcs_frequency)=0,1,0)*IF(rcs_frequency=13,0,1))+SUM(IF(rcs_start_date=AO1162,rcs_amount,0)*IF(rcs_frequency=13,1,0))</f>
        <v>0</v>
      </c>
      <c r="AX1162" s="24">
        <f t="shared" ca="1" si="899"/>
        <v>0</v>
      </c>
      <c r="AY1162" s="24">
        <f t="shared" ca="1" si="900"/>
        <v>0</v>
      </c>
      <c r="AZ1162" s="24">
        <f t="shared" ca="1" si="901"/>
        <v>0</v>
      </c>
      <c r="BA1162" s="25">
        <f t="shared" ca="1" si="902"/>
        <v>0</v>
      </c>
      <c r="BB1162" s="23">
        <f t="array" aca="1" ref="BB1162" ca="1">SUM(IF(w_start_date&lt;=AO1162,1,0)*IF(w_end_date&gt;=AO1162,1,0)*w_amount*(1+w_escalation/100)^(INT((AP1162-w_months_since_start)/12))*IF(MOD(AP1162-w_months_since_start,w_frequency)=0,1,0)*IF(w_frequency=13,0,1))+SUM(IF(w_start_date=AO1162,w_amount,0)*IF(w_frequency=13,1,0))</f>
        <v>0</v>
      </c>
      <c r="BC1162" s="25">
        <f t="shared" ca="1" si="903"/>
        <v>0</v>
      </c>
      <c r="BD1162" s="24" t="b">
        <f t="shared" ca="1" si="904"/>
        <v>1</v>
      </c>
      <c r="BE1162" s="24" t="b">
        <f t="shared" ca="1" si="905"/>
        <v>1</v>
      </c>
      <c r="BF1162" s="23">
        <f t="array" aca="1" ref="BF1162" ca="1">SUM(IF(BD1162,1,0)*IF(ap_start_date&lt;=AO1162,1,0)*IF(ap_end_date&gt;=AO1162,1,0)*ap_amount*(1+ap_escalation/100)^(INT((AP1162-ap_months_since_start)/12))*IF(MOD(AP1162-ap_months_since_start,ap_frequency)=0,1,0))</f>
        <v>981526.17283343687</v>
      </c>
      <c r="BG1162" s="24">
        <f t="shared" ca="1" si="906"/>
        <v>11778314.074001243</v>
      </c>
      <c r="BH1162" s="24">
        <f t="shared" ca="1" si="907"/>
        <v>16.831813671720234</v>
      </c>
      <c r="BI1162">
        <f t="shared" ca="1" si="908"/>
        <v>0</v>
      </c>
      <c r="BJ1162" s="24">
        <f t="shared" ca="1" si="909"/>
        <v>117.82269570204161</v>
      </c>
      <c r="BK1162">
        <f t="shared" ca="1" si="910"/>
        <v>1</v>
      </c>
      <c r="BL1162" s="25">
        <f t="shared" ca="1" si="911"/>
        <v>9.8185579751701333</v>
      </c>
      <c r="BM1162" s="32">
        <f t="shared" ca="1" si="890"/>
        <v>652.90636373430982</v>
      </c>
      <c r="BN1162" s="23">
        <f t="shared" ca="1" si="912"/>
        <v>0</v>
      </c>
      <c r="BO1162" s="24">
        <f t="shared" ca="1" si="913"/>
        <v>0</v>
      </c>
      <c r="BP1162" s="25">
        <f t="shared" ca="1" si="914"/>
        <v>0</v>
      </c>
      <c r="BQ1162" s="34">
        <f t="shared" ca="1" si="915"/>
        <v>80779</v>
      </c>
      <c r="BR1162" s="23">
        <f t="shared" ca="1" si="916"/>
        <v>652.90636373430982</v>
      </c>
      <c r="BS1162" s="24">
        <f t="shared" ca="1" si="917"/>
        <v>0</v>
      </c>
      <c r="BT1162" s="24">
        <f t="shared" ca="1" si="882"/>
        <v>0</v>
      </c>
      <c r="BU1162" s="24">
        <f t="shared" ca="1" si="918"/>
        <v>0</v>
      </c>
      <c r="BV1162" s="24">
        <f t="shared" ca="1" si="883"/>
        <v>0</v>
      </c>
      <c r="BW1162" s="24">
        <f t="shared" ca="1" si="919"/>
        <v>-9.8185579751701333</v>
      </c>
      <c r="BX1162" s="25">
        <f t="shared" ca="1" si="884"/>
        <v>-125.91674780453776</v>
      </c>
      <c r="BY1162" s="23">
        <f t="shared" ca="1" si="891"/>
        <v>14.97586767685601</v>
      </c>
      <c r="BZ1162" s="24">
        <f t="shared" ca="1" si="892"/>
        <v>0</v>
      </c>
      <c r="CA1162" s="24">
        <f t="shared" ca="1" si="885"/>
        <v>0</v>
      </c>
      <c r="CB1162" s="24">
        <f t="shared" ca="1" si="893"/>
        <v>0</v>
      </c>
      <c r="CC1162" s="24">
        <f t="shared" ca="1" si="886"/>
        <v>0</v>
      </c>
      <c r="CD1162" s="24">
        <f t="shared" ca="1" si="894"/>
        <v>-0.22594786721426083</v>
      </c>
      <c r="CE1162" s="25">
        <f t="shared" ca="1" si="887"/>
        <v>-2.9516215369180592</v>
      </c>
      <c r="CF1162" s="23">
        <f t="shared" ca="1" si="888"/>
        <v>11476306.02082172</v>
      </c>
      <c r="CG1162" s="25">
        <f t="array" aca="1" ref="CG1162" ca="1">SUM(BF1151:BF1162/(1+inflation/100)^(AP1151:AP1162/12))</f>
        <v>267980.53702225396</v>
      </c>
      <c r="CH1162" s="32">
        <f ca="1">IFERROR(IF(MOD(AP1162-ap_months_since_start,12)=0,ap_drawdown/100*(AQ1162+AV1162+BA1162-BC1162),CH1161),0)</f>
        <v>103.47803276517014</v>
      </c>
    </row>
    <row r="1163" spans="40:86" x14ac:dyDescent="0.25">
      <c r="AN1163" s="32">
        <f t="shared" ca="1" si="889"/>
        <v>151.16666666666666</v>
      </c>
      <c r="AO1163" s="53">
        <f t="shared" ca="1" si="920"/>
        <v>80780</v>
      </c>
      <c r="AP1163" s="22">
        <v>1156</v>
      </c>
      <c r="AQ1163" s="32">
        <f t="shared" ca="1" si="921"/>
        <v>652.90636373430982</v>
      </c>
      <c r="AR1163" s="23">
        <f t="array" aca="1" ref="AR1163" ca="1">SUM(IF(lsc_start_date=AO1163,lsc_amount,0))</f>
        <v>0</v>
      </c>
      <c r="AS1163" s="24">
        <f t="shared" ca="1" si="895"/>
        <v>0</v>
      </c>
      <c r="AT1163" s="24">
        <f t="shared" ca="1" si="896"/>
        <v>0</v>
      </c>
      <c r="AU1163" s="24">
        <f t="shared" ca="1" si="897"/>
        <v>0</v>
      </c>
      <c r="AV1163" s="25">
        <f t="shared" ca="1" si="898"/>
        <v>0</v>
      </c>
      <c r="AW1163" s="23">
        <f t="array" aca="1" ref="AW1163" ca="1">SUM(IF(rcs_start_date&lt;=AO1163,1,0)*IF(rcs_end_date&gt;=AO1163,1,0)*rcs_amount*(1+rcs_escalation/100)^(INT((AP1163-rcs_months_since_start)/12))*IF(MOD((AP1163-rcs_months_since_start),rcs_frequency)=0,1,0)*IF(rcs_frequency=13,0,1))+SUM(IF(rcs_start_date=AO1163,rcs_amount,0)*IF(rcs_frequency=13,1,0))</f>
        <v>0</v>
      </c>
      <c r="AX1163" s="24">
        <f t="shared" ca="1" si="899"/>
        <v>0</v>
      </c>
      <c r="AY1163" s="24">
        <f t="shared" ca="1" si="900"/>
        <v>0</v>
      </c>
      <c r="AZ1163" s="24">
        <f t="shared" ca="1" si="901"/>
        <v>0</v>
      </c>
      <c r="BA1163" s="25">
        <f t="shared" ca="1" si="902"/>
        <v>0</v>
      </c>
      <c r="BB1163" s="23">
        <f t="array" aca="1" ref="BB1163" ca="1">SUM(IF(w_start_date&lt;=AO1163,1,0)*IF(w_end_date&gt;=AO1163,1,0)*w_amount*(1+w_escalation/100)^(INT((AP1163-w_months_since_start)/12))*IF(MOD(AP1163-w_months_since_start,w_frequency)=0,1,0)*IF(w_frequency=13,0,1))+SUM(IF(w_start_date=AO1163,w_amount,0)*IF(w_frequency=13,1,0))</f>
        <v>0</v>
      </c>
      <c r="BC1163" s="25">
        <f t="shared" ca="1" si="903"/>
        <v>0</v>
      </c>
      <c r="BD1163" s="24" t="b">
        <f t="shared" ca="1" si="904"/>
        <v>1</v>
      </c>
      <c r="BE1163" s="24" t="b">
        <f t="shared" ca="1" si="905"/>
        <v>1</v>
      </c>
      <c r="BF1163" s="23">
        <f t="array" aca="1" ref="BF1163" ca="1">SUM(IF(BD1163,1,0)*IF(ap_start_date&lt;=AO1163,1,0)*IF(ap_end_date&gt;=AO1163,1,0)*ap_amount*(1+ap_escalation/100)^(INT((AP1163-ap_months_since_start)/12))*IF(MOD(AP1163-ap_months_since_start,ap_frequency)=0,1,0))</f>
        <v>981526.17283343687</v>
      </c>
      <c r="BG1163" s="24">
        <f t="shared" ca="1" si="906"/>
        <v>11778314.074001243</v>
      </c>
      <c r="BH1163" s="24">
        <f t="shared" ca="1" si="907"/>
        <v>16.831813671720234</v>
      </c>
      <c r="BI1163">
        <f t="shared" ca="1" si="908"/>
        <v>0</v>
      </c>
      <c r="BJ1163" s="24">
        <f t="shared" ca="1" si="909"/>
        <v>117.82269570204161</v>
      </c>
      <c r="BK1163">
        <f t="shared" ca="1" si="910"/>
        <v>1</v>
      </c>
      <c r="BL1163" s="25">
        <f t="shared" ca="1" si="911"/>
        <v>9.8185579751701333</v>
      </c>
      <c r="BM1163" s="32">
        <f t="shared" ca="1" si="890"/>
        <v>647.72274749591065</v>
      </c>
      <c r="BN1163" s="23">
        <f t="shared" ca="1" si="912"/>
        <v>0</v>
      </c>
      <c r="BO1163" s="24">
        <f t="shared" ca="1" si="913"/>
        <v>0</v>
      </c>
      <c r="BP1163" s="25">
        <f t="shared" ca="1" si="914"/>
        <v>0</v>
      </c>
      <c r="BQ1163" s="34">
        <f t="shared" ca="1" si="915"/>
        <v>80810</v>
      </c>
      <c r="BR1163" s="23">
        <f t="shared" ca="1" si="916"/>
        <v>647.72274749591065</v>
      </c>
      <c r="BS1163" s="24">
        <f t="shared" ca="1" si="917"/>
        <v>0</v>
      </c>
      <c r="BT1163" s="24">
        <f t="shared" ca="1" si="882"/>
        <v>0</v>
      </c>
      <c r="BU1163" s="24">
        <f t="shared" ca="1" si="918"/>
        <v>0</v>
      </c>
      <c r="BV1163" s="24">
        <f t="shared" ca="1" si="883"/>
        <v>0</v>
      </c>
      <c r="BW1163" s="24">
        <f t="shared" ca="1" si="919"/>
        <v>-9.8185579751701333</v>
      </c>
      <c r="BX1163" s="25">
        <f t="shared" ca="1" si="884"/>
        <v>-124.90499129172575</v>
      </c>
      <c r="BY1163" s="23">
        <f t="shared" ca="1" si="891"/>
        <v>14.80849070015495</v>
      </c>
      <c r="BZ1163" s="24">
        <f t="shared" ca="1" si="892"/>
        <v>0</v>
      </c>
      <c r="CA1163" s="24">
        <f t="shared" ca="1" si="885"/>
        <v>0</v>
      </c>
      <c r="CB1163" s="24">
        <f t="shared" ca="1" si="893"/>
        <v>0</v>
      </c>
      <c r="CC1163" s="24">
        <f t="shared" ca="1" si="886"/>
        <v>0</v>
      </c>
      <c r="CD1163" s="24">
        <f t="shared" ca="1" si="894"/>
        <v>-0.22521058635832725</v>
      </c>
      <c r="CE1163" s="25">
        <f t="shared" ca="1" si="887"/>
        <v>-2.9184779391131124</v>
      </c>
      <c r="CF1163" s="23">
        <f t="shared" ca="1" si="888"/>
        <v>11514057.027469162</v>
      </c>
      <c r="CG1163" s="25">
        <f t="array" aca="1" ref="CG1163" ca="1">SUM(BF1152:BF1163/(1+inflation/100)^(AP1152:AP1163/12))</f>
        <v>267980.53702225396</v>
      </c>
      <c r="CH1163" s="32">
        <f ca="1">IFERROR(IF(MOD(AP1163-ap_months_since_start,12)=0,ap_drawdown/100*(AQ1163+AV1163+BA1163-BC1163),CH1162),0)</f>
        <v>103.47803276517014</v>
      </c>
    </row>
    <row r="1164" spans="40:86" x14ac:dyDescent="0.25">
      <c r="AN1164" s="32">
        <f t="shared" ca="1" si="889"/>
        <v>151.25</v>
      </c>
      <c r="AO1164" s="53">
        <f t="shared" ca="1" si="920"/>
        <v>80811</v>
      </c>
      <c r="AP1164" s="22">
        <v>1157</v>
      </c>
      <c r="AQ1164" s="32">
        <f t="shared" ca="1" si="921"/>
        <v>647.72274749591065</v>
      </c>
      <c r="AR1164" s="23">
        <f t="array" aca="1" ref="AR1164" ca="1">SUM(IF(lsc_start_date=AO1164,lsc_amount,0))</f>
        <v>0</v>
      </c>
      <c r="AS1164" s="24">
        <f t="shared" ca="1" si="895"/>
        <v>0</v>
      </c>
      <c r="AT1164" s="24">
        <f t="shared" ca="1" si="896"/>
        <v>0</v>
      </c>
      <c r="AU1164" s="24">
        <f t="shared" ca="1" si="897"/>
        <v>0</v>
      </c>
      <c r="AV1164" s="25">
        <f t="shared" ca="1" si="898"/>
        <v>0</v>
      </c>
      <c r="AW1164" s="23">
        <f t="array" aca="1" ref="AW1164" ca="1">SUM(IF(rcs_start_date&lt;=AO1164,1,0)*IF(rcs_end_date&gt;=AO1164,1,0)*rcs_amount*(1+rcs_escalation/100)^(INT((AP1164-rcs_months_since_start)/12))*IF(MOD((AP1164-rcs_months_since_start),rcs_frequency)=0,1,0)*IF(rcs_frequency=13,0,1))+SUM(IF(rcs_start_date=AO1164,rcs_amount,0)*IF(rcs_frequency=13,1,0))</f>
        <v>0</v>
      </c>
      <c r="AX1164" s="24">
        <f t="shared" ca="1" si="899"/>
        <v>0</v>
      </c>
      <c r="AY1164" s="24">
        <f t="shared" ca="1" si="900"/>
        <v>0</v>
      </c>
      <c r="AZ1164" s="24">
        <f t="shared" ca="1" si="901"/>
        <v>0</v>
      </c>
      <c r="BA1164" s="25">
        <f t="shared" ca="1" si="902"/>
        <v>0</v>
      </c>
      <c r="BB1164" s="23">
        <f t="array" aca="1" ref="BB1164" ca="1">SUM(IF(w_start_date&lt;=AO1164,1,0)*IF(w_end_date&gt;=AO1164,1,0)*w_amount*(1+w_escalation/100)^(INT((AP1164-w_months_since_start)/12))*IF(MOD(AP1164-w_months_since_start,w_frequency)=0,1,0)*IF(w_frequency=13,0,1))+SUM(IF(w_start_date=AO1164,w_amount,0)*IF(w_frequency=13,1,0))</f>
        <v>0</v>
      </c>
      <c r="BC1164" s="25">
        <f t="shared" ca="1" si="903"/>
        <v>0</v>
      </c>
      <c r="BD1164" s="24" t="b">
        <f t="shared" ca="1" si="904"/>
        <v>1</v>
      </c>
      <c r="BE1164" s="24" t="b">
        <f t="shared" ca="1" si="905"/>
        <v>1</v>
      </c>
      <c r="BF1164" s="23">
        <f t="array" aca="1" ref="BF1164" ca="1">SUM(IF(BD1164,1,0)*IF(ap_start_date&lt;=AO1164,1,0)*IF(ap_end_date&gt;=AO1164,1,0)*ap_amount*(1+ap_escalation/100)^(INT((AP1164-ap_months_since_start)/12))*IF(MOD(AP1164-ap_months_since_start,ap_frequency)=0,1,0))</f>
        <v>981526.17283343687</v>
      </c>
      <c r="BG1164" s="24">
        <f t="shared" ca="1" si="906"/>
        <v>11778314.074001243</v>
      </c>
      <c r="BH1164" s="24">
        <f t="shared" ca="1" si="907"/>
        <v>16.831813671720234</v>
      </c>
      <c r="BI1164">
        <f t="shared" ca="1" si="908"/>
        <v>0</v>
      </c>
      <c r="BJ1164" s="24">
        <f t="shared" ca="1" si="909"/>
        <v>117.82269570204161</v>
      </c>
      <c r="BK1164">
        <f t="shared" ca="1" si="910"/>
        <v>1</v>
      </c>
      <c r="BL1164" s="25">
        <f t="shared" ca="1" si="911"/>
        <v>9.8185579751701333</v>
      </c>
      <c r="BM1164" s="32">
        <f t="shared" ca="1" si="890"/>
        <v>642.50177125933465</v>
      </c>
      <c r="BN1164" s="23">
        <f t="shared" ca="1" si="912"/>
        <v>0</v>
      </c>
      <c r="BO1164" s="24">
        <f t="shared" ca="1" si="913"/>
        <v>0</v>
      </c>
      <c r="BP1164" s="25">
        <f t="shared" ca="1" si="914"/>
        <v>0</v>
      </c>
      <c r="BQ1164" s="34">
        <f t="shared" ca="1" si="915"/>
        <v>80840</v>
      </c>
      <c r="BR1164" s="23">
        <f t="shared" ca="1" si="916"/>
        <v>642.50177125933465</v>
      </c>
      <c r="BS1164" s="24">
        <f t="shared" ca="1" si="917"/>
        <v>0</v>
      </c>
      <c r="BT1164" s="24">
        <f t="shared" ca="1" si="882"/>
        <v>0</v>
      </c>
      <c r="BU1164" s="24">
        <f t="shared" ca="1" si="918"/>
        <v>0</v>
      </c>
      <c r="BV1164" s="24">
        <f t="shared" ca="1" si="883"/>
        <v>0</v>
      </c>
      <c r="BW1164" s="24">
        <f t="shared" ca="1" si="919"/>
        <v>-9.8185579751701333</v>
      </c>
      <c r="BX1164" s="25">
        <f t="shared" ca="1" si="884"/>
        <v>-123.89323477891374</v>
      </c>
      <c r="BY1164" s="23">
        <f t="shared" ca="1" si="891"/>
        <v>14.641195236829182</v>
      </c>
      <c r="BZ1164" s="24">
        <f t="shared" ca="1" si="892"/>
        <v>0</v>
      </c>
      <c r="CA1164" s="24">
        <f t="shared" ca="1" si="885"/>
        <v>0</v>
      </c>
      <c r="CB1164" s="24">
        <f t="shared" ca="1" si="893"/>
        <v>0</v>
      </c>
      <c r="CC1164" s="24">
        <f t="shared" ca="1" si="886"/>
        <v>0</v>
      </c>
      <c r="CD1164" s="24">
        <f t="shared" ca="1" si="894"/>
        <v>-0.2244757112921329</v>
      </c>
      <c r="CE1164" s="25">
        <f t="shared" ca="1" si="887"/>
        <v>-2.8854424907696297</v>
      </c>
      <c r="CF1164" s="23">
        <f t="shared" ca="1" si="888"/>
        <v>11551808.034116602</v>
      </c>
      <c r="CG1164" s="25">
        <f t="array" aca="1" ref="CG1164" ca="1">SUM(BF1153:BF1164/(1+inflation/100)^(AP1153:AP1164/12))</f>
        <v>267980.53702225396</v>
      </c>
      <c r="CH1164" s="32">
        <f ca="1">IFERROR(IF(MOD(AP1164-ap_months_since_start,12)=0,ap_drawdown/100*(AQ1164+AV1164+BA1164-BC1164),CH1163),0)</f>
        <v>103.47803276517014</v>
      </c>
    </row>
    <row r="1165" spans="40:86" x14ac:dyDescent="0.25">
      <c r="AN1165" s="32">
        <f t="shared" ca="1" si="889"/>
        <v>151.33333333333334</v>
      </c>
      <c r="AO1165" s="53">
        <f t="shared" ca="1" si="920"/>
        <v>80841</v>
      </c>
      <c r="AP1165" s="22">
        <v>1158</v>
      </c>
      <c r="AQ1165" s="32">
        <f t="shared" ca="1" si="921"/>
        <v>642.50177125933465</v>
      </c>
      <c r="AR1165" s="23">
        <f t="array" aca="1" ref="AR1165" ca="1">SUM(IF(lsc_start_date=AO1165,lsc_amount,0))</f>
        <v>0</v>
      </c>
      <c r="AS1165" s="24">
        <f t="shared" ca="1" si="895"/>
        <v>0</v>
      </c>
      <c r="AT1165" s="24">
        <f t="shared" ca="1" si="896"/>
        <v>0</v>
      </c>
      <c r="AU1165" s="24">
        <f t="shared" ca="1" si="897"/>
        <v>0</v>
      </c>
      <c r="AV1165" s="25">
        <f t="shared" ca="1" si="898"/>
        <v>0</v>
      </c>
      <c r="AW1165" s="23">
        <f t="array" aca="1" ref="AW1165" ca="1">SUM(IF(rcs_start_date&lt;=AO1165,1,0)*IF(rcs_end_date&gt;=AO1165,1,0)*rcs_amount*(1+rcs_escalation/100)^(INT((AP1165-rcs_months_since_start)/12))*IF(MOD((AP1165-rcs_months_since_start),rcs_frequency)=0,1,0)*IF(rcs_frequency=13,0,1))+SUM(IF(rcs_start_date=AO1165,rcs_amount,0)*IF(rcs_frequency=13,1,0))</f>
        <v>0</v>
      </c>
      <c r="AX1165" s="24">
        <f t="shared" ca="1" si="899"/>
        <v>0</v>
      </c>
      <c r="AY1165" s="24">
        <f t="shared" ca="1" si="900"/>
        <v>0</v>
      </c>
      <c r="AZ1165" s="24">
        <f t="shared" ca="1" si="901"/>
        <v>0</v>
      </c>
      <c r="BA1165" s="25">
        <f t="shared" ca="1" si="902"/>
        <v>0</v>
      </c>
      <c r="BB1165" s="23">
        <f t="array" aca="1" ref="BB1165" ca="1">SUM(IF(w_start_date&lt;=AO1165,1,0)*IF(w_end_date&gt;=AO1165,1,0)*w_amount*(1+w_escalation/100)^(INT((AP1165-w_months_since_start)/12))*IF(MOD(AP1165-w_months_since_start,w_frequency)=0,1,0)*IF(w_frequency=13,0,1))+SUM(IF(w_start_date=AO1165,w_amount,0)*IF(w_frequency=13,1,0))</f>
        <v>0</v>
      </c>
      <c r="BC1165" s="25">
        <f t="shared" ca="1" si="903"/>
        <v>0</v>
      </c>
      <c r="BD1165" s="24" t="b">
        <f t="shared" ca="1" si="904"/>
        <v>1</v>
      </c>
      <c r="BE1165" s="24" t="b">
        <f t="shared" ca="1" si="905"/>
        <v>1</v>
      </c>
      <c r="BF1165" s="23">
        <f t="array" aca="1" ref="BF1165" ca="1">SUM(IF(BD1165,1,0)*IF(ap_start_date&lt;=AO1165,1,0)*IF(ap_end_date&gt;=AO1165,1,0)*ap_amount*(1+ap_escalation/100)^(INT((AP1165-ap_months_since_start)/12))*IF(MOD(AP1165-ap_months_since_start,ap_frequency)=0,1,0))</f>
        <v>981526.17283343687</v>
      </c>
      <c r="BG1165" s="24">
        <f t="shared" ca="1" si="906"/>
        <v>11778314.074001243</v>
      </c>
      <c r="BH1165" s="24">
        <f t="shared" ca="1" si="907"/>
        <v>16.831813671720234</v>
      </c>
      <c r="BI1165">
        <f t="shared" ca="1" si="908"/>
        <v>0</v>
      </c>
      <c r="BJ1165" s="24">
        <f t="shared" ca="1" si="909"/>
        <v>117.82269570204161</v>
      </c>
      <c r="BK1165">
        <f t="shared" ca="1" si="910"/>
        <v>1</v>
      </c>
      <c r="BL1165" s="25">
        <f t="shared" ca="1" si="911"/>
        <v>9.8185579751701333</v>
      </c>
      <c r="BM1165" s="32">
        <f t="shared" ca="1" si="890"/>
        <v>637.2431657589957</v>
      </c>
      <c r="BN1165" s="23">
        <f t="shared" ca="1" si="912"/>
        <v>0</v>
      </c>
      <c r="BO1165" s="24">
        <f t="shared" ca="1" si="913"/>
        <v>0</v>
      </c>
      <c r="BP1165" s="25">
        <f t="shared" ca="1" si="914"/>
        <v>0</v>
      </c>
      <c r="BQ1165" s="34">
        <f t="shared" ca="1" si="915"/>
        <v>80871</v>
      </c>
      <c r="BR1165" s="23">
        <f t="shared" ca="1" si="916"/>
        <v>637.2431657589957</v>
      </c>
      <c r="BS1165" s="24">
        <f t="shared" ca="1" si="917"/>
        <v>0</v>
      </c>
      <c r="BT1165" s="24">
        <f t="shared" ca="1" si="882"/>
        <v>0</v>
      </c>
      <c r="BU1165" s="24">
        <f t="shared" ca="1" si="918"/>
        <v>0</v>
      </c>
      <c r="BV1165" s="24">
        <f t="shared" ca="1" si="883"/>
        <v>0</v>
      </c>
      <c r="BW1165" s="24">
        <f t="shared" ca="1" si="919"/>
        <v>-9.8185579751701333</v>
      </c>
      <c r="BX1165" s="25">
        <f t="shared" ca="1" si="884"/>
        <v>-122.88147826610171</v>
      </c>
      <c r="BY1165" s="23">
        <f t="shared" ca="1" si="891"/>
        <v>14.4739791991309</v>
      </c>
      <c r="BZ1165" s="24">
        <f t="shared" ca="1" si="892"/>
        <v>0</v>
      </c>
      <c r="CA1165" s="24">
        <f t="shared" ca="1" si="885"/>
        <v>0</v>
      </c>
      <c r="CB1165" s="24">
        <f t="shared" ca="1" si="893"/>
        <v>0</v>
      </c>
      <c r="CC1165" s="24">
        <f t="shared" ca="1" si="886"/>
        <v>0</v>
      </c>
      <c r="CD1165" s="24">
        <f t="shared" ca="1" si="894"/>
        <v>-0.22374323416544756</v>
      </c>
      <c r="CE1165" s="25">
        <f t="shared" ca="1" si="887"/>
        <v>-2.8525148389897139</v>
      </c>
      <c r="CF1165" s="23">
        <f t="shared" ca="1" si="888"/>
        <v>11589559.040764043</v>
      </c>
      <c r="CG1165" s="25">
        <f t="array" aca="1" ref="CG1165" ca="1">SUM(BF1154:BF1165/(1+inflation/100)^(AP1154:AP1165/12))</f>
        <v>267980.53702225396</v>
      </c>
      <c r="CH1165" s="32">
        <f ca="1">IFERROR(IF(MOD(AP1165-ap_months_since_start,12)=0,ap_drawdown/100*(AQ1165+AV1165+BA1165-BC1165),CH1164),0)</f>
        <v>103.47803276517014</v>
      </c>
    </row>
    <row r="1166" spans="40:86" x14ac:dyDescent="0.25">
      <c r="AN1166" s="32">
        <f t="shared" ca="1" si="889"/>
        <v>151.41666666666666</v>
      </c>
      <c r="AO1166" s="53">
        <f t="shared" ca="1" si="920"/>
        <v>80872</v>
      </c>
      <c r="AP1166" s="22">
        <v>1159</v>
      </c>
      <c r="AQ1166" s="32">
        <f t="shared" ca="1" si="921"/>
        <v>637.2431657589957</v>
      </c>
      <c r="AR1166" s="23">
        <f t="array" aca="1" ref="AR1166" ca="1">SUM(IF(lsc_start_date=AO1166,lsc_amount,0))</f>
        <v>0</v>
      </c>
      <c r="AS1166" s="24">
        <f t="shared" ca="1" si="895"/>
        <v>0</v>
      </c>
      <c r="AT1166" s="24">
        <f t="shared" ca="1" si="896"/>
        <v>0</v>
      </c>
      <c r="AU1166" s="24">
        <f t="shared" ca="1" si="897"/>
        <v>0</v>
      </c>
      <c r="AV1166" s="25">
        <f t="shared" ca="1" si="898"/>
        <v>0</v>
      </c>
      <c r="AW1166" s="23">
        <f t="array" aca="1" ref="AW1166" ca="1">SUM(IF(rcs_start_date&lt;=AO1166,1,0)*IF(rcs_end_date&gt;=AO1166,1,0)*rcs_amount*(1+rcs_escalation/100)^(INT((AP1166-rcs_months_since_start)/12))*IF(MOD((AP1166-rcs_months_since_start),rcs_frequency)=0,1,0)*IF(rcs_frequency=13,0,1))+SUM(IF(rcs_start_date=AO1166,rcs_amount,0)*IF(rcs_frequency=13,1,0))</f>
        <v>0</v>
      </c>
      <c r="AX1166" s="24">
        <f t="shared" ca="1" si="899"/>
        <v>0</v>
      </c>
      <c r="AY1166" s="24">
        <f t="shared" ca="1" si="900"/>
        <v>0</v>
      </c>
      <c r="AZ1166" s="24">
        <f t="shared" ca="1" si="901"/>
        <v>0</v>
      </c>
      <c r="BA1166" s="25">
        <f t="shared" ca="1" si="902"/>
        <v>0</v>
      </c>
      <c r="BB1166" s="23">
        <f t="array" aca="1" ref="BB1166" ca="1">SUM(IF(w_start_date&lt;=AO1166,1,0)*IF(w_end_date&gt;=AO1166,1,0)*w_amount*(1+w_escalation/100)^(INT((AP1166-w_months_since_start)/12))*IF(MOD(AP1166-w_months_since_start,w_frequency)=0,1,0)*IF(w_frequency=13,0,1))+SUM(IF(w_start_date=AO1166,w_amount,0)*IF(w_frequency=13,1,0))</f>
        <v>0</v>
      </c>
      <c r="BC1166" s="25">
        <f t="shared" ca="1" si="903"/>
        <v>0</v>
      </c>
      <c r="BD1166" s="24" t="b">
        <f t="shared" ca="1" si="904"/>
        <v>1</v>
      </c>
      <c r="BE1166" s="24" t="b">
        <f t="shared" ca="1" si="905"/>
        <v>1</v>
      </c>
      <c r="BF1166" s="23">
        <f t="array" aca="1" ref="BF1166" ca="1">SUM(IF(BD1166,1,0)*IF(ap_start_date&lt;=AO1166,1,0)*IF(ap_end_date&gt;=AO1166,1,0)*ap_amount*(1+ap_escalation/100)^(INT((AP1166-ap_months_since_start)/12))*IF(MOD(AP1166-ap_months_since_start,ap_frequency)=0,1,0))</f>
        <v>981526.17283343687</v>
      </c>
      <c r="BG1166" s="24">
        <f t="shared" ca="1" si="906"/>
        <v>11778314.074001243</v>
      </c>
      <c r="BH1166" s="24">
        <f t="shared" ca="1" si="907"/>
        <v>16.831813671720234</v>
      </c>
      <c r="BI1166">
        <f t="shared" ca="1" si="908"/>
        <v>0</v>
      </c>
      <c r="BJ1166" s="24">
        <f t="shared" ca="1" si="909"/>
        <v>117.82269570204161</v>
      </c>
      <c r="BK1166">
        <f t="shared" ca="1" si="910"/>
        <v>1</v>
      </c>
      <c r="BL1166" s="25">
        <f t="shared" ca="1" si="911"/>
        <v>9.8185579751701333</v>
      </c>
      <c r="BM1166" s="32">
        <f t="shared" ca="1" si="890"/>
        <v>631.94665978862383</v>
      </c>
      <c r="BN1166" s="23">
        <f t="shared" ca="1" si="912"/>
        <v>0</v>
      </c>
      <c r="BO1166" s="24">
        <f t="shared" ca="1" si="913"/>
        <v>0</v>
      </c>
      <c r="BP1166" s="25">
        <f t="shared" ca="1" si="914"/>
        <v>0</v>
      </c>
      <c r="BQ1166" s="34">
        <f t="shared" ca="1" si="915"/>
        <v>80901</v>
      </c>
      <c r="BR1166" s="23">
        <f t="shared" ca="1" si="916"/>
        <v>631.94665978862383</v>
      </c>
      <c r="BS1166" s="24">
        <f t="shared" ca="1" si="917"/>
        <v>0</v>
      </c>
      <c r="BT1166" s="24">
        <f t="shared" ca="1" si="882"/>
        <v>0</v>
      </c>
      <c r="BU1166" s="24">
        <f t="shared" ca="1" si="918"/>
        <v>0</v>
      </c>
      <c r="BV1166" s="24">
        <f t="shared" ca="1" si="883"/>
        <v>0</v>
      </c>
      <c r="BW1166" s="24">
        <f t="shared" ca="1" si="919"/>
        <v>-9.8185579751701333</v>
      </c>
      <c r="BX1166" s="25">
        <f t="shared" ca="1" si="884"/>
        <v>-121.8697217532897</v>
      </c>
      <c r="BY1166" s="23">
        <f t="shared" ca="1" si="891"/>
        <v>14.306840498982044</v>
      </c>
      <c r="BZ1166" s="24">
        <f t="shared" ca="1" si="892"/>
        <v>0</v>
      </c>
      <c r="CA1166" s="24">
        <f t="shared" ca="1" si="885"/>
        <v>0</v>
      </c>
      <c r="CB1166" s="24">
        <f t="shared" ca="1" si="893"/>
        <v>0</v>
      </c>
      <c r="CC1166" s="24">
        <f t="shared" ca="1" si="886"/>
        <v>0</v>
      </c>
      <c r="CD1166" s="24">
        <f t="shared" ca="1" si="894"/>
        <v>-0.22301314715365728</v>
      </c>
      <c r="CE1166" s="25">
        <f t="shared" ca="1" si="887"/>
        <v>-2.8196946320269918</v>
      </c>
      <c r="CF1166" s="23">
        <f t="shared" ca="1" si="888"/>
        <v>11627310.047411483</v>
      </c>
      <c r="CG1166" s="25">
        <f t="array" aca="1" ref="CG1166" ca="1">SUM(BF1155:BF1166/(1+inflation/100)^(AP1155:AP1166/12))</f>
        <v>267980.53702225396</v>
      </c>
      <c r="CH1166" s="32">
        <f ca="1">IFERROR(IF(MOD(AP1166-ap_months_since_start,12)=0,ap_drawdown/100*(AQ1166+AV1166+BA1166-BC1166),CH1165),0)</f>
        <v>103.47803276517014</v>
      </c>
    </row>
    <row r="1167" spans="40:86" x14ac:dyDescent="0.25">
      <c r="AN1167" s="32">
        <f t="shared" ca="1" si="889"/>
        <v>151.5</v>
      </c>
      <c r="AO1167" s="53">
        <f t="shared" ca="1" si="920"/>
        <v>80902</v>
      </c>
      <c r="AP1167" s="22">
        <v>1160</v>
      </c>
      <c r="AQ1167" s="32">
        <f t="shared" ca="1" si="921"/>
        <v>631.94665978862383</v>
      </c>
      <c r="AR1167" s="23">
        <f t="array" aca="1" ref="AR1167" ca="1">SUM(IF(lsc_start_date=AO1167,lsc_amount,0))</f>
        <v>0</v>
      </c>
      <c r="AS1167" s="24">
        <f t="shared" ca="1" si="895"/>
        <v>0</v>
      </c>
      <c r="AT1167" s="24">
        <f t="shared" ca="1" si="896"/>
        <v>0</v>
      </c>
      <c r="AU1167" s="24">
        <f t="shared" ca="1" si="897"/>
        <v>0</v>
      </c>
      <c r="AV1167" s="25">
        <f t="shared" ca="1" si="898"/>
        <v>0</v>
      </c>
      <c r="AW1167" s="23">
        <f t="array" aca="1" ref="AW1167" ca="1">SUM(IF(rcs_start_date&lt;=AO1167,1,0)*IF(rcs_end_date&gt;=AO1167,1,0)*rcs_amount*(1+rcs_escalation/100)^(INT((AP1167-rcs_months_since_start)/12))*IF(MOD((AP1167-rcs_months_since_start),rcs_frequency)=0,1,0)*IF(rcs_frequency=13,0,1))+SUM(IF(rcs_start_date=AO1167,rcs_amount,0)*IF(rcs_frequency=13,1,0))</f>
        <v>0</v>
      </c>
      <c r="AX1167" s="24">
        <f t="shared" ca="1" si="899"/>
        <v>0</v>
      </c>
      <c r="AY1167" s="24">
        <f t="shared" ca="1" si="900"/>
        <v>0</v>
      </c>
      <c r="AZ1167" s="24">
        <f t="shared" ca="1" si="901"/>
        <v>0</v>
      </c>
      <c r="BA1167" s="25">
        <f t="shared" ca="1" si="902"/>
        <v>0</v>
      </c>
      <c r="BB1167" s="23">
        <f t="array" aca="1" ref="BB1167" ca="1">SUM(IF(w_start_date&lt;=AO1167,1,0)*IF(w_end_date&gt;=AO1167,1,0)*w_amount*(1+w_escalation/100)^(INT((AP1167-w_months_since_start)/12))*IF(MOD(AP1167-w_months_since_start,w_frequency)=0,1,0)*IF(w_frequency=13,0,1))+SUM(IF(w_start_date=AO1167,w_amount,0)*IF(w_frequency=13,1,0))</f>
        <v>0</v>
      </c>
      <c r="BC1167" s="25">
        <f t="shared" ca="1" si="903"/>
        <v>0</v>
      </c>
      <c r="BD1167" s="24" t="b">
        <f t="shared" ca="1" si="904"/>
        <v>1</v>
      </c>
      <c r="BE1167" s="24" t="b">
        <f t="shared" ca="1" si="905"/>
        <v>1</v>
      </c>
      <c r="BF1167" s="23">
        <f t="array" aca="1" ref="BF1167" ca="1">SUM(IF(BD1167,1,0)*IF(ap_start_date&lt;=AO1167,1,0)*IF(ap_end_date&gt;=AO1167,1,0)*ap_amount*(1+ap_escalation/100)^(INT((AP1167-ap_months_since_start)/12))*IF(MOD(AP1167-ap_months_since_start,ap_frequency)=0,1,0))</f>
        <v>981526.17283343687</v>
      </c>
      <c r="BG1167" s="24">
        <f t="shared" ca="1" si="906"/>
        <v>11778314.074001243</v>
      </c>
      <c r="BH1167" s="24">
        <f t="shared" ca="1" si="907"/>
        <v>16.831813671720234</v>
      </c>
      <c r="BI1167">
        <f t="shared" ca="1" si="908"/>
        <v>0</v>
      </c>
      <c r="BJ1167" s="24">
        <f t="shared" ca="1" si="909"/>
        <v>117.82269570204161</v>
      </c>
      <c r="BK1167">
        <f t="shared" ca="1" si="910"/>
        <v>1</v>
      </c>
      <c r="BL1167" s="25">
        <f t="shared" ca="1" si="911"/>
        <v>9.8185579751701333</v>
      </c>
      <c r="BM1167" s="32">
        <f t="shared" ca="1" si="890"/>
        <v>626.6119801872776</v>
      </c>
      <c r="BN1167" s="23">
        <f t="shared" ca="1" si="912"/>
        <v>0</v>
      </c>
      <c r="BO1167" s="24">
        <f t="shared" ca="1" si="913"/>
        <v>0</v>
      </c>
      <c r="BP1167" s="25">
        <f t="shared" ca="1" si="914"/>
        <v>0</v>
      </c>
      <c r="BQ1167" s="34">
        <f t="shared" ca="1" si="915"/>
        <v>80932</v>
      </c>
      <c r="BR1167" s="23">
        <f t="shared" ca="1" si="916"/>
        <v>626.6119801872776</v>
      </c>
      <c r="BS1167" s="24">
        <f t="shared" ca="1" si="917"/>
        <v>0</v>
      </c>
      <c r="BT1167" s="24">
        <f t="shared" ca="1" si="882"/>
        <v>0</v>
      </c>
      <c r="BU1167" s="24">
        <f t="shared" ca="1" si="918"/>
        <v>0</v>
      </c>
      <c r="BV1167" s="24">
        <f t="shared" ca="1" si="883"/>
        <v>0</v>
      </c>
      <c r="BW1167" s="24">
        <f t="shared" ca="1" si="919"/>
        <v>-9.8185579751701333</v>
      </c>
      <c r="BX1167" s="25">
        <f t="shared" ca="1" si="884"/>
        <v>-120.85796524047768</v>
      </c>
      <c r="BY1167" s="23">
        <f t="shared" ca="1" si="891"/>
        <v>14.139777047947364</v>
      </c>
      <c r="BZ1167" s="24">
        <f t="shared" ca="1" si="892"/>
        <v>0</v>
      </c>
      <c r="CA1167" s="24">
        <f t="shared" ca="1" si="885"/>
        <v>0</v>
      </c>
      <c r="CB1167" s="24">
        <f t="shared" ca="1" si="893"/>
        <v>0</v>
      </c>
      <c r="CC1167" s="24">
        <f t="shared" ca="1" si="886"/>
        <v>0</v>
      </c>
      <c r="CD1167" s="24">
        <f t="shared" ca="1" si="894"/>
        <v>-0.22228544245767998</v>
      </c>
      <c r="CE1167" s="25">
        <f t="shared" ca="1" si="887"/>
        <v>-2.7869815192828598</v>
      </c>
      <c r="CF1167" s="23">
        <f t="shared" ca="1" si="888"/>
        <v>11665061.054058924</v>
      </c>
      <c r="CG1167" s="25">
        <f t="array" aca="1" ref="CG1167" ca="1">SUM(BF1156:BF1167/(1+inflation/100)^(AP1156:AP1167/12))</f>
        <v>267980.53702225396</v>
      </c>
      <c r="CH1167" s="32">
        <f ca="1">IFERROR(IF(MOD(AP1167-ap_months_since_start,12)=0,ap_drawdown/100*(AQ1167+AV1167+BA1167-BC1167),CH1166),0)</f>
        <v>103.47803276517014</v>
      </c>
    </row>
    <row r="1168" spans="40:86" x14ac:dyDescent="0.25">
      <c r="AN1168" s="32">
        <f t="shared" ca="1" si="889"/>
        <v>151.58333333333334</v>
      </c>
      <c r="AO1168" s="53">
        <f t="shared" ca="1" si="920"/>
        <v>80933</v>
      </c>
      <c r="AP1168" s="22">
        <v>1161</v>
      </c>
      <c r="AQ1168" s="32">
        <f t="shared" ca="1" si="921"/>
        <v>626.6119801872776</v>
      </c>
      <c r="AR1168" s="23">
        <f t="array" aca="1" ref="AR1168" ca="1">SUM(IF(lsc_start_date=AO1168,lsc_amount,0))</f>
        <v>0</v>
      </c>
      <c r="AS1168" s="24">
        <f t="shared" ca="1" si="895"/>
        <v>0</v>
      </c>
      <c r="AT1168" s="24">
        <f t="shared" ca="1" si="896"/>
        <v>0</v>
      </c>
      <c r="AU1168" s="24">
        <f t="shared" ca="1" si="897"/>
        <v>0</v>
      </c>
      <c r="AV1168" s="25">
        <f t="shared" ca="1" si="898"/>
        <v>0</v>
      </c>
      <c r="AW1168" s="23">
        <f t="array" aca="1" ref="AW1168" ca="1">SUM(IF(rcs_start_date&lt;=AO1168,1,0)*IF(rcs_end_date&gt;=AO1168,1,0)*rcs_amount*(1+rcs_escalation/100)^(INT((AP1168-rcs_months_since_start)/12))*IF(MOD((AP1168-rcs_months_since_start),rcs_frequency)=0,1,0)*IF(rcs_frequency=13,0,1))+SUM(IF(rcs_start_date=AO1168,rcs_amount,0)*IF(rcs_frequency=13,1,0))</f>
        <v>0</v>
      </c>
      <c r="AX1168" s="24">
        <f t="shared" ca="1" si="899"/>
        <v>0</v>
      </c>
      <c r="AY1168" s="24">
        <f t="shared" ca="1" si="900"/>
        <v>0</v>
      </c>
      <c r="AZ1168" s="24">
        <f t="shared" ca="1" si="901"/>
        <v>0</v>
      </c>
      <c r="BA1168" s="25">
        <f t="shared" ca="1" si="902"/>
        <v>0</v>
      </c>
      <c r="BB1168" s="23">
        <f t="array" aca="1" ref="BB1168" ca="1">SUM(IF(w_start_date&lt;=AO1168,1,0)*IF(w_end_date&gt;=AO1168,1,0)*w_amount*(1+w_escalation/100)^(INT((AP1168-w_months_since_start)/12))*IF(MOD(AP1168-w_months_since_start,w_frequency)=0,1,0)*IF(w_frequency=13,0,1))+SUM(IF(w_start_date=AO1168,w_amount,0)*IF(w_frequency=13,1,0))</f>
        <v>0</v>
      </c>
      <c r="BC1168" s="25">
        <f t="shared" ca="1" si="903"/>
        <v>0</v>
      </c>
      <c r="BD1168" s="24" t="b">
        <f t="shared" ca="1" si="904"/>
        <v>1</v>
      </c>
      <c r="BE1168" s="24" t="b">
        <f t="shared" ca="1" si="905"/>
        <v>1</v>
      </c>
      <c r="BF1168" s="23">
        <f t="array" aca="1" ref="BF1168" ca="1">SUM(IF(BD1168,1,0)*IF(ap_start_date&lt;=AO1168,1,0)*IF(ap_end_date&gt;=AO1168,1,0)*ap_amount*(1+ap_escalation/100)^(INT((AP1168-ap_months_since_start)/12))*IF(MOD(AP1168-ap_months_since_start,ap_frequency)=0,1,0))</f>
        <v>981526.17283343687</v>
      </c>
      <c r="BG1168" s="24">
        <f t="shared" ca="1" si="906"/>
        <v>11778314.074001243</v>
      </c>
      <c r="BH1168" s="24">
        <f t="shared" ca="1" si="907"/>
        <v>16.831813671720234</v>
      </c>
      <c r="BI1168">
        <f t="shared" ca="1" si="908"/>
        <v>0</v>
      </c>
      <c r="BJ1168" s="24">
        <f t="shared" ca="1" si="909"/>
        <v>117.82269570204161</v>
      </c>
      <c r="BK1168">
        <f t="shared" ca="1" si="910"/>
        <v>1</v>
      </c>
      <c r="BL1168" s="25">
        <f t="shared" ca="1" si="911"/>
        <v>9.8185579751701333</v>
      </c>
      <c r="BM1168" s="32">
        <f t="shared" ca="1" si="890"/>
        <v>621.23885182525646</v>
      </c>
      <c r="BN1168" s="23">
        <f t="shared" ca="1" si="912"/>
        <v>0</v>
      </c>
      <c r="BO1168" s="24">
        <f t="shared" ca="1" si="913"/>
        <v>0</v>
      </c>
      <c r="BP1168" s="25">
        <f t="shared" ca="1" si="914"/>
        <v>0</v>
      </c>
      <c r="BQ1168" s="34">
        <f t="shared" ca="1" si="915"/>
        <v>80963</v>
      </c>
      <c r="BR1168" s="23">
        <f t="shared" ca="1" si="916"/>
        <v>621.23885182525646</v>
      </c>
      <c r="BS1168" s="24">
        <f t="shared" ca="1" si="917"/>
        <v>0</v>
      </c>
      <c r="BT1168" s="24">
        <f t="shared" ca="1" si="882"/>
        <v>0</v>
      </c>
      <c r="BU1168" s="24">
        <f t="shared" ca="1" si="918"/>
        <v>0</v>
      </c>
      <c r="BV1168" s="24">
        <f t="shared" ca="1" si="883"/>
        <v>0</v>
      </c>
      <c r="BW1168" s="24">
        <f t="shared" ca="1" si="919"/>
        <v>-9.8185579751701333</v>
      </c>
      <c r="BX1168" s="25">
        <f t="shared" ca="1" si="884"/>
        <v>-119.84620872766567</v>
      </c>
      <c r="BY1168" s="23">
        <f t="shared" ca="1" si="891"/>
        <v>13.972786757207544</v>
      </c>
      <c r="BZ1168" s="24">
        <f t="shared" ca="1" si="892"/>
        <v>0</v>
      </c>
      <c r="CA1168" s="24">
        <f t="shared" ca="1" si="885"/>
        <v>0</v>
      </c>
      <c r="CB1168" s="24">
        <f t="shared" ca="1" si="893"/>
        <v>0</v>
      </c>
      <c r="CC1168" s="24">
        <f t="shared" ca="1" si="886"/>
        <v>0</v>
      </c>
      <c r="CD1168" s="24">
        <f t="shared" ca="1" si="894"/>
        <v>-0.22156011230388212</v>
      </c>
      <c r="CE1168" s="25">
        <f t="shared" ca="1" si="887"/>
        <v>-2.754375151302737</v>
      </c>
      <c r="CF1168" s="23">
        <f t="shared" ca="1" si="888"/>
        <v>11702812.060706364</v>
      </c>
      <c r="CG1168" s="25">
        <f t="array" aca="1" ref="CG1168" ca="1">SUM(BF1157:BF1168/(1+inflation/100)^(AP1157:AP1168/12))</f>
        <v>267980.53702225396</v>
      </c>
      <c r="CH1168" s="32">
        <f ca="1">IFERROR(IF(MOD(AP1168-ap_months_since_start,12)=0,ap_drawdown/100*(AQ1168+AV1168+BA1168-BC1168),CH1167),0)</f>
        <v>103.47803276517014</v>
      </c>
    </row>
    <row r="1169" spans="40:86" x14ac:dyDescent="0.25">
      <c r="AN1169" s="32">
        <f t="shared" ca="1" si="889"/>
        <v>151.66666666666666</v>
      </c>
      <c r="AO1169" s="53">
        <f t="shared" ca="1" si="920"/>
        <v>80964</v>
      </c>
      <c r="AP1169" s="22">
        <v>1162</v>
      </c>
      <c r="AQ1169" s="32">
        <f t="shared" ca="1" si="921"/>
        <v>621.23885182525646</v>
      </c>
      <c r="AR1169" s="23">
        <f t="array" aca="1" ref="AR1169" ca="1">SUM(IF(lsc_start_date=AO1169,lsc_amount,0))</f>
        <v>0</v>
      </c>
      <c r="AS1169" s="24">
        <f t="shared" ca="1" si="895"/>
        <v>0</v>
      </c>
      <c r="AT1169" s="24">
        <f t="shared" ca="1" si="896"/>
        <v>0</v>
      </c>
      <c r="AU1169" s="24">
        <f t="shared" ca="1" si="897"/>
        <v>0</v>
      </c>
      <c r="AV1169" s="25">
        <f t="shared" ca="1" si="898"/>
        <v>0</v>
      </c>
      <c r="AW1169" s="23">
        <f t="array" aca="1" ref="AW1169" ca="1">SUM(IF(rcs_start_date&lt;=AO1169,1,0)*IF(rcs_end_date&gt;=AO1169,1,0)*rcs_amount*(1+rcs_escalation/100)^(INT((AP1169-rcs_months_since_start)/12))*IF(MOD((AP1169-rcs_months_since_start),rcs_frequency)=0,1,0)*IF(rcs_frequency=13,0,1))+SUM(IF(rcs_start_date=AO1169,rcs_amount,0)*IF(rcs_frequency=13,1,0))</f>
        <v>0</v>
      </c>
      <c r="AX1169" s="24">
        <f t="shared" ca="1" si="899"/>
        <v>0</v>
      </c>
      <c r="AY1169" s="24">
        <f t="shared" ca="1" si="900"/>
        <v>0</v>
      </c>
      <c r="AZ1169" s="24">
        <f t="shared" ca="1" si="901"/>
        <v>0</v>
      </c>
      <c r="BA1169" s="25">
        <f t="shared" ca="1" si="902"/>
        <v>0</v>
      </c>
      <c r="BB1169" s="23">
        <f t="array" aca="1" ref="BB1169" ca="1">SUM(IF(w_start_date&lt;=AO1169,1,0)*IF(w_end_date&gt;=AO1169,1,0)*w_amount*(1+w_escalation/100)^(INT((AP1169-w_months_since_start)/12))*IF(MOD(AP1169-w_months_since_start,w_frequency)=0,1,0)*IF(w_frequency=13,0,1))+SUM(IF(w_start_date=AO1169,w_amount,0)*IF(w_frequency=13,1,0))</f>
        <v>0</v>
      </c>
      <c r="BC1169" s="25">
        <f t="shared" ca="1" si="903"/>
        <v>0</v>
      </c>
      <c r="BD1169" s="24" t="b">
        <f t="shared" ca="1" si="904"/>
        <v>1</v>
      </c>
      <c r="BE1169" s="24" t="b">
        <f t="shared" ca="1" si="905"/>
        <v>1</v>
      </c>
      <c r="BF1169" s="23">
        <f t="array" aca="1" ref="BF1169" ca="1">SUM(IF(BD1169,1,0)*IF(ap_start_date&lt;=AO1169,1,0)*IF(ap_end_date&gt;=AO1169,1,0)*ap_amount*(1+ap_escalation/100)^(INT((AP1169-ap_months_since_start)/12))*IF(MOD(AP1169-ap_months_since_start,ap_frequency)=0,1,0))</f>
        <v>981526.17283343687</v>
      </c>
      <c r="BG1169" s="24">
        <f t="shared" ca="1" si="906"/>
        <v>11778314.074001243</v>
      </c>
      <c r="BH1169" s="24">
        <f t="shared" ca="1" si="907"/>
        <v>16.831813671720234</v>
      </c>
      <c r="BI1169">
        <f t="shared" ca="1" si="908"/>
        <v>0</v>
      </c>
      <c r="BJ1169" s="24">
        <f t="shared" ca="1" si="909"/>
        <v>117.82269570204161</v>
      </c>
      <c r="BK1169">
        <f t="shared" ca="1" si="910"/>
        <v>1</v>
      </c>
      <c r="BL1169" s="25">
        <f t="shared" ca="1" si="911"/>
        <v>9.8185579751701333</v>
      </c>
      <c r="BM1169" s="32">
        <f t="shared" ca="1" si="890"/>
        <v>615.82699758991123</v>
      </c>
      <c r="BN1169" s="23">
        <f t="shared" ca="1" si="912"/>
        <v>0</v>
      </c>
      <c r="BO1169" s="24">
        <f t="shared" ca="1" si="913"/>
        <v>0</v>
      </c>
      <c r="BP1169" s="25">
        <f t="shared" ca="1" si="914"/>
        <v>0</v>
      </c>
      <c r="BQ1169" s="34">
        <f t="shared" ca="1" si="915"/>
        <v>80993</v>
      </c>
      <c r="BR1169" s="23">
        <f t="shared" ca="1" si="916"/>
        <v>615.82699758991123</v>
      </c>
      <c r="BS1169" s="24">
        <f t="shared" ca="1" si="917"/>
        <v>0</v>
      </c>
      <c r="BT1169" s="24">
        <f t="shared" ca="1" si="882"/>
        <v>0</v>
      </c>
      <c r="BU1169" s="24">
        <f t="shared" ca="1" si="918"/>
        <v>0</v>
      </c>
      <c r="BV1169" s="24">
        <f t="shared" ca="1" si="883"/>
        <v>0</v>
      </c>
      <c r="BW1169" s="24">
        <f t="shared" ca="1" si="919"/>
        <v>-9.8185579751701333</v>
      </c>
      <c r="BX1169" s="25">
        <f t="shared" ca="1" si="884"/>
        <v>-118.83445221485364</v>
      </c>
      <c r="BY1169" s="23">
        <f t="shared" ca="1" si="891"/>
        <v>13.805867537532137</v>
      </c>
      <c r="BZ1169" s="24">
        <f t="shared" ca="1" si="892"/>
        <v>0</v>
      </c>
      <c r="CA1169" s="24">
        <f t="shared" ca="1" si="885"/>
        <v>0</v>
      </c>
      <c r="CB1169" s="24">
        <f t="shared" ca="1" si="893"/>
        <v>0</v>
      </c>
      <c r="CC1169" s="24">
        <f t="shared" ca="1" si="886"/>
        <v>0</v>
      </c>
      <c r="CD1169" s="24">
        <f t="shared" ca="1" si="894"/>
        <v>-0.22083714894399686</v>
      </c>
      <c r="CE1169" s="25">
        <f t="shared" ca="1" si="887"/>
        <v>-2.7218751797723346</v>
      </c>
      <c r="CF1169" s="23">
        <f t="shared" ca="1" si="888"/>
        <v>11740563.067353804</v>
      </c>
      <c r="CG1169" s="25">
        <f t="array" aca="1" ref="CG1169" ca="1">SUM(BF1158:BF1169/(1+inflation/100)^(AP1158:AP1169/12))</f>
        <v>267980.53702225402</v>
      </c>
      <c r="CH1169" s="32">
        <f ca="1">IFERROR(IF(MOD(AP1169-ap_months_since_start,12)=0,ap_drawdown/100*(AQ1169+AV1169+BA1169-BC1169),CH1168),0)</f>
        <v>103.47803276517014</v>
      </c>
    </row>
    <row r="1170" spans="40:86" x14ac:dyDescent="0.25">
      <c r="AN1170" s="32">
        <f t="shared" ca="1" si="889"/>
        <v>151.75</v>
      </c>
      <c r="AO1170" s="53">
        <f t="shared" ca="1" si="920"/>
        <v>80994</v>
      </c>
      <c r="AP1170" s="22">
        <v>1163</v>
      </c>
      <c r="AQ1170" s="32">
        <f t="shared" ca="1" si="921"/>
        <v>615.82699758991123</v>
      </c>
      <c r="AR1170" s="23">
        <f t="array" aca="1" ref="AR1170" ca="1">SUM(IF(lsc_start_date=AO1170,lsc_amount,0))</f>
        <v>0</v>
      </c>
      <c r="AS1170" s="24">
        <f t="shared" ca="1" si="895"/>
        <v>0</v>
      </c>
      <c r="AT1170" s="24">
        <f t="shared" ca="1" si="896"/>
        <v>0</v>
      </c>
      <c r="AU1170" s="24">
        <f t="shared" ca="1" si="897"/>
        <v>0</v>
      </c>
      <c r="AV1170" s="25">
        <f t="shared" ca="1" si="898"/>
        <v>0</v>
      </c>
      <c r="AW1170" s="23">
        <f t="array" aca="1" ref="AW1170" ca="1">SUM(IF(rcs_start_date&lt;=AO1170,1,0)*IF(rcs_end_date&gt;=AO1170,1,0)*rcs_amount*(1+rcs_escalation/100)^(INT((AP1170-rcs_months_since_start)/12))*IF(MOD((AP1170-rcs_months_since_start),rcs_frequency)=0,1,0)*IF(rcs_frequency=13,0,1))+SUM(IF(rcs_start_date=AO1170,rcs_amount,0)*IF(rcs_frequency=13,1,0))</f>
        <v>0</v>
      </c>
      <c r="AX1170" s="24">
        <f t="shared" ca="1" si="899"/>
        <v>0</v>
      </c>
      <c r="AY1170" s="24">
        <f t="shared" ca="1" si="900"/>
        <v>0</v>
      </c>
      <c r="AZ1170" s="24">
        <f t="shared" ca="1" si="901"/>
        <v>0</v>
      </c>
      <c r="BA1170" s="25">
        <f t="shared" ca="1" si="902"/>
        <v>0</v>
      </c>
      <c r="BB1170" s="23">
        <f t="array" aca="1" ref="BB1170" ca="1">SUM(IF(w_start_date&lt;=AO1170,1,0)*IF(w_end_date&gt;=AO1170,1,0)*w_amount*(1+w_escalation/100)^(INT((AP1170-w_months_since_start)/12))*IF(MOD(AP1170-w_months_since_start,w_frequency)=0,1,0)*IF(w_frequency=13,0,1))+SUM(IF(w_start_date=AO1170,w_amount,0)*IF(w_frequency=13,1,0))</f>
        <v>0</v>
      </c>
      <c r="BC1170" s="25">
        <f t="shared" ca="1" si="903"/>
        <v>0</v>
      </c>
      <c r="BD1170" s="24" t="b">
        <f t="shared" ca="1" si="904"/>
        <v>1</v>
      </c>
      <c r="BE1170" s="24" t="b">
        <f t="shared" ca="1" si="905"/>
        <v>1</v>
      </c>
      <c r="BF1170" s="23">
        <f t="array" aca="1" ref="BF1170" ca="1">SUM(IF(BD1170,1,0)*IF(ap_start_date&lt;=AO1170,1,0)*IF(ap_end_date&gt;=AO1170,1,0)*ap_amount*(1+ap_escalation/100)^(INT((AP1170-ap_months_since_start)/12))*IF(MOD(AP1170-ap_months_since_start,ap_frequency)=0,1,0))</f>
        <v>981526.17283343687</v>
      </c>
      <c r="BG1170" s="24">
        <f t="shared" ca="1" si="906"/>
        <v>11778314.074001243</v>
      </c>
      <c r="BH1170" s="24">
        <f t="shared" ca="1" si="907"/>
        <v>16.831813671720234</v>
      </c>
      <c r="BI1170">
        <f t="shared" ca="1" si="908"/>
        <v>0</v>
      </c>
      <c r="BJ1170" s="24">
        <f t="shared" ca="1" si="909"/>
        <v>117.82269570204161</v>
      </c>
      <c r="BK1170">
        <f t="shared" ca="1" si="910"/>
        <v>1</v>
      </c>
      <c r="BL1170" s="25">
        <f t="shared" ca="1" si="911"/>
        <v>9.8185579751701333</v>
      </c>
      <c r="BM1170" s="32">
        <f t="shared" ca="1" si="890"/>
        <v>610.376138371352</v>
      </c>
      <c r="BN1170" s="23">
        <f t="shared" ca="1" si="912"/>
        <v>0</v>
      </c>
      <c r="BO1170" s="24">
        <f t="shared" ca="1" si="913"/>
        <v>0</v>
      </c>
      <c r="BP1170" s="25">
        <f t="shared" ca="1" si="914"/>
        <v>0</v>
      </c>
      <c r="BQ1170" s="34">
        <f t="shared" ca="1" si="915"/>
        <v>81024</v>
      </c>
      <c r="BR1170" s="23">
        <f t="shared" ca="1" si="916"/>
        <v>610.376138371352</v>
      </c>
      <c r="BS1170" s="24">
        <f t="shared" ca="1" si="917"/>
        <v>0</v>
      </c>
      <c r="BT1170" s="24">
        <f t="shared" ca="1" si="882"/>
        <v>0</v>
      </c>
      <c r="BU1170" s="24">
        <f t="shared" ca="1" si="918"/>
        <v>0</v>
      </c>
      <c r="BV1170" s="24">
        <f t="shared" ca="1" si="883"/>
        <v>0</v>
      </c>
      <c r="BW1170" s="24">
        <f t="shared" ca="1" si="919"/>
        <v>-9.8185579751701333</v>
      </c>
      <c r="BX1170" s="25">
        <f t="shared" ca="1" si="884"/>
        <v>-117.82269570204163</v>
      </c>
      <c r="BY1170" s="23">
        <f t="shared" ca="1" si="891"/>
        <v>13.639017299252624</v>
      </c>
      <c r="BZ1170" s="24">
        <f t="shared" ca="1" si="892"/>
        <v>0</v>
      </c>
      <c r="CA1170" s="24">
        <f t="shared" ca="1" si="885"/>
        <v>0</v>
      </c>
      <c r="CB1170" s="24">
        <f t="shared" ca="1" si="893"/>
        <v>0</v>
      </c>
      <c r="CC1170" s="24">
        <f t="shared" ca="1" si="886"/>
        <v>0</v>
      </c>
      <c r="CD1170" s="24">
        <f t="shared" ca="1" si="894"/>
        <v>-0.22011654465503955</v>
      </c>
      <c r="CE1170" s="25">
        <f t="shared" ca="1" si="887"/>
        <v>-2.6894812575139304</v>
      </c>
      <c r="CF1170" s="23">
        <f t="shared" ca="1" si="888"/>
        <v>11778314.074001243</v>
      </c>
      <c r="CG1170" s="25">
        <f t="array" aca="1" ref="CG1170" ca="1">SUM(BF1159:BF1170/(1+inflation/100)^(AP1159:AP1170/12))</f>
        <v>267980.53702225402</v>
      </c>
      <c r="CH1170" s="32">
        <f ca="1">IFERROR(IF(MOD(AP1170-ap_months_since_start,12)=0,ap_drawdown/100*(AQ1170+AV1170+BA1170-BC1170),CH1169),0)</f>
        <v>103.47803276517014</v>
      </c>
    </row>
    <row r="1171" spans="40:86" x14ac:dyDescent="0.25">
      <c r="AN1171" s="32">
        <f t="shared" ca="1" si="889"/>
        <v>151.83333333333334</v>
      </c>
      <c r="AO1171" s="53">
        <f t="shared" ca="1" si="920"/>
        <v>81025</v>
      </c>
      <c r="AP1171" s="22">
        <v>1164</v>
      </c>
      <c r="AQ1171" s="32">
        <f t="shared" ca="1" si="921"/>
        <v>610.376138371352</v>
      </c>
      <c r="AR1171" s="23">
        <f t="array" aca="1" ref="AR1171" ca="1">SUM(IF(lsc_start_date=AO1171,lsc_amount,0))</f>
        <v>0</v>
      </c>
      <c r="AS1171" s="24">
        <f t="shared" ca="1" si="895"/>
        <v>0</v>
      </c>
      <c r="AT1171" s="24">
        <f t="shared" ca="1" si="896"/>
        <v>0</v>
      </c>
      <c r="AU1171" s="24">
        <f t="shared" ca="1" si="897"/>
        <v>0</v>
      </c>
      <c r="AV1171" s="25">
        <f t="shared" ca="1" si="898"/>
        <v>0</v>
      </c>
      <c r="AW1171" s="23">
        <f t="array" aca="1" ref="AW1171" ca="1">SUM(IF(rcs_start_date&lt;=AO1171,1,0)*IF(rcs_end_date&gt;=AO1171,1,0)*rcs_amount*(1+rcs_escalation/100)^(INT((AP1171-rcs_months_since_start)/12))*IF(MOD((AP1171-rcs_months_since_start),rcs_frequency)=0,1,0)*IF(rcs_frequency=13,0,1))+SUM(IF(rcs_start_date=AO1171,rcs_amount,0)*IF(rcs_frequency=13,1,0))</f>
        <v>0</v>
      </c>
      <c r="AX1171" s="24">
        <f t="shared" ca="1" si="899"/>
        <v>0</v>
      </c>
      <c r="AY1171" s="24">
        <f t="shared" ca="1" si="900"/>
        <v>0</v>
      </c>
      <c r="AZ1171" s="24">
        <f t="shared" ca="1" si="901"/>
        <v>0</v>
      </c>
      <c r="BA1171" s="25">
        <f t="shared" ca="1" si="902"/>
        <v>0</v>
      </c>
      <c r="BB1171" s="23">
        <f t="array" aca="1" ref="BB1171" ca="1">SUM(IF(w_start_date&lt;=AO1171,1,0)*IF(w_end_date&gt;=AO1171,1,0)*w_amount*(1+w_escalation/100)^(INT((AP1171-w_months_since_start)/12))*IF(MOD(AP1171-w_months_since_start,w_frequency)=0,1,0)*IF(w_frequency=13,0,1))+SUM(IF(w_start_date=AO1171,w_amount,0)*IF(w_frequency=13,1,0))</f>
        <v>0</v>
      </c>
      <c r="BC1171" s="25">
        <f t="shared" ca="1" si="903"/>
        <v>0</v>
      </c>
      <c r="BD1171" s="24" t="b">
        <f t="shared" ca="1" si="904"/>
        <v>1</v>
      </c>
      <c r="BE1171" s="24" t="b">
        <f t="shared" ca="1" si="905"/>
        <v>1</v>
      </c>
      <c r="BF1171" s="23">
        <f t="array" aca="1" ref="BF1171" ca="1">SUM(IF(BD1171,1,0)*IF(ap_start_date&lt;=AO1171,1,0)*IF(ap_end_date&gt;=AO1171,1,0)*ap_amount*(1+ap_escalation/100)^(INT((AP1171-ap_months_since_start)/12))*IF(MOD(AP1171-ap_months_since_start,ap_frequency)=0,1,0))</f>
        <v>1020787.2197467743</v>
      </c>
      <c r="BG1171" s="24">
        <f t="shared" ca="1" si="906"/>
        <v>12249446.636961291</v>
      </c>
      <c r="BH1171" s="24">
        <f t="shared" ca="1" si="907"/>
        <v>15.259403459283801</v>
      </c>
      <c r="BI1171">
        <f t="shared" ca="1" si="908"/>
        <v>0</v>
      </c>
      <c r="BJ1171" s="24">
        <f t="shared" ca="1" si="909"/>
        <v>106.81582421498659</v>
      </c>
      <c r="BK1171">
        <f t="shared" ca="1" si="910"/>
        <v>1</v>
      </c>
      <c r="BL1171" s="25">
        <f t="shared" ca="1" si="911"/>
        <v>8.9013186845822165</v>
      </c>
      <c r="BM1171" s="32">
        <f t="shared" ca="1" si="890"/>
        <v>605.80984317876744</v>
      </c>
      <c r="BN1171" s="23">
        <f t="shared" ca="1" si="912"/>
        <v>0</v>
      </c>
      <c r="BO1171" s="24">
        <f t="shared" ca="1" si="913"/>
        <v>0</v>
      </c>
      <c r="BP1171" s="25">
        <f t="shared" ca="1" si="914"/>
        <v>0</v>
      </c>
      <c r="BQ1171" s="34">
        <f t="shared" ca="1" si="915"/>
        <v>81054</v>
      </c>
      <c r="BR1171" s="23">
        <f t="shared" ca="1" si="916"/>
        <v>605.80984317876744</v>
      </c>
      <c r="BS1171" s="24">
        <f t="shared" ca="1" si="917"/>
        <v>0</v>
      </c>
      <c r="BT1171" s="24">
        <f t="shared" ca="1" si="882"/>
        <v>0</v>
      </c>
      <c r="BU1171" s="24">
        <f t="shared" ca="1" si="918"/>
        <v>0</v>
      </c>
      <c r="BV1171" s="24">
        <f t="shared" ca="1" si="883"/>
        <v>0</v>
      </c>
      <c r="BW1171" s="24">
        <f t="shared" ca="1" si="919"/>
        <v>-8.9013186845822165</v>
      </c>
      <c r="BX1171" s="25">
        <f t="shared" ca="1" si="884"/>
        <v>-116.90545641145371</v>
      </c>
      <c r="BY1171" s="23">
        <f t="shared" ca="1" si="891"/>
        <v>13.492810267840014</v>
      </c>
      <c r="BZ1171" s="24">
        <f t="shared" ca="1" si="892"/>
        <v>0</v>
      </c>
      <c r="CA1171" s="24">
        <f t="shared" ca="1" si="885"/>
        <v>0</v>
      </c>
      <c r="CB1171" s="24">
        <f t="shared" ca="1" si="893"/>
        <v>0</v>
      </c>
      <c r="CC1171" s="24">
        <f t="shared" ca="1" si="886"/>
        <v>0</v>
      </c>
      <c r="CD1171" s="24">
        <f t="shared" ca="1" si="894"/>
        <v>-0.19890233561410076</v>
      </c>
      <c r="CE1171" s="25">
        <f t="shared" ca="1" si="887"/>
        <v>-2.6602093697192357</v>
      </c>
      <c r="CF1171" s="23">
        <f t="shared" ca="1" si="888"/>
        <v>11817575.12091458</v>
      </c>
      <c r="CG1171" s="25">
        <f t="array" aca="1" ref="CG1171" ca="1">SUM(BF1160:BF1171/(1+inflation/100)^(AP1160:AP1171/12))</f>
        <v>267980.53702225402</v>
      </c>
      <c r="CH1171" s="32">
        <f ca="1">IFERROR(IF(MOD(AP1171-ap_months_since_start,12)=0,ap_drawdown/100*(AQ1171+AV1171+BA1171-BC1171),CH1170),0)</f>
        <v>93.811224502186562</v>
      </c>
    </row>
    <row r="1172" spans="40:86" x14ac:dyDescent="0.25">
      <c r="AN1172" s="32">
        <f t="shared" ca="1" si="889"/>
        <v>151.91666666666666</v>
      </c>
      <c r="AO1172" s="53">
        <f t="shared" ca="1" si="920"/>
        <v>81055</v>
      </c>
      <c r="AP1172" s="22">
        <v>1165</v>
      </c>
      <c r="AQ1172" s="32">
        <f t="shared" ca="1" si="921"/>
        <v>605.80984317876744</v>
      </c>
      <c r="AR1172" s="23">
        <f t="array" aca="1" ref="AR1172" ca="1">SUM(IF(lsc_start_date=AO1172,lsc_amount,0))</f>
        <v>0</v>
      </c>
      <c r="AS1172" s="24">
        <f t="shared" ca="1" si="895"/>
        <v>0</v>
      </c>
      <c r="AT1172" s="24">
        <f t="shared" ca="1" si="896"/>
        <v>0</v>
      </c>
      <c r="AU1172" s="24">
        <f t="shared" ca="1" si="897"/>
        <v>0</v>
      </c>
      <c r="AV1172" s="25">
        <f t="shared" ca="1" si="898"/>
        <v>0</v>
      </c>
      <c r="AW1172" s="23">
        <f t="array" aca="1" ref="AW1172" ca="1">SUM(IF(rcs_start_date&lt;=AO1172,1,0)*IF(rcs_end_date&gt;=AO1172,1,0)*rcs_amount*(1+rcs_escalation/100)^(INT((AP1172-rcs_months_since_start)/12))*IF(MOD((AP1172-rcs_months_since_start),rcs_frequency)=0,1,0)*IF(rcs_frequency=13,0,1))+SUM(IF(rcs_start_date=AO1172,rcs_amount,0)*IF(rcs_frequency=13,1,0))</f>
        <v>0</v>
      </c>
      <c r="AX1172" s="24">
        <f t="shared" ca="1" si="899"/>
        <v>0</v>
      </c>
      <c r="AY1172" s="24">
        <f t="shared" ca="1" si="900"/>
        <v>0</v>
      </c>
      <c r="AZ1172" s="24">
        <f t="shared" ca="1" si="901"/>
        <v>0</v>
      </c>
      <c r="BA1172" s="25">
        <f t="shared" ca="1" si="902"/>
        <v>0</v>
      </c>
      <c r="BB1172" s="23">
        <f t="array" aca="1" ref="BB1172" ca="1">SUM(IF(w_start_date&lt;=AO1172,1,0)*IF(w_end_date&gt;=AO1172,1,0)*w_amount*(1+w_escalation/100)^(INT((AP1172-w_months_since_start)/12))*IF(MOD(AP1172-w_months_since_start,w_frequency)=0,1,0)*IF(w_frequency=13,0,1))+SUM(IF(w_start_date=AO1172,w_amount,0)*IF(w_frequency=13,1,0))</f>
        <v>0</v>
      </c>
      <c r="BC1172" s="25">
        <f t="shared" ca="1" si="903"/>
        <v>0</v>
      </c>
      <c r="BD1172" s="24" t="b">
        <f t="shared" ca="1" si="904"/>
        <v>1</v>
      </c>
      <c r="BE1172" s="24" t="b">
        <f t="shared" ca="1" si="905"/>
        <v>1</v>
      </c>
      <c r="BF1172" s="23">
        <f t="array" aca="1" ref="BF1172" ca="1">SUM(IF(BD1172,1,0)*IF(ap_start_date&lt;=AO1172,1,0)*IF(ap_end_date&gt;=AO1172,1,0)*ap_amount*(1+ap_escalation/100)^(INT((AP1172-ap_months_since_start)/12))*IF(MOD(AP1172-ap_months_since_start,ap_frequency)=0,1,0))</f>
        <v>1020787.2197467743</v>
      </c>
      <c r="BG1172" s="24">
        <f t="shared" ca="1" si="906"/>
        <v>12249446.636961291</v>
      </c>
      <c r="BH1172" s="24">
        <f t="shared" ca="1" si="907"/>
        <v>15.259403459283801</v>
      </c>
      <c r="BI1172">
        <f t="shared" ca="1" si="908"/>
        <v>0</v>
      </c>
      <c r="BJ1172" s="24">
        <f t="shared" ca="1" si="909"/>
        <v>106.81582421498659</v>
      </c>
      <c r="BK1172">
        <f t="shared" ca="1" si="910"/>
        <v>1</v>
      </c>
      <c r="BL1172" s="25">
        <f t="shared" ca="1" si="911"/>
        <v>8.9013186845822165</v>
      </c>
      <c r="BM1172" s="32">
        <f t="shared" ca="1" si="890"/>
        <v>601.21063722037297</v>
      </c>
      <c r="BN1172" s="23">
        <f t="shared" ca="1" si="912"/>
        <v>0</v>
      </c>
      <c r="BO1172" s="24">
        <f t="shared" ca="1" si="913"/>
        <v>0</v>
      </c>
      <c r="BP1172" s="25">
        <f t="shared" ca="1" si="914"/>
        <v>0</v>
      </c>
      <c r="BQ1172" s="34">
        <f t="shared" ca="1" si="915"/>
        <v>81085</v>
      </c>
      <c r="BR1172" s="23">
        <f t="shared" ca="1" si="916"/>
        <v>601.21063722037297</v>
      </c>
      <c r="BS1172" s="24">
        <f t="shared" ca="1" si="917"/>
        <v>0</v>
      </c>
      <c r="BT1172" s="24">
        <f t="shared" ref="BT1172:BT1219" ca="1" si="922">SUM(BS1161:BS1172)</f>
        <v>0</v>
      </c>
      <c r="BU1172" s="24">
        <f t="shared" ca="1" si="918"/>
        <v>0</v>
      </c>
      <c r="BV1172" s="24">
        <f t="shared" ref="BV1172:BV1219" ca="1" si="923">SUM(BU1161:BU1172)</f>
        <v>0</v>
      </c>
      <c r="BW1172" s="24">
        <f t="shared" ca="1" si="919"/>
        <v>-8.9013186845822165</v>
      </c>
      <c r="BX1172" s="25">
        <f t="shared" ref="BX1172:BX1219" ca="1" si="924">SUM(BW1161:BW1172)</f>
        <v>-115.9882171208658</v>
      </c>
      <c r="BY1172" s="23">
        <f t="shared" ca="1" si="891"/>
        <v>13.346681569914214</v>
      </c>
      <c r="BZ1172" s="24">
        <f t="shared" ca="1" si="892"/>
        <v>0</v>
      </c>
      <c r="CA1172" s="24">
        <f t="shared" ref="CA1172:CA1219" ca="1" si="925">SUM(BZ1161:BZ1172)</f>
        <v>0</v>
      </c>
      <c r="CB1172" s="24">
        <f t="shared" ca="1" si="893"/>
        <v>0</v>
      </c>
      <c r="CC1172" s="24">
        <f t="shared" ref="CC1172:CC1219" ca="1" si="926">SUM(CB1161:CB1172)</f>
        <v>0</v>
      </c>
      <c r="CD1172" s="24">
        <f t="shared" ca="1" si="894"/>
        <v>-0.19825330587968981</v>
      </c>
      <c r="CE1172" s="25">
        <f t="shared" ref="CE1172:CE1219" ca="1" si="927">SUM(CD1161:CD1172)</f>
        <v>-2.6310329977740778</v>
      </c>
      <c r="CF1172" s="23">
        <f t="shared" ref="CF1172:CF1219" ca="1" si="928">SUM(BF1161:BF1172)</f>
        <v>11856836.167827917</v>
      </c>
      <c r="CG1172" s="25">
        <f t="array" aca="1" ref="CG1172" ca="1">SUM(BF1161:BF1172/(1+inflation/100)^(AP1161:AP1172/12))</f>
        <v>267980.53702225402</v>
      </c>
      <c r="CH1172" s="32">
        <f ca="1">IFERROR(IF(MOD(AP1172-ap_months_since_start,12)=0,ap_drawdown/100*(AQ1172+AV1172+BA1172-BC1172),CH1171),0)</f>
        <v>93.811224502186562</v>
      </c>
    </row>
    <row r="1173" spans="40:86" x14ac:dyDescent="0.25">
      <c r="AN1173" s="32">
        <f t="shared" ca="1" si="889"/>
        <v>152</v>
      </c>
      <c r="AO1173" s="53">
        <f t="shared" ca="1" si="920"/>
        <v>81086</v>
      </c>
      <c r="AP1173" s="22">
        <v>1166</v>
      </c>
      <c r="AQ1173" s="32">
        <f t="shared" ca="1" si="921"/>
        <v>601.21063722037297</v>
      </c>
      <c r="AR1173" s="23">
        <f t="array" aca="1" ref="AR1173" ca="1">SUM(IF(lsc_start_date=AO1173,lsc_amount,0))</f>
        <v>0</v>
      </c>
      <c r="AS1173" s="24">
        <f t="shared" ca="1" si="895"/>
        <v>0</v>
      </c>
      <c r="AT1173" s="24">
        <f t="shared" ca="1" si="896"/>
        <v>0</v>
      </c>
      <c r="AU1173" s="24">
        <f t="shared" ca="1" si="897"/>
        <v>0</v>
      </c>
      <c r="AV1173" s="25">
        <f t="shared" ca="1" si="898"/>
        <v>0</v>
      </c>
      <c r="AW1173" s="23">
        <f t="array" aca="1" ref="AW1173" ca="1">SUM(IF(rcs_start_date&lt;=AO1173,1,0)*IF(rcs_end_date&gt;=AO1173,1,0)*rcs_amount*(1+rcs_escalation/100)^(INT((AP1173-rcs_months_since_start)/12))*IF(MOD((AP1173-rcs_months_since_start),rcs_frequency)=0,1,0)*IF(rcs_frequency=13,0,1))+SUM(IF(rcs_start_date=AO1173,rcs_amount,0)*IF(rcs_frequency=13,1,0))</f>
        <v>0</v>
      </c>
      <c r="AX1173" s="24">
        <f t="shared" ca="1" si="899"/>
        <v>0</v>
      </c>
      <c r="AY1173" s="24">
        <f t="shared" ca="1" si="900"/>
        <v>0</v>
      </c>
      <c r="AZ1173" s="24">
        <f t="shared" ca="1" si="901"/>
        <v>0</v>
      </c>
      <c r="BA1173" s="25">
        <f t="shared" ca="1" si="902"/>
        <v>0</v>
      </c>
      <c r="BB1173" s="23">
        <f t="array" aca="1" ref="BB1173" ca="1">SUM(IF(w_start_date&lt;=AO1173,1,0)*IF(w_end_date&gt;=AO1173,1,0)*w_amount*(1+w_escalation/100)^(INT((AP1173-w_months_since_start)/12))*IF(MOD(AP1173-w_months_since_start,w_frequency)=0,1,0)*IF(w_frequency=13,0,1))+SUM(IF(w_start_date=AO1173,w_amount,0)*IF(w_frequency=13,1,0))</f>
        <v>0</v>
      </c>
      <c r="BC1173" s="25">
        <f t="shared" ca="1" si="903"/>
        <v>0</v>
      </c>
      <c r="BD1173" s="24" t="b">
        <f t="shared" ca="1" si="904"/>
        <v>1</v>
      </c>
      <c r="BE1173" s="24" t="b">
        <f t="shared" ca="1" si="905"/>
        <v>1</v>
      </c>
      <c r="BF1173" s="23">
        <f t="array" aca="1" ref="BF1173" ca="1">SUM(IF(BD1173,1,0)*IF(ap_start_date&lt;=AO1173,1,0)*IF(ap_end_date&gt;=AO1173,1,0)*ap_amount*(1+ap_escalation/100)^(INT((AP1173-ap_months_since_start)/12))*IF(MOD(AP1173-ap_months_since_start,ap_frequency)=0,1,0))</f>
        <v>1020787.2197467743</v>
      </c>
      <c r="BG1173" s="24">
        <f t="shared" ca="1" si="906"/>
        <v>12249446.636961291</v>
      </c>
      <c r="BH1173" s="24">
        <f t="shared" ca="1" si="907"/>
        <v>15.259403459283801</v>
      </c>
      <c r="BI1173">
        <f t="shared" ca="1" si="908"/>
        <v>0</v>
      </c>
      <c r="BJ1173" s="24">
        <f t="shared" ca="1" si="909"/>
        <v>106.81582421498659</v>
      </c>
      <c r="BK1173">
        <f t="shared" ca="1" si="910"/>
        <v>1</v>
      </c>
      <c r="BL1173" s="25">
        <f t="shared" ca="1" si="911"/>
        <v>8.9013186845822165</v>
      </c>
      <c r="BM1173" s="32">
        <f t="shared" ca="1" si="890"/>
        <v>596.5782832976389</v>
      </c>
      <c r="BN1173" s="23">
        <f t="shared" ca="1" si="912"/>
        <v>0</v>
      </c>
      <c r="BO1173" s="24">
        <f t="shared" ca="1" si="913"/>
        <v>0</v>
      </c>
      <c r="BP1173" s="25">
        <f t="shared" ca="1" si="914"/>
        <v>0</v>
      </c>
      <c r="BQ1173" s="34">
        <f t="shared" ca="1" si="915"/>
        <v>81116</v>
      </c>
      <c r="BR1173" s="23">
        <f t="shared" ca="1" si="916"/>
        <v>596.5782832976389</v>
      </c>
      <c r="BS1173" s="24">
        <f t="shared" ca="1" si="917"/>
        <v>0</v>
      </c>
      <c r="BT1173" s="24">
        <f t="shared" ca="1" si="922"/>
        <v>0</v>
      </c>
      <c r="BU1173" s="24">
        <f t="shared" ca="1" si="918"/>
        <v>0</v>
      </c>
      <c r="BV1173" s="24">
        <f t="shared" ca="1" si="923"/>
        <v>0</v>
      </c>
      <c r="BW1173" s="24">
        <f t="shared" ca="1" si="919"/>
        <v>-8.9013186845822165</v>
      </c>
      <c r="BX1173" s="25">
        <f t="shared" ca="1" si="924"/>
        <v>-115.07097783027788</v>
      </c>
      <c r="BY1173" s="23">
        <f t="shared" ca="1" si="891"/>
        <v>13.20062938647634</v>
      </c>
      <c r="BZ1173" s="24">
        <f t="shared" ca="1" si="892"/>
        <v>0</v>
      </c>
      <c r="CA1173" s="24">
        <f t="shared" ca="1" si="925"/>
        <v>0</v>
      </c>
      <c r="CB1173" s="24">
        <f t="shared" ca="1" si="893"/>
        <v>0</v>
      </c>
      <c r="CC1173" s="24">
        <f t="shared" ca="1" si="926"/>
        <v>0</v>
      </c>
      <c r="CD1173" s="24">
        <f t="shared" ca="1" si="894"/>
        <v>-0.19760639396654486</v>
      </c>
      <c r="CE1173" s="25">
        <f t="shared" ca="1" si="927"/>
        <v>-2.6019518300047597</v>
      </c>
      <c r="CF1173" s="23">
        <f t="shared" ca="1" si="928"/>
        <v>11896097.214741254</v>
      </c>
      <c r="CG1173" s="25">
        <f t="array" aca="1" ref="CG1173" ca="1">SUM(BF1162:BF1173/(1+inflation/100)^(AP1162:AP1173/12))</f>
        <v>267980.53702225402</v>
      </c>
      <c r="CH1173" s="32">
        <f ca="1">IFERROR(IF(MOD(AP1173-ap_months_since_start,12)=0,ap_drawdown/100*(AQ1173+AV1173+BA1173-BC1173),CH1172),0)</f>
        <v>93.811224502186562</v>
      </c>
    </row>
    <row r="1174" spans="40:86" x14ac:dyDescent="0.25">
      <c r="AN1174" s="32">
        <f t="shared" ca="1" si="889"/>
        <v>152.08333333333334</v>
      </c>
      <c r="AO1174" s="53">
        <f t="shared" ca="1" si="920"/>
        <v>81117</v>
      </c>
      <c r="AP1174" s="22">
        <v>1167</v>
      </c>
      <c r="AQ1174" s="32">
        <f t="shared" ca="1" si="921"/>
        <v>596.5782832976389</v>
      </c>
      <c r="AR1174" s="23">
        <f t="array" aca="1" ref="AR1174" ca="1">SUM(IF(lsc_start_date=AO1174,lsc_amount,0))</f>
        <v>0</v>
      </c>
      <c r="AS1174" s="24">
        <f t="shared" ca="1" si="895"/>
        <v>0</v>
      </c>
      <c r="AT1174" s="24">
        <f t="shared" ca="1" si="896"/>
        <v>0</v>
      </c>
      <c r="AU1174" s="24">
        <f t="shared" ca="1" si="897"/>
        <v>0</v>
      </c>
      <c r="AV1174" s="25">
        <f t="shared" ca="1" si="898"/>
        <v>0</v>
      </c>
      <c r="AW1174" s="23">
        <f t="array" aca="1" ref="AW1174" ca="1">SUM(IF(rcs_start_date&lt;=AO1174,1,0)*IF(rcs_end_date&gt;=AO1174,1,0)*rcs_amount*(1+rcs_escalation/100)^(INT((AP1174-rcs_months_since_start)/12))*IF(MOD((AP1174-rcs_months_since_start),rcs_frequency)=0,1,0)*IF(rcs_frequency=13,0,1))+SUM(IF(rcs_start_date=AO1174,rcs_amount,0)*IF(rcs_frequency=13,1,0))</f>
        <v>0</v>
      </c>
      <c r="AX1174" s="24">
        <f t="shared" ca="1" si="899"/>
        <v>0</v>
      </c>
      <c r="AY1174" s="24">
        <f t="shared" ca="1" si="900"/>
        <v>0</v>
      </c>
      <c r="AZ1174" s="24">
        <f t="shared" ca="1" si="901"/>
        <v>0</v>
      </c>
      <c r="BA1174" s="25">
        <f t="shared" ca="1" si="902"/>
        <v>0</v>
      </c>
      <c r="BB1174" s="23">
        <f t="array" aca="1" ref="BB1174" ca="1">SUM(IF(w_start_date&lt;=AO1174,1,0)*IF(w_end_date&gt;=AO1174,1,0)*w_amount*(1+w_escalation/100)^(INT((AP1174-w_months_since_start)/12))*IF(MOD(AP1174-w_months_since_start,w_frequency)=0,1,0)*IF(w_frequency=13,0,1))+SUM(IF(w_start_date=AO1174,w_amount,0)*IF(w_frequency=13,1,0))</f>
        <v>0</v>
      </c>
      <c r="BC1174" s="25">
        <f t="shared" ca="1" si="903"/>
        <v>0</v>
      </c>
      <c r="BD1174" s="24" t="b">
        <f t="shared" ca="1" si="904"/>
        <v>1</v>
      </c>
      <c r="BE1174" s="24" t="b">
        <f t="shared" ca="1" si="905"/>
        <v>1</v>
      </c>
      <c r="BF1174" s="23">
        <f t="array" aca="1" ref="BF1174" ca="1">SUM(IF(BD1174,1,0)*IF(ap_start_date&lt;=AO1174,1,0)*IF(ap_end_date&gt;=AO1174,1,0)*ap_amount*(1+ap_escalation/100)^(INT((AP1174-ap_months_since_start)/12))*IF(MOD(AP1174-ap_months_since_start,ap_frequency)=0,1,0))</f>
        <v>1020787.2197467743</v>
      </c>
      <c r="BG1174" s="24">
        <f t="shared" ca="1" si="906"/>
        <v>12249446.636961291</v>
      </c>
      <c r="BH1174" s="24">
        <f t="shared" ca="1" si="907"/>
        <v>15.259403459283801</v>
      </c>
      <c r="BI1174">
        <f t="shared" ca="1" si="908"/>
        <v>0</v>
      </c>
      <c r="BJ1174" s="24">
        <f t="shared" ca="1" si="909"/>
        <v>106.81582421498659</v>
      </c>
      <c r="BK1174">
        <f t="shared" ca="1" si="910"/>
        <v>1</v>
      </c>
      <c r="BL1174" s="25">
        <f t="shared" ca="1" si="911"/>
        <v>8.9013186845822165</v>
      </c>
      <c r="BM1174" s="32">
        <f t="shared" ca="1" si="890"/>
        <v>591.91254250246891</v>
      </c>
      <c r="BN1174" s="23">
        <f t="shared" ca="1" si="912"/>
        <v>0</v>
      </c>
      <c r="BO1174" s="24">
        <f t="shared" ca="1" si="913"/>
        <v>0</v>
      </c>
      <c r="BP1174" s="25">
        <f t="shared" ca="1" si="914"/>
        <v>0</v>
      </c>
      <c r="BQ1174" s="34">
        <f t="shared" ca="1" si="915"/>
        <v>81144</v>
      </c>
      <c r="BR1174" s="23">
        <f t="shared" ca="1" si="916"/>
        <v>591.91254250246891</v>
      </c>
      <c r="BS1174" s="24">
        <f t="shared" ca="1" si="917"/>
        <v>0</v>
      </c>
      <c r="BT1174" s="24">
        <f t="shared" ca="1" si="922"/>
        <v>0</v>
      </c>
      <c r="BU1174" s="24">
        <f t="shared" ca="1" si="918"/>
        <v>0</v>
      </c>
      <c r="BV1174" s="24">
        <f t="shared" ca="1" si="923"/>
        <v>0</v>
      </c>
      <c r="BW1174" s="24">
        <f t="shared" ca="1" si="919"/>
        <v>-8.9013186845822165</v>
      </c>
      <c r="BX1174" s="25">
        <f t="shared" ca="1" si="924"/>
        <v>-114.15373853968997</v>
      </c>
      <c r="BY1174" s="23">
        <f t="shared" ca="1" si="891"/>
        <v>13.054651898333399</v>
      </c>
      <c r="BZ1174" s="24">
        <f t="shared" ca="1" si="892"/>
        <v>0</v>
      </c>
      <c r="CA1174" s="24">
        <f t="shared" ca="1" si="925"/>
        <v>0</v>
      </c>
      <c r="CB1174" s="24">
        <f t="shared" ca="1" si="893"/>
        <v>0</v>
      </c>
      <c r="CC1174" s="24">
        <f t="shared" ca="1" si="926"/>
        <v>0</v>
      </c>
      <c r="CD1174" s="24">
        <f t="shared" ca="1" si="894"/>
        <v>-0.19696159296409302</v>
      </c>
      <c r="CE1174" s="25">
        <f t="shared" ca="1" si="927"/>
        <v>-2.5729655557545916</v>
      </c>
      <c r="CF1174" s="23">
        <f t="shared" ca="1" si="928"/>
        <v>11935358.261654593</v>
      </c>
      <c r="CG1174" s="25">
        <f t="array" aca="1" ref="CG1174" ca="1">SUM(BF1163:BF1174/(1+inflation/100)^(AP1163:AP1174/12))</f>
        <v>267980.53702225402</v>
      </c>
      <c r="CH1174" s="32">
        <f ca="1">IFERROR(IF(MOD(AP1174-ap_months_since_start,12)=0,ap_drawdown/100*(AQ1174+AV1174+BA1174-BC1174),CH1173),0)</f>
        <v>93.811224502186562</v>
      </c>
    </row>
    <row r="1175" spans="40:86" x14ac:dyDescent="0.25">
      <c r="AN1175" s="32">
        <f t="shared" ca="1" si="889"/>
        <v>152.16666666666666</v>
      </c>
      <c r="AO1175" s="53">
        <f t="shared" ca="1" si="920"/>
        <v>81145</v>
      </c>
      <c r="AP1175" s="22">
        <v>1168</v>
      </c>
      <c r="AQ1175" s="32">
        <f t="shared" ca="1" si="921"/>
        <v>591.91254250246891</v>
      </c>
      <c r="AR1175" s="23">
        <f t="array" aca="1" ref="AR1175" ca="1">SUM(IF(lsc_start_date=AO1175,lsc_amount,0))</f>
        <v>0</v>
      </c>
      <c r="AS1175" s="24">
        <f t="shared" ca="1" si="895"/>
        <v>0</v>
      </c>
      <c r="AT1175" s="24">
        <f t="shared" ca="1" si="896"/>
        <v>0</v>
      </c>
      <c r="AU1175" s="24">
        <f t="shared" ca="1" si="897"/>
        <v>0</v>
      </c>
      <c r="AV1175" s="25">
        <f t="shared" ca="1" si="898"/>
        <v>0</v>
      </c>
      <c r="AW1175" s="23">
        <f t="array" aca="1" ref="AW1175" ca="1">SUM(IF(rcs_start_date&lt;=AO1175,1,0)*IF(rcs_end_date&gt;=AO1175,1,0)*rcs_amount*(1+rcs_escalation/100)^(INT((AP1175-rcs_months_since_start)/12))*IF(MOD((AP1175-rcs_months_since_start),rcs_frequency)=0,1,0)*IF(rcs_frequency=13,0,1))+SUM(IF(rcs_start_date=AO1175,rcs_amount,0)*IF(rcs_frequency=13,1,0))</f>
        <v>0</v>
      </c>
      <c r="AX1175" s="24">
        <f t="shared" ca="1" si="899"/>
        <v>0</v>
      </c>
      <c r="AY1175" s="24">
        <f t="shared" ca="1" si="900"/>
        <v>0</v>
      </c>
      <c r="AZ1175" s="24">
        <f t="shared" ca="1" si="901"/>
        <v>0</v>
      </c>
      <c r="BA1175" s="25">
        <f t="shared" ca="1" si="902"/>
        <v>0</v>
      </c>
      <c r="BB1175" s="23">
        <f t="array" aca="1" ref="BB1175" ca="1">SUM(IF(w_start_date&lt;=AO1175,1,0)*IF(w_end_date&gt;=AO1175,1,0)*w_amount*(1+w_escalation/100)^(INT((AP1175-w_months_since_start)/12))*IF(MOD(AP1175-w_months_since_start,w_frequency)=0,1,0)*IF(w_frequency=13,0,1))+SUM(IF(w_start_date=AO1175,w_amount,0)*IF(w_frequency=13,1,0))</f>
        <v>0</v>
      </c>
      <c r="BC1175" s="25">
        <f t="shared" ca="1" si="903"/>
        <v>0</v>
      </c>
      <c r="BD1175" s="24" t="b">
        <f t="shared" ca="1" si="904"/>
        <v>1</v>
      </c>
      <c r="BE1175" s="24" t="b">
        <f t="shared" ca="1" si="905"/>
        <v>1</v>
      </c>
      <c r="BF1175" s="23">
        <f t="array" aca="1" ref="BF1175" ca="1">SUM(IF(BD1175,1,0)*IF(ap_start_date&lt;=AO1175,1,0)*IF(ap_end_date&gt;=AO1175,1,0)*ap_amount*(1+ap_escalation/100)^(INT((AP1175-ap_months_since_start)/12))*IF(MOD(AP1175-ap_months_since_start,ap_frequency)=0,1,0))</f>
        <v>1020787.2197467743</v>
      </c>
      <c r="BG1175" s="24">
        <f t="shared" ca="1" si="906"/>
        <v>12249446.636961291</v>
      </c>
      <c r="BH1175" s="24">
        <f t="shared" ca="1" si="907"/>
        <v>15.259403459283801</v>
      </c>
      <c r="BI1175">
        <f t="shared" ca="1" si="908"/>
        <v>0</v>
      </c>
      <c r="BJ1175" s="24">
        <f t="shared" ca="1" si="909"/>
        <v>106.81582421498659</v>
      </c>
      <c r="BK1175">
        <f t="shared" ca="1" si="910"/>
        <v>1</v>
      </c>
      <c r="BL1175" s="25">
        <f t="shared" ca="1" si="911"/>
        <v>8.9013186845822165</v>
      </c>
      <c r="BM1175" s="32">
        <f t="shared" ca="1" si="890"/>
        <v>587.21317420487878</v>
      </c>
      <c r="BN1175" s="23">
        <f t="shared" ca="1" si="912"/>
        <v>0</v>
      </c>
      <c r="BO1175" s="24">
        <f t="shared" ca="1" si="913"/>
        <v>0</v>
      </c>
      <c r="BP1175" s="25">
        <f t="shared" ca="1" si="914"/>
        <v>0</v>
      </c>
      <c r="BQ1175" s="34">
        <f t="shared" ca="1" si="915"/>
        <v>81175</v>
      </c>
      <c r="BR1175" s="23">
        <f t="shared" ca="1" si="916"/>
        <v>587.21317420487878</v>
      </c>
      <c r="BS1175" s="24">
        <f t="shared" ca="1" si="917"/>
        <v>0</v>
      </c>
      <c r="BT1175" s="24">
        <f t="shared" ca="1" si="922"/>
        <v>0</v>
      </c>
      <c r="BU1175" s="24">
        <f t="shared" ca="1" si="918"/>
        <v>0</v>
      </c>
      <c r="BV1175" s="24">
        <f t="shared" ca="1" si="923"/>
        <v>0</v>
      </c>
      <c r="BW1175" s="24">
        <f t="shared" ca="1" si="919"/>
        <v>-8.9013186845822165</v>
      </c>
      <c r="BX1175" s="25">
        <f t="shared" ca="1" si="924"/>
        <v>-113.23649924910205</v>
      </c>
      <c r="BY1175" s="23">
        <f t="shared" ca="1" si="891"/>
        <v>12.908747286074794</v>
      </c>
      <c r="BZ1175" s="24">
        <f t="shared" ca="1" si="892"/>
        <v>0</v>
      </c>
      <c r="CA1175" s="24">
        <f t="shared" ca="1" si="925"/>
        <v>0</v>
      </c>
      <c r="CB1175" s="24">
        <f t="shared" ca="1" si="893"/>
        <v>0</v>
      </c>
      <c r="CC1175" s="24">
        <f t="shared" ca="1" si="926"/>
        <v>0</v>
      </c>
      <c r="CD1175" s="24">
        <f t="shared" ca="1" si="894"/>
        <v>-0.19631889598431188</v>
      </c>
      <c r="CE1175" s="25">
        <f t="shared" ca="1" si="927"/>
        <v>-2.5440738653805761</v>
      </c>
      <c r="CF1175" s="23">
        <f t="shared" ca="1" si="928"/>
        <v>11974619.30856793</v>
      </c>
      <c r="CG1175" s="25">
        <f t="array" aca="1" ref="CG1175" ca="1">SUM(BF1164:BF1175/(1+inflation/100)^(AP1164:AP1175/12))</f>
        <v>267980.53702225396</v>
      </c>
      <c r="CH1175" s="32">
        <f ca="1">IFERROR(IF(MOD(AP1175-ap_months_since_start,12)=0,ap_drawdown/100*(AQ1175+AV1175+BA1175-BC1175),CH1174),0)</f>
        <v>93.811224502186562</v>
      </c>
    </row>
    <row r="1176" spans="40:86" x14ac:dyDescent="0.25">
      <c r="AN1176" s="32">
        <f t="shared" ca="1" si="889"/>
        <v>152.25</v>
      </c>
      <c r="AO1176" s="53">
        <f t="shared" ca="1" si="920"/>
        <v>81176</v>
      </c>
      <c r="AP1176" s="22">
        <v>1169</v>
      </c>
      <c r="AQ1176" s="32">
        <f t="shared" ca="1" si="921"/>
        <v>587.21317420487878</v>
      </c>
      <c r="AR1176" s="23">
        <f t="array" aca="1" ref="AR1176" ca="1">SUM(IF(lsc_start_date=AO1176,lsc_amount,0))</f>
        <v>0</v>
      </c>
      <c r="AS1176" s="24">
        <f t="shared" ca="1" si="895"/>
        <v>0</v>
      </c>
      <c r="AT1176" s="24">
        <f t="shared" ca="1" si="896"/>
        <v>0</v>
      </c>
      <c r="AU1176" s="24">
        <f t="shared" ca="1" si="897"/>
        <v>0</v>
      </c>
      <c r="AV1176" s="25">
        <f t="shared" ca="1" si="898"/>
        <v>0</v>
      </c>
      <c r="AW1176" s="23">
        <f t="array" aca="1" ref="AW1176" ca="1">SUM(IF(rcs_start_date&lt;=AO1176,1,0)*IF(rcs_end_date&gt;=AO1176,1,0)*rcs_amount*(1+rcs_escalation/100)^(INT((AP1176-rcs_months_since_start)/12))*IF(MOD((AP1176-rcs_months_since_start),rcs_frequency)=0,1,0)*IF(rcs_frequency=13,0,1))+SUM(IF(rcs_start_date=AO1176,rcs_amount,0)*IF(rcs_frequency=13,1,0))</f>
        <v>0</v>
      </c>
      <c r="AX1176" s="24">
        <f t="shared" ca="1" si="899"/>
        <v>0</v>
      </c>
      <c r="AY1176" s="24">
        <f t="shared" ca="1" si="900"/>
        <v>0</v>
      </c>
      <c r="AZ1176" s="24">
        <f t="shared" ca="1" si="901"/>
        <v>0</v>
      </c>
      <c r="BA1176" s="25">
        <f t="shared" ca="1" si="902"/>
        <v>0</v>
      </c>
      <c r="BB1176" s="23">
        <f t="array" aca="1" ref="BB1176" ca="1">SUM(IF(w_start_date&lt;=AO1176,1,0)*IF(w_end_date&gt;=AO1176,1,0)*w_amount*(1+w_escalation/100)^(INT((AP1176-w_months_since_start)/12))*IF(MOD(AP1176-w_months_since_start,w_frequency)=0,1,0)*IF(w_frequency=13,0,1))+SUM(IF(w_start_date=AO1176,w_amount,0)*IF(w_frequency=13,1,0))</f>
        <v>0</v>
      </c>
      <c r="BC1176" s="25">
        <f t="shared" ca="1" si="903"/>
        <v>0</v>
      </c>
      <c r="BD1176" s="24" t="b">
        <f t="shared" ca="1" si="904"/>
        <v>1</v>
      </c>
      <c r="BE1176" s="24" t="b">
        <f t="shared" ca="1" si="905"/>
        <v>1</v>
      </c>
      <c r="BF1176" s="23">
        <f t="array" aca="1" ref="BF1176" ca="1">SUM(IF(BD1176,1,0)*IF(ap_start_date&lt;=AO1176,1,0)*IF(ap_end_date&gt;=AO1176,1,0)*ap_amount*(1+ap_escalation/100)^(INT((AP1176-ap_months_since_start)/12))*IF(MOD(AP1176-ap_months_since_start,ap_frequency)=0,1,0))</f>
        <v>1020787.2197467743</v>
      </c>
      <c r="BG1176" s="24">
        <f t="shared" ca="1" si="906"/>
        <v>12249446.636961291</v>
      </c>
      <c r="BH1176" s="24">
        <f t="shared" ca="1" si="907"/>
        <v>15.259403459283801</v>
      </c>
      <c r="BI1176">
        <f t="shared" ca="1" si="908"/>
        <v>0</v>
      </c>
      <c r="BJ1176" s="24">
        <f t="shared" ca="1" si="909"/>
        <v>106.81582421498659</v>
      </c>
      <c r="BK1176">
        <f t="shared" ca="1" si="910"/>
        <v>1</v>
      </c>
      <c r="BL1176" s="25">
        <f t="shared" ca="1" si="911"/>
        <v>8.9013186845822165</v>
      </c>
      <c r="BM1176" s="32">
        <f t="shared" ca="1" si="890"/>
        <v>582.47993604058638</v>
      </c>
      <c r="BN1176" s="23">
        <f t="shared" ca="1" si="912"/>
        <v>0</v>
      </c>
      <c r="BO1176" s="24">
        <f t="shared" ca="1" si="913"/>
        <v>0</v>
      </c>
      <c r="BP1176" s="25">
        <f t="shared" ca="1" si="914"/>
        <v>0</v>
      </c>
      <c r="BQ1176" s="34">
        <f t="shared" ca="1" si="915"/>
        <v>81205</v>
      </c>
      <c r="BR1176" s="23">
        <f t="shared" ca="1" si="916"/>
        <v>582.47993604058638</v>
      </c>
      <c r="BS1176" s="24">
        <f t="shared" ca="1" si="917"/>
        <v>0</v>
      </c>
      <c r="BT1176" s="24">
        <f t="shared" ca="1" si="922"/>
        <v>0</v>
      </c>
      <c r="BU1176" s="24">
        <f t="shared" ca="1" si="918"/>
        <v>0</v>
      </c>
      <c r="BV1176" s="24">
        <f t="shared" ca="1" si="923"/>
        <v>0</v>
      </c>
      <c r="BW1176" s="24">
        <f t="shared" ca="1" si="919"/>
        <v>-8.9013186845822165</v>
      </c>
      <c r="BX1176" s="25">
        <f t="shared" ca="1" si="924"/>
        <v>-112.31925995851414</v>
      </c>
      <c r="BY1176" s="23">
        <f t="shared" ca="1" si="891"/>
        <v>12.762913730048956</v>
      </c>
      <c r="BZ1176" s="24">
        <f t="shared" ca="1" si="892"/>
        <v>0</v>
      </c>
      <c r="CA1176" s="24">
        <f t="shared" ca="1" si="925"/>
        <v>0</v>
      </c>
      <c r="CB1176" s="24">
        <f t="shared" ca="1" si="893"/>
        <v>0</v>
      </c>
      <c r="CC1176" s="24">
        <f t="shared" ca="1" si="926"/>
        <v>0</v>
      </c>
      <c r="CD1176" s="24">
        <f t="shared" ca="1" si="894"/>
        <v>-0.19567829616165461</v>
      </c>
      <c r="CE1176" s="25">
        <f t="shared" ca="1" si="927"/>
        <v>-2.5152764502500986</v>
      </c>
      <c r="CF1176" s="23">
        <f t="shared" ca="1" si="928"/>
        <v>12013880.355481267</v>
      </c>
      <c r="CG1176" s="25">
        <f t="array" aca="1" ref="CG1176" ca="1">SUM(BF1165:BF1176/(1+inflation/100)^(AP1165:AP1176/12))</f>
        <v>267980.53702225396</v>
      </c>
      <c r="CH1176" s="32">
        <f ca="1">IFERROR(IF(MOD(AP1176-ap_months_since_start,12)=0,ap_drawdown/100*(AQ1176+AV1176+BA1176-BC1176),CH1175),0)</f>
        <v>93.811224502186562</v>
      </c>
    </row>
    <row r="1177" spans="40:86" x14ac:dyDescent="0.25">
      <c r="AN1177" s="32">
        <f t="shared" ca="1" si="889"/>
        <v>152.33333333333334</v>
      </c>
      <c r="AO1177" s="53">
        <f t="shared" ca="1" si="920"/>
        <v>81206</v>
      </c>
      <c r="AP1177" s="22">
        <v>1170</v>
      </c>
      <c r="AQ1177" s="32">
        <f t="shared" ca="1" si="921"/>
        <v>582.47993604058638</v>
      </c>
      <c r="AR1177" s="23">
        <f t="array" aca="1" ref="AR1177" ca="1">SUM(IF(lsc_start_date=AO1177,lsc_amount,0))</f>
        <v>0</v>
      </c>
      <c r="AS1177" s="24">
        <f t="shared" ca="1" si="895"/>
        <v>0</v>
      </c>
      <c r="AT1177" s="24">
        <f t="shared" ca="1" si="896"/>
        <v>0</v>
      </c>
      <c r="AU1177" s="24">
        <f t="shared" ca="1" si="897"/>
        <v>0</v>
      </c>
      <c r="AV1177" s="25">
        <f t="shared" ca="1" si="898"/>
        <v>0</v>
      </c>
      <c r="AW1177" s="23">
        <f t="array" aca="1" ref="AW1177" ca="1">SUM(IF(rcs_start_date&lt;=AO1177,1,0)*IF(rcs_end_date&gt;=AO1177,1,0)*rcs_amount*(1+rcs_escalation/100)^(INT((AP1177-rcs_months_since_start)/12))*IF(MOD((AP1177-rcs_months_since_start),rcs_frequency)=0,1,0)*IF(rcs_frequency=13,0,1))+SUM(IF(rcs_start_date=AO1177,rcs_amount,0)*IF(rcs_frequency=13,1,0))</f>
        <v>0</v>
      </c>
      <c r="AX1177" s="24">
        <f t="shared" ca="1" si="899"/>
        <v>0</v>
      </c>
      <c r="AY1177" s="24">
        <f t="shared" ca="1" si="900"/>
        <v>0</v>
      </c>
      <c r="AZ1177" s="24">
        <f t="shared" ca="1" si="901"/>
        <v>0</v>
      </c>
      <c r="BA1177" s="25">
        <f t="shared" ca="1" si="902"/>
        <v>0</v>
      </c>
      <c r="BB1177" s="23">
        <f t="array" aca="1" ref="BB1177" ca="1">SUM(IF(w_start_date&lt;=AO1177,1,0)*IF(w_end_date&gt;=AO1177,1,0)*w_amount*(1+w_escalation/100)^(INT((AP1177-w_months_since_start)/12))*IF(MOD(AP1177-w_months_since_start,w_frequency)=0,1,0)*IF(w_frequency=13,0,1))+SUM(IF(w_start_date=AO1177,w_amount,0)*IF(w_frequency=13,1,0))</f>
        <v>0</v>
      </c>
      <c r="BC1177" s="25">
        <f t="shared" ca="1" si="903"/>
        <v>0</v>
      </c>
      <c r="BD1177" s="24" t="b">
        <f t="shared" ca="1" si="904"/>
        <v>1</v>
      </c>
      <c r="BE1177" s="24" t="b">
        <f t="shared" ca="1" si="905"/>
        <v>1</v>
      </c>
      <c r="BF1177" s="23">
        <f t="array" aca="1" ref="BF1177" ca="1">SUM(IF(BD1177,1,0)*IF(ap_start_date&lt;=AO1177,1,0)*IF(ap_end_date&gt;=AO1177,1,0)*ap_amount*(1+ap_escalation/100)^(INT((AP1177-ap_months_since_start)/12))*IF(MOD(AP1177-ap_months_since_start,ap_frequency)=0,1,0))</f>
        <v>1020787.2197467743</v>
      </c>
      <c r="BG1177" s="24">
        <f t="shared" ca="1" si="906"/>
        <v>12249446.636961291</v>
      </c>
      <c r="BH1177" s="24">
        <f t="shared" ca="1" si="907"/>
        <v>15.259403459283801</v>
      </c>
      <c r="BI1177">
        <f t="shared" ca="1" si="908"/>
        <v>0</v>
      </c>
      <c r="BJ1177" s="24">
        <f t="shared" ca="1" si="909"/>
        <v>106.81582421498659</v>
      </c>
      <c r="BK1177">
        <f t="shared" ca="1" si="910"/>
        <v>1</v>
      </c>
      <c r="BL1177" s="25">
        <f t="shared" ca="1" si="911"/>
        <v>8.9013186845822165</v>
      </c>
      <c r="BM1177" s="32">
        <f t="shared" ca="1" si="890"/>
        <v>577.71258389851164</v>
      </c>
      <c r="BN1177" s="23">
        <f t="shared" ca="1" si="912"/>
        <v>0</v>
      </c>
      <c r="BO1177" s="24">
        <f t="shared" ca="1" si="913"/>
        <v>0</v>
      </c>
      <c r="BP1177" s="25">
        <f t="shared" ca="1" si="914"/>
        <v>0</v>
      </c>
      <c r="BQ1177" s="34">
        <f t="shared" ca="1" si="915"/>
        <v>81236</v>
      </c>
      <c r="BR1177" s="23">
        <f t="shared" ca="1" si="916"/>
        <v>577.71258389851164</v>
      </c>
      <c r="BS1177" s="24">
        <f t="shared" ca="1" si="917"/>
        <v>0</v>
      </c>
      <c r="BT1177" s="24">
        <f t="shared" ca="1" si="922"/>
        <v>0</v>
      </c>
      <c r="BU1177" s="24">
        <f t="shared" ca="1" si="918"/>
        <v>0</v>
      </c>
      <c r="BV1177" s="24">
        <f t="shared" ca="1" si="923"/>
        <v>0</v>
      </c>
      <c r="BW1177" s="24">
        <f t="shared" ca="1" si="919"/>
        <v>-8.9013186845822165</v>
      </c>
      <c r="BX1177" s="25">
        <f t="shared" ca="1" si="924"/>
        <v>-111.40202066792621</v>
      </c>
      <c r="BY1177" s="23">
        <f t="shared" ca="1" si="891"/>
        <v>12.617149410339911</v>
      </c>
      <c r="BZ1177" s="24">
        <f t="shared" ca="1" si="892"/>
        <v>0</v>
      </c>
      <c r="CA1177" s="24">
        <f t="shared" ca="1" si="925"/>
        <v>0</v>
      </c>
      <c r="CB1177" s="24">
        <f t="shared" ca="1" si="893"/>
        <v>0</v>
      </c>
      <c r="CC1177" s="24">
        <f t="shared" ca="1" si="926"/>
        <v>0</v>
      </c>
      <c r="CD1177" s="24">
        <f t="shared" ca="1" si="894"/>
        <v>-0.19503978665297703</v>
      </c>
      <c r="CE1177" s="25">
        <f t="shared" ca="1" si="927"/>
        <v>-2.4865730027376278</v>
      </c>
      <c r="CF1177" s="23">
        <f t="shared" ca="1" si="928"/>
        <v>12053141.402394604</v>
      </c>
      <c r="CG1177" s="25">
        <f t="array" aca="1" ref="CG1177" ca="1">SUM(BF1166:BF1177/(1+inflation/100)^(AP1166:AP1177/12))</f>
        <v>267980.53702225396</v>
      </c>
      <c r="CH1177" s="32">
        <f ca="1">IFERROR(IF(MOD(AP1177-ap_months_since_start,12)=0,ap_drawdown/100*(AQ1177+AV1177+BA1177-BC1177),CH1176),0)</f>
        <v>93.811224502186562</v>
      </c>
    </row>
    <row r="1178" spans="40:86" x14ac:dyDescent="0.25">
      <c r="AN1178" s="32">
        <f t="shared" ca="1" si="889"/>
        <v>152.41666666666666</v>
      </c>
      <c r="AO1178" s="53">
        <f t="shared" ca="1" si="920"/>
        <v>81237</v>
      </c>
      <c r="AP1178" s="22">
        <v>1171</v>
      </c>
      <c r="AQ1178" s="32">
        <f t="shared" ca="1" si="921"/>
        <v>577.71258389851164</v>
      </c>
      <c r="AR1178" s="23">
        <f t="array" aca="1" ref="AR1178" ca="1">SUM(IF(lsc_start_date=AO1178,lsc_amount,0))</f>
        <v>0</v>
      </c>
      <c r="AS1178" s="24">
        <f t="shared" ca="1" si="895"/>
        <v>0</v>
      </c>
      <c r="AT1178" s="24">
        <f t="shared" ca="1" si="896"/>
        <v>0</v>
      </c>
      <c r="AU1178" s="24">
        <f t="shared" ca="1" si="897"/>
        <v>0</v>
      </c>
      <c r="AV1178" s="25">
        <f t="shared" ca="1" si="898"/>
        <v>0</v>
      </c>
      <c r="AW1178" s="23">
        <f t="array" aca="1" ref="AW1178" ca="1">SUM(IF(rcs_start_date&lt;=AO1178,1,0)*IF(rcs_end_date&gt;=AO1178,1,0)*rcs_amount*(1+rcs_escalation/100)^(INT((AP1178-rcs_months_since_start)/12))*IF(MOD((AP1178-rcs_months_since_start),rcs_frequency)=0,1,0)*IF(rcs_frequency=13,0,1))+SUM(IF(rcs_start_date=AO1178,rcs_amount,0)*IF(rcs_frequency=13,1,0))</f>
        <v>0</v>
      </c>
      <c r="AX1178" s="24">
        <f t="shared" ca="1" si="899"/>
        <v>0</v>
      </c>
      <c r="AY1178" s="24">
        <f t="shared" ca="1" si="900"/>
        <v>0</v>
      </c>
      <c r="AZ1178" s="24">
        <f t="shared" ca="1" si="901"/>
        <v>0</v>
      </c>
      <c r="BA1178" s="25">
        <f t="shared" ca="1" si="902"/>
        <v>0</v>
      </c>
      <c r="BB1178" s="23">
        <f t="array" aca="1" ref="BB1178" ca="1">SUM(IF(w_start_date&lt;=AO1178,1,0)*IF(w_end_date&gt;=AO1178,1,0)*w_amount*(1+w_escalation/100)^(INT((AP1178-w_months_since_start)/12))*IF(MOD(AP1178-w_months_since_start,w_frequency)=0,1,0)*IF(w_frequency=13,0,1))+SUM(IF(w_start_date=AO1178,w_amount,0)*IF(w_frequency=13,1,0))</f>
        <v>0</v>
      </c>
      <c r="BC1178" s="25">
        <f t="shared" ca="1" si="903"/>
        <v>0</v>
      </c>
      <c r="BD1178" s="24" t="b">
        <f t="shared" ca="1" si="904"/>
        <v>1</v>
      </c>
      <c r="BE1178" s="24" t="b">
        <f t="shared" ca="1" si="905"/>
        <v>1</v>
      </c>
      <c r="BF1178" s="23">
        <f t="array" aca="1" ref="BF1178" ca="1">SUM(IF(BD1178,1,0)*IF(ap_start_date&lt;=AO1178,1,0)*IF(ap_end_date&gt;=AO1178,1,0)*ap_amount*(1+ap_escalation/100)^(INT((AP1178-ap_months_since_start)/12))*IF(MOD(AP1178-ap_months_since_start,ap_frequency)=0,1,0))</f>
        <v>1020787.2197467743</v>
      </c>
      <c r="BG1178" s="24">
        <f t="shared" ca="1" si="906"/>
        <v>12249446.636961291</v>
      </c>
      <c r="BH1178" s="24">
        <f t="shared" ca="1" si="907"/>
        <v>15.259403459283801</v>
      </c>
      <c r="BI1178">
        <f t="shared" ca="1" si="908"/>
        <v>0</v>
      </c>
      <c r="BJ1178" s="24">
        <f t="shared" ca="1" si="909"/>
        <v>106.81582421498659</v>
      </c>
      <c r="BK1178">
        <f t="shared" ca="1" si="910"/>
        <v>1</v>
      </c>
      <c r="BL1178" s="25">
        <f t="shared" ca="1" si="911"/>
        <v>8.9013186845822165</v>
      </c>
      <c r="BM1178" s="32">
        <f t="shared" ca="1" si="890"/>
        <v>572.910871908187</v>
      </c>
      <c r="BN1178" s="23">
        <f t="shared" ca="1" si="912"/>
        <v>0</v>
      </c>
      <c r="BO1178" s="24">
        <f t="shared" ca="1" si="913"/>
        <v>0</v>
      </c>
      <c r="BP1178" s="25">
        <f t="shared" ca="1" si="914"/>
        <v>0</v>
      </c>
      <c r="BQ1178" s="34">
        <f t="shared" ca="1" si="915"/>
        <v>81266</v>
      </c>
      <c r="BR1178" s="23">
        <f t="shared" ca="1" si="916"/>
        <v>572.910871908187</v>
      </c>
      <c r="BS1178" s="24">
        <f t="shared" ca="1" si="917"/>
        <v>0</v>
      </c>
      <c r="BT1178" s="24">
        <f t="shared" ca="1" si="922"/>
        <v>0</v>
      </c>
      <c r="BU1178" s="24">
        <f t="shared" ca="1" si="918"/>
        <v>0</v>
      </c>
      <c r="BV1178" s="24">
        <f t="shared" ca="1" si="923"/>
        <v>0</v>
      </c>
      <c r="BW1178" s="24">
        <f t="shared" ca="1" si="919"/>
        <v>-8.9013186845822165</v>
      </c>
      <c r="BX1178" s="25">
        <f t="shared" ca="1" si="924"/>
        <v>-110.48478137733829</v>
      </c>
      <c r="BY1178" s="23">
        <f t="shared" ca="1" si="891"/>
        <v>12.471452506743784</v>
      </c>
      <c r="BZ1178" s="24">
        <f t="shared" ca="1" si="892"/>
        <v>0</v>
      </c>
      <c r="CA1178" s="24">
        <f t="shared" ca="1" si="925"/>
        <v>0</v>
      </c>
      <c r="CB1178" s="24">
        <f t="shared" ca="1" si="893"/>
        <v>0</v>
      </c>
      <c r="CC1178" s="24">
        <f t="shared" ca="1" si="926"/>
        <v>0</v>
      </c>
      <c r="CD1178" s="24">
        <f t="shared" ca="1" si="894"/>
        <v>-0.19440336063746508</v>
      </c>
      <c r="CE1178" s="25">
        <f t="shared" ca="1" si="927"/>
        <v>-2.4579632162214358</v>
      </c>
      <c r="CF1178" s="23">
        <f t="shared" ca="1" si="928"/>
        <v>12092402.449307941</v>
      </c>
      <c r="CG1178" s="25">
        <f t="array" aca="1" ref="CG1178" ca="1">SUM(BF1167:BF1178/(1+inflation/100)^(AP1167:AP1178/12))</f>
        <v>267980.53702225391</v>
      </c>
      <c r="CH1178" s="32">
        <f ca="1">IFERROR(IF(MOD(AP1178-ap_months_since_start,12)=0,ap_drawdown/100*(AQ1178+AV1178+BA1178-BC1178),CH1177),0)</f>
        <v>93.811224502186562</v>
      </c>
    </row>
    <row r="1179" spans="40:86" x14ac:dyDescent="0.25">
      <c r="AN1179" s="32">
        <f t="shared" ca="1" si="889"/>
        <v>152.5</v>
      </c>
      <c r="AO1179" s="53">
        <f t="shared" ca="1" si="920"/>
        <v>81267</v>
      </c>
      <c r="AP1179" s="22">
        <v>1172</v>
      </c>
      <c r="AQ1179" s="32">
        <f t="shared" ca="1" si="921"/>
        <v>572.910871908187</v>
      </c>
      <c r="AR1179" s="23">
        <f t="array" aca="1" ref="AR1179" ca="1">SUM(IF(lsc_start_date=AO1179,lsc_amount,0))</f>
        <v>0</v>
      </c>
      <c r="AS1179" s="24">
        <f t="shared" ca="1" si="895"/>
        <v>0</v>
      </c>
      <c r="AT1179" s="24">
        <f t="shared" ca="1" si="896"/>
        <v>0</v>
      </c>
      <c r="AU1179" s="24">
        <f t="shared" ca="1" si="897"/>
        <v>0</v>
      </c>
      <c r="AV1179" s="25">
        <f t="shared" ca="1" si="898"/>
        <v>0</v>
      </c>
      <c r="AW1179" s="23">
        <f t="array" aca="1" ref="AW1179" ca="1">SUM(IF(rcs_start_date&lt;=AO1179,1,0)*IF(rcs_end_date&gt;=AO1179,1,0)*rcs_amount*(1+rcs_escalation/100)^(INT((AP1179-rcs_months_since_start)/12))*IF(MOD((AP1179-rcs_months_since_start),rcs_frequency)=0,1,0)*IF(rcs_frequency=13,0,1))+SUM(IF(rcs_start_date=AO1179,rcs_amount,0)*IF(rcs_frequency=13,1,0))</f>
        <v>0</v>
      </c>
      <c r="AX1179" s="24">
        <f t="shared" ca="1" si="899"/>
        <v>0</v>
      </c>
      <c r="AY1179" s="24">
        <f t="shared" ca="1" si="900"/>
        <v>0</v>
      </c>
      <c r="AZ1179" s="24">
        <f t="shared" ca="1" si="901"/>
        <v>0</v>
      </c>
      <c r="BA1179" s="25">
        <f t="shared" ca="1" si="902"/>
        <v>0</v>
      </c>
      <c r="BB1179" s="23">
        <f t="array" aca="1" ref="BB1179" ca="1">SUM(IF(w_start_date&lt;=AO1179,1,0)*IF(w_end_date&gt;=AO1179,1,0)*w_amount*(1+w_escalation/100)^(INT((AP1179-w_months_since_start)/12))*IF(MOD(AP1179-w_months_since_start,w_frequency)=0,1,0)*IF(w_frequency=13,0,1))+SUM(IF(w_start_date=AO1179,w_amount,0)*IF(w_frequency=13,1,0))</f>
        <v>0</v>
      </c>
      <c r="BC1179" s="25">
        <f t="shared" ca="1" si="903"/>
        <v>0</v>
      </c>
      <c r="BD1179" s="24" t="b">
        <f t="shared" ca="1" si="904"/>
        <v>1</v>
      </c>
      <c r="BE1179" s="24" t="b">
        <f t="shared" ca="1" si="905"/>
        <v>1</v>
      </c>
      <c r="BF1179" s="23">
        <f t="array" aca="1" ref="BF1179" ca="1">SUM(IF(BD1179,1,0)*IF(ap_start_date&lt;=AO1179,1,0)*IF(ap_end_date&gt;=AO1179,1,0)*ap_amount*(1+ap_escalation/100)^(INT((AP1179-ap_months_since_start)/12))*IF(MOD(AP1179-ap_months_since_start,ap_frequency)=0,1,0))</f>
        <v>1020787.2197467743</v>
      </c>
      <c r="BG1179" s="24">
        <f t="shared" ca="1" si="906"/>
        <v>12249446.636961291</v>
      </c>
      <c r="BH1179" s="24">
        <f t="shared" ca="1" si="907"/>
        <v>15.259403459283801</v>
      </c>
      <c r="BI1179">
        <f t="shared" ca="1" si="908"/>
        <v>0</v>
      </c>
      <c r="BJ1179" s="24">
        <f t="shared" ca="1" si="909"/>
        <v>106.81582421498659</v>
      </c>
      <c r="BK1179">
        <f t="shared" ca="1" si="910"/>
        <v>1</v>
      </c>
      <c r="BL1179" s="25">
        <f t="shared" ca="1" si="911"/>
        <v>8.9013186845822165</v>
      </c>
      <c r="BM1179" s="32">
        <f t="shared" ca="1" si="890"/>
        <v>568.07455242707715</v>
      </c>
      <c r="BN1179" s="23">
        <f t="shared" ca="1" si="912"/>
        <v>0</v>
      </c>
      <c r="BO1179" s="24">
        <f t="shared" ca="1" si="913"/>
        <v>0</v>
      </c>
      <c r="BP1179" s="25">
        <f t="shared" ca="1" si="914"/>
        <v>0</v>
      </c>
      <c r="BQ1179" s="34">
        <f t="shared" ca="1" si="915"/>
        <v>81297</v>
      </c>
      <c r="BR1179" s="23">
        <f t="shared" ca="1" si="916"/>
        <v>568.07455242707715</v>
      </c>
      <c r="BS1179" s="24">
        <f t="shared" ca="1" si="917"/>
        <v>0</v>
      </c>
      <c r="BT1179" s="24">
        <f t="shared" ca="1" si="922"/>
        <v>0</v>
      </c>
      <c r="BU1179" s="24">
        <f t="shared" ca="1" si="918"/>
        <v>0</v>
      </c>
      <c r="BV1179" s="24">
        <f t="shared" ca="1" si="923"/>
        <v>0</v>
      </c>
      <c r="BW1179" s="24">
        <f t="shared" ca="1" si="919"/>
        <v>-8.9013186845822165</v>
      </c>
      <c r="BX1179" s="25">
        <f t="shared" ca="1" si="924"/>
        <v>-109.56754208675038</v>
      </c>
      <c r="BY1179" s="23">
        <f t="shared" ca="1" si="891"/>
        <v>12.325821198745357</v>
      </c>
      <c r="BZ1179" s="24">
        <f t="shared" ca="1" si="892"/>
        <v>0</v>
      </c>
      <c r="CA1179" s="24">
        <f t="shared" ca="1" si="925"/>
        <v>0</v>
      </c>
      <c r="CB1179" s="24">
        <f t="shared" ca="1" si="893"/>
        <v>0</v>
      </c>
      <c r="CC1179" s="24">
        <f t="shared" ca="1" si="926"/>
        <v>0</v>
      </c>
      <c r="CD1179" s="24">
        <f t="shared" ca="1" si="894"/>
        <v>-0.19376901131656074</v>
      </c>
      <c r="CE1179" s="25">
        <f t="shared" ca="1" si="927"/>
        <v>-2.4294467850803163</v>
      </c>
      <c r="CF1179" s="23">
        <f t="shared" ca="1" si="928"/>
        <v>12131663.496221278</v>
      </c>
      <c r="CG1179" s="25">
        <f t="array" aca="1" ref="CG1179" ca="1">SUM(BF1168:BF1179/(1+inflation/100)^(AP1168:AP1179/12))</f>
        <v>267980.53702225396</v>
      </c>
      <c r="CH1179" s="32">
        <f ca="1">IFERROR(IF(MOD(AP1179-ap_months_since_start,12)=0,ap_drawdown/100*(AQ1179+AV1179+BA1179-BC1179),CH1178),0)</f>
        <v>93.811224502186562</v>
      </c>
    </row>
    <row r="1180" spans="40:86" x14ac:dyDescent="0.25">
      <c r="AN1180" s="32">
        <f t="shared" ca="1" si="889"/>
        <v>152.58333333333334</v>
      </c>
      <c r="AO1180" s="53">
        <f t="shared" ca="1" si="920"/>
        <v>81298</v>
      </c>
      <c r="AP1180" s="22">
        <v>1173</v>
      </c>
      <c r="AQ1180" s="32">
        <f t="shared" ca="1" si="921"/>
        <v>568.07455242707715</v>
      </c>
      <c r="AR1180" s="23">
        <f t="array" aca="1" ref="AR1180" ca="1">SUM(IF(lsc_start_date=AO1180,lsc_amount,0))</f>
        <v>0</v>
      </c>
      <c r="AS1180" s="24">
        <f t="shared" ca="1" si="895"/>
        <v>0</v>
      </c>
      <c r="AT1180" s="24">
        <f t="shared" ca="1" si="896"/>
        <v>0</v>
      </c>
      <c r="AU1180" s="24">
        <f t="shared" ca="1" si="897"/>
        <v>0</v>
      </c>
      <c r="AV1180" s="25">
        <f t="shared" ca="1" si="898"/>
        <v>0</v>
      </c>
      <c r="AW1180" s="23">
        <f t="array" aca="1" ref="AW1180" ca="1">SUM(IF(rcs_start_date&lt;=AO1180,1,0)*IF(rcs_end_date&gt;=AO1180,1,0)*rcs_amount*(1+rcs_escalation/100)^(INT((AP1180-rcs_months_since_start)/12))*IF(MOD((AP1180-rcs_months_since_start),rcs_frequency)=0,1,0)*IF(rcs_frequency=13,0,1))+SUM(IF(rcs_start_date=AO1180,rcs_amount,0)*IF(rcs_frequency=13,1,0))</f>
        <v>0</v>
      </c>
      <c r="AX1180" s="24">
        <f t="shared" ca="1" si="899"/>
        <v>0</v>
      </c>
      <c r="AY1180" s="24">
        <f t="shared" ca="1" si="900"/>
        <v>0</v>
      </c>
      <c r="AZ1180" s="24">
        <f t="shared" ca="1" si="901"/>
        <v>0</v>
      </c>
      <c r="BA1180" s="25">
        <f t="shared" ca="1" si="902"/>
        <v>0</v>
      </c>
      <c r="BB1180" s="23">
        <f t="array" aca="1" ref="BB1180" ca="1">SUM(IF(w_start_date&lt;=AO1180,1,0)*IF(w_end_date&gt;=AO1180,1,0)*w_amount*(1+w_escalation/100)^(INT((AP1180-w_months_since_start)/12))*IF(MOD(AP1180-w_months_since_start,w_frequency)=0,1,0)*IF(w_frequency=13,0,1))+SUM(IF(w_start_date=AO1180,w_amount,0)*IF(w_frequency=13,1,0))</f>
        <v>0</v>
      </c>
      <c r="BC1180" s="25">
        <f t="shared" ca="1" si="903"/>
        <v>0</v>
      </c>
      <c r="BD1180" s="24" t="b">
        <f t="shared" ca="1" si="904"/>
        <v>1</v>
      </c>
      <c r="BE1180" s="24" t="b">
        <f t="shared" ca="1" si="905"/>
        <v>1</v>
      </c>
      <c r="BF1180" s="23">
        <f t="array" aca="1" ref="BF1180" ca="1">SUM(IF(BD1180,1,0)*IF(ap_start_date&lt;=AO1180,1,0)*IF(ap_end_date&gt;=AO1180,1,0)*ap_amount*(1+ap_escalation/100)^(INT((AP1180-ap_months_since_start)/12))*IF(MOD(AP1180-ap_months_since_start,ap_frequency)=0,1,0))</f>
        <v>1020787.2197467743</v>
      </c>
      <c r="BG1180" s="24">
        <f t="shared" ca="1" si="906"/>
        <v>12249446.636961291</v>
      </c>
      <c r="BH1180" s="24">
        <f t="shared" ca="1" si="907"/>
        <v>15.259403459283801</v>
      </c>
      <c r="BI1180">
        <f t="shared" ca="1" si="908"/>
        <v>0</v>
      </c>
      <c r="BJ1180" s="24">
        <f t="shared" ca="1" si="909"/>
        <v>106.81582421498659</v>
      </c>
      <c r="BK1180">
        <f t="shared" ca="1" si="910"/>
        <v>1</v>
      </c>
      <c r="BL1180" s="25">
        <f t="shared" ca="1" si="911"/>
        <v>8.9013186845822165</v>
      </c>
      <c r="BM1180" s="32">
        <f t="shared" ca="1" si="890"/>
        <v>563.20337602780683</v>
      </c>
      <c r="BN1180" s="23">
        <f t="shared" ca="1" si="912"/>
        <v>0</v>
      </c>
      <c r="BO1180" s="24">
        <f t="shared" ca="1" si="913"/>
        <v>0</v>
      </c>
      <c r="BP1180" s="25">
        <f t="shared" ca="1" si="914"/>
        <v>0</v>
      </c>
      <c r="BQ1180" s="34">
        <f t="shared" ca="1" si="915"/>
        <v>81328</v>
      </c>
      <c r="BR1180" s="23">
        <f t="shared" ca="1" si="916"/>
        <v>563.20337602780683</v>
      </c>
      <c r="BS1180" s="24">
        <f t="shared" ca="1" si="917"/>
        <v>0</v>
      </c>
      <c r="BT1180" s="24">
        <f t="shared" ca="1" si="922"/>
        <v>0</v>
      </c>
      <c r="BU1180" s="24">
        <f t="shared" ca="1" si="918"/>
        <v>0</v>
      </c>
      <c r="BV1180" s="24">
        <f t="shared" ca="1" si="923"/>
        <v>0</v>
      </c>
      <c r="BW1180" s="24">
        <f t="shared" ca="1" si="919"/>
        <v>-8.9013186845822165</v>
      </c>
      <c r="BX1180" s="25">
        <f t="shared" ca="1" si="924"/>
        <v>-108.65030279616245</v>
      </c>
      <c r="BY1180" s="23">
        <f t="shared" ca="1" si="891"/>
        <v>12.180253665494591</v>
      </c>
      <c r="BZ1180" s="24">
        <f t="shared" ca="1" si="892"/>
        <v>0</v>
      </c>
      <c r="CA1180" s="24">
        <f t="shared" ca="1" si="925"/>
        <v>0</v>
      </c>
      <c r="CB1180" s="24">
        <f t="shared" ca="1" si="893"/>
        <v>0</v>
      </c>
      <c r="CC1180" s="24">
        <f t="shared" ca="1" si="926"/>
        <v>0</v>
      </c>
      <c r="CD1180" s="24">
        <f t="shared" ca="1" si="894"/>
        <v>-0.19313673191389033</v>
      </c>
      <c r="CE1180" s="25">
        <f t="shared" ca="1" si="927"/>
        <v>-2.4010234046903243</v>
      </c>
      <c r="CF1180" s="23">
        <f t="shared" ca="1" si="928"/>
        <v>12170924.543134615</v>
      </c>
      <c r="CG1180" s="25">
        <f t="array" aca="1" ref="CG1180" ca="1">SUM(BF1169:BF1180/(1+inflation/100)^(AP1169:AP1180/12))</f>
        <v>267980.53702225396</v>
      </c>
      <c r="CH1180" s="32">
        <f ca="1">IFERROR(IF(MOD(AP1180-ap_months_since_start,12)=0,ap_drawdown/100*(AQ1180+AV1180+BA1180-BC1180),CH1179),0)</f>
        <v>93.811224502186562</v>
      </c>
    </row>
    <row r="1181" spans="40:86" x14ac:dyDescent="0.25">
      <c r="AN1181" s="32">
        <f t="shared" ca="1" si="889"/>
        <v>152.66666666666666</v>
      </c>
      <c r="AO1181" s="53">
        <f t="shared" ca="1" si="920"/>
        <v>81329</v>
      </c>
      <c r="AP1181" s="22">
        <v>1174</v>
      </c>
      <c r="AQ1181" s="32">
        <f t="shared" ca="1" si="921"/>
        <v>563.20337602780683</v>
      </c>
      <c r="AR1181" s="23">
        <f t="array" aca="1" ref="AR1181" ca="1">SUM(IF(lsc_start_date=AO1181,lsc_amount,0))</f>
        <v>0</v>
      </c>
      <c r="AS1181" s="24">
        <f t="shared" ca="1" si="895"/>
        <v>0</v>
      </c>
      <c r="AT1181" s="24">
        <f t="shared" ca="1" si="896"/>
        <v>0</v>
      </c>
      <c r="AU1181" s="24">
        <f t="shared" ca="1" si="897"/>
        <v>0</v>
      </c>
      <c r="AV1181" s="25">
        <f t="shared" ca="1" si="898"/>
        <v>0</v>
      </c>
      <c r="AW1181" s="23">
        <f t="array" aca="1" ref="AW1181" ca="1">SUM(IF(rcs_start_date&lt;=AO1181,1,0)*IF(rcs_end_date&gt;=AO1181,1,0)*rcs_amount*(1+rcs_escalation/100)^(INT((AP1181-rcs_months_since_start)/12))*IF(MOD((AP1181-rcs_months_since_start),rcs_frequency)=0,1,0)*IF(rcs_frequency=13,0,1))+SUM(IF(rcs_start_date=AO1181,rcs_amount,0)*IF(rcs_frequency=13,1,0))</f>
        <v>0</v>
      </c>
      <c r="AX1181" s="24">
        <f t="shared" ca="1" si="899"/>
        <v>0</v>
      </c>
      <c r="AY1181" s="24">
        <f t="shared" ca="1" si="900"/>
        <v>0</v>
      </c>
      <c r="AZ1181" s="24">
        <f t="shared" ca="1" si="901"/>
        <v>0</v>
      </c>
      <c r="BA1181" s="25">
        <f t="shared" ca="1" si="902"/>
        <v>0</v>
      </c>
      <c r="BB1181" s="23">
        <f t="array" aca="1" ref="BB1181" ca="1">SUM(IF(w_start_date&lt;=AO1181,1,0)*IF(w_end_date&gt;=AO1181,1,0)*w_amount*(1+w_escalation/100)^(INT((AP1181-w_months_since_start)/12))*IF(MOD(AP1181-w_months_since_start,w_frequency)=0,1,0)*IF(w_frequency=13,0,1))+SUM(IF(w_start_date=AO1181,w_amount,0)*IF(w_frequency=13,1,0))</f>
        <v>0</v>
      </c>
      <c r="BC1181" s="25">
        <f t="shared" ca="1" si="903"/>
        <v>0</v>
      </c>
      <c r="BD1181" s="24" t="b">
        <f t="shared" ca="1" si="904"/>
        <v>1</v>
      </c>
      <c r="BE1181" s="24" t="b">
        <f t="shared" ca="1" si="905"/>
        <v>1</v>
      </c>
      <c r="BF1181" s="23">
        <f t="array" aca="1" ref="BF1181" ca="1">SUM(IF(BD1181,1,0)*IF(ap_start_date&lt;=AO1181,1,0)*IF(ap_end_date&gt;=AO1181,1,0)*ap_amount*(1+ap_escalation/100)^(INT((AP1181-ap_months_since_start)/12))*IF(MOD(AP1181-ap_months_since_start,ap_frequency)=0,1,0))</f>
        <v>1020787.2197467743</v>
      </c>
      <c r="BG1181" s="24">
        <f t="shared" ca="1" si="906"/>
        <v>12249446.636961291</v>
      </c>
      <c r="BH1181" s="24">
        <f t="shared" ca="1" si="907"/>
        <v>15.259403459283801</v>
      </c>
      <c r="BI1181">
        <f t="shared" ca="1" si="908"/>
        <v>0</v>
      </c>
      <c r="BJ1181" s="24">
        <f t="shared" ca="1" si="909"/>
        <v>106.81582421498659</v>
      </c>
      <c r="BK1181">
        <f t="shared" ca="1" si="910"/>
        <v>1</v>
      </c>
      <c r="BL1181" s="25">
        <f t="shared" ca="1" si="911"/>
        <v>8.9013186845822165</v>
      </c>
      <c r="BM1181" s="32">
        <f t="shared" ca="1" si="890"/>
        <v>558.29709148529707</v>
      </c>
      <c r="BN1181" s="23">
        <f t="shared" ca="1" si="912"/>
        <v>0</v>
      </c>
      <c r="BO1181" s="24">
        <f t="shared" ca="1" si="913"/>
        <v>0</v>
      </c>
      <c r="BP1181" s="25">
        <f t="shared" ca="1" si="914"/>
        <v>0</v>
      </c>
      <c r="BQ1181" s="34">
        <f t="shared" ca="1" si="915"/>
        <v>81358</v>
      </c>
      <c r="BR1181" s="23">
        <f t="shared" ca="1" si="916"/>
        <v>558.29709148529707</v>
      </c>
      <c r="BS1181" s="24">
        <f t="shared" ca="1" si="917"/>
        <v>0</v>
      </c>
      <c r="BT1181" s="24">
        <f t="shared" ca="1" si="922"/>
        <v>0</v>
      </c>
      <c r="BU1181" s="24">
        <f t="shared" ca="1" si="918"/>
        <v>0</v>
      </c>
      <c r="BV1181" s="24">
        <f t="shared" ca="1" si="923"/>
        <v>0</v>
      </c>
      <c r="BW1181" s="24">
        <f t="shared" ca="1" si="919"/>
        <v>-8.9013186845822165</v>
      </c>
      <c r="BX1181" s="25">
        <f t="shared" ca="1" si="924"/>
        <v>-107.73306350557453</v>
      </c>
      <c r="BY1181" s="23">
        <f t="shared" ca="1" si="891"/>
        <v>12.034748085783081</v>
      </c>
      <c r="BZ1181" s="24">
        <f t="shared" ca="1" si="892"/>
        <v>0</v>
      </c>
      <c r="CA1181" s="24">
        <f t="shared" ca="1" si="925"/>
        <v>0</v>
      </c>
      <c r="CB1181" s="24">
        <f t="shared" ca="1" si="893"/>
        <v>0</v>
      </c>
      <c r="CC1181" s="24">
        <f t="shared" ca="1" si="926"/>
        <v>0</v>
      </c>
      <c r="CD1181" s="24">
        <f t="shared" ca="1" si="894"/>
        <v>-0.19250651567519197</v>
      </c>
      <c r="CE1181" s="25">
        <f t="shared" ca="1" si="927"/>
        <v>-2.3726927714215198</v>
      </c>
      <c r="CF1181" s="23">
        <f t="shared" ca="1" si="928"/>
        <v>12210185.590047952</v>
      </c>
      <c r="CG1181" s="25">
        <f t="array" aca="1" ref="CG1181" ca="1">SUM(BF1170:BF1181/(1+inflation/100)^(AP1170:AP1181/12))</f>
        <v>267980.53702225396</v>
      </c>
      <c r="CH1181" s="32">
        <f ca="1">IFERROR(IF(MOD(AP1181-ap_months_since_start,12)=0,ap_drawdown/100*(AQ1181+AV1181+BA1181-BC1181),CH1180),0)</f>
        <v>93.811224502186562</v>
      </c>
    </row>
    <row r="1182" spans="40:86" x14ac:dyDescent="0.25">
      <c r="AN1182" s="32">
        <f t="shared" ca="1" si="889"/>
        <v>152.75</v>
      </c>
      <c r="AO1182" s="53">
        <f t="shared" ca="1" si="920"/>
        <v>81359</v>
      </c>
      <c r="AP1182" s="22">
        <v>1175</v>
      </c>
      <c r="AQ1182" s="32">
        <f t="shared" ca="1" si="921"/>
        <v>558.29709148529707</v>
      </c>
      <c r="AR1182" s="23">
        <f t="array" aca="1" ref="AR1182" ca="1">SUM(IF(lsc_start_date=AO1182,lsc_amount,0))</f>
        <v>0</v>
      </c>
      <c r="AS1182" s="24">
        <f t="shared" ca="1" si="895"/>
        <v>0</v>
      </c>
      <c r="AT1182" s="24">
        <f t="shared" ca="1" si="896"/>
        <v>0</v>
      </c>
      <c r="AU1182" s="24">
        <f t="shared" ca="1" si="897"/>
        <v>0</v>
      </c>
      <c r="AV1182" s="25">
        <f t="shared" ca="1" si="898"/>
        <v>0</v>
      </c>
      <c r="AW1182" s="23">
        <f t="array" aca="1" ref="AW1182" ca="1">SUM(IF(rcs_start_date&lt;=AO1182,1,0)*IF(rcs_end_date&gt;=AO1182,1,0)*rcs_amount*(1+rcs_escalation/100)^(INT((AP1182-rcs_months_since_start)/12))*IF(MOD((AP1182-rcs_months_since_start),rcs_frequency)=0,1,0)*IF(rcs_frequency=13,0,1))+SUM(IF(rcs_start_date=AO1182,rcs_amount,0)*IF(rcs_frequency=13,1,0))</f>
        <v>0</v>
      </c>
      <c r="AX1182" s="24">
        <f t="shared" ca="1" si="899"/>
        <v>0</v>
      </c>
      <c r="AY1182" s="24">
        <f t="shared" ca="1" si="900"/>
        <v>0</v>
      </c>
      <c r="AZ1182" s="24">
        <f t="shared" ca="1" si="901"/>
        <v>0</v>
      </c>
      <c r="BA1182" s="25">
        <f t="shared" ca="1" si="902"/>
        <v>0</v>
      </c>
      <c r="BB1182" s="23">
        <f t="array" aca="1" ref="BB1182" ca="1">SUM(IF(w_start_date&lt;=AO1182,1,0)*IF(w_end_date&gt;=AO1182,1,0)*w_amount*(1+w_escalation/100)^(INT((AP1182-w_months_since_start)/12))*IF(MOD(AP1182-w_months_since_start,w_frequency)=0,1,0)*IF(w_frequency=13,0,1))+SUM(IF(w_start_date=AO1182,w_amount,0)*IF(w_frequency=13,1,0))</f>
        <v>0</v>
      </c>
      <c r="BC1182" s="25">
        <f t="shared" ca="1" si="903"/>
        <v>0</v>
      </c>
      <c r="BD1182" s="24" t="b">
        <f t="shared" ca="1" si="904"/>
        <v>1</v>
      </c>
      <c r="BE1182" s="24" t="b">
        <f t="shared" ca="1" si="905"/>
        <v>1</v>
      </c>
      <c r="BF1182" s="23">
        <f t="array" aca="1" ref="BF1182" ca="1">SUM(IF(BD1182,1,0)*IF(ap_start_date&lt;=AO1182,1,0)*IF(ap_end_date&gt;=AO1182,1,0)*ap_amount*(1+ap_escalation/100)^(INT((AP1182-ap_months_since_start)/12))*IF(MOD(AP1182-ap_months_since_start,ap_frequency)=0,1,0))</f>
        <v>1020787.2197467743</v>
      </c>
      <c r="BG1182" s="24">
        <f t="shared" ca="1" si="906"/>
        <v>12249446.636961291</v>
      </c>
      <c r="BH1182" s="24">
        <f t="shared" ca="1" si="907"/>
        <v>15.259403459283801</v>
      </c>
      <c r="BI1182">
        <f t="shared" ca="1" si="908"/>
        <v>0</v>
      </c>
      <c r="BJ1182" s="24">
        <f t="shared" ca="1" si="909"/>
        <v>106.81582421498659</v>
      </c>
      <c r="BK1182">
        <f t="shared" ca="1" si="910"/>
        <v>1</v>
      </c>
      <c r="BL1182" s="25">
        <f t="shared" ca="1" si="911"/>
        <v>8.9013186845822165</v>
      </c>
      <c r="BM1182" s="32">
        <f t="shared" ca="1" si="890"/>
        <v>553.35544576380846</v>
      </c>
      <c r="BN1182" s="23">
        <f t="shared" ca="1" si="912"/>
        <v>0</v>
      </c>
      <c r="BO1182" s="24">
        <f t="shared" ca="1" si="913"/>
        <v>0</v>
      </c>
      <c r="BP1182" s="25">
        <f t="shared" ca="1" si="914"/>
        <v>0</v>
      </c>
      <c r="BQ1182" s="34">
        <f t="shared" ca="1" si="915"/>
        <v>81389</v>
      </c>
      <c r="BR1182" s="23">
        <f t="shared" ca="1" si="916"/>
        <v>553.35544576380846</v>
      </c>
      <c r="BS1182" s="24">
        <f t="shared" ca="1" si="917"/>
        <v>0</v>
      </c>
      <c r="BT1182" s="24">
        <f t="shared" ca="1" si="922"/>
        <v>0</v>
      </c>
      <c r="BU1182" s="24">
        <f t="shared" ca="1" si="918"/>
        <v>0</v>
      </c>
      <c r="BV1182" s="24">
        <f t="shared" ca="1" si="923"/>
        <v>0</v>
      </c>
      <c r="BW1182" s="24">
        <f t="shared" ca="1" si="919"/>
        <v>-8.9013186845822165</v>
      </c>
      <c r="BX1182" s="25">
        <f t="shared" ca="1" si="924"/>
        <v>-106.81582421498662</v>
      </c>
      <c r="BY1182" s="23">
        <f t="shared" ca="1" si="891"/>
        <v>11.889302638020531</v>
      </c>
      <c r="BZ1182" s="24">
        <f t="shared" ca="1" si="892"/>
        <v>0</v>
      </c>
      <c r="CA1182" s="24">
        <f t="shared" ca="1" si="925"/>
        <v>0</v>
      </c>
      <c r="CB1182" s="24">
        <f t="shared" ca="1" si="893"/>
        <v>0</v>
      </c>
      <c r="CC1182" s="24">
        <f t="shared" ca="1" si="926"/>
        <v>0</v>
      </c>
      <c r="CD1182" s="24">
        <f t="shared" ca="1" si="894"/>
        <v>-0.19187835586824326</v>
      </c>
      <c r="CE1182" s="25">
        <f t="shared" ca="1" si="927"/>
        <v>-2.3444545826347234</v>
      </c>
      <c r="CF1182" s="23">
        <f t="shared" ca="1" si="928"/>
        <v>12249446.636961291</v>
      </c>
      <c r="CG1182" s="25">
        <f t="array" aca="1" ref="CG1182" ca="1">SUM(BF1171:BF1182/(1+inflation/100)^(AP1171:AP1182/12))</f>
        <v>267980.53702225402</v>
      </c>
      <c r="CH1182" s="32">
        <f ca="1">IFERROR(IF(MOD(AP1182-ap_months_since_start,12)=0,ap_drawdown/100*(AQ1182+AV1182+BA1182-BC1182),CH1181),0)</f>
        <v>93.811224502186562</v>
      </c>
    </row>
    <row r="1183" spans="40:86" x14ac:dyDescent="0.25">
      <c r="AN1183" s="32">
        <f t="shared" ca="1" si="889"/>
        <v>152.83333333333334</v>
      </c>
      <c r="AO1183" s="53">
        <f t="shared" ca="1" si="920"/>
        <v>81390</v>
      </c>
      <c r="AP1183" s="22">
        <v>1176</v>
      </c>
      <c r="AQ1183" s="32">
        <f t="shared" ca="1" si="921"/>
        <v>553.35544576380846</v>
      </c>
      <c r="AR1183" s="23">
        <f t="array" aca="1" ref="AR1183" ca="1">SUM(IF(lsc_start_date=AO1183,lsc_amount,0))</f>
        <v>0</v>
      </c>
      <c r="AS1183" s="24">
        <f t="shared" ca="1" si="895"/>
        <v>0</v>
      </c>
      <c r="AT1183" s="24">
        <f t="shared" ca="1" si="896"/>
        <v>0</v>
      </c>
      <c r="AU1183" s="24">
        <f t="shared" ca="1" si="897"/>
        <v>0</v>
      </c>
      <c r="AV1183" s="25">
        <f t="shared" ca="1" si="898"/>
        <v>0</v>
      </c>
      <c r="AW1183" s="23">
        <f t="array" aca="1" ref="AW1183" ca="1">SUM(IF(rcs_start_date&lt;=AO1183,1,0)*IF(rcs_end_date&gt;=AO1183,1,0)*rcs_amount*(1+rcs_escalation/100)^(INT((AP1183-rcs_months_since_start)/12))*IF(MOD((AP1183-rcs_months_since_start),rcs_frequency)=0,1,0)*IF(rcs_frequency=13,0,1))+SUM(IF(rcs_start_date=AO1183,rcs_amount,0)*IF(rcs_frequency=13,1,0))</f>
        <v>0</v>
      </c>
      <c r="AX1183" s="24">
        <f t="shared" ca="1" si="899"/>
        <v>0</v>
      </c>
      <c r="AY1183" s="24">
        <f t="shared" ca="1" si="900"/>
        <v>0</v>
      </c>
      <c r="AZ1183" s="24">
        <f t="shared" ca="1" si="901"/>
        <v>0</v>
      </c>
      <c r="BA1183" s="25">
        <f t="shared" ca="1" si="902"/>
        <v>0</v>
      </c>
      <c r="BB1183" s="23">
        <f t="array" aca="1" ref="BB1183" ca="1">SUM(IF(w_start_date&lt;=AO1183,1,0)*IF(w_end_date&gt;=AO1183,1,0)*w_amount*(1+w_escalation/100)^(INT((AP1183-w_months_since_start)/12))*IF(MOD(AP1183-w_months_since_start,w_frequency)=0,1,0)*IF(w_frequency=13,0,1))+SUM(IF(w_start_date=AO1183,w_amount,0)*IF(w_frequency=13,1,0))</f>
        <v>0</v>
      </c>
      <c r="BC1183" s="25">
        <f t="shared" ca="1" si="903"/>
        <v>0</v>
      </c>
      <c r="BD1183" s="24" t="b">
        <f t="shared" ca="1" si="904"/>
        <v>1</v>
      </c>
      <c r="BE1183" s="24" t="b">
        <f t="shared" ca="1" si="905"/>
        <v>1</v>
      </c>
      <c r="BF1183" s="23">
        <f t="array" aca="1" ref="BF1183" ca="1">SUM(IF(BD1183,1,0)*IF(ap_start_date&lt;=AO1183,1,0)*IF(ap_end_date&gt;=AO1183,1,0)*ap_amount*(1+ap_escalation/100)^(INT((AP1183-ap_months_since_start)/12))*IF(MOD(AP1183-ap_months_since_start,ap_frequency)=0,1,0))</f>
        <v>1061618.7085366452</v>
      </c>
      <c r="BG1183" s="24">
        <f t="shared" ca="1" si="906"/>
        <v>12739424.502439743</v>
      </c>
      <c r="BH1183" s="24">
        <f t="shared" ca="1" si="907"/>
        <v>13.833886144095212</v>
      </c>
      <c r="BI1183">
        <f t="shared" ca="1" si="908"/>
        <v>0</v>
      </c>
      <c r="BJ1183" s="24">
        <f t="shared" ca="1" si="909"/>
        <v>96.837203008666478</v>
      </c>
      <c r="BK1183">
        <f t="shared" ca="1" si="910"/>
        <v>1</v>
      </c>
      <c r="BL1183" s="25">
        <f t="shared" ca="1" si="911"/>
        <v>8.069766917388872</v>
      </c>
      <c r="BM1183" s="32">
        <f t="shared" ca="1" si="890"/>
        <v>549.21572903352489</v>
      </c>
      <c r="BN1183" s="23">
        <f t="shared" ca="1" si="912"/>
        <v>0</v>
      </c>
      <c r="BO1183" s="24">
        <f t="shared" ca="1" si="913"/>
        <v>0</v>
      </c>
      <c r="BP1183" s="25">
        <f t="shared" ca="1" si="914"/>
        <v>0</v>
      </c>
      <c r="BQ1183" s="34">
        <f t="shared" ca="1" si="915"/>
        <v>81419</v>
      </c>
      <c r="BR1183" s="23">
        <f t="shared" ca="1" si="916"/>
        <v>549.21572903352489</v>
      </c>
      <c r="BS1183" s="24">
        <f t="shared" ca="1" si="917"/>
        <v>0</v>
      </c>
      <c r="BT1183" s="24">
        <f t="shared" ca="1" si="922"/>
        <v>0</v>
      </c>
      <c r="BU1183" s="24">
        <f t="shared" ca="1" si="918"/>
        <v>0</v>
      </c>
      <c r="BV1183" s="24">
        <f t="shared" ca="1" si="923"/>
        <v>0</v>
      </c>
      <c r="BW1183" s="24">
        <f t="shared" ca="1" si="919"/>
        <v>-8.069766917388872</v>
      </c>
      <c r="BX1183" s="25">
        <f t="shared" ca="1" si="924"/>
        <v>-105.98427244779327</v>
      </c>
      <c r="BY1183" s="23">
        <f t="shared" ca="1" si="891"/>
        <v>11.761852132890194</v>
      </c>
      <c r="BZ1183" s="24">
        <f t="shared" ca="1" si="892"/>
        <v>0</v>
      </c>
      <c r="CA1183" s="24">
        <f t="shared" ca="1" si="925"/>
        <v>0</v>
      </c>
      <c r="CB1183" s="24">
        <f t="shared" ca="1" si="893"/>
        <v>0</v>
      </c>
      <c r="CC1183" s="24">
        <f t="shared" ca="1" si="926"/>
        <v>0</v>
      </c>
      <c r="CD1183" s="24">
        <f t="shared" ca="1" si="894"/>
        <v>-0.17338566347113271</v>
      </c>
      <c r="CE1183" s="25">
        <f t="shared" ca="1" si="927"/>
        <v>-2.3189379104917553</v>
      </c>
      <c r="CF1183" s="23">
        <f t="shared" ca="1" si="928"/>
        <v>12290278.125751162</v>
      </c>
      <c r="CG1183" s="25">
        <f t="array" aca="1" ref="CG1183" ca="1">SUM(BF1172:BF1183/(1+inflation/100)^(AP1172:AP1183/12))</f>
        <v>267980.53702225402</v>
      </c>
      <c r="CH1183" s="32">
        <f ca="1">IFERROR(IF(MOD(AP1183-ap_months_since_start,12)=0,ap_drawdown/100*(AQ1183+AV1183+BA1183-BC1183),CH1182),0)</f>
        <v>85.047479232344443</v>
      </c>
    </row>
    <row r="1184" spans="40:86" x14ac:dyDescent="0.25">
      <c r="AN1184" s="32">
        <f t="shared" ca="1" si="889"/>
        <v>152.91666666666666</v>
      </c>
      <c r="AO1184" s="53">
        <f t="shared" ca="1" si="920"/>
        <v>81420</v>
      </c>
      <c r="AP1184" s="22">
        <v>1177</v>
      </c>
      <c r="AQ1184" s="32">
        <f t="shared" ca="1" si="921"/>
        <v>549.21572903352489</v>
      </c>
      <c r="AR1184" s="23">
        <f t="array" aca="1" ref="AR1184" ca="1">SUM(IF(lsc_start_date=AO1184,lsc_amount,0))</f>
        <v>0</v>
      </c>
      <c r="AS1184" s="24">
        <f t="shared" ca="1" si="895"/>
        <v>0</v>
      </c>
      <c r="AT1184" s="24">
        <f t="shared" ca="1" si="896"/>
        <v>0</v>
      </c>
      <c r="AU1184" s="24">
        <f t="shared" ca="1" si="897"/>
        <v>0</v>
      </c>
      <c r="AV1184" s="25">
        <f t="shared" ca="1" si="898"/>
        <v>0</v>
      </c>
      <c r="AW1184" s="23">
        <f t="array" aca="1" ref="AW1184" ca="1">SUM(IF(rcs_start_date&lt;=AO1184,1,0)*IF(rcs_end_date&gt;=AO1184,1,0)*rcs_amount*(1+rcs_escalation/100)^(INT((AP1184-rcs_months_since_start)/12))*IF(MOD((AP1184-rcs_months_since_start),rcs_frequency)=0,1,0)*IF(rcs_frequency=13,0,1))+SUM(IF(rcs_start_date=AO1184,rcs_amount,0)*IF(rcs_frequency=13,1,0))</f>
        <v>0</v>
      </c>
      <c r="AX1184" s="24">
        <f t="shared" ca="1" si="899"/>
        <v>0</v>
      </c>
      <c r="AY1184" s="24">
        <f t="shared" ca="1" si="900"/>
        <v>0</v>
      </c>
      <c r="AZ1184" s="24">
        <f t="shared" ca="1" si="901"/>
        <v>0</v>
      </c>
      <c r="BA1184" s="25">
        <f t="shared" ca="1" si="902"/>
        <v>0</v>
      </c>
      <c r="BB1184" s="23">
        <f t="array" aca="1" ref="BB1184" ca="1">SUM(IF(w_start_date&lt;=AO1184,1,0)*IF(w_end_date&gt;=AO1184,1,0)*w_amount*(1+w_escalation/100)^(INT((AP1184-w_months_since_start)/12))*IF(MOD(AP1184-w_months_since_start,w_frequency)=0,1,0)*IF(w_frequency=13,0,1))+SUM(IF(w_start_date=AO1184,w_amount,0)*IF(w_frequency=13,1,0))</f>
        <v>0</v>
      </c>
      <c r="BC1184" s="25">
        <f t="shared" ca="1" si="903"/>
        <v>0</v>
      </c>
      <c r="BD1184" s="24" t="b">
        <f t="shared" ca="1" si="904"/>
        <v>1</v>
      </c>
      <c r="BE1184" s="24" t="b">
        <f t="shared" ca="1" si="905"/>
        <v>1</v>
      </c>
      <c r="BF1184" s="23">
        <f t="array" aca="1" ref="BF1184" ca="1">SUM(IF(BD1184,1,0)*IF(ap_start_date&lt;=AO1184,1,0)*IF(ap_end_date&gt;=AO1184,1,0)*ap_amount*(1+ap_escalation/100)^(INT((AP1184-ap_months_since_start)/12))*IF(MOD(AP1184-ap_months_since_start,ap_frequency)=0,1,0))</f>
        <v>1061618.7085366452</v>
      </c>
      <c r="BG1184" s="24">
        <f t="shared" ca="1" si="906"/>
        <v>12739424.502439743</v>
      </c>
      <c r="BH1184" s="24">
        <f t="shared" ca="1" si="907"/>
        <v>13.833886144095212</v>
      </c>
      <c r="BI1184">
        <f t="shared" ca="1" si="908"/>
        <v>0</v>
      </c>
      <c r="BJ1184" s="24">
        <f t="shared" ca="1" si="909"/>
        <v>96.837203008666478</v>
      </c>
      <c r="BK1184">
        <f t="shared" ca="1" si="910"/>
        <v>1</v>
      </c>
      <c r="BL1184" s="25">
        <f t="shared" ca="1" si="911"/>
        <v>8.069766917388872</v>
      </c>
      <c r="BM1184" s="32">
        <f t="shared" ca="1" si="890"/>
        <v>545.04617602632891</v>
      </c>
      <c r="BN1184" s="23">
        <f t="shared" ca="1" si="912"/>
        <v>0</v>
      </c>
      <c r="BO1184" s="24">
        <f t="shared" ca="1" si="913"/>
        <v>0</v>
      </c>
      <c r="BP1184" s="25">
        <f t="shared" ca="1" si="914"/>
        <v>0</v>
      </c>
      <c r="BQ1184" s="34">
        <f t="shared" ca="1" si="915"/>
        <v>81450</v>
      </c>
      <c r="BR1184" s="23">
        <f t="shared" ca="1" si="916"/>
        <v>545.04617602632891</v>
      </c>
      <c r="BS1184" s="24">
        <f t="shared" ca="1" si="917"/>
        <v>0</v>
      </c>
      <c r="BT1184" s="24">
        <f t="shared" ca="1" si="922"/>
        <v>0</v>
      </c>
      <c r="BU1184" s="24">
        <f t="shared" ca="1" si="918"/>
        <v>0</v>
      </c>
      <c r="BV1184" s="24">
        <f t="shared" ca="1" si="923"/>
        <v>0</v>
      </c>
      <c r="BW1184" s="24">
        <f t="shared" ca="1" si="919"/>
        <v>-8.069766917388872</v>
      </c>
      <c r="BX1184" s="25">
        <f t="shared" ca="1" si="924"/>
        <v>-105.15272068059993</v>
      </c>
      <c r="BY1184" s="23">
        <f t="shared" ca="1" si="891"/>
        <v>11.634469912043912</v>
      </c>
      <c r="BZ1184" s="24">
        <f t="shared" ca="1" si="892"/>
        <v>0</v>
      </c>
      <c r="CA1184" s="24">
        <f t="shared" ca="1" si="925"/>
        <v>0</v>
      </c>
      <c r="CB1184" s="24">
        <f t="shared" ca="1" si="893"/>
        <v>0</v>
      </c>
      <c r="CC1184" s="24">
        <f t="shared" ca="1" si="926"/>
        <v>0</v>
      </c>
      <c r="CD1184" s="24">
        <f t="shared" ca="1" si="894"/>
        <v>-0.17281989610210757</v>
      </c>
      <c r="CE1184" s="25">
        <f t="shared" ca="1" si="927"/>
        <v>-2.2935045007141732</v>
      </c>
      <c r="CF1184" s="23">
        <f t="shared" ca="1" si="928"/>
        <v>12331109.614541033</v>
      </c>
      <c r="CG1184" s="25">
        <f t="array" aca="1" ref="CG1184" ca="1">SUM(BF1173:BF1184/(1+inflation/100)^(AP1173:AP1184/12))</f>
        <v>267980.53702225396</v>
      </c>
      <c r="CH1184" s="32">
        <f ca="1">IFERROR(IF(MOD(AP1184-ap_months_since_start,12)=0,ap_drawdown/100*(AQ1184+AV1184+BA1184-BC1184),CH1183),0)</f>
        <v>85.047479232344443</v>
      </c>
    </row>
    <row r="1185" spans="40:86" x14ac:dyDescent="0.25">
      <c r="AN1185" s="32">
        <f t="shared" ca="1" si="889"/>
        <v>153</v>
      </c>
      <c r="AO1185" s="53">
        <f t="shared" ca="1" si="920"/>
        <v>81451</v>
      </c>
      <c r="AP1185" s="22">
        <v>1178</v>
      </c>
      <c r="AQ1185" s="32">
        <f t="shared" ca="1" si="921"/>
        <v>545.04617602632891</v>
      </c>
      <c r="AR1185" s="23">
        <f t="array" aca="1" ref="AR1185" ca="1">SUM(IF(lsc_start_date=AO1185,lsc_amount,0))</f>
        <v>0</v>
      </c>
      <c r="AS1185" s="24">
        <f t="shared" ca="1" si="895"/>
        <v>0</v>
      </c>
      <c r="AT1185" s="24">
        <f t="shared" ca="1" si="896"/>
        <v>0</v>
      </c>
      <c r="AU1185" s="24">
        <f t="shared" ca="1" si="897"/>
        <v>0</v>
      </c>
      <c r="AV1185" s="25">
        <f t="shared" ca="1" si="898"/>
        <v>0</v>
      </c>
      <c r="AW1185" s="23">
        <f t="array" aca="1" ref="AW1185" ca="1">SUM(IF(rcs_start_date&lt;=AO1185,1,0)*IF(rcs_end_date&gt;=AO1185,1,0)*rcs_amount*(1+rcs_escalation/100)^(INT((AP1185-rcs_months_since_start)/12))*IF(MOD((AP1185-rcs_months_since_start),rcs_frequency)=0,1,0)*IF(rcs_frequency=13,0,1))+SUM(IF(rcs_start_date=AO1185,rcs_amount,0)*IF(rcs_frequency=13,1,0))</f>
        <v>0</v>
      </c>
      <c r="AX1185" s="24">
        <f t="shared" ca="1" si="899"/>
        <v>0</v>
      </c>
      <c r="AY1185" s="24">
        <f t="shared" ca="1" si="900"/>
        <v>0</v>
      </c>
      <c r="AZ1185" s="24">
        <f t="shared" ca="1" si="901"/>
        <v>0</v>
      </c>
      <c r="BA1185" s="25">
        <f t="shared" ca="1" si="902"/>
        <v>0</v>
      </c>
      <c r="BB1185" s="23">
        <f t="array" aca="1" ref="BB1185" ca="1">SUM(IF(w_start_date&lt;=AO1185,1,0)*IF(w_end_date&gt;=AO1185,1,0)*w_amount*(1+w_escalation/100)^(INT((AP1185-w_months_since_start)/12))*IF(MOD(AP1185-w_months_since_start,w_frequency)=0,1,0)*IF(w_frequency=13,0,1))+SUM(IF(w_start_date=AO1185,w_amount,0)*IF(w_frequency=13,1,0))</f>
        <v>0</v>
      </c>
      <c r="BC1185" s="25">
        <f t="shared" ca="1" si="903"/>
        <v>0</v>
      </c>
      <c r="BD1185" s="24" t="b">
        <f t="shared" ca="1" si="904"/>
        <v>1</v>
      </c>
      <c r="BE1185" s="24" t="b">
        <f t="shared" ca="1" si="905"/>
        <v>1</v>
      </c>
      <c r="BF1185" s="23">
        <f t="array" aca="1" ref="BF1185" ca="1">SUM(IF(BD1185,1,0)*IF(ap_start_date&lt;=AO1185,1,0)*IF(ap_end_date&gt;=AO1185,1,0)*ap_amount*(1+ap_escalation/100)^(INT((AP1185-ap_months_since_start)/12))*IF(MOD(AP1185-ap_months_since_start,ap_frequency)=0,1,0))</f>
        <v>1061618.7085366452</v>
      </c>
      <c r="BG1185" s="24">
        <f t="shared" ca="1" si="906"/>
        <v>12739424.502439743</v>
      </c>
      <c r="BH1185" s="24">
        <f t="shared" ca="1" si="907"/>
        <v>13.833886144095212</v>
      </c>
      <c r="BI1185">
        <f t="shared" ca="1" si="908"/>
        <v>0</v>
      </c>
      <c r="BJ1185" s="24">
        <f t="shared" ca="1" si="909"/>
        <v>96.837203008666478</v>
      </c>
      <c r="BK1185">
        <f t="shared" ca="1" si="910"/>
        <v>1</v>
      </c>
      <c r="BL1185" s="25">
        <f t="shared" ca="1" si="911"/>
        <v>8.069766917388872</v>
      </c>
      <c r="BM1185" s="32">
        <f t="shared" ca="1" si="890"/>
        <v>540.84657170252626</v>
      </c>
      <c r="BN1185" s="23">
        <f t="shared" ca="1" si="912"/>
        <v>0</v>
      </c>
      <c r="BO1185" s="24">
        <f t="shared" ca="1" si="913"/>
        <v>0</v>
      </c>
      <c r="BP1185" s="25">
        <f t="shared" ca="1" si="914"/>
        <v>0</v>
      </c>
      <c r="BQ1185" s="34">
        <f t="shared" ca="1" si="915"/>
        <v>81481</v>
      </c>
      <c r="BR1185" s="23">
        <f t="shared" ca="1" si="916"/>
        <v>540.84657170252626</v>
      </c>
      <c r="BS1185" s="24">
        <f t="shared" ca="1" si="917"/>
        <v>0</v>
      </c>
      <c r="BT1185" s="24">
        <f t="shared" ca="1" si="922"/>
        <v>0</v>
      </c>
      <c r="BU1185" s="24">
        <f t="shared" ca="1" si="918"/>
        <v>0</v>
      </c>
      <c r="BV1185" s="24">
        <f t="shared" ca="1" si="923"/>
        <v>0</v>
      </c>
      <c r="BW1185" s="24">
        <f t="shared" ca="1" si="919"/>
        <v>-8.069766917388872</v>
      </c>
      <c r="BX1185" s="25">
        <f t="shared" ca="1" si="924"/>
        <v>-104.32116891340658</v>
      </c>
      <c r="BY1185" s="23">
        <f t="shared" ca="1" si="891"/>
        <v>11.507154389837499</v>
      </c>
      <c r="BZ1185" s="24">
        <f t="shared" ca="1" si="892"/>
        <v>0</v>
      </c>
      <c r="CA1185" s="24">
        <f t="shared" ca="1" si="925"/>
        <v>0</v>
      </c>
      <c r="CB1185" s="24">
        <f t="shared" ca="1" si="893"/>
        <v>0</v>
      </c>
      <c r="CC1185" s="24">
        <f t="shared" ca="1" si="926"/>
        <v>0</v>
      </c>
      <c r="CD1185" s="24">
        <f t="shared" ca="1" si="894"/>
        <v>-0.17225597486447253</v>
      </c>
      <c r="CE1185" s="25">
        <f t="shared" ca="1" si="927"/>
        <v>-2.2681540816121011</v>
      </c>
      <c r="CF1185" s="23">
        <f t="shared" ca="1" si="928"/>
        <v>12371941.103330905</v>
      </c>
      <c r="CG1185" s="25">
        <f t="array" aca="1" ref="CG1185" ca="1">SUM(BF1174:BF1185/(1+inflation/100)^(AP1174:AP1185/12))</f>
        <v>267980.53702225402</v>
      </c>
      <c r="CH1185" s="32">
        <f ca="1">IFERROR(IF(MOD(AP1185-ap_months_since_start,12)=0,ap_drawdown/100*(AQ1185+AV1185+BA1185-BC1185),CH1184),0)</f>
        <v>85.047479232344443</v>
      </c>
    </row>
    <row r="1186" spans="40:86" x14ac:dyDescent="0.25">
      <c r="AN1186" s="32">
        <f t="shared" ca="1" si="889"/>
        <v>153.08333333333334</v>
      </c>
      <c r="AO1186" s="53">
        <f t="shared" ca="1" si="920"/>
        <v>81482</v>
      </c>
      <c r="AP1186" s="22">
        <v>1179</v>
      </c>
      <c r="AQ1186" s="32">
        <f t="shared" ca="1" si="921"/>
        <v>540.84657170252626</v>
      </c>
      <c r="AR1186" s="23">
        <f t="array" aca="1" ref="AR1186" ca="1">SUM(IF(lsc_start_date=AO1186,lsc_amount,0))</f>
        <v>0</v>
      </c>
      <c r="AS1186" s="24">
        <f t="shared" ca="1" si="895"/>
        <v>0</v>
      </c>
      <c r="AT1186" s="24">
        <f t="shared" ca="1" si="896"/>
        <v>0</v>
      </c>
      <c r="AU1186" s="24">
        <f t="shared" ca="1" si="897"/>
        <v>0</v>
      </c>
      <c r="AV1186" s="25">
        <f t="shared" ca="1" si="898"/>
        <v>0</v>
      </c>
      <c r="AW1186" s="23">
        <f t="array" aca="1" ref="AW1186" ca="1">SUM(IF(rcs_start_date&lt;=AO1186,1,0)*IF(rcs_end_date&gt;=AO1186,1,0)*rcs_amount*(1+rcs_escalation/100)^(INT((AP1186-rcs_months_since_start)/12))*IF(MOD((AP1186-rcs_months_since_start),rcs_frequency)=0,1,0)*IF(rcs_frequency=13,0,1))+SUM(IF(rcs_start_date=AO1186,rcs_amount,0)*IF(rcs_frequency=13,1,0))</f>
        <v>0</v>
      </c>
      <c r="AX1186" s="24">
        <f t="shared" ca="1" si="899"/>
        <v>0</v>
      </c>
      <c r="AY1186" s="24">
        <f t="shared" ca="1" si="900"/>
        <v>0</v>
      </c>
      <c r="AZ1186" s="24">
        <f t="shared" ca="1" si="901"/>
        <v>0</v>
      </c>
      <c r="BA1186" s="25">
        <f t="shared" ca="1" si="902"/>
        <v>0</v>
      </c>
      <c r="BB1186" s="23">
        <f t="array" aca="1" ref="BB1186" ca="1">SUM(IF(w_start_date&lt;=AO1186,1,0)*IF(w_end_date&gt;=AO1186,1,0)*w_amount*(1+w_escalation/100)^(INT((AP1186-w_months_since_start)/12))*IF(MOD(AP1186-w_months_since_start,w_frequency)=0,1,0)*IF(w_frequency=13,0,1))+SUM(IF(w_start_date=AO1186,w_amount,0)*IF(w_frequency=13,1,0))</f>
        <v>0</v>
      </c>
      <c r="BC1186" s="25">
        <f t="shared" ca="1" si="903"/>
        <v>0</v>
      </c>
      <c r="BD1186" s="24" t="b">
        <f t="shared" ca="1" si="904"/>
        <v>1</v>
      </c>
      <c r="BE1186" s="24" t="b">
        <f t="shared" ca="1" si="905"/>
        <v>1</v>
      </c>
      <c r="BF1186" s="23">
        <f t="array" aca="1" ref="BF1186" ca="1">SUM(IF(BD1186,1,0)*IF(ap_start_date&lt;=AO1186,1,0)*IF(ap_end_date&gt;=AO1186,1,0)*ap_amount*(1+ap_escalation/100)^(INT((AP1186-ap_months_since_start)/12))*IF(MOD(AP1186-ap_months_since_start,ap_frequency)=0,1,0))</f>
        <v>1061618.7085366452</v>
      </c>
      <c r="BG1186" s="24">
        <f t="shared" ca="1" si="906"/>
        <v>12739424.502439743</v>
      </c>
      <c r="BH1186" s="24">
        <f t="shared" ca="1" si="907"/>
        <v>13.833886144095212</v>
      </c>
      <c r="BI1186">
        <f t="shared" ca="1" si="908"/>
        <v>0</v>
      </c>
      <c r="BJ1186" s="24">
        <f t="shared" ca="1" si="909"/>
        <v>96.837203008666478</v>
      </c>
      <c r="BK1186">
        <f t="shared" ca="1" si="910"/>
        <v>1</v>
      </c>
      <c r="BL1186" s="25">
        <f t="shared" ca="1" si="911"/>
        <v>8.069766917388872</v>
      </c>
      <c r="BM1186" s="32">
        <f t="shared" ca="1" si="890"/>
        <v>536.61669947256212</v>
      </c>
      <c r="BN1186" s="23">
        <f t="shared" ca="1" si="912"/>
        <v>0</v>
      </c>
      <c r="BO1186" s="24">
        <f t="shared" ca="1" si="913"/>
        <v>0</v>
      </c>
      <c r="BP1186" s="25">
        <f t="shared" ca="1" si="914"/>
        <v>0</v>
      </c>
      <c r="BQ1186" s="34">
        <f t="shared" ca="1" si="915"/>
        <v>81509</v>
      </c>
      <c r="BR1186" s="23">
        <f t="shared" ca="1" si="916"/>
        <v>536.61669947256212</v>
      </c>
      <c r="BS1186" s="24">
        <f t="shared" ca="1" si="917"/>
        <v>0</v>
      </c>
      <c r="BT1186" s="24">
        <f t="shared" ca="1" si="922"/>
        <v>0</v>
      </c>
      <c r="BU1186" s="24">
        <f t="shared" ca="1" si="918"/>
        <v>0</v>
      </c>
      <c r="BV1186" s="24">
        <f t="shared" ca="1" si="923"/>
        <v>0</v>
      </c>
      <c r="BW1186" s="24">
        <f t="shared" ca="1" si="919"/>
        <v>-8.069766917388872</v>
      </c>
      <c r="BX1186" s="25">
        <f t="shared" ca="1" si="924"/>
        <v>-103.48961714621323</v>
      </c>
      <c r="BY1186" s="23">
        <f t="shared" ca="1" si="891"/>
        <v>11.379903980457591</v>
      </c>
      <c r="BZ1186" s="24">
        <f t="shared" ca="1" si="892"/>
        <v>0</v>
      </c>
      <c r="CA1186" s="24">
        <f t="shared" ca="1" si="925"/>
        <v>0</v>
      </c>
      <c r="CB1186" s="24">
        <f t="shared" ca="1" si="893"/>
        <v>0</v>
      </c>
      <c r="CC1186" s="24">
        <f t="shared" ca="1" si="926"/>
        <v>0</v>
      </c>
      <c r="CD1186" s="24">
        <f t="shared" ca="1" si="894"/>
        <v>-0.17169389373419416</v>
      </c>
      <c r="CE1186" s="25">
        <f t="shared" ca="1" si="927"/>
        <v>-2.2428863823822018</v>
      </c>
      <c r="CF1186" s="23">
        <f t="shared" ca="1" si="928"/>
        <v>12412772.592120774</v>
      </c>
      <c r="CG1186" s="25">
        <f t="array" aca="1" ref="CG1186" ca="1">SUM(BF1175:BF1186/(1+inflation/100)^(AP1175:AP1186/12))</f>
        <v>267980.53702225396</v>
      </c>
      <c r="CH1186" s="32">
        <f ca="1">IFERROR(IF(MOD(AP1186-ap_months_since_start,12)=0,ap_drawdown/100*(AQ1186+AV1186+BA1186-BC1186),CH1185),0)</f>
        <v>85.047479232344443</v>
      </c>
    </row>
    <row r="1187" spans="40:86" x14ac:dyDescent="0.25">
      <c r="AN1187" s="32">
        <f t="shared" ca="1" si="889"/>
        <v>153.16666666666666</v>
      </c>
      <c r="AO1187" s="53">
        <f t="shared" ca="1" si="920"/>
        <v>81510</v>
      </c>
      <c r="AP1187" s="22">
        <v>1180</v>
      </c>
      <c r="AQ1187" s="32">
        <f t="shared" ca="1" si="921"/>
        <v>536.61669947256212</v>
      </c>
      <c r="AR1187" s="23">
        <f t="array" aca="1" ref="AR1187" ca="1">SUM(IF(lsc_start_date=AO1187,lsc_amount,0))</f>
        <v>0</v>
      </c>
      <c r="AS1187" s="24">
        <f t="shared" ca="1" si="895"/>
        <v>0</v>
      </c>
      <c r="AT1187" s="24">
        <f t="shared" ca="1" si="896"/>
        <v>0</v>
      </c>
      <c r="AU1187" s="24">
        <f t="shared" ca="1" si="897"/>
        <v>0</v>
      </c>
      <c r="AV1187" s="25">
        <f t="shared" ca="1" si="898"/>
        <v>0</v>
      </c>
      <c r="AW1187" s="23">
        <f t="array" aca="1" ref="AW1187" ca="1">SUM(IF(rcs_start_date&lt;=AO1187,1,0)*IF(rcs_end_date&gt;=AO1187,1,0)*rcs_amount*(1+rcs_escalation/100)^(INT((AP1187-rcs_months_since_start)/12))*IF(MOD((AP1187-rcs_months_since_start),rcs_frequency)=0,1,0)*IF(rcs_frequency=13,0,1))+SUM(IF(rcs_start_date=AO1187,rcs_amount,0)*IF(rcs_frequency=13,1,0))</f>
        <v>0</v>
      </c>
      <c r="AX1187" s="24">
        <f t="shared" ca="1" si="899"/>
        <v>0</v>
      </c>
      <c r="AY1187" s="24">
        <f t="shared" ca="1" si="900"/>
        <v>0</v>
      </c>
      <c r="AZ1187" s="24">
        <f t="shared" ca="1" si="901"/>
        <v>0</v>
      </c>
      <c r="BA1187" s="25">
        <f t="shared" ca="1" si="902"/>
        <v>0</v>
      </c>
      <c r="BB1187" s="23">
        <f t="array" aca="1" ref="BB1187" ca="1">SUM(IF(w_start_date&lt;=AO1187,1,0)*IF(w_end_date&gt;=AO1187,1,0)*w_amount*(1+w_escalation/100)^(INT((AP1187-w_months_since_start)/12))*IF(MOD(AP1187-w_months_since_start,w_frequency)=0,1,0)*IF(w_frequency=13,0,1))+SUM(IF(w_start_date=AO1187,w_amount,0)*IF(w_frequency=13,1,0))</f>
        <v>0</v>
      </c>
      <c r="BC1187" s="25">
        <f t="shared" ca="1" si="903"/>
        <v>0</v>
      </c>
      <c r="BD1187" s="24" t="b">
        <f t="shared" ca="1" si="904"/>
        <v>1</v>
      </c>
      <c r="BE1187" s="24" t="b">
        <f t="shared" ca="1" si="905"/>
        <v>1</v>
      </c>
      <c r="BF1187" s="23">
        <f t="array" aca="1" ref="BF1187" ca="1">SUM(IF(BD1187,1,0)*IF(ap_start_date&lt;=AO1187,1,0)*IF(ap_end_date&gt;=AO1187,1,0)*ap_amount*(1+ap_escalation/100)^(INT((AP1187-ap_months_since_start)/12))*IF(MOD(AP1187-ap_months_since_start,ap_frequency)=0,1,0))</f>
        <v>1061618.7085366452</v>
      </c>
      <c r="BG1187" s="24">
        <f t="shared" ca="1" si="906"/>
        <v>12739424.502439743</v>
      </c>
      <c r="BH1187" s="24">
        <f t="shared" ca="1" si="907"/>
        <v>13.833886144095212</v>
      </c>
      <c r="BI1187">
        <f t="shared" ca="1" si="908"/>
        <v>0</v>
      </c>
      <c r="BJ1187" s="24">
        <f t="shared" ca="1" si="909"/>
        <v>96.837203008666478</v>
      </c>
      <c r="BK1187">
        <f t="shared" ca="1" si="910"/>
        <v>1</v>
      </c>
      <c r="BL1187" s="25">
        <f t="shared" ca="1" si="911"/>
        <v>8.069766917388872</v>
      </c>
      <c r="BM1187" s="32">
        <f t="shared" ca="1" si="890"/>
        <v>532.35634118585074</v>
      </c>
      <c r="BN1187" s="23">
        <f t="shared" ca="1" si="912"/>
        <v>0</v>
      </c>
      <c r="BO1187" s="24">
        <f t="shared" ca="1" si="913"/>
        <v>0</v>
      </c>
      <c r="BP1187" s="25">
        <f t="shared" ca="1" si="914"/>
        <v>0</v>
      </c>
      <c r="BQ1187" s="34">
        <f t="shared" ca="1" si="915"/>
        <v>81540</v>
      </c>
      <c r="BR1187" s="23">
        <f t="shared" ca="1" si="916"/>
        <v>532.35634118585074</v>
      </c>
      <c r="BS1187" s="24">
        <f t="shared" ca="1" si="917"/>
        <v>0</v>
      </c>
      <c r="BT1187" s="24">
        <f t="shared" ca="1" si="922"/>
        <v>0</v>
      </c>
      <c r="BU1187" s="24">
        <f t="shared" ca="1" si="918"/>
        <v>0</v>
      </c>
      <c r="BV1187" s="24">
        <f t="shared" ca="1" si="923"/>
        <v>0</v>
      </c>
      <c r="BW1187" s="24">
        <f t="shared" ca="1" si="919"/>
        <v>-8.069766917388872</v>
      </c>
      <c r="BX1187" s="25">
        <f t="shared" ca="1" si="924"/>
        <v>-102.65806537901989</v>
      </c>
      <c r="BY1187" s="23">
        <f t="shared" ca="1" si="891"/>
        <v>11.25271709790113</v>
      </c>
      <c r="BZ1187" s="24">
        <f t="shared" ca="1" si="892"/>
        <v>0</v>
      </c>
      <c r="CA1187" s="24">
        <f t="shared" ca="1" si="925"/>
        <v>0</v>
      </c>
      <c r="CB1187" s="24">
        <f t="shared" ca="1" si="893"/>
        <v>0</v>
      </c>
      <c r="CC1187" s="24">
        <f t="shared" ca="1" si="926"/>
        <v>0</v>
      </c>
      <c r="CD1187" s="24">
        <f t="shared" ca="1" si="894"/>
        <v>-0.1711336467068971</v>
      </c>
      <c r="CE1187" s="25">
        <f t="shared" ca="1" si="927"/>
        <v>-2.2177011331047871</v>
      </c>
      <c r="CF1187" s="23">
        <f t="shared" ca="1" si="928"/>
        <v>12453604.080910645</v>
      </c>
      <c r="CG1187" s="25">
        <f t="array" aca="1" ref="CG1187" ca="1">SUM(BF1176:BF1187/(1+inflation/100)^(AP1176:AP1187/12))</f>
        <v>267980.53702225396</v>
      </c>
      <c r="CH1187" s="32">
        <f ca="1">IFERROR(IF(MOD(AP1187-ap_months_since_start,12)=0,ap_drawdown/100*(AQ1187+AV1187+BA1187-BC1187),CH1186),0)</f>
        <v>85.047479232344443</v>
      </c>
    </row>
    <row r="1188" spans="40:86" x14ac:dyDescent="0.25">
      <c r="AN1188" s="32">
        <f t="shared" ca="1" si="889"/>
        <v>153.25</v>
      </c>
      <c r="AO1188" s="53">
        <f t="shared" ca="1" si="920"/>
        <v>81541</v>
      </c>
      <c r="AP1188" s="22">
        <v>1181</v>
      </c>
      <c r="AQ1188" s="32">
        <f t="shared" ca="1" si="921"/>
        <v>532.35634118585074</v>
      </c>
      <c r="AR1188" s="23">
        <f t="array" aca="1" ref="AR1188" ca="1">SUM(IF(lsc_start_date=AO1188,lsc_amount,0))</f>
        <v>0</v>
      </c>
      <c r="AS1188" s="24">
        <f t="shared" ca="1" si="895"/>
        <v>0</v>
      </c>
      <c r="AT1188" s="24">
        <f t="shared" ca="1" si="896"/>
        <v>0</v>
      </c>
      <c r="AU1188" s="24">
        <f t="shared" ca="1" si="897"/>
        <v>0</v>
      </c>
      <c r="AV1188" s="25">
        <f t="shared" ca="1" si="898"/>
        <v>0</v>
      </c>
      <c r="AW1188" s="23">
        <f t="array" aca="1" ref="AW1188" ca="1">SUM(IF(rcs_start_date&lt;=AO1188,1,0)*IF(rcs_end_date&gt;=AO1188,1,0)*rcs_amount*(1+rcs_escalation/100)^(INT((AP1188-rcs_months_since_start)/12))*IF(MOD((AP1188-rcs_months_since_start),rcs_frequency)=0,1,0)*IF(rcs_frequency=13,0,1))+SUM(IF(rcs_start_date=AO1188,rcs_amount,0)*IF(rcs_frequency=13,1,0))</f>
        <v>0</v>
      </c>
      <c r="AX1188" s="24">
        <f t="shared" ca="1" si="899"/>
        <v>0</v>
      </c>
      <c r="AY1188" s="24">
        <f t="shared" ca="1" si="900"/>
        <v>0</v>
      </c>
      <c r="AZ1188" s="24">
        <f t="shared" ca="1" si="901"/>
        <v>0</v>
      </c>
      <c r="BA1188" s="25">
        <f t="shared" ca="1" si="902"/>
        <v>0</v>
      </c>
      <c r="BB1188" s="23">
        <f t="array" aca="1" ref="BB1188" ca="1">SUM(IF(w_start_date&lt;=AO1188,1,0)*IF(w_end_date&gt;=AO1188,1,0)*w_amount*(1+w_escalation/100)^(INT((AP1188-w_months_since_start)/12))*IF(MOD(AP1188-w_months_since_start,w_frequency)=0,1,0)*IF(w_frequency=13,0,1))+SUM(IF(w_start_date=AO1188,w_amount,0)*IF(w_frequency=13,1,0))</f>
        <v>0</v>
      </c>
      <c r="BC1188" s="25">
        <f t="shared" ca="1" si="903"/>
        <v>0</v>
      </c>
      <c r="BD1188" s="24" t="b">
        <f t="shared" ca="1" si="904"/>
        <v>1</v>
      </c>
      <c r="BE1188" s="24" t="b">
        <f t="shared" ca="1" si="905"/>
        <v>1</v>
      </c>
      <c r="BF1188" s="23">
        <f t="array" aca="1" ref="BF1188" ca="1">SUM(IF(BD1188,1,0)*IF(ap_start_date&lt;=AO1188,1,0)*IF(ap_end_date&gt;=AO1188,1,0)*ap_amount*(1+ap_escalation/100)^(INT((AP1188-ap_months_since_start)/12))*IF(MOD(AP1188-ap_months_since_start,ap_frequency)=0,1,0))</f>
        <v>1061618.7085366452</v>
      </c>
      <c r="BG1188" s="24">
        <f t="shared" ca="1" si="906"/>
        <v>12739424.502439743</v>
      </c>
      <c r="BH1188" s="24">
        <f t="shared" ca="1" si="907"/>
        <v>13.833886144095212</v>
      </c>
      <c r="BI1188">
        <f t="shared" ca="1" si="908"/>
        <v>0</v>
      </c>
      <c r="BJ1188" s="24">
        <f t="shared" ca="1" si="909"/>
        <v>96.837203008666478</v>
      </c>
      <c r="BK1188">
        <f t="shared" ca="1" si="910"/>
        <v>1</v>
      </c>
      <c r="BL1188" s="25">
        <f t="shared" ca="1" si="911"/>
        <v>8.069766917388872</v>
      </c>
      <c r="BM1188" s="32">
        <f t="shared" ca="1" si="890"/>
        <v>528.06527711952447</v>
      </c>
      <c r="BN1188" s="23">
        <f t="shared" ca="1" si="912"/>
        <v>0</v>
      </c>
      <c r="BO1188" s="24">
        <f t="shared" ca="1" si="913"/>
        <v>0</v>
      </c>
      <c r="BP1188" s="25">
        <f t="shared" ca="1" si="914"/>
        <v>0</v>
      </c>
      <c r="BQ1188" s="34">
        <f t="shared" ca="1" si="915"/>
        <v>81570</v>
      </c>
      <c r="BR1188" s="23">
        <f t="shared" ca="1" si="916"/>
        <v>528.06527711952447</v>
      </c>
      <c r="BS1188" s="24">
        <f t="shared" ca="1" si="917"/>
        <v>0</v>
      </c>
      <c r="BT1188" s="24">
        <f t="shared" ca="1" si="922"/>
        <v>0</v>
      </c>
      <c r="BU1188" s="24">
        <f t="shared" ca="1" si="918"/>
        <v>0</v>
      </c>
      <c r="BV1188" s="24">
        <f t="shared" ca="1" si="923"/>
        <v>0</v>
      </c>
      <c r="BW1188" s="24">
        <f t="shared" ca="1" si="919"/>
        <v>-8.069766917388872</v>
      </c>
      <c r="BX1188" s="25">
        <f t="shared" ca="1" si="924"/>
        <v>-101.82651361182654</v>
      </c>
      <c r="BY1188" s="23">
        <f t="shared" ca="1" si="891"/>
        <v>11.125592155954992</v>
      </c>
      <c r="BZ1188" s="24">
        <f t="shared" ca="1" si="892"/>
        <v>0</v>
      </c>
      <c r="CA1188" s="24">
        <f t="shared" ca="1" si="925"/>
        <v>0</v>
      </c>
      <c r="CB1188" s="24">
        <f t="shared" ca="1" si="893"/>
        <v>0</v>
      </c>
      <c r="CC1188" s="24">
        <f t="shared" ca="1" si="926"/>
        <v>0</v>
      </c>
      <c r="CD1188" s="24">
        <f t="shared" ca="1" si="894"/>
        <v>-0.1705752277977978</v>
      </c>
      <c r="CE1188" s="25">
        <f t="shared" ca="1" si="927"/>
        <v>-2.1925980647409302</v>
      </c>
      <c r="CF1188" s="23">
        <f t="shared" ca="1" si="928"/>
        <v>12494435.569700517</v>
      </c>
      <c r="CG1188" s="25">
        <f t="array" aca="1" ref="CG1188" ca="1">SUM(BF1177:BF1188/(1+inflation/100)^(AP1177:AP1188/12))</f>
        <v>267980.53702225396</v>
      </c>
      <c r="CH1188" s="32">
        <f ca="1">IFERROR(IF(MOD(AP1188-ap_months_since_start,12)=0,ap_drawdown/100*(AQ1188+AV1188+BA1188-BC1188),CH1187),0)</f>
        <v>85.047479232344443</v>
      </c>
    </row>
    <row r="1189" spans="40:86" x14ac:dyDescent="0.25">
      <c r="AN1189" s="32">
        <f t="shared" ca="1" si="889"/>
        <v>153.33333333333334</v>
      </c>
      <c r="AO1189" s="53">
        <f t="shared" ca="1" si="920"/>
        <v>81571</v>
      </c>
      <c r="AP1189" s="22">
        <v>1182</v>
      </c>
      <c r="AQ1189" s="32">
        <f t="shared" ca="1" si="921"/>
        <v>528.06527711952447</v>
      </c>
      <c r="AR1189" s="23">
        <f t="array" aca="1" ref="AR1189" ca="1">SUM(IF(lsc_start_date=AO1189,lsc_amount,0))</f>
        <v>0</v>
      </c>
      <c r="AS1189" s="24">
        <f t="shared" ca="1" si="895"/>
        <v>0</v>
      </c>
      <c r="AT1189" s="24">
        <f t="shared" ca="1" si="896"/>
        <v>0</v>
      </c>
      <c r="AU1189" s="24">
        <f t="shared" ca="1" si="897"/>
        <v>0</v>
      </c>
      <c r="AV1189" s="25">
        <f t="shared" ca="1" si="898"/>
        <v>0</v>
      </c>
      <c r="AW1189" s="23">
        <f t="array" aca="1" ref="AW1189" ca="1">SUM(IF(rcs_start_date&lt;=AO1189,1,0)*IF(rcs_end_date&gt;=AO1189,1,0)*rcs_amount*(1+rcs_escalation/100)^(INT((AP1189-rcs_months_since_start)/12))*IF(MOD((AP1189-rcs_months_since_start),rcs_frequency)=0,1,0)*IF(rcs_frequency=13,0,1))+SUM(IF(rcs_start_date=AO1189,rcs_amount,0)*IF(rcs_frequency=13,1,0))</f>
        <v>0</v>
      </c>
      <c r="AX1189" s="24">
        <f t="shared" ca="1" si="899"/>
        <v>0</v>
      </c>
      <c r="AY1189" s="24">
        <f t="shared" ca="1" si="900"/>
        <v>0</v>
      </c>
      <c r="AZ1189" s="24">
        <f t="shared" ca="1" si="901"/>
        <v>0</v>
      </c>
      <c r="BA1189" s="25">
        <f t="shared" ca="1" si="902"/>
        <v>0</v>
      </c>
      <c r="BB1189" s="23">
        <f t="array" aca="1" ref="BB1189" ca="1">SUM(IF(w_start_date&lt;=AO1189,1,0)*IF(w_end_date&gt;=AO1189,1,0)*w_amount*(1+w_escalation/100)^(INT((AP1189-w_months_since_start)/12))*IF(MOD(AP1189-w_months_since_start,w_frequency)=0,1,0)*IF(w_frequency=13,0,1))+SUM(IF(w_start_date=AO1189,w_amount,0)*IF(w_frequency=13,1,0))</f>
        <v>0</v>
      </c>
      <c r="BC1189" s="25">
        <f t="shared" ca="1" si="903"/>
        <v>0</v>
      </c>
      <c r="BD1189" s="24" t="b">
        <f t="shared" ca="1" si="904"/>
        <v>1</v>
      </c>
      <c r="BE1189" s="24" t="b">
        <f t="shared" ca="1" si="905"/>
        <v>1</v>
      </c>
      <c r="BF1189" s="23">
        <f t="array" aca="1" ref="BF1189" ca="1">SUM(IF(BD1189,1,0)*IF(ap_start_date&lt;=AO1189,1,0)*IF(ap_end_date&gt;=AO1189,1,0)*ap_amount*(1+ap_escalation/100)^(INT((AP1189-ap_months_since_start)/12))*IF(MOD(AP1189-ap_months_since_start,ap_frequency)=0,1,0))</f>
        <v>1061618.7085366452</v>
      </c>
      <c r="BG1189" s="24">
        <f t="shared" ca="1" si="906"/>
        <v>12739424.502439743</v>
      </c>
      <c r="BH1189" s="24">
        <f t="shared" ca="1" si="907"/>
        <v>13.833886144095212</v>
      </c>
      <c r="BI1189">
        <f t="shared" ca="1" si="908"/>
        <v>0</v>
      </c>
      <c r="BJ1189" s="24">
        <f t="shared" ca="1" si="909"/>
        <v>96.837203008666478</v>
      </c>
      <c r="BK1189">
        <f t="shared" ca="1" si="910"/>
        <v>1</v>
      </c>
      <c r="BL1189" s="25">
        <f t="shared" ca="1" si="911"/>
        <v>8.069766917388872</v>
      </c>
      <c r="BM1189" s="32">
        <f t="shared" ca="1" si="890"/>
        <v>523.74328596710188</v>
      </c>
      <c r="BN1189" s="23">
        <f t="shared" ca="1" si="912"/>
        <v>0</v>
      </c>
      <c r="BO1189" s="24">
        <f t="shared" ca="1" si="913"/>
        <v>0</v>
      </c>
      <c r="BP1189" s="25">
        <f t="shared" ca="1" si="914"/>
        <v>0</v>
      </c>
      <c r="BQ1189" s="34">
        <f t="shared" ca="1" si="915"/>
        <v>81601</v>
      </c>
      <c r="BR1189" s="23">
        <f t="shared" ca="1" si="916"/>
        <v>523.74328596710188</v>
      </c>
      <c r="BS1189" s="24">
        <f t="shared" ca="1" si="917"/>
        <v>0</v>
      </c>
      <c r="BT1189" s="24">
        <f t="shared" ca="1" si="922"/>
        <v>0</v>
      </c>
      <c r="BU1189" s="24">
        <f t="shared" ca="1" si="918"/>
        <v>0</v>
      </c>
      <c r="BV1189" s="24">
        <f t="shared" ca="1" si="923"/>
        <v>0</v>
      </c>
      <c r="BW1189" s="24">
        <f t="shared" ca="1" si="919"/>
        <v>-8.069766917388872</v>
      </c>
      <c r="BX1189" s="25">
        <f t="shared" ca="1" si="924"/>
        <v>-100.99496184463321</v>
      </c>
      <c r="BY1189" s="23">
        <f t="shared" ca="1" si="891"/>
        <v>10.998527568175566</v>
      </c>
      <c r="BZ1189" s="24">
        <f t="shared" ca="1" si="892"/>
        <v>0</v>
      </c>
      <c r="CA1189" s="24">
        <f t="shared" ca="1" si="925"/>
        <v>0</v>
      </c>
      <c r="CB1189" s="24">
        <f t="shared" ca="1" si="893"/>
        <v>0</v>
      </c>
      <c r="CC1189" s="24">
        <f t="shared" ca="1" si="926"/>
        <v>0</v>
      </c>
      <c r="CD1189" s="24">
        <f t="shared" ca="1" si="894"/>
        <v>-0.17001863104164175</v>
      </c>
      <c r="CE1189" s="25">
        <f t="shared" ca="1" si="927"/>
        <v>-2.1675769091295951</v>
      </c>
      <c r="CF1189" s="23">
        <f t="shared" ca="1" si="928"/>
        <v>12535267.058490388</v>
      </c>
      <c r="CG1189" s="25">
        <f t="array" aca="1" ref="CG1189" ca="1">SUM(BF1178:BF1189/(1+inflation/100)^(AP1178:AP1189/12))</f>
        <v>267980.53702225396</v>
      </c>
      <c r="CH1189" s="32">
        <f ca="1">IFERROR(IF(MOD(AP1189-ap_months_since_start,12)=0,ap_drawdown/100*(AQ1189+AV1189+BA1189-BC1189),CH1188),0)</f>
        <v>85.047479232344443</v>
      </c>
    </row>
    <row r="1190" spans="40:86" x14ac:dyDescent="0.25">
      <c r="AN1190" s="32">
        <f t="shared" ca="1" si="889"/>
        <v>153.41666666666666</v>
      </c>
      <c r="AO1190" s="53">
        <f t="shared" ca="1" si="920"/>
        <v>81602</v>
      </c>
      <c r="AP1190" s="22">
        <v>1183</v>
      </c>
      <c r="AQ1190" s="32">
        <f t="shared" ca="1" si="921"/>
        <v>523.74328596710188</v>
      </c>
      <c r="AR1190" s="23">
        <f t="array" aca="1" ref="AR1190" ca="1">SUM(IF(lsc_start_date=AO1190,lsc_amount,0))</f>
        <v>0</v>
      </c>
      <c r="AS1190" s="24">
        <f t="shared" ca="1" si="895"/>
        <v>0</v>
      </c>
      <c r="AT1190" s="24">
        <f t="shared" ca="1" si="896"/>
        <v>0</v>
      </c>
      <c r="AU1190" s="24">
        <f t="shared" ca="1" si="897"/>
        <v>0</v>
      </c>
      <c r="AV1190" s="25">
        <f t="shared" ca="1" si="898"/>
        <v>0</v>
      </c>
      <c r="AW1190" s="23">
        <f t="array" aca="1" ref="AW1190" ca="1">SUM(IF(rcs_start_date&lt;=AO1190,1,0)*IF(rcs_end_date&gt;=AO1190,1,0)*rcs_amount*(1+rcs_escalation/100)^(INT((AP1190-rcs_months_since_start)/12))*IF(MOD((AP1190-rcs_months_since_start),rcs_frequency)=0,1,0)*IF(rcs_frequency=13,0,1))+SUM(IF(rcs_start_date=AO1190,rcs_amount,0)*IF(rcs_frequency=13,1,0))</f>
        <v>0</v>
      </c>
      <c r="AX1190" s="24">
        <f t="shared" ca="1" si="899"/>
        <v>0</v>
      </c>
      <c r="AY1190" s="24">
        <f t="shared" ca="1" si="900"/>
        <v>0</v>
      </c>
      <c r="AZ1190" s="24">
        <f t="shared" ca="1" si="901"/>
        <v>0</v>
      </c>
      <c r="BA1190" s="25">
        <f t="shared" ca="1" si="902"/>
        <v>0</v>
      </c>
      <c r="BB1190" s="23">
        <f t="array" aca="1" ref="BB1190" ca="1">SUM(IF(w_start_date&lt;=AO1190,1,0)*IF(w_end_date&gt;=AO1190,1,0)*w_amount*(1+w_escalation/100)^(INT((AP1190-w_months_since_start)/12))*IF(MOD(AP1190-w_months_since_start,w_frequency)=0,1,0)*IF(w_frequency=13,0,1))+SUM(IF(w_start_date=AO1190,w_amount,0)*IF(w_frequency=13,1,0))</f>
        <v>0</v>
      </c>
      <c r="BC1190" s="25">
        <f t="shared" ca="1" si="903"/>
        <v>0</v>
      </c>
      <c r="BD1190" s="24" t="b">
        <f t="shared" ca="1" si="904"/>
        <v>1</v>
      </c>
      <c r="BE1190" s="24" t="b">
        <f t="shared" ca="1" si="905"/>
        <v>1</v>
      </c>
      <c r="BF1190" s="23">
        <f t="array" aca="1" ref="BF1190" ca="1">SUM(IF(BD1190,1,0)*IF(ap_start_date&lt;=AO1190,1,0)*IF(ap_end_date&gt;=AO1190,1,0)*ap_amount*(1+ap_escalation/100)^(INT((AP1190-ap_months_since_start)/12))*IF(MOD(AP1190-ap_months_since_start,ap_frequency)=0,1,0))</f>
        <v>1061618.7085366452</v>
      </c>
      <c r="BG1190" s="24">
        <f t="shared" ca="1" si="906"/>
        <v>12739424.502439743</v>
      </c>
      <c r="BH1190" s="24">
        <f t="shared" ca="1" si="907"/>
        <v>13.833886144095212</v>
      </c>
      <c r="BI1190">
        <f t="shared" ca="1" si="908"/>
        <v>0</v>
      </c>
      <c r="BJ1190" s="24">
        <f t="shared" ca="1" si="909"/>
        <v>96.837203008666478</v>
      </c>
      <c r="BK1190">
        <f t="shared" ca="1" si="910"/>
        <v>1</v>
      </c>
      <c r="BL1190" s="25">
        <f t="shared" ca="1" si="911"/>
        <v>8.069766917388872</v>
      </c>
      <c r="BM1190" s="32">
        <f t="shared" ca="1" si="890"/>
        <v>519.39014482707432</v>
      </c>
      <c r="BN1190" s="23">
        <f t="shared" ca="1" si="912"/>
        <v>0</v>
      </c>
      <c r="BO1190" s="24">
        <f t="shared" ca="1" si="913"/>
        <v>0</v>
      </c>
      <c r="BP1190" s="25">
        <f t="shared" ca="1" si="914"/>
        <v>0</v>
      </c>
      <c r="BQ1190" s="34">
        <f t="shared" ca="1" si="915"/>
        <v>81631</v>
      </c>
      <c r="BR1190" s="23">
        <f t="shared" ca="1" si="916"/>
        <v>519.39014482707432</v>
      </c>
      <c r="BS1190" s="24">
        <f t="shared" ca="1" si="917"/>
        <v>0</v>
      </c>
      <c r="BT1190" s="24">
        <f t="shared" ca="1" si="922"/>
        <v>0</v>
      </c>
      <c r="BU1190" s="24">
        <f t="shared" ca="1" si="918"/>
        <v>0</v>
      </c>
      <c r="BV1190" s="24">
        <f t="shared" ca="1" si="923"/>
        <v>0</v>
      </c>
      <c r="BW1190" s="24">
        <f t="shared" ca="1" si="919"/>
        <v>-8.069766917388872</v>
      </c>
      <c r="BX1190" s="25">
        <f t="shared" ca="1" si="924"/>
        <v>-100.16341007743986</v>
      </c>
      <c r="BY1190" s="23">
        <f t="shared" ca="1" si="891"/>
        <v>10.871521747868279</v>
      </c>
      <c r="BZ1190" s="24">
        <f t="shared" ca="1" si="892"/>
        <v>0</v>
      </c>
      <c r="CA1190" s="24">
        <f t="shared" ca="1" si="925"/>
        <v>0</v>
      </c>
      <c r="CB1190" s="24">
        <f t="shared" ca="1" si="893"/>
        <v>0</v>
      </c>
      <c r="CC1190" s="24">
        <f t="shared" ca="1" si="926"/>
        <v>0</v>
      </c>
      <c r="CD1190" s="24">
        <f t="shared" ca="1" si="894"/>
        <v>-0.16946385049263946</v>
      </c>
      <c r="CE1190" s="25">
        <f t="shared" ca="1" si="927"/>
        <v>-2.1426373989847693</v>
      </c>
      <c r="CF1190" s="23">
        <f t="shared" ca="1" si="928"/>
        <v>12576098.547280259</v>
      </c>
      <c r="CG1190" s="25">
        <f t="array" aca="1" ref="CG1190" ca="1">SUM(BF1179:BF1190/(1+inflation/100)^(AP1179:AP1190/12))</f>
        <v>267980.53702225396</v>
      </c>
      <c r="CH1190" s="32">
        <f ca="1">IFERROR(IF(MOD(AP1190-ap_months_since_start,12)=0,ap_drawdown/100*(AQ1190+AV1190+BA1190-BC1190),CH1189),0)</f>
        <v>85.047479232344443</v>
      </c>
    </row>
    <row r="1191" spans="40:86" x14ac:dyDescent="0.25">
      <c r="AN1191" s="32">
        <f t="shared" ca="1" si="889"/>
        <v>153.5</v>
      </c>
      <c r="AO1191" s="53">
        <f t="shared" ca="1" si="920"/>
        <v>81632</v>
      </c>
      <c r="AP1191" s="22">
        <v>1184</v>
      </c>
      <c r="AQ1191" s="32">
        <f t="shared" ca="1" si="921"/>
        <v>519.39014482707432</v>
      </c>
      <c r="AR1191" s="23">
        <f t="array" aca="1" ref="AR1191" ca="1">SUM(IF(lsc_start_date=AO1191,lsc_amount,0))</f>
        <v>0</v>
      </c>
      <c r="AS1191" s="24">
        <f t="shared" ca="1" si="895"/>
        <v>0</v>
      </c>
      <c r="AT1191" s="24">
        <f t="shared" ca="1" si="896"/>
        <v>0</v>
      </c>
      <c r="AU1191" s="24">
        <f t="shared" ca="1" si="897"/>
        <v>0</v>
      </c>
      <c r="AV1191" s="25">
        <f t="shared" ca="1" si="898"/>
        <v>0</v>
      </c>
      <c r="AW1191" s="23">
        <f t="array" aca="1" ref="AW1191" ca="1">SUM(IF(rcs_start_date&lt;=AO1191,1,0)*IF(rcs_end_date&gt;=AO1191,1,0)*rcs_amount*(1+rcs_escalation/100)^(INT((AP1191-rcs_months_since_start)/12))*IF(MOD((AP1191-rcs_months_since_start),rcs_frequency)=0,1,0)*IF(rcs_frequency=13,0,1))+SUM(IF(rcs_start_date=AO1191,rcs_amount,0)*IF(rcs_frequency=13,1,0))</f>
        <v>0</v>
      </c>
      <c r="AX1191" s="24">
        <f t="shared" ca="1" si="899"/>
        <v>0</v>
      </c>
      <c r="AY1191" s="24">
        <f t="shared" ca="1" si="900"/>
        <v>0</v>
      </c>
      <c r="AZ1191" s="24">
        <f t="shared" ca="1" si="901"/>
        <v>0</v>
      </c>
      <c r="BA1191" s="25">
        <f t="shared" ca="1" si="902"/>
        <v>0</v>
      </c>
      <c r="BB1191" s="23">
        <f t="array" aca="1" ref="BB1191" ca="1">SUM(IF(w_start_date&lt;=AO1191,1,0)*IF(w_end_date&gt;=AO1191,1,0)*w_amount*(1+w_escalation/100)^(INT((AP1191-w_months_since_start)/12))*IF(MOD(AP1191-w_months_since_start,w_frequency)=0,1,0)*IF(w_frequency=13,0,1))+SUM(IF(w_start_date=AO1191,w_amount,0)*IF(w_frequency=13,1,0))</f>
        <v>0</v>
      </c>
      <c r="BC1191" s="25">
        <f t="shared" ca="1" si="903"/>
        <v>0</v>
      </c>
      <c r="BD1191" s="24" t="b">
        <f t="shared" ca="1" si="904"/>
        <v>1</v>
      </c>
      <c r="BE1191" s="24" t="b">
        <f t="shared" ca="1" si="905"/>
        <v>1</v>
      </c>
      <c r="BF1191" s="23">
        <f t="array" aca="1" ref="BF1191" ca="1">SUM(IF(BD1191,1,0)*IF(ap_start_date&lt;=AO1191,1,0)*IF(ap_end_date&gt;=AO1191,1,0)*ap_amount*(1+ap_escalation/100)^(INT((AP1191-ap_months_since_start)/12))*IF(MOD(AP1191-ap_months_since_start,ap_frequency)=0,1,0))</f>
        <v>1061618.7085366452</v>
      </c>
      <c r="BG1191" s="24">
        <f t="shared" ca="1" si="906"/>
        <v>12739424.502439743</v>
      </c>
      <c r="BH1191" s="24">
        <f t="shared" ca="1" si="907"/>
        <v>13.833886144095212</v>
      </c>
      <c r="BI1191">
        <f t="shared" ca="1" si="908"/>
        <v>0</v>
      </c>
      <c r="BJ1191" s="24">
        <f t="shared" ca="1" si="909"/>
        <v>96.837203008666478</v>
      </c>
      <c r="BK1191">
        <f t="shared" ca="1" si="910"/>
        <v>1</v>
      </c>
      <c r="BL1191" s="25">
        <f t="shared" ca="1" si="911"/>
        <v>8.069766917388872</v>
      </c>
      <c r="BM1191" s="32">
        <f t="shared" ca="1" si="890"/>
        <v>515.00562919140975</v>
      </c>
      <c r="BN1191" s="23">
        <f t="shared" ca="1" si="912"/>
        <v>0</v>
      </c>
      <c r="BO1191" s="24">
        <f t="shared" ca="1" si="913"/>
        <v>0</v>
      </c>
      <c r="BP1191" s="25">
        <f t="shared" ca="1" si="914"/>
        <v>0</v>
      </c>
      <c r="BQ1191" s="34">
        <f t="shared" ca="1" si="915"/>
        <v>81662</v>
      </c>
      <c r="BR1191" s="23">
        <f t="shared" ca="1" si="916"/>
        <v>515.00562919140975</v>
      </c>
      <c r="BS1191" s="24">
        <f t="shared" ca="1" si="917"/>
        <v>0</v>
      </c>
      <c r="BT1191" s="24">
        <f t="shared" ca="1" si="922"/>
        <v>0</v>
      </c>
      <c r="BU1191" s="24">
        <f t="shared" ca="1" si="918"/>
        <v>0</v>
      </c>
      <c r="BV1191" s="24">
        <f t="shared" ca="1" si="923"/>
        <v>0</v>
      </c>
      <c r="BW1191" s="24">
        <f t="shared" ca="1" si="919"/>
        <v>-8.069766917388872</v>
      </c>
      <c r="BX1191" s="25">
        <f t="shared" ca="1" si="924"/>
        <v>-99.331858310246531</v>
      </c>
      <c r="BY1191" s="23">
        <f t="shared" ca="1" si="891"/>
        <v>10.744573108067158</v>
      </c>
      <c r="BZ1191" s="24">
        <f t="shared" ca="1" si="892"/>
        <v>0</v>
      </c>
      <c r="CA1191" s="24">
        <f t="shared" ca="1" si="925"/>
        <v>0</v>
      </c>
      <c r="CB1191" s="24">
        <f t="shared" ca="1" si="893"/>
        <v>0</v>
      </c>
      <c r="CC1191" s="24">
        <f t="shared" ca="1" si="926"/>
        <v>0</v>
      </c>
      <c r="CD1191" s="24">
        <f t="shared" ca="1" si="894"/>
        <v>-0.16891088022440262</v>
      </c>
      <c r="CE1191" s="25">
        <f t="shared" ca="1" si="927"/>
        <v>-2.1177792678926113</v>
      </c>
      <c r="CF1191" s="23">
        <f t="shared" ca="1" si="928"/>
        <v>12616930.036070131</v>
      </c>
      <c r="CG1191" s="25">
        <f t="array" aca="1" ref="CG1191" ca="1">SUM(BF1180:BF1191/(1+inflation/100)^(AP1180:AP1191/12))</f>
        <v>267980.53702225402</v>
      </c>
      <c r="CH1191" s="32">
        <f ca="1">IFERROR(IF(MOD(AP1191-ap_months_since_start,12)=0,ap_drawdown/100*(AQ1191+AV1191+BA1191-BC1191),CH1190),0)</f>
        <v>85.047479232344443</v>
      </c>
    </row>
    <row r="1192" spans="40:86" x14ac:dyDescent="0.25">
      <c r="AN1192" s="32">
        <f t="shared" ca="1" si="889"/>
        <v>153.58333333333334</v>
      </c>
      <c r="AO1192" s="53">
        <f t="shared" ca="1" si="920"/>
        <v>81663</v>
      </c>
      <c r="AP1192" s="22">
        <v>1185</v>
      </c>
      <c r="AQ1192" s="32">
        <f t="shared" ca="1" si="921"/>
        <v>515.00562919140975</v>
      </c>
      <c r="AR1192" s="23">
        <f t="array" aca="1" ref="AR1192" ca="1">SUM(IF(lsc_start_date=AO1192,lsc_amount,0))</f>
        <v>0</v>
      </c>
      <c r="AS1192" s="24">
        <f t="shared" ca="1" si="895"/>
        <v>0</v>
      </c>
      <c r="AT1192" s="24">
        <f t="shared" ca="1" si="896"/>
        <v>0</v>
      </c>
      <c r="AU1192" s="24">
        <f t="shared" ca="1" si="897"/>
        <v>0</v>
      </c>
      <c r="AV1192" s="25">
        <f t="shared" ca="1" si="898"/>
        <v>0</v>
      </c>
      <c r="AW1192" s="23">
        <f t="array" aca="1" ref="AW1192" ca="1">SUM(IF(rcs_start_date&lt;=AO1192,1,0)*IF(rcs_end_date&gt;=AO1192,1,0)*rcs_amount*(1+rcs_escalation/100)^(INT((AP1192-rcs_months_since_start)/12))*IF(MOD((AP1192-rcs_months_since_start),rcs_frequency)=0,1,0)*IF(rcs_frequency=13,0,1))+SUM(IF(rcs_start_date=AO1192,rcs_amount,0)*IF(rcs_frequency=13,1,0))</f>
        <v>0</v>
      </c>
      <c r="AX1192" s="24">
        <f t="shared" ca="1" si="899"/>
        <v>0</v>
      </c>
      <c r="AY1192" s="24">
        <f t="shared" ca="1" si="900"/>
        <v>0</v>
      </c>
      <c r="AZ1192" s="24">
        <f t="shared" ca="1" si="901"/>
        <v>0</v>
      </c>
      <c r="BA1192" s="25">
        <f t="shared" ca="1" si="902"/>
        <v>0</v>
      </c>
      <c r="BB1192" s="23">
        <f t="array" aca="1" ref="BB1192" ca="1">SUM(IF(w_start_date&lt;=AO1192,1,0)*IF(w_end_date&gt;=AO1192,1,0)*w_amount*(1+w_escalation/100)^(INT((AP1192-w_months_since_start)/12))*IF(MOD(AP1192-w_months_since_start,w_frequency)=0,1,0)*IF(w_frequency=13,0,1))+SUM(IF(w_start_date=AO1192,w_amount,0)*IF(w_frequency=13,1,0))</f>
        <v>0</v>
      </c>
      <c r="BC1192" s="25">
        <f t="shared" ca="1" si="903"/>
        <v>0</v>
      </c>
      <c r="BD1192" s="24" t="b">
        <f t="shared" ca="1" si="904"/>
        <v>1</v>
      </c>
      <c r="BE1192" s="24" t="b">
        <f t="shared" ca="1" si="905"/>
        <v>1</v>
      </c>
      <c r="BF1192" s="23">
        <f t="array" aca="1" ref="BF1192" ca="1">SUM(IF(BD1192,1,0)*IF(ap_start_date&lt;=AO1192,1,0)*IF(ap_end_date&gt;=AO1192,1,0)*ap_amount*(1+ap_escalation/100)^(INT((AP1192-ap_months_since_start)/12))*IF(MOD(AP1192-ap_months_since_start,ap_frequency)=0,1,0))</f>
        <v>1061618.7085366452</v>
      </c>
      <c r="BG1192" s="24">
        <f t="shared" ca="1" si="906"/>
        <v>12739424.502439743</v>
      </c>
      <c r="BH1192" s="24">
        <f t="shared" ca="1" si="907"/>
        <v>13.833886144095212</v>
      </c>
      <c r="BI1192">
        <f t="shared" ca="1" si="908"/>
        <v>0</v>
      </c>
      <c r="BJ1192" s="24">
        <f t="shared" ca="1" si="909"/>
        <v>96.837203008666478</v>
      </c>
      <c r="BK1192">
        <f t="shared" ca="1" si="910"/>
        <v>1</v>
      </c>
      <c r="BL1192" s="25">
        <f t="shared" ca="1" si="911"/>
        <v>8.069766917388872</v>
      </c>
      <c r="BM1192" s="32">
        <f t="shared" ca="1" si="890"/>
        <v>510.58951293397433</v>
      </c>
      <c r="BN1192" s="23">
        <f t="shared" ca="1" si="912"/>
        <v>0</v>
      </c>
      <c r="BO1192" s="24">
        <f t="shared" ca="1" si="913"/>
        <v>0</v>
      </c>
      <c r="BP1192" s="25">
        <f t="shared" ca="1" si="914"/>
        <v>0</v>
      </c>
      <c r="BQ1192" s="34">
        <f t="shared" ca="1" si="915"/>
        <v>81693</v>
      </c>
      <c r="BR1192" s="23">
        <f t="shared" ca="1" si="916"/>
        <v>510.58951293397433</v>
      </c>
      <c r="BS1192" s="24">
        <f t="shared" ca="1" si="917"/>
        <v>0</v>
      </c>
      <c r="BT1192" s="24">
        <f t="shared" ca="1" si="922"/>
        <v>0</v>
      </c>
      <c r="BU1192" s="24">
        <f t="shared" ca="1" si="918"/>
        <v>0</v>
      </c>
      <c r="BV1192" s="24">
        <f t="shared" ca="1" si="923"/>
        <v>0</v>
      </c>
      <c r="BW1192" s="24">
        <f t="shared" ca="1" si="919"/>
        <v>-8.069766917388872</v>
      </c>
      <c r="BX1192" s="25">
        <f t="shared" ca="1" si="924"/>
        <v>-98.500306543053185</v>
      </c>
      <c r="BY1192" s="23">
        <f t="shared" ca="1" si="891"/>
        <v>10.61768006151436</v>
      </c>
      <c r="BZ1192" s="24">
        <f t="shared" ca="1" si="892"/>
        <v>0</v>
      </c>
      <c r="CA1192" s="24">
        <f t="shared" ca="1" si="925"/>
        <v>0</v>
      </c>
      <c r="CB1192" s="24">
        <f t="shared" ca="1" si="893"/>
        <v>0</v>
      </c>
      <c r="CC1192" s="24">
        <f t="shared" ca="1" si="926"/>
        <v>0</v>
      </c>
      <c r="CD1192" s="24">
        <f t="shared" ca="1" si="894"/>
        <v>-0.16835971432988123</v>
      </c>
      <c r="CE1192" s="25">
        <f t="shared" ca="1" si="927"/>
        <v>-2.0930022503086021</v>
      </c>
      <c r="CF1192" s="23">
        <f t="shared" ca="1" si="928"/>
        <v>12657761.524860002</v>
      </c>
      <c r="CG1192" s="25">
        <f t="array" aca="1" ref="CG1192" ca="1">SUM(BF1181:BF1192/(1+inflation/100)^(AP1181:AP1192/12))</f>
        <v>267980.53702225396</v>
      </c>
      <c r="CH1192" s="32">
        <f ca="1">IFERROR(IF(MOD(AP1192-ap_months_since_start,12)=0,ap_drawdown/100*(AQ1192+AV1192+BA1192-BC1192),CH1191),0)</f>
        <v>85.047479232344443</v>
      </c>
    </row>
    <row r="1193" spans="40:86" x14ac:dyDescent="0.25">
      <c r="AN1193" s="32">
        <f t="shared" ca="1" si="889"/>
        <v>153.66666666666666</v>
      </c>
      <c r="AO1193" s="53">
        <f t="shared" ca="1" si="920"/>
        <v>81694</v>
      </c>
      <c r="AP1193" s="22">
        <v>1186</v>
      </c>
      <c r="AQ1193" s="32">
        <f t="shared" ca="1" si="921"/>
        <v>510.58951293397433</v>
      </c>
      <c r="AR1193" s="23">
        <f t="array" aca="1" ref="AR1193" ca="1">SUM(IF(lsc_start_date=AO1193,lsc_amount,0))</f>
        <v>0</v>
      </c>
      <c r="AS1193" s="24">
        <f t="shared" ca="1" si="895"/>
        <v>0</v>
      </c>
      <c r="AT1193" s="24">
        <f t="shared" ca="1" si="896"/>
        <v>0</v>
      </c>
      <c r="AU1193" s="24">
        <f t="shared" ca="1" si="897"/>
        <v>0</v>
      </c>
      <c r="AV1193" s="25">
        <f t="shared" ca="1" si="898"/>
        <v>0</v>
      </c>
      <c r="AW1193" s="23">
        <f t="array" aca="1" ref="AW1193" ca="1">SUM(IF(rcs_start_date&lt;=AO1193,1,0)*IF(rcs_end_date&gt;=AO1193,1,0)*rcs_amount*(1+rcs_escalation/100)^(INT((AP1193-rcs_months_since_start)/12))*IF(MOD((AP1193-rcs_months_since_start),rcs_frequency)=0,1,0)*IF(rcs_frequency=13,0,1))+SUM(IF(rcs_start_date=AO1193,rcs_amount,0)*IF(rcs_frequency=13,1,0))</f>
        <v>0</v>
      </c>
      <c r="AX1193" s="24">
        <f t="shared" ca="1" si="899"/>
        <v>0</v>
      </c>
      <c r="AY1193" s="24">
        <f t="shared" ca="1" si="900"/>
        <v>0</v>
      </c>
      <c r="AZ1193" s="24">
        <f t="shared" ca="1" si="901"/>
        <v>0</v>
      </c>
      <c r="BA1193" s="25">
        <f t="shared" ca="1" si="902"/>
        <v>0</v>
      </c>
      <c r="BB1193" s="23">
        <f t="array" aca="1" ref="BB1193" ca="1">SUM(IF(w_start_date&lt;=AO1193,1,0)*IF(w_end_date&gt;=AO1193,1,0)*w_amount*(1+w_escalation/100)^(INT((AP1193-w_months_since_start)/12))*IF(MOD(AP1193-w_months_since_start,w_frequency)=0,1,0)*IF(w_frequency=13,0,1))+SUM(IF(w_start_date=AO1193,w_amount,0)*IF(w_frequency=13,1,0))</f>
        <v>0</v>
      </c>
      <c r="BC1193" s="25">
        <f t="shared" ca="1" si="903"/>
        <v>0</v>
      </c>
      <c r="BD1193" s="24" t="b">
        <f t="shared" ca="1" si="904"/>
        <v>1</v>
      </c>
      <c r="BE1193" s="24" t="b">
        <f t="shared" ca="1" si="905"/>
        <v>1</v>
      </c>
      <c r="BF1193" s="23">
        <f t="array" aca="1" ref="BF1193" ca="1">SUM(IF(BD1193,1,0)*IF(ap_start_date&lt;=AO1193,1,0)*IF(ap_end_date&gt;=AO1193,1,0)*ap_amount*(1+ap_escalation/100)^(INT((AP1193-ap_months_since_start)/12))*IF(MOD(AP1193-ap_months_since_start,ap_frequency)=0,1,0))</f>
        <v>1061618.7085366452</v>
      </c>
      <c r="BG1193" s="24">
        <f t="shared" ca="1" si="906"/>
        <v>12739424.502439743</v>
      </c>
      <c r="BH1193" s="24">
        <f t="shared" ca="1" si="907"/>
        <v>13.833886144095212</v>
      </c>
      <c r="BI1193">
        <f t="shared" ca="1" si="908"/>
        <v>0</v>
      </c>
      <c r="BJ1193" s="24">
        <f t="shared" ca="1" si="909"/>
        <v>96.837203008666478</v>
      </c>
      <c r="BK1193">
        <f t="shared" ca="1" si="910"/>
        <v>1</v>
      </c>
      <c r="BL1193" s="25">
        <f t="shared" ca="1" si="911"/>
        <v>8.069766917388872</v>
      </c>
      <c r="BM1193" s="32">
        <f t="shared" ca="1" si="890"/>
        <v>506.14156829886991</v>
      </c>
      <c r="BN1193" s="23">
        <f t="shared" ca="1" si="912"/>
        <v>0</v>
      </c>
      <c r="BO1193" s="24">
        <f t="shared" ca="1" si="913"/>
        <v>0</v>
      </c>
      <c r="BP1193" s="25">
        <f t="shared" ca="1" si="914"/>
        <v>0</v>
      </c>
      <c r="BQ1193" s="34">
        <f t="shared" ca="1" si="915"/>
        <v>81723</v>
      </c>
      <c r="BR1193" s="23">
        <f t="shared" ca="1" si="916"/>
        <v>506.14156829886991</v>
      </c>
      <c r="BS1193" s="24">
        <f t="shared" ca="1" si="917"/>
        <v>0</v>
      </c>
      <c r="BT1193" s="24">
        <f t="shared" ca="1" si="922"/>
        <v>0</v>
      </c>
      <c r="BU1193" s="24">
        <f t="shared" ca="1" si="918"/>
        <v>0</v>
      </c>
      <c r="BV1193" s="24">
        <f t="shared" ca="1" si="923"/>
        <v>0</v>
      </c>
      <c r="BW1193" s="24">
        <f t="shared" ca="1" si="919"/>
        <v>-8.069766917388872</v>
      </c>
      <c r="BX1193" s="25">
        <f t="shared" ca="1" si="924"/>
        <v>-97.668754775859838</v>
      </c>
      <c r="BY1193" s="23">
        <f t="shared" ca="1" si="891"/>
        <v>10.490841020639644</v>
      </c>
      <c r="BZ1193" s="24">
        <f t="shared" ca="1" si="892"/>
        <v>0</v>
      </c>
      <c r="CA1193" s="24">
        <f t="shared" ca="1" si="925"/>
        <v>0</v>
      </c>
      <c r="CB1193" s="24">
        <f t="shared" ca="1" si="893"/>
        <v>0</v>
      </c>
      <c r="CC1193" s="24">
        <f t="shared" ca="1" si="926"/>
        <v>0</v>
      </c>
      <c r="CD1193" s="24">
        <f t="shared" ca="1" si="894"/>
        <v>-0.1678103469213004</v>
      </c>
      <c r="CE1193" s="25">
        <f t="shared" ca="1" si="927"/>
        <v>-2.0683060815547107</v>
      </c>
      <c r="CF1193" s="23">
        <f t="shared" ca="1" si="928"/>
        <v>12698593.013649873</v>
      </c>
      <c r="CG1193" s="25">
        <f t="array" aca="1" ref="CG1193" ca="1">SUM(BF1182:BF1193/(1+inflation/100)^(AP1182:AP1193/12))</f>
        <v>267980.53702225396</v>
      </c>
      <c r="CH1193" s="32">
        <f ca="1">IFERROR(IF(MOD(AP1193-ap_months_since_start,12)=0,ap_drawdown/100*(AQ1193+AV1193+BA1193-BC1193),CH1192),0)</f>
        <v>85.047479232344443</v>
      </c>
    </row>
    <row r="1194" spans="40:86" x14ac:dyDescent="0.25">
      <c r="AN1194" s="32">
        <f t="shared" ca="1" si="889"/>
        <v>153.75</v>
      </c>
      <c r="AO1194" s="53">
        <f t="shared" ca="1" si="920"/>
        <v>81724</v>
      </c>
      <c r="AP1194" s="22">
        <v>1187</v>
      </c>
      <c r="AQ1194" s="32">
        <f t="shared" ca="1" si="921"/>
        <v>506.14156829886991</v>
      </c>
      <c r="AR1194" s="23">
        <f t="array" aca="1" ref="AR1194" ca="1">SUM(IF(lsc_start_date=AO1194,lsc_amount,0))</f>
        <v>0</v>
      </c>
      <c r="AS1194" s="24">
        <f t="shared" ca="1" si="895"/>
        <v>0</v>
      </c>
      <c r="AT1194" s="24">
        <f t="shared" ca="1" si="896"/>
        <v>0</v>
      </c>
      <c r="AU1194" s="24">
        <f t="shared" ca="1" si="897"/>
        <v>0</v>
      </c>
      <c r="AV1194" s="25">
        <f t="shared" ca="1" si="898"/>
        <v>0</v>
      </c>
      <c r="AW1194" s="23">
        <f t="array" aca="1" ref="AW1194" ca="1">SUM(IF(rcs_start_date&lt;=AO1194,1,0)*IF(rcs_end_date&gt;=AO1194,1,0)*rcs_amount*(1+rcs_escalation/100)^(INT((AP1194-rcs_months_since_start)/12))*IF(MOD((AP1194-rcs_months_since_start),rcs_frequency)=0,1,0)*IF(rcs_frequency=13,0,1))+SUM(IF(rcs_start_date=AO1194,rcs_amount,0)*IF(rcs_frequency=13,1,0))</f>
        <v>0</v>
      </c>
      <c r="AX1194" s="24">
        <f t="shared" ca="1" si="899"/>
        <v>0</v>
      </c>
      <c r="AY1194" s="24">
        <f t="shared" ca="1" si="900"/>
        <v>0</v>
      </c>
      <c r="AZ1194" s="24">
        <f t="shared" ca="1" si="901"/>
        <v>0</v>
      </c>
      <c r="BA1194" s="25">
        <f t="shared" ca="1" si="902"/>
        <v>0</v>
      </c>
      <c r="BB1194" s="23">
        <f t="array" aca="1" ref="BB1194" ca="1">SUM(IF(w_start_date&lt;=AO1194,1,0)*IF(w_end_date&gt;=AO1194,1,0)*w_amount*(1+w_escalation/100)^(INT((AP1194-w_months_since_start)/12))*IF(MOD(AP1194-w_months_since_start,w_frequency)=0,1,0)*IF(w_frequency=13,0,1))+SUM(IF(w_start_date=AO1194,w_amount,0)*IF(w_frequency=13,1,0))</f>
        <v>0</v>
      </c>
      <c r="BC1194" s="25">
        <f t="shared" ca="1" si="903"/>
        <v>0</v>
      </c>
      <c r="BD1194" s="24" t="b">
        <f t="shared" ca="1" si="904"/>
        <v>1</v>
      </c>
      <c r="BE1194" s="24" t="b">
        <f t="shared" ca="1" si="905"/>
        <v>1</v>
      </c>
      <c r="BF1194" s="23">
        <f t="array" aca="1" ref="BF1194" ca="1">SUM(IF(BD1194,1,0)*IF(ap_start_date&lt;=AO1194,1,0)*IF(ap_end_date&gt;=AO1194,1,0)*ap_amount*(1+ap_escalation/100)^(INT((AP1194-ap_months_since_start)/12))*IF(MOD(AP1194-ap_months_since_start,ap_frequency)=0,1,0))</f>
        <v>1061618.7085366452</v>
      </c>
      <c r="BG1194" s="24">
        <f t="shared" ca="1" si="906"/>
        <v>12739424.502439743</v>
      </c>
      <c r="BH1194" s="24">
        <f t="shared" ca="1" si="907"/>
        <v>13.833886144095212</v>
      </c>
      <c r="BI1194">
        <f t="shared" ca="1" si="908"/>
        <v>0</v>
      </c>
      <c r="BJ1194" s="24">
        <f t="shared" ca="1" si="909"/>
        <v>96.837203008666478</v>
      </c>
      <c r="BK1194">
        <f t="shared" ca="1" si="910"/>
        <v>1</v>
      </c>
      <c r="BL1194" s="25">
        <f t="shared" ca="1" si="911"/>
        <v>8.069766917388872</v>
      </c>
      <c r="BM1194" s="32">
        <f t="shared" ca="1" si="890"/>
        <v>501.66156588868802</v>
      </c>
      <c r="BN1194" s="23">
        <f t="shared" ca="1" si="912"/>
        <v>0</v>
      </c>
      <c r="BO1194" s="24">
        <f t="shared" ca="1" si="913"/>
        <v>0</v>
      </c>
      <c r="BP1194" s="25">
        <f t="shared" ca="1" si="914"/>
        <v>0</v>
      </c>
      <c r="BQ1194" s="34">
        <f t="shared" ca="1" si="915"/>
        <v>81754</v>
      </c>
      <c r="BR1194" s="23">
        <f t="shared" ca="1" si="916"/>
        <v>501.66156588868802</v>
      </c>
      <c r="BS1194" s="24">
        <f t="shared" ca="1" si="917"/>
        <v>0</v>
      </c>
      <c r="BT1194" s="24">
        <f t="shared" ca="1" si="922"/>
        <v>0</v>
      </c>
      <c r="BU1194" s="24">
        <f t="shared" ca="1" si="918"/>
        <v>0</v>
      </c>
      <c r="BV1194" s="24">
        <f t="shared" ca="1" si="923"/>
        <v>0</v>
      </c>
      <c r="BW1194" s="24">
        <f t="shared" ca="1" si="919"/>
        <v>-8.069766917388872</v>
      </c>
      <c r="BX1194" s="25">
        <f t="shared" ca="1" si="924"/>
        <v>-96.837203008666492</v>
      </c>
      <c r="BY1194" s="23">
        <f t="shared" ca="1" si="891"/>
        <v>10.36405439753989</v>
      </c>
      <c r="BZ1194" s="24">
        <f t="shared" ca="1" si="892"/>
        <v>0</v>
      </c>
      <c r="CA1194" s="24">
        <f t="shared" ca="1" si="925"/>
        <v>0</v>
      </c>
      <c r="CB1194" s="24">
        <f t="shared" ca="1" si="893"/>
        <v>0</v>
      </c>
      <c r="CC1194" s="24">
        <f t="shared" ca="1" si="926"/>
        <v>0</v>
      </c>
      <c r="CD1194" s="24">
        <f t="shared" ca="1" si="894"/>
        <v>-0.16726277213009719</v>
      </c>
      <c r="CE1194" s="25">
        <f t="shared" ca="1" si="927"/>
        <v>-2.0436904978165646</v>
      </c>
      <c r="CF1194" s="23">
        <f t="shared" ca="1" si="928"/>
        <v>12739424.502439743</v>
      </c>
      <c r="CG1194" s="25">
        <f t="array" aca="1" ref="CG1194" ca="1">SUM(BF1183:BF1194/(1+inflation/100)^(AP1183:AP1194/12))</f>
        <v>267980.53702225396</v>
      </c>
      <c r="CH1194" s="32">
        <f ca="1">IFERROR(IF(MOD(AP1194-ap_months_since_start,12)=0,ap_drawdown/100*(AQ1194+AV1194+BA1194-BC1194),CH1193),0)</f>
        <v>85.047479232344443</v>
      </c>
    </row>
    <row r="1195" spans="40:86" x14ac:dyDescent="0.25">
      <c r="AN1195" s="32">
        <f t="shared" ca="1" si="889"/>
        <v>153.83333333333334</v>
      </c>
      <c r="AO1195" s="53">
        <f t="shared" ca="1" si="920"/>
        <v>81755</v>
      </c>
      <c r="AP1195" s="22">
        <v>1188</v>
      </c>
      <c r="AQ1195" s="32">
        <f t="shared" ca="1" si="921"/>
        <v>501.66156588868802</v>
      </c>
      <c r="AR1195" s="23">
        <f t="array" aca="1" ref="AR1195" ca="1">SUM(IF(lsc_start_date=AO1195,lsc_amount,0))</f>
        <v>0</v>
      </c>
      <c r="AS1195" s="24">
        <f t="shared" ca="1" si="895"/>
        <v>0</v>
      </c>
      <c r="AT1195" s="24">
        <f t="shared" ca="1" si="896"/>
        <v>0</v>
      </c>
      <c r="AU1195" s="24">
        <f t="shared" ca="1" si="897"/>
        <v>0</v>
      </c>
      <c r="AV1195" s="25">
        <f t="shared" ca="1" si="898"/>
        <v>0</v>
      </c>
      <c r="AW1195" s="23">
        <f t="array" aca="1" ref="AW1195" ca="1">SUM(IF(rcs_start_date&lt;=AO1195,1,0)*IF(rcs_end_date&gt;=AO1195,1,0)*rcs_amount*(1+rcs_escalation/100)^(INT((AP1195-rcs_months_since_start)/12))*IF(MOD((AP1195-rcs_months_since_start),rcs_frequency)=0,1,0)*IF(rcs_frequency=13,0,1))+SUM(IF(rcs_start_date=AO1195,rcs_amount,0)*IF(rcs_frequency=13,1,0))</f>
        <v>0</v>
      </c>
      <c r="AX1195" s="24">
        <f t="shared" ca="1" si="899"/>
        <v>0</v>
      </c>
      <c r="AY1195" s="24">
        <f t="shared" ca="1" si="900"/>
        <v>0</v>
      </c>
      <c r="AZ1195" s="24">
        <f t="shared" ca="1" si="901"/>
        <v>0</v>
      </c>
      <c r="BA1195" s="25">
        <f t="shared" ca="1" si="902"/>
        <v>0</v>
      </c>
      <c r="BB1195" s="23">
        <f t="array" aca="1" ref="BB1195" ca="1">SUM(IF(w_start_date&lt;=AO1195,1,0)*IF(w_end_date&gt;=AO1195,1,0)*w_amount*(1+w_escalation/100)^(INT((AP1195-w_months_since_start)/12))*IF(MOD(AP1195-w_months_since_start,w_frequency)=0,1,0)*IF(w_frequency=13,0,1))+SUM(IF(w_start_date=AO1195,w_amount,0)*IF(w_frequency=13,1,0))</f>
        <v>0</v>
      </c>
      <c r="BC1195" s="25">
        <f t="shared" ca="1" si="903"/>
        <v>0</v>
      </c>
      <c r="BD1195" s="24" t="b">
        <f t="shared" ca="1" si="904"/>
        <v>1</v>
      </c>
      <c r="BE1195" s="24" t="b">
        <f t="shared" ca="1" si="905"/>
        <v>1</v>
      </c>
      <c r="BF1195" s="23">
        <f t="array" aca="1" ref="BF1195" ca="1">SUM(IF(BD1195,1,0)*IF(ap_start_date&lt;=AO1195,1,0)*IF(ap_end_date&gt;=AO1195,1,0)*ap_amount*(1+ap_escalation/100)^(INT((AP1195-ap_months_since_start)/12))*IF(MOD(AP1195-ap_months_since_start,ap_frequency)=0,1,0))</f>
        <v>1104083.456878111</v>
      </c>
      <c r="BG1195" s="24">
        <f t="shared" ca="1" si="906"/>
        <v>13249001.482537331</v>
      </c>
      <c r="BH1195" s="24">
        <f t="shared" ca="1" si="907"/>
        <v>12.5415391472172</v>
      </c>
      <c r="BI1195">
        <f t="shared" ca="1" si="908"/>
        <v>0</v>
      </c>
      <c r="BJ1195" s="24">
        <f t="shared" ca="1" si="909"/>
        <v>87.790774030520396</v>
      </c>
      <c r="BK1195">
        <f t="shared" ca="1" si="910"/>
        <v>1</v>
      </c>
      <c r="BL1195" s="25">
        <f t="shared" ca="1" si="911"/>
        <v>7.3158978358767008</v>
      </c>
      <c r="BM1195" s="32">
        <f t="shared" ca="1" si="890"/>
        <v>497.90857711239954</v>
      </c>
      <c r="BN1195" s="23">
        <f t="shared" ca="1" si="912"/>
        <v>0</v>
      </c>
      <c r="BO1195" s="24">
        <f t="shared" ca="1" si="913"/>
        <v>0</v>
      </c>
      <c r="BP1195" s="25">
        <f t="shared" ca="1" si="914"/>
        <v>0</v>
      </c>
      <c r="BQ1195" s="34">
        <f t="shared" ca="1" si="915"/>
        <v>81784</v>
      </c>
      <c r="BR1195" s="23">
        <f t="shared" ca="1" si="916"/>
        <v>497.90857711239954</v>
      </c>
      <c r="BS1195" s="24">
        <f t="shared" ca="1" si="917"/>
        <v>0</v>
      </c>
      <c r="BT1195" s="24">
        <f t="shared" ca="1" si="922"/>
        <v>0</v>
      </c>
      <c r="BU1195" s="24">
        <f t="shared" ca="1" si="918"/>
        <v>0</v>
      </c>
      <c r="BV1195" s="24">
        <f t="shared" ca="1" si="923"/>
        <v>0</v>
      </c>
      <c r="BW1195" s="24">
        <f t="shared" ca="1" si="919"/>
        <v>-7.3158978358767008</v>
      </c>
      <c r="BX1195" s="25">
        <f t="shared" ca="1" si="924"/>
        <v>-96.083333927154314</v>
      </c>
      <c r="BY1195" s="23">
        <f t="shared" ca="1" si="891"/>
        <v>10.252954191886058</v>
      </c>
      <c r="BZ1195" s="24">
        <f t="shared" ca="1" si="892"/>
        <v>0</v>
      </c>
      <c r="CA1195" s="24">
        <f t="shared" ca="1" si="925"/>
        <v>0</v>
      </c>
      <c r="CB1195" s="24">
        <f t="shared" ca="1" si="893"/>
        <v>0</v>
      </c>
      <c r="CC1195" s="24">
        <f t="shared" ca="1" si="926"/>
        <v>0</v>
      </c>
      <c r="CD1195" s="24">
        <f t="shared" ca="1" si="894"/>
        <v>-0.1511424599641234</v>
      </c>
      <c r="CE1195" s="25">
        <f t="shared" ca="1" si="927"/>
        <v>-2.0214472943095552</v>
      </c>
      <c r="CF1195" s="23">
        <f t="shared" ca="1" si="928"/>
        <v>12781889.250781208</v>
      </c>
      <c r="CG1195" s="25">
        <f t="array" aca="1" ref="CG1195" ca="1">SUM(BF1184:BF1195/(1+inflation/100)^(AP1184:AP1195/12))</f>
        <v>267980.53702225396</v>
      </c>
      <c r="CH1195" s="32">
        <f ca="1">IFERROR(IF(MOD(AP1195-ap_months_since_start,12)=0,ap_drawdown/100*(AQ1195+AV1195+BA1195-BC1195),CH1194),0)</f>
        <v>77.1024337669472</v>
      </c>
    </row>
    <row r="1196" spans="40:86" x14ac:dyDescent="0.25">
      <c r="AN1196" s="32">
        <f t="shared" ca="1" si="889"/>
        <v>153.91666666666666</v>
      </c>
      <c r="AO1196" s="53">
        <f t="shared" ca="1" si="920"/>
        <v>81785</v>
      </c>
      <c r="AP1196" s="22">
        <v>1189</v>
      </c>
      <c r="AQ1196" s="32">
        <f t="shared" ca="1" si="921"/>
        <v>497.90857711239954</v>
      </c>
      <c r="AR1196" s="23">
        <f t="array" aca="1" ref="AR1196" ca="1">SUM(IF(lsc_start_date=AO1196,lsc_amount,0))</f>
        <v>0</v>
      </c>
      <c r="AS1196" s="24">
        <f t="shared" ca="1" si="895"/>
        <v>0</v>
      </c>
      <c r="AT1196" s="24">
        <f t="shared" ca="1" si="896"/>
        <v>0</v>
      </c>
      <c r="AU1196" s="24">
        <f t="shared" ca="1" si="897"/>
        <v>0</v>
      </c>
      <c r="AV1196" s="25">
        <f t="shared" ca="1" si="898"/>
        <v>0</v>
      </c>
      <c r="AW1196" s="23">
        <f t="array" aca="1" ref="AW1196" ca="1">SUM(IF(rcs_start_date&lt;=AO1196,1,0)*IF(rcs_end_date&gt;=AO1196,1,0)*rcs_amount*(1+rcs_escalation/100)^(INT((AP1196-rcs_months_since_start)/12))*IF(MOD((AP1196-rcs_months_since_start),rcs_frequency)=0,1,0)*IF(rcs_frequency=13,0,1))+SUM(IF(rcs_start_date=AO1196,rcs_amount,0)*IF(rcs_frequency=13,1,0))</f>
        <v>0</v>
      </c>
      <c r="AX1196" s="24">
        <f t="shared" ca="1" si="899"/>
        <v>0</v>
      </c>
      <c r="AY1196" s="24">
        <f t="shared" ca="1" si="900"/>
        <v>0</v>
      </c>
      <c r="AZ1196" s="24">
        <f t="shared" ca="1" si="901"/>
        <v>0</v>
      </c>
      <c r="BA1196" s="25">
        <f t="shared" ca="1" si="902"/>
        <v>0</v>
      </c>
      <c r="BB1196" s="23">
        <f t="array" aca="1" ref="BB1196" ca="1">SUM(IF(w_start_date&lt;=AO1196,1,0)*IF(w_end_date&gt;=AO1196,1,0)*w_amount*(1+w_escalation/100)^(INT((AP1196-w_months_since_start)/12))*IF(MOD(AP1196-w_months_since_start,w_frequency)=0,1,0)*IF(w_frequency=13,0,1))+SUM(IF(w_start_date=AO1196,w_amount,0)*IF(w_frequency=13,1,0))</f>
        <v>0</v>
      </c>
      <c r="BC1196" s="25">
        <f t="shared" ca="1" si="903"/>
        <v>0</v>
      </c>
      <c r="BD1196" s="24" t="b">
        <f t="shared" ca="1" si="904"/>
        <v>1</v>
      </c>
      <c r="BE1196" s="24" t="b">
        <f t="shared" ca="1" si="905"/>
        <v>1</v>
      </c>
      <c r="BF1196" s="23">
        <f t="array" aca="1" ref="BF1196" ca="1">SUM(IF(BD1196,1,0)*IF(ap_start_date&lt;=AO1196,1,0)*IF(ap_end_date&gt;=AO1196,1,0)*ap_amount*(1+ap_escalation/100)^(INT((AP1196-ap_months_since_start)/12))*IF(MOD(AP1196-ap_months_since_start,ap_frequency)=0,1,0))</f>
        <v>1104083.456878111</v>
      </c>
      <c r="BG1196" s="24">
        <f t="shared" ca="1" si="906"/>
        <v>13249001.482537331</v>
      </c>
      <c r="BH1196" s="24">
        <f t="shared" ca="1" si="907"/>
        <v>12.5415391472172</v>
      </c>
      <c r="BI1196">
        <f t="shared" ca="1" si="908"/>
        <v>0</v>
      </c>
      <c r="BJ1196" s="24">
        <f t="shared" ca="1" si="909"/>
        <v>87.790774030520396</v>
      </c>
      <c r="BK1196">
        <f t="shared" ca="1" si="910"/>
        <v>1</v>
      </c>
      <c r="BL1196" s="25">
        <f t="shared" ca="1" si="911"/>
        <v>7.3158978358767008</v>
      </c>
      <c r="BM1196" s="32">
        <f t="shared" ca="1" si="890"/>
        <v>494.12853933259851</v>
      </c>
      <c r="BN1196" s="23">
        <f t="shared" ca="1" si="912"/>
        <v>0</v>
      </c>
      <c r="BO1196" s="24">
        <f t="shared" ca="1" si="913"/>
        <v>0</v>
      </c>
      <c r="BP1196" s="25">
        <f t="shared" ca="1" si="914"/>
        <v>0</v>
      </c>
      <c r="BQ1196" s="34">
        <f t="shared" ca="1" si="915"/>
        <v>81815</v>
      </c>
      <c r="BR1196" s="23">
        <f t="shared" ca="1" si="916"/>
        <v>494.12853933259851</v>
      </c>
      <c r="BS1196" s="24">
        <f t="shared" ca="1" si="917"/>
        <v>0</v>
      </c>
      <c r="BT1196" s="24">
        <f t="shared" ca="1" si="922"/>
        <v>0</v>
      </c>
      <c r="BU1196" s="24">
        <f t="shared" ca="1" si="918"/>
        <v>0</v>
      </c>
      <c r="BV1196" s="24">
        <f t="shared" ca="1" si="923"/>
        <v>0</v>
      </c>
      <c r="BW1196" s="24">
        <f t="shared" ca="1" si="919"/>
        <v>-7.3158978358767008</v>
      </c>
      <c r="BX1196" s="25">
        <f t="shared" ca="1" si="924"/>
        <v>-95.329464845642136</v>
      </c>
      <c r="BY1196" s="23">
        <f t="shared" ca="1" si="891"/>
        <v>10.141913510500045</v>
      </c>
      <c r="BZ1196" s="24">
        <f t="shared" ca="1" si="892"/>
        <v>0</v>
      </c>
      <c r="CA1196" s="24">
        <f t="shared" ca="1" si="925"/>
        <v>0</v>
      </c>
      <c r="CB1196" s="24">
        <f t="shared" ca="1" si="893"/>
        <v>0</v>
      </c>
      <c r="CC1196" s="24">
        <f t="shared" ca="1" si="926"/>
        <v>0</v>
      </c>
      <c r="CD1196" s="24">
        <f t="shared" ca="1" si="894"/>
        <v>-0.1506492734444887</v>
      </c>
      <c r="CE1196" s="25">
        <f t="shared" ca="1" si="927"/>
        <v>-1.9992766716519361</v>
      </c>
      <c r="CF1196" s="23">
        <f t="shared" ca="1" si="928"/>
        <v>12824353.999122674</v>
      </c>
      <c r="CG1196" s="25">
        <f t="array" aca="1" ref="CG1196" ca="1">SUM(BF1185:BF1196/(1+inflation/100)^(AP1185:AP1196/12))</f>
        <v>267980.53702225396</v>
      </c>
      <c r="CH1196" s="32">
        <f ca="1">IFERROR(IF(MOD(AP1196-ap_months_since_start,12)=0,ap_drawdown/100*(AQ1196+AV1196+BA1196-BC1196),CH1195),0)</f>
        <v>77.1024337669472</v>
      </c>
    </row>
    <row r="1197" spans="40:86" x14ac:dyDescent="0.25">
      <c r="AN1197" s="32">
        <f t="shared" ca="1" si="889"/>
        <v>154</v>
      </c>
      <c r="AO1197" s="53">
        <f t="shared" ca="1" si="920"/>
        <v>81816</v>
      </c>
      <c r="AP1197" s="22">
        <v>1190</v>
      </c>
      <c r="AQ1197" s="32">
        <f t="shared" ca="1" si="921"/>
        <v>494.12853933259851</v>
      </c>
      <c r="AR1197" s="23">
        <f t="array" aca="1" ref="AR1197" ca="1">SUM(IF(lsc_start_date=AO1197,lsc_amount,0))</f>
        <v>0</v>
      </c>
      <c r="AS1197" s="24">
        <f t="shared" ca="1" si="895"/>
        <v>0</v>
      </c>
      <c r="AT1197" s="24">
        <f t="shared" ca="1" si="896"/>
        <v>0</v>
      </c>
      <c r="AU1197" s="24">
        <f t="shared" ca="1" si="897"/>
        <v>0</v>
      </c>
      <c r="AV1197" s="25">
        <f t="shared" ca="1" si="898"/>
        <v>0</v>
      </c>
      <c r="AW1197" s="23">
        <f t="array" aca="1" ref="AW1197" ca="1">SUM(IF(rcs_start_date&lt;=AO1197,1,0)*IF(rcs_end_date&gt;=AO1197,1,0)*rcs_amount*(1+rcs_escalation/100)^(INT((AP1197-rcs_months_since_start)/12))*IF(MOD((AP1197-rcs_months_since_start),rcs_frequency)=0,1,0)*IF(rcs_frequency=13,0,1))+SUM(IF(rcs_start_date=AO1197,rcs_amount,0)*IF(rcs_frequency=13,1,0))</f>
        <v>0</v>
      </c>
      <c r="AX1197" s="24">
        <f t="shared" ca="1" si="899"/>
        <v>0</v>
      </c>
      <c r="AY1197" s="24">
        <f t="shared" ca="1" si="900"/>
        <v>0</v>
      </c>
      <c r="AZ1197" s="24">
        <f t="shared" ca="1" si="901"/>
        <v>0</v>
      </c>
      <c r="BA1197" s="25">
        <f t="shared" ca="1" si="902"/>
        <v>0</v>
      </c>
      <c r="BB1197" s="23">
        <f t="array" aca="1" ref="BB1197" ca="1">SUM(IF(w_start_date&lt;=AO1197,1,0)*IF(w_end_date&gt;=AO1197,1,0)*w_amount*(1+w_escalation/100)^(INT((AP1197-w_months_since_start)/12))*IF(MOD(AP1197-w_months_since_start,w_frequency)=0,1,0)*IF(w_frequency=13,0,1))+SUM(IF(w_start_date=AO1197,w_amount,0)*IF(w_frequency=13,1,0))</f>
        <v>0</v>
      </c>
      <c r="BC1197" s="25">
        <f t="shared" ca="1" si="903"/>
        <v>0</v>
      </c>
      <c r="BD1197" s="24" t="b">
        <f t="shared" ca="1" si="904"/>
        <v>1</v>
      </c>
      <c r="BE1197" s="24" t="b">
        <f t="shared" ca="1" si="905"/>
        <v>1</v>
      </c>
      <c r="BF1197" s="23">
        <f t="array" aca="1" ref="BF1197" ca="1">SUM(IF(BD1197,1,0)*IF(ap_start_date&lt;=AO1197,1,0)*IF(ap_end_date&gt;=AO1197,1,0)*ap_amount*(1+ap_escalation/100)^(INT((AP1197-ap_months_since_start)/12))*IF(MOD(AP1197-ap_months_since_start,ap_frequency)=0,1,0))</f>
        <v>1104083.456878111</v>
      </c>
      <c r="BG1197" s="24">
        <f t="shared" ca="1" si="906"/>
        <v>13249001.482537331</v>
      </c>
      <c r="BH1197" s="24">
        <f t="shared" ca="1" si="907"/>
        <v>12.5415391472172</v>
      </c>
      <c r="BI1197">
        <f t="shared" ca="1" si="908"/>
        <v>0</v>
      </c>
      <c r="BJ1197" s="24">
        <f t="shared" ca="1" si="909"/>
        <v>87.790774030520396</v>
      </c>
      <c r="BK1197">
        <f t="shared" ca="1" si="910"/>
        <v>1</v>
      </c>
      <c r="BL1197" s="25">
        <f t="shared" ca="1" si="911"/>
        <v>7.3158978358767008</v>
      </c>
      <c r="BM1197" s="32">
        <f t="shared" ca="1" si="890"/>
        <v>490.32125759837123</v>
      </c>
      <c r="BN1197" s="23">
        <f t="shared" ca="1" si="912"/>
        <v>0</v>
      </c>
      <c r="BO1197" s="24">
        <f t="shared" ca="1" si="913"/>
        <v>0</v>
      </c>
      <c r="BP1197" s="25">
        <f t="shared" ca="1" si="914"/>
        <v>0</v>
      </c>
      <c r="BQ1197" s="34">
        <f t="shared" ca="1" si="915"/>
        <v>81846</v>
      </c>
      <c r="BR1197" s="23">
        <f t="shared" ca="1" si="916"/>
        <v>490.32125759837123</v>
      </c>
      <c r="BS1197" s="24">
        <f t="shared" ca="1" si="917"/>
        <v>0</v>
      </c>
      <c r="BT1197" s="24">
        <f t="shared" ca="1" si="922"/>
        <v>0</v>
      </c>
      <c r="BU1197" s="24">
        <f t="shared" ca="1" si="918"/>
        <v>0</v>
      </c>
      <c r="BV1197" s="24">
        <f t="shared" ca="1" si="923"/>
        <v>0</v>
      </c>
      <c r="BW1197" s="24">
        <f t="shared" ca="1" si="919"/>
        <v>-7.3158978358767008</v>
      </c>
      <c r="BX1197" s="25">
        <f t="shared" ca="1" si="924"/>
        <v>-94.575595764129957</v>
      </c>
      <c r="BY1197" s="23">
        <f t="shared" ca="1" si="891"/>
        <v>10.030930971155909</v>
      </c>
      <c r="BZ1197" s="24">
        <f t="shared" ca="1" si="892"/>
        <v>0</v>
      </c>
      <c r="CA1197" s="24">
        <f t="shared" ca="1" si="925"/>
        <v>0</v>
      </c>
      <c r="CB1197" s="24">
        <f t="shared" ca="1" si="893"/>
        <v>0</v>
      </c>
      <c r="CC1197" s="24">
        <f t="shared" ca="1" si="926"/>
        <v>0</v>
      </c>
      <c r="CD1197" s="24">
        <f t="shared" ca="1" si="894"/>
        <v>-0.15015769622076761</v>
      </c>
      <c r="CE1197" s="25">
        <f t="shared" ca="1" si="927"/>
        <v>-1.9771783930082312</v>
      </c>
      <c r="CF1197" s="23">
        <f t="shared" ca="1" si="928"/>
        <v>12866818.747464139</v>
      </c>
      <c r="CG1197" s="25">
        <f t="array" aca="1" ref="CG1197" ca="1">SUM(BF1186:BF1197/(1+inflation/100)^(AP1186:AP1197/12))</f>
        <v>267980.53702225396</v>
      </c>
      <c r="CH1197" s="32">
        <f ca="1">IFERROR(IF(MOD(AP1197-ap_months_since_start,12)=0,ap_drawdown/100*(AQ1197+AV1197+BA1197-BC1197),CH1196),0)</f>
        <v>77.1024337669472</v>
      </c>
    </row>
    <row r="1198" spans="40:86" x14ac:dyDescent="0.25">
      <c r="AN1198" s="32">
        <f t="shared" ca="1" si="889"/>
        <v>154.08333333333334</v>
      </c>
      <c r="AO1198" s="53">
        <f t="shared" ca="1" si="920"/>
        <v>81847</v>
      </c>
      <c r="AP1198" s="22">
        <v>1191</v>
      </c>
      <c r="AQ1198" s="32">
        <f t="shared" ca="1" si="921"/>
        <v>490.32125759837123</v>
      </c>
      <c r="AR1198" s="23">
        <f t="array" aca="1" ref="AR1198" ca="1">SUM(IF(lsc_start_date=AO1198,lsc_amount,0))</f>
        <v>0</v>
      </c>
      <c r="AS1198" s="24">
        <f t="shared" ca="1" si="895"/>
        <v>0</v>
      </c>
      <c r="AT1198" s="24">
        <f t="shared" ca="1" si="896"/>
        <v>0</v>
      </c>
      <c r="AU1198" s="24">
        <f t="shared" ca="1" si="897"/>
        <v>0</v>
      </c>
      <c r="AV1198" s="25">
        <f t="shared" ca="1" si="898"/>
        <v>0</v>
      </c>
      <c r="AW1198" s="23">
        <f t="array" aca="1" ref="AW1198" ca="1">SUM(IF(rcs_start_date&lt;=AO1198,1,0)*IF(rcs_end_date&gt;=AO1198,1,0)*rcs_amount*(1+rcs_escalation/100)^(INT((AP1198-rcs_months_since_start)/12))*IF(MOD((AP1198-rcs_months_since_start),rcs_frequency)=0,1,0)*IF(rcs_frequency=13,0,1))+SUM(IF(rcs_start_date=AO1198,rcs_amount,0)*IF(rcs_frequency=13,1,0))</f>
        <v>0</v>
      </c>
      <c r="AX1198" s="24">
        <f t="shared" ca="1" si="899"/>
        <v>0</v>
      </c>
      <c r="AY1198" s="24">
        <f t="shared" ca="1" si="900"/>
        <v>0</v>
      </c>
      <c r="AZ1198" s="24">
        <f t="shared" ca="1" si="901"/>
        <v>0</v>
      </c>
      <c r="BA1198" s="25">
        <f t="shared" ca="1" si="902"/>
        <v>0</v>
      </c>
      <c r="BB1198" s="23">
        <f t="array" aca="1" ref="BB1198" ca="1">SUM(IF(w_start_date&lt;=AO1198,1,0)*IF(w_end_date&gt;=AO1198,1,0)*w_amount*(1+w_escalation/100)^(INT((AP1198-w_months_since_start)/12))*IF(MOD(AP1198-w_months_since_start,w_frequency)=0,1,0)*IF(w_frequency=13,0,1))+SUM(IF(w_start_date=AO1198,w_amount,0)*IF(w_frequency=13,1,0))</f>
        <v>0</v>
      </c>
      <c r="BC1198" s="25">
        <f t="shared" ca="1" si="903"/>
        <v>0</v>
      </c>
      <c r="BD1198" s="24" t="b">
        <f t="shared" ca="1" si="904"/>
        <v>1</v>
      </c>
      <c r="BE1198" s="24" t="b">
        <f t="shared" ca="1" si="905"/>
        <v>1</v>
      </c>
      <c r="BF1198" s="23">
        <f t="array" aca="1" ref="BF1198" ca="1">SUM(IF(BD1198,1,0)*IF(ap_start_date&lt;=AO1198,1,0)*IF(ap_end_date&gt;=AO1198,1,0)*ap_amount*(1+ap_escalation/100)^(INT((AP1198-ap_months_since_start)/12))*IF(MOD(AP1198-ap_months_since_start,ap_frequency)=0,1,0))</f>
        <v>1104083.456878111</v>
      </c>
      <c r="BG1198" s="24">
        <f t="shared" ca="1" si="906"/>
        <v>13249001.482537331</v>
      </c>
      <c r="BH1198" s="24">
        <f t="shared" ca="1" si="907"/>
        <v>12.5415391472172</v>
      </c>
      <c r="BI1198">
        <f t="shared" ca="1" si="908"/>
        <v>0</v>
      </c>
      <c r="BJ1198" s="24">
        <f t="shared" ca="1" si="909"/>
        <v>87.790774030520396</v>
      </c>
      <c r="BK1198">
        <f t="shared" ca="1" si="910"/>
        <v>1</v>
      </c>
      <c r="BL1198" s="25">
        <f t="shared" ca="1" si="911"/>
        <v>7.3158978358767008</v>
      </c>
      <c r="BM1198" s="32">
        <f t="shared" ca="1" si="890"/>
        <v>486.48653555372977</v>
      </c>
      <c r="BN1198" s="23">
        <f t="shared" ca="1" si="912"/>
        <v>0</v>
      </c>
      <c r="BO1198" s="24">
        <f t="shared" ca="1" si="913"/>
        <v>0</v>
      </c>
      <c r="BP1198" s="25">
        <f t="shared" ca="1" si="914"/>
        <v>0</v>
      </c>
      <c r="BQ1198" s="34">
        <f t="shared" ca="1" si="915"/>
        <v>81875</v>
      </c>
      <c r="BR1198" s="23">
        <f t="shared" ca="1" si="916"/>
        <v>486.48653555372977</v>
      </c>
      <c r="BS1198" s="24">
        <f t="shared" ca="1" si="917"/>
        <v>0</v>
      </c>
      <c r="BT1198" s="24">
        <f t="shared" ca="1" si="922"/>
        <v>0</v>
      </c>
      <c r="BU1198" s="24">
        <f t="shared" ca="1" si="918"/>
        <v>0</v>
      </c>
      <c r="BV1198" s="24">
        <f t="shared" ca="1" si="923"/>
        <v>0</v>
      </c>
      <c r="BW1198" s="24">
        <f t="shared" ca="1" si="919"/>
        <v>-7.3158978358767008</v>
      </c>
      <c r="BX1198" s="25">
        <f t="shared" ca="1" si="924"/>
        <v>-93.821726682617779</v>
      </c>
      <c r="BY1198" s="23">
        <f t="shared" ca="1" si="891"/>
        <v>9.9200051914802287</v>
      </c>
      <c r="BZ1198" s="24">
        <f t="shared" ca="1" si="892"/>
        <v>0</v>
      </c>
      <c r="CA1198" s="24">
        <f t="shared" ca="1" si="925"/>
        <v>0</v>
      </c>
      <c r="CB1198" s="24">
        <f t="shared" ca="1" si="893"/>
        <v>0</v>
      </c>
      <c r="CC1198" s="24">
        <f t="shared" ca="1" si="926"/>
        <v>0</v>
      </c>
      <c r="CD1198" s="24">
        <f t="shared" ca="1" si="894"/>
        <v>-0.14966772304173473</v>
      </c>
      <c r="CE1198" s="25">
        <f t="shared" ca="1" si="927"/>
        <v>-1.9551522223157718</v>
      </c>
      <c r="CF1198" s="23">
        <f t="shared" ca="1" si="928"/>
        <v>12909283.495805604</v>
      </c>
      <c r="CG1198" s="25">
        <f t="array" aca="1" ref="CG1198" ca="1">SUM(BF1187:BF1198/(1+inflation/100)^(AP1187:AP1198/12))</f>
        <v>267980.53702225396</v>
      </c>
      <c r="CH1198" s="32">
        <f ca="1">IFERROR(IF(MOD(AP1198-ap_months_since_start,12)=0,ap_drawdown/100*(AQ1198+AV1198+BA1198-BC1198),CH1197),0)</f>
        <v>77.1024337669472</v>
      </c>
    </row>
    <row r="1199" spans="40:86" x14ac:dyDescent="0.25">
      <c r="AN1199" s="32">
        <f t="shared" ca="1" si="889"/>
        <v>154.16666666666666</v>
      </c>
      <c r="AO1199" s="53">
        <f t="shared" ca="1" si="920"/>
        <v>81876</v>
      </c>
      <c r="AP1199" s="22">
        <v>1192</v>
      </c>
      <c r="AQ1199" s="32">
        <f t="shared" ca="1" si="921"/>
        <v>486.48653555372977</v>
      </c>
      <c r="AR1199" s="23">
        <f t="array" aca="1" ref="AR1199" ca="1">SUM(IF(lsc_start_date=AO1199,lsc_amount,0))</f>
        <v>0</v>
      </c>
      <c r="AS1199" s="24">
        <f t="shared" ca="1" si="895"/>
        <v>0</v>
      </c>
      <c r="AT1199" s="24">
        <f t="shared" ca="1" si="896"/>
        <v>0</v>
      </c>
      <c r="AU1199" s="24">
        <f t="shared" ca="1" si="897"/>
        <v>0</v>
      </c>
      <c r="AV1199" s="25">
        <f t="shared" ca="1" si="898"/>
        <v>0</v>
      </c>
      <c r="AW1199" s="23">
        <f t="array" aca="1" ref="AW1199" ca="1">SUM(IF(rcs_start_date&lt;=AO1199,1,0)*IF(rcs_end_date&gt;=AO1199,1,0)*rcs_amount*(1+rcs_escalation/100)^(INT((AP1199-rcs_months_since_start)/12))*IF(MOD((AP1199-rcs_months_since_start),rcs_frequency)=0,1,0)*IF(rcs_frequency=13,0,1))+SUM(IF(rcs_start_date=AO1199,rcs_amount,0)*IF(rcs_frequency=13,1,0))</f>
        <v>0</v>
      </c>
      <c r="AX1199" s="24">
        <f t="shared" ca="1" si="899"/>
        <v>0</v>
      </c>
      <c r="AY1199" s="24">
        <f t="shared" ca="1" si="900"/>
        <v>0</v>
      </c>
      <c r="AZ1199" s="24">
        <f t="shared" ca="1" si="901"/>
        <v>0</v>
      </c>
      <c r="BA1199" s="25">
        <f t="shared" ca="1" si="902"/>
        <v>0</v>
      </c>
      <c r="BB1199" s="23">
        <f t="array" aca="1" ref="BB1199" ca="1">SUM(IF(w_start_date&lt;=AO1199,1,0)*IF(w_end_date&gt;=AO1199,1,0)*w_amount*(1+w_escalation/100)^(INT((AP1199-w_months_since_start)/12))*IF(MOD(AP1199-w_months_since_start,w_frequency)=0,1,0)*IF(w_frequency=13,0,1))+SUM(IF(w_start_date=AO1199,w_amount,0)*IF(w_frequency=13,1,0))</f>
        <v>0</v>
      </c>
      <c r="BC1199" s="25">
        <f t="shared" ca="1" si="903"/>
        <v>0</v>
      </c>
      <c r="BD1199" s="24" t="b">
        <f t="shared" ca="1" si="904"/>
        <v>1</v>
      </c>
      <c r="BE1199" s="24" t="b">
        <f t="shared" ca="1" si="905"/>
        <v>1</v>
      </c>
      <c r="BF1199" s="23">
        <f t="array" aca="1" ref="BF1199" ca="1">SUM(IF(BD1199,1,0)*IF(ap_start_date&lt;=AO1199,1,0)*IF(ap_end_date&gt;=AO1199,1,0)*ap_amount*(1+ap_escalation/100)^(INT((AP1199-ap_months_since_start)/12))*IF(MOD(AP1199-ap_months_since_start,ap_frequency)=0,1,0))</f>
        <v>1104083.456878111</v>
      </c>
      <c r="BG1199" s="24">
        <f t="shared" ca="1" si="906"/>
        <v>13249001.482537331</v>
      </c>
      <c r="BH1199" s="24">
        <f t="shared" ca="1" si="907"/>
        <v>12.5415391472172</v>
      </c>
      <c r="BI1199">
        <f t="shared" ca="1" si="908"/>
        <v>0</v>
      </c>
      <c r="BJ1199" s="24">
        <f t="shared" ca="1" si="909"/>
        <v>87.790774030520396</v>
      </c>
      <c r="BK1199">
        <f t="shared" ca="1" si="910"/>
        <v>1</v>
      </c>
      <c r="BL1199" s="25">
        <f t="shared" ca="1" si="911"/>
        <v>7.3158978358767008</v>
      </c>
      <c r="BM1199" s="32">
        <f t="shared" ca="1" si="890"/>
        <v>482.62417542748506</v>
      </c>
      <c r="BN1199" s="23">
        <f t="shared" ca="1" si="912"/>
        <v>0</v>
      </c>
      <c r="BO1199" s="24">
        <f t="shared" ca="1" si="913"/>
        <v>0</v>
      </c>
      <c r="BP1199" s="25">
        <f t="shared" ca="1" si="914"/>
        <v>0</v>
      </c>
      <c r="BQ1199" s="34">
        <f t="shared" ca="1" si="915"/>
        <v>81906</v>
      </c>
      <c r="BR1199" s="23">
        <f t="shared" ca="1" si="916"/>
        <v>482.62417542748506</v>
      </c>
      <c r="BS1199" s="24">
        <f t="shared" ca="1" si="917"/>
        <v>0</v>
      </c>
      <c r="BT1199" s="24">
        <f t="shared" ca="1" si="922"/>
        <v>0</v>
      </c>
      <c r="BU1199" s="24">
        <f t="shared" ca="1" si="918"/>
        <v>0</v>
      </c>
      <c r="BV1199" s="24">
        <f t="shared" ca="1" si="923"/>
        <v>0</v>
      </c>
      <c r="BW1199" s="24">
        <f t="shared" ca="1" si="919"/>
        <v>-7.3158978358767008</v>
      </c>
      <c r="BX1199" s="25">
        <f t="shared" ca="1" si="924"/>
        <v>-93.067857601105601</v>
      </c>
      <c r="BY1199" s="23">
        <f t="shared" ca="1" si="891"/>
        <v>9.8091347889342178</v>
      </c>
      <c r="BZ1199" s="24">
        <f t="shared" ca="1" si="892"/>
        <v>0</v>
      </c>
      <c r="CA1199" s="24">
        <f t="shared" ca="1" si="925"/>
        <v>0</v>
      </c>
      <c r="CB1199" s="24">
        <f t="shared" ca="1" si="893"/>
        <v>0</v>
      </c>
      <c r="CC1199" s="24">
        <f t="shared" ca="1" si="926"/>
        <v>0</v>
      </c>
      <c r="CD1199" s="24">
        <f t="shared" ca="1" si="894"/>
        <v>-0.14917934867330046</v>
      </c>
      <c r="CE1199" s="25">
        <f t="shared" ca="1" si="927"/>
        <v>-1.9331979242821751</v>
      </c>
      <c r="CF1199" s="23">
        <f t="shared" ca="1" si="928"/>
        <v>12951748.244147072</v>
      </c>
      <c r="CG1199" s="25">
        <f t="array" aca="1" ref="CG1199" ca="1">SUM(BF1188:BF1199/(1+inflation/100)^(AP1188:AP1199/12))</f>
        <v>267980.53702225391</v>
      </c>
      <c r="CH1199" s="32">
        <f ca="1">IFERROR(IF(MOD(AP1199-ap_months_since_start,12)=0,ap_drawdown/100*(AQ1199+AV1199+BA1199-BC1199),CH1198),0)</f>
        <v>77.1024337669472</v>
      </c>
    </row>
    <row r="1200" spans="40:86" x14ac:dyDescent="0.25">
      <c r="AN1200" s="32">
        <f t="shared" ca="1" si="889"/>
        <v>154.25</v>
      </c>
      <c r="AO1200" s="53">
        <f t="shared" ca="1" si="920"/>
        <v>81907</v>
      </c>
      <c r="AP1200" s="22">
        <v>1193</v>
      </c>
      <c r="AQ1200" s="32">
        <f t="shared" ca="1" si="921"/>
        <v>482.62417542748506</v>
      </c>
      <c r="AR1200" s="23">
        <f t="array" aca="1" ref="AR1200" ca="1">SUM(IF(lsc_start_date=AO1200,lsc_amount,0))</f>
        <v>0</v>
      </c>
      <c r="AS1200" s="24">
        <f t="shared" ca="1" si="895"/>
        <v>0</v>
      </c>
      <c r="AT1200" s="24">
        <f t="shared" ca="1" si="896"/>
        <v>0</v>
      </c>
      <c r="AU1200" s="24">
        <f t="shared" ca="1" si="897"/>
        <v>0</v>
      </c>
      <c r="AV1200" s="25">
        <f t="shared" ca="1" si="898"/>
        <v>0</v>
      </c>
      <c r="AW1200" s="23">
        <f t="array" aca="1" ref="AW1200" ca="1">SUM(IF(rcs_start_date&lt;=AO1200,1,0)*IF(rcs_end_date&gt;=AO1200,1,0)*rcs_amount*(1+rcs_escalation/100)^(INT((AP1200-rcs_months_since_start)/12))*IF(MOD((AP1200-rcs_months_since_start),rcs_frequency)=0,1,0)*IF(rcs_frequency=13,0,1))+SUM(IF(rcs_start_date=AO1200,rcs_amount,0)*IF(rcs_frequency=13,1,0))</f>
        <v>0</v>
      </c>
      <c r="AX1200" s="24">
        <f t="shared" ca="1" si="899"/>
        <v>0</v>
      </c>
      <c r="AY1200" s="24">
        <f t="shared" ca="1" si="900"/>
        <v>0</v>
      </c>
      <c r="AZ1200" s="24">
        <f t="shared" ca="1" si="901"/>
        <v>0</v>
      </c>
      <c r="BA1200" s="25">
        <f t="shared" ca="1" si="902"/>
        <v>0</v>
      </c>
      <c r="BB1200" s="23">
        <f t="array" aca="1" ref="BB1200" ca="1">SUM(IF(w_start_date&lt;=AO1200,1,0)*IF(w_end_date&gt;=AO1200,1,0)*w_amount*(1+w_escalation/100)^(INT((AP1200-w_months_since_start)/12))*IF(MOD(AP1200-w_months_since_start,w_frequency)=0,1,0)*IF(w_frequency=13,0,1))+SUM(IF(w_start_date=AO1200,w_amount,0)*IF(w_frequency=13,1,0))</f>
        <v>0</v>
      </c>
      <c r="BC1200" s="25">
        <f t="shared" ca="1" si="903"/>
        <v>0</v>
      </c>
      <c r="BD1200" s="24" t="b">
        <f t="shared" ca="1" si="904"/>
        <v>1</v>
      </c>
      <c r="BE1200" s="24" t="b">
        <f t="shared" ca="1" si="905"/>
        <v>1</v>
      </c>
      <c r="BF1200" s="23">
        <f t="array" aca="1" ref="BF1200" ca="1">SUM(IF(BD1200,1,0)*IF(ap_start_date&lt;=AO1200,1,0)*IF(ap_end_date&gt;=AO1200,1,0)*ap_amount*(1+ap_escalation/100)^(INT((AP1200-ap_months_since_start)/12))*IF(MOD(AP1200-ap_months_since_start,ap_frequency)=0,1,0))</f>
        <v>1104083.456878111</v>
      </c>
      <c r="BG1200" s="24">
        <f t="shared" ca="1" si="906"/>
        <v>13249001.482537331</v>
      </c>
      <c r="BH1200" s="24">
        <f t="shared" ca="1" si="907"/>
        <v>12.5415391472172</v>
      </c>
      <c r="BI1200">
        <f t="shared" ca="1" si="908"/>
        <v>0</v>
      </c>
      <c r="BJ1200" s="24">
        <f t="shared" ca="1" si="909"/>
        <v>87.790774030520396</v>
      </c>
      <c r="BK1200">
        <f t="shared" ca="1" si="910"/>
        <v>1</v>
      </c>
      <c r="BL1200" s="25">
        <f t="shared" ca="1" si="911"/>
        <v>7.3158978358767008</v>
      </c>
      <c r="BM1200" s="32">
        <f t="shared" ca="1" si="890"/>
        <v>478.73397802304714</v>
      </c>
      <c r="BN1200" s="23">
        <f t="shared" ca="1" si="912"/>
        <v>0</v>
      </c>
      <c r="BO1200" s="24">
        <f t="shared" ca="1" si="913"/>
        <v>0</v>
      </c>
      <c r="BP1200" s="25">
        <f t="shared" ca="1" si="914"/>
        <v>0</v>
      </c>
      <c r="BQ1200" s="34">
        <f t="shared" ca="1" si="915"/>
        <v>81936</v>
      </c>
      <c r="BR1200" s="23">
        <f t="shared" ca="1" si="916"/>
        <v>478.73397802304714</v>
      </c>
      <c r="BS1200" s="24">
        <f t="shared" ca="1" si="917"/>
        <v>0</v>
      </c>
      <c r="BT1200" s="24">
        <f t="shared" ca="1" si="922"/>
        <v>0</v>
      </c>
      <c r="BU1200" s="24">
        <f t="shared" ca="1" si="918"/>
        <v>0</v>
      </c>
      <c r="BV1200" s="24">
        <f t="shared" ca="1" si="923"/>
        <v>0</v>
      </c>
      <c r="BW1200" s="24">
        <f t="shared" ca="1" si="919"/>
        <v>-7.3158978358767008</v>
      </c>
      <c r="BX1200" s="25">
        <f t="shared" ca="1" si="924"/>
        <v>-92.313988519593423</v>
      </c>
      <c r="BY1200" s="23">
        <f t="shared" ca="1" si="891"/>
        <v>9.6983183807959783</v>
      </c>
      <c r="BZ1200" s="24">
        <f t="shared" ca="1" si="892"/>
        <v>0</v>
      </c>
      <c r="CA1200" s="24">
        <f t="shared" ca="1" si="925"/>
        <v>0</v>
      </c>
      <c r="CB1200" s="24">
        <f t="shared" ca="1" si="893"/>
        <v>0</v>
      </c>
      <c r="CC1200" s="24">
        <f t="shared" ca="1" si="926"/>
        <v>0</v>
      </c>
      <c r="CD1200" s="24">
        <f t="shared" ca="1" si="894"/>
        <v>-0.148692567898454</v>
      </c>
      <c r="CE1200" s="25">
        <f t="shared" ca="1" si="927"/>
        <v>-1.9113152643828313</v>
      </c>
      <c r="CF1200" s="23">
        <f t="shared" ca="1" si="928"/>
        <v>12994212.992488537</v>
      </c>
      <c r="CG1200" s="25">
        <f t="array" aca="1" ref="CG1200" ca="1">SUM(BF1189:BF1200/(1+inflation/100)^(AP1189:AP1200/12))</f>
        <v>267980.53702225396</v>
      </c>
      <c r="CH1200" s="32">
        <f ca="1">IFERROR(IF(MOD(AP1200-ap_months_since_start,12)=0,ap_drawdown/100*(AQ1200+AV1200+BA1200-BC1200),CH1199),0)</f>
        <v>77.1024337669472</v>
      </c>
    </row>
    <row r="1201" spans="40:86" x14ac:dyDescent="0.25">
      <c r="AN1201" s="32">
        <f t="shared" ca="1" si="889"/>
        <v>154.33333333333334</v>
      </c>
      <c r="AO1201" s="53">
        <f t="shared" ca="1" si="920"/>
        <v>81937</v>
      </c>
      <c r="AP1201" s="22">
        <v>1194</v>
      </c>
      <c r="AQ1201" s="32">
        <f t="shared" ca="1" si="921"/>
        <v>478.73397802304714</v>
      </c>
      <c r="AR1201" s="23">
        <f t="array" aca="1" ref="AR1201" ca="1">SUM(IF(lsc_start_date=AO1201,lsc_amount,0))</f>
        <v>0</v>
      </c>
      <c r="AS1201" s="24">
        <f t="shared" ca="1" si="895"/>
        <v>0</v>
      </c>
      <c r="AT1201" s="24">
        <f t="shared" ca="1" si="896"/>
        <v>0</v>
      </c>
      <c r="AU1201" s="24">
        <f t="shared" ca="1" si="897"/>
        <v>0</v>
      </c>
      <c r="AV1201" s="25">
        <f t="shared" ca="1" si="898"/>
        <v>0</v>
      </c>
      <c r="AW1201" s="23">
        <f t="array" aca="1" ref="AW1201" ca="1">SUM(IF(rcs_start_date&lt;=AO1201,1,0)*IF(rcs_end_date&gt;=AO1201,1,0)*rcs_amount*(1+rcs_escalation/100)^(INT((AP1201-rcs_months_since_start)/12))*IF(MOD((AP1201-rcs_months_since_start),rcs_frequency)=0,1,0)*IF(rcs_frequency=13,0,1))+SUM(IF(rcs_start_date=AO1201,rcs_amount,0)*IF(rcs_frequency=13,1,0))</f>
        <v>0</v>
      </c>
      <c r="AX1201" s="24">
        <f t="shared" ca="1" si="899"/>
        <v>0</v>
      </c>
      <c r="AY1201" s="24">
        <f t="shared" ca="1" si="900"/>
        <v>0</v>
      </c>
      <c r="AZ1201" s="24">
        <f t="shared" ca="1" si="901"/>
        <v>0</v>
      </c>
      <c r="BA1201" s="25">
        <f t="shared" ca="1" si="902"/>
        <v>0</v>
      </c>
      <c r="BB1201" s="23">
        <f t="array" aca="1" ref="BB1201" ca="1">SUM(IF(w_start_date&lt;=AO1201,1,0)*IF(w_end_date&gt;=AO1201,1,0)*w_amount*(1+w_escalation/100)^(INT((AP1201-w_months_since_start)/12))*IF(MOD(AP1201-w_months_since_start,w_frequency)=0,1,0)*IF(w_frequency=13,0,1))+SUM(IF(w_start_date=AO1201,w_amount,0)*IF(w_frequency=13,1,0))</f>
        <v>0</v>
      </c>
      <c r="BC1201" s="25">
        <f t="shared" ca="1" si="903"/>
        <v>0</v>
      </c>
      <c r="BD1201" s="24" t="b">
        <f t="shared" ca="1" si="904"/>
        <v>1</v>
      </c>
      <c r="BE1201" s="24" t="b">
        <f t="shared" ca="1" si="905"/>
        <v>1</v>
      </c>
      <c r="BF1201" s="23">
        <f t="array" aca="1" ref="BF1201" ca="1">SUM(IF(BD1201,1,0)*IF(ap_start_date&lt;=AO1201,1,0)*IF(ap_end_date&gt;=AO1201,1,0)*ap_amount*(1+ap_escalation/100)^(INT((AP1201-ap_months_since_start)/12))*IF(MOD(AP1201-ap_months_since_start,ap_frequency)=0,1,0))</f>
        <v>1104083.456878111</v>
      </c>
      <c r="BG1201" s="24">
        <f t="shared" ca="1" si="906"/>
        <v>13249001.482537331</v>
      </c>
      <c r="BH1201" s="24">
        <f t="shared" ca="1" si="907"/>
        <v>12.5415391472172</v>
      </c>
      <c r="BI1201">
        <f t="shared" ca="1" si="908"/>
        <v>0</v>
      </c>
      <c r="BJ1201" s="24">
        <f t="shared" ca="1" si="909"/>
        <v>87.790774030520396</v>
      </c>
      <c r="BK1201">
        <f t="shared" ca="1" si="910"/>
        <v>1</v>
      </c>
      <c r="BL1201" s="25">
        <f t="shared" ca="1" si="911"/>
        <v>7.3158978358767008</v>
      </c>
      <c r="BM1201" s="32">
        <f t="shared" ca="1" si="890"/>
        <v>474.81574270815184</v>
      </c>
      <c r="BN1201" s="23">
        <f t="shared" ca="1" si="912"/>
        <v>0</v>
      </c>
      <c r="BO1201" s="24">
        <f t="shared" ca="1" si="913"/>
        <v>0</v>
      </c>
      <c r="BP1201" s="25">
        <f t="shared" ca="1" si="914"/>
        <v>0</v>
      </c>
      <c r="BQ1201" s="34">
        <f t="shared" ca="1" si="915"/>
        <v>81967</v>
      </c>
      <c r="BR1201" s="23">
        <f t="shared" ca="1" si="916"/>
        <v>474.81574270815184</v>
      </c>
      <c r="BS1201" s="24">
        <f t="shared" ca="1" si="917"/>
        <v>0</v>
      </c>
      <c r="BT1201" s="24">
        <f t="shared" ca="1" si="922"/>
        <v>0</v>
      </c>
      <c r="BU1201" s="24">
        <f t="shared" ca="1" si="918"/>
        <v>0</v>
      </c>
      <c r="BV1201" s="24">
        <f t="shared" ca="1" si="923"/>
        <v>0</v>
      </c>
      <c r="BW1201" s="24">
        <f t="shared" ca="1" si="919"/>
        <v>-7.3158978358767008</v>
      </c>
      <c r="BX1201" s="25">
        <f t="shared" ca="1" si="924"/>
        <v>-91.560119438081244</v>
      </c>
      <c r="BY1201" s="23">
        <f t="shared" ca="1" si="891"/>
        <v>9.5875545841426995</v>
      </c>
      <c r="BZ1201" s="24">
        <f t="shared" ca="1" si="892"/>
        <v>0</v>
      </c>
      <c r="CA1201" s="24">
        <f t="shared" ca="1" si="925"/>
        <v>0</v>
      </c>
      <c r="CB1201" s="24">
        <f t="shared" ca="1" si="893"/>
        <v>0</v>
      </c>
      <c r="CC1201" s="24">
        <f t="shared" ca="1" si="926"/>
        <v>0</v>
      </c>
      <c r="CD1201" s="24">
        <f t="shared" ca="1" si="894"/>
        <v>-0.14820737551720795</v>
      </c>
      <c r="CE1201" s="25">
        <f t="shared" ca="1" si="927"/>
        <v>-1.8895040088583976</v>
      </c>
      <c r="CF1201" s="23">
        <f t="shared" ca="1" si="928"/>
        <v>13036677.740830002</v>
      </c>
      <c r="CG1201" s="25">
        <f t="array" aca="1" ref="CG1201" ca="1">SUM(BF1190:BF1201/(1+inflation/100)^(AP1190:AP1201/12))</f>
        <v>267980.53702225396</v>
      </c>
      <c r="CH1201" s="32">
        <f ca="1">IFERROR(IF(MOD(AP1201-ap_months_since_start,12)=0,ap_drawdown/100*(AQ1201+AV1201+BA1201-BC1201),CH1200),0)</f>
        <v>77.1024337669472</v>
      </c>
    </row>
    <row r="1202" spans="40:86" x14ac:dyDescent="0.25">
      <c r="AN1202" s="32">
        <f t="shared" ca="1" si="889"/>
        <v>154.41666666666666</v>
      </c>
      <c r="AO1202" s="53">
        <f t="shared" ca="1" si="920"/>
        <v>81968</v>
      </c>
      <c r="AP1202" s="22">
        <v>1195</v>
      </c>
      <c r="AQ1202" s="32">
        <f t="shared" ca="1" si="921"/>
        <v>474.81574270815184</v>
      </c>
      <c r="AR1202" s="23">
        <f t="array" aca="1" ref="AR1202" ca="1">SUM(IF(lsc_start_date=AO1202,lsc_amount,0))</f>
        <v>0</v>
      </c>
      <c r="AS1202" s="24">
        <f t="shared" ca="1" si="895"/>
        <v>0</v>
      </c>
      <c r="AT1202" s="24">
        <f t="shared" ca="1" si="896"/>
        <v>0</v>
      </c>
      <c r="AU1202" s="24">
        <f t="shared" ca="1" si="897"/>
        <v>0</v>
      </c>
      <c r="AV1202" s="25">
        <f t="shared" ca="1" si="898"/>
        <v>0</v>
      </c>
      <c r="AW1202" s="23">
        <f t="array" aca="1" ref="AW1202" ca="1">SUM(IF(rcs_start_date&lt;=AO1202,1,0)*IF(rcs_end_date&gt;=AO1202,1,0)*rcs_amount*(1+rcs_escalation/100)^(INT((AP1202-rcs_months_since_start)/12))*IF(MOD((AP1202-rcs_months_since_start),rcs_frequency)=0,1,0)*IF(rcs_frequency=13,0,1))+SUM(IF(rcs_start_date=AO1202,rcs_amount,0)*IF(rcs_frequency=13,1,0))</f>
        <v>0</v>
      </c>
      <c r="AX1202" s="24">
        <f t="shared" ca="1" si="899"/>
        <v>0</v>
      </c>
      <c r="AY1202" s="24">
        <f t="shared" ca="1" si="900"/>
        <v>0</v>
      </c>
      <c r="AZ1202" s="24">
        <f t="shared" ca="1" si="901"/>
        <v>0</v>
      </c>
      <c r="BA1202" s="25">
        <f t="shared" ca="1" si="902"/>
        <v>0</v>
      </c>
      <c r="BB1202" s="23">
        <f t="array" aca="1" ref="BB1202" ca="1">SUM(IF(w_start_date&lt;=AO1202,1,0)*IF(w_end_date&gt;=AO1202,1,0)*w_amount*(1+w_escalation/100)^(INT((AP1202-w_months_since_start)/12))*IF(MOD(AP1202-w_months_since_start,w_frequency)=0,1,0)*IF(w_frequency=13,0,1))+SUM(IF(w_start_date=AO1202,w_amount,0)*IF(w_frequency=13,1,0))</f>
        <v>0</v>
      </c>
      <c r="BC1202" s="25">
        <f t="shared" ca="1" si="903"/>
        <v>0</v>
      </c>
      <c r="BD1202" s="24" t="b">
        <f t="shared" ca="1" si="904"/>
        <v>1</v>
      </c>
      <c r="BE1202" s="24" t="b">
        <f t="shared" ca="1" si="905"/>
        <v>1</v>
      </c>
      <c r="BF1202" s="23">
        <f t="array" aca="1" ref="BF1202" ca="1">SUM(IF(BD1202,1,0)*IF(ap_start_date&lt;=AO1202,1,0)*IF(ap_end_date&gt;=AO1202,1,0)*ap_amount*(1+ap_escalation/100)^(INT((AP1202-ap_months_since_start)/12))*IF(MOD(AP1202-ap_months_since_start,ap_frequency)=0,1,0))</f>
        <v>1104083.456878111</v>
      </c>
      <c r="BG1202" s="24">
        <f t="shared" ca="1" si="906"/>
        <v>13249001.482537331</v>
      </c>
      <c r="BH1202" s="24">
        <f t="shared" ca="1" si="907"/>
        <v>12.5415391472172</v>
      </c>
      <c r="BI1202">
        <f t="shared" ca="1" si="908"/>
        <v>0</v>
      </c>
      <c r="BJ1202" s="24">
        <f t="shared" ca="1" si="909"/>
        <v>87.790774030520396</v>
      </c>
      <c r="BK1202">
        <f t="shared" ca="1" si="910"/>
        <v>1</v>
      </c>
      <c r="BL1202" s="25">
        <f t="shared" ca="1" si="911"/>
        <v>7.3158978358767008</v>
      </c>
      <c r="BM1202" s="32">
        <f t="shared" ca="1" si="890"/>
        <v>470.86926740451338</v>
      </c>
      <c r="BN1202" s="23">
        <f t="shared" ca="1" si="912"/>
        <v>0</v>
      </c>
      <c r="BO1202" s="24">
        <f t="shared" ca="1" si="913"/>
        <v>0</v>
      </c>
      <c r="BP1202" s="25">
        <f t="shared" ca="1" si="914"/>
        <v>0</v>
      </c>
      <c r="BQ1202" s="34">
        <f t="shared" ca="1" si="915"/>
        <v>81997</v>
      </c>
      <c r="BR1202" s="23">
        <f t="shared" ca="1" si="916"/>
        <v>470.86926740451338</v>
      </c>
      <c r="BS1202" s="24">
        <f t="shared" ca="1" si="917"/>
        <v>0</v>
      </c>
      <c r="BT1202" s="24">
        <f t="shared" ca="1" si="922"/>
        <v>0</v>
      </c>
      <c r="BU1202" s="24">
        <f t="shared" ca="1" si="918"/>
        <v>0</v>
      </c>
      <c r="BV1202" s="24">
        <f t="shared" ca="1" si="923"/>
        <v>0</v>
      </c>
      <c r="BW1202" s="24">
        <f t="shared" ca="1" si="919"/>
        <v>-7.3158978358767008</v>
      </c>
      <c r="BX1202" s="25">
        <f t="shared" ca="1" si="924"/>
        <v>-90.806250356569066</v>
      </c>
      <c r="BY1202" s="23">
        <f t="shared" ca="1" si="891"/>
        <v>9.4768420158328031</v>
      </c>
      <c r="BZ1202" s="24">
        <f t="shared" ca="1" si="892"/>
        <v>0</v>
      </c>
      <c r="CA1202" s="24">
        <f t="shared" ca="1" si="925"/>
        <v>0</v>
      </c>
      <c r="CB1202" s="24">
        <f t="shared" ca="1" si="893"/>
        <v>0</v>
      </c>
      <c r="CC1202" s="24">
        <f t="shared" ca="1" si="926"/>
        <v>0</v>
      </c>
      <c r="CD1202" s="24">
        <f t="shared" ca="1" si="894"/>
        <v>-0.14772376634654305</v>
      </c>
      <c r="CE1202" s="25">
        <f t="shared" ca="1" si="927"/>
        <v>-1.8677639247123015</v>
      </c>
      <c r="CF1202" s="23">
        <f t="shared" ca="1" si="928"/>
        <v>13079142.489171468</v>
      </c>
      <c r="CG1202" s="25">
        <f t="array" aca="1" ref="CG1202" ca="1">SUM(BF1191:BF1202/(1+inflation/100)^(AP1191:AP1202/12))</f>
        <v>267980.53702225391</v>
      </c>
      <c r="CH1202" s="32">
        <f ca="1">IFERROR(IF(MOD(AP1202-ap_months_since_start,12)=0,ap_drawdown/100*(AQ1202+AV1202+BA1202-BC1202),CH1201),0)</f>
        <v>77.1024337669472</v>
      </c>
    </row>
    <row r="1203" spans="40:86" x14ac:dyDescent="0.25">
      <c r="AN1203" s="32">
        <f t="shared" ca="1" si="889"/>
        <v>154.5</v>
      </c>
      <c r="AO1203" s="53">
        <f t="shared" ca="1" si="920"/>
        <v>81998</v>
      </c>
      <c r="AP1203" s="22">
        <v>1196</v>
      </c>
      <c r="AQ1203" s="32">
        <f t="shared" ca="1" si="921"/>
        <v>470.86926740451338</v>
      </c>
      <c r="AR1203" s="23">
        <f t="array" aca="1" ref="AR1203" ca="1">SUM(IF(lsc_start_date=AO1203,lsc_amount,0))</f>
        <v>0</v>
      </c>
      <c r="AS1203" s="24">
        <f t="shared" ca="1" si="895"/>
        <v>0</v>
      </c>
      <c r="AT1203" s="24">
        <f t="shared" ca="1" si="896"/>
        <v>0</v>
      </c>
      <c r="AU1203" s="24">
        <f t="shared" ca="1" si="897"/>
        <v>0</v>
      </c>
      <c r="AV1203" s="25">
        <f t="shared" ca="1" si="898"/>
        <v>0</v>
      </c>
      <c r="AW1203" s="23">
        <f t="array" aca="1" ref="AW1203" ca="1">SUM(IF(rcs_start_date&lt;=AO1203,1,0)*IF(rcs_end_date&gt;=AO1203,1,0)*rcs_amount*(1+rcs_escalation/100)^(INT((AP1203-rcs_months_since_start)/12))*IF(MOD((AP1203-rcs_months_since_start),rcs_frequency)=0,1,0)*IF(rcs_frequency=13,0,1))+SUM(IF(rcs_start_date=AO1203,rcs_amount,0)*IF(rcs_frequency=13,1,0))</f>
        <v>0</v>
      </c>
      <c r="AX1203" s="24">
        <f t="shared" ca="1" si="899"/>
        <v>0</v>
      </c>
      <c r="AY1203" s="24">
        <f t="shared" ca="1" si="900"/>
        <v>0</v>
      </c>
      <c r="AZ1203" s="24">
        <f t="shared" ca="1" si="901"/>
        <v>0</v>
      </c>
      <c r="BA1203" s="25">
        <f t="shared" ca="1" si="902"/>
        <v>0</v>
      </c>
      <c r="BB1203" s="23">
        <f t="array" aca="1" ref="BB1203" ca="1">SUM(IF(w_start_date&lt;=AO1203,1,0)*IF(w_end_date&gt;=AO1203,1,0)*w_amount*(1+w_escalation/100)^(INT((AP1203-w_months_since_start)/12))*IF(MOD(AP1203-w_months_since_start,w_frequency)=0,1,0)*IF(w_frequency=13,0,1))+SUM(IF(w_start_date=AO1203,w_amount,0)*IF(w_frequency=13,1,0))</f>
        <v>0</v>
      </c>
      <c r="BC1203" s="25">
        <f t="shared" ca="1" si="903"/>
        <v>0</v>
      </c>
      <c r="BD1203" s="24" t="b">
        <f t="shared" ca="1" si="904"/>
        <v>1</v>
      </c>
      <c r="BE1203" s="24" t="b">
        <f t="shared" ca="1" si="905"/>
        <v>1</v>
      </c>
      <c r="BF1203" s="23">
        <f t="array" aca="1" ref="BF1203" ca="1">SUM(IF(BD1203,1,0)*IF(ap_start_date&lt;=AO1203,1,0)*IF(ap_end_date&gt;=AO1203,1,0)*ap_amount*(1+ap_escalation/100)^(INT((AP1203-ap_months_since_start)/12))*IF(MOD(AP1203-ap_months_since_start,ap_frequency)=0,1,0))</f>
        <v>1104083.456878111</v>
      </c>
      <c r="BG1203" s="24">
        <f t="shared" ca="1" si="906"/>
        <v>13249001.482537331</v>
      </c>
      <c r="BH1203" s="24">
        <f t="shared" ca="1" si="907"/>
        <v>12.5415391472172</v>
      </c>
      <c r="BI1203">
        <f t="shared" ca="1" si="908"/>
        <v>0</v>
      </c>
      <c r="BJ1203" s="24">
        <f t="shared" ca="1" si="909"/>
        <v>87.790774030520396</v>
      </c>
      <c r="BK1203">
        <f t="shared" ca="1" si="910"/>
        <v>1</v>
      </c>
      <c r="BL1203" s="25">
        <f t="shared" ca="1" si="911"/>
        <v>7.3158978358767008</v>
      </c>
      <c r="BM1203" s="32">
        <f t="shared" ca="1" si="890"/>
        <v>466.89434857740247</v>
      </c>
      <c r="BN1203" s="23">
        <f t="shared" ca="1" si="912"/>
        <v>0</v>
      </c>
      <c r="BO1203" s="24">
        <f t="shared" ca="1" si="913"/>
        <v>0</v>
      </c>
      <c r="BP1203" s="25">
        <f t="shared" ca="1" si="914"/>
        <v>0</v>
      </c>
      <c r="BQ1203" s="34">
        <f t="shared" ca="1" si="915"/>
        <v>82028</v>
      </c>
      <c r="BR1203" s="23">
        <f t="shared" ca="1" si="916"/>
        <v>466.89434857740247</v>
      </c>
      <c r="BS1203" s="24">
        <f t="shared" ca="1" si="917"/>
        <v>0</v>
      </c>
      <c r="BT1203" s="24">
        <f t="shared" ca="1" si="922"/>
        <v>0</v>
      </c>
      <c r="BU1203" s="24">
        <f t="shared" ca="1" si="918"/>
        <v>0</v>
      </c>
      <c r="BV1203" s="24">
        <f t="shared" ca="1" si="923"/>
        <v>0</v>
      </c>
      <c r="BW1203" s="24">
        <f t="shared" ca="1" si="919"/>
        <v>-7.3158978358767008</v>
      </c>
      <c r="BX1203" s="25">
        <f t="shared" ca="1" si="924"/>
        <v>-90.052381275056902</v>
      </c>
      <c r="BY1203" s="23">
        <f t="shared" ca="1" si="891"/>
        <v>9.3661792924881162</v>
      </c>
      <c r="BZ1203" s="24">
        <f t="shared" ca="1" si="892"/>
        <v>0</v>
      </c>
      <c r="CA1203" s="24">
        <f t="shared" ca="1" si="925"/>
        <v>0</v>
      </c>
      <c r="CB1203" s="24">
        <f t="shared" ca="1" si="893"/>
        <v>0</v>
      </c>
      <c r="CC1203" s="24">
        <f t="shared" ca="1" si="926"/>
        <v>0</v>
      </c>
      <c r="CD1203" s="24">
        <f t="shared" ca="1" si="894"/>
        <v>-0.14724173522035222</v>
      </c>
      <c r="CE1203" s="25">
        <f t="shared" ca="1" si="927"/>
        <v>-1.8460947797082512</v>
      </c>
      <c r="CF1203" s="23">
        <f t="shared" ca="1" si="928"/>
        <v>13121607.237512933</v>
      </c>
      <c r="CG1203" s="25">
        <f t="array" aca="1" ref="CG1203" ca="1">SUM(BF1192:BF1203/(1+inflation/100)^(AP1192:AP1203/12))</f>
        <v>267980.53702225391</v>
      </c>
      <c r="CH1203" s="32">
        <f ca="1">IFERROR(IF(MOD(AP1203-ap_months_since_start,12)=0,ap_drawdown/100*(AQ1203+AV1203+BA1203-BC1203),CH1202),0)</f>
        <v>77.1024337669472</v>
      </c>
    </row>
    <row r="1204" spans="40:86" x14ac:dyDescent="0.25">
      <c r="AN1204" s="32">
        <f t="shared" ca="1" si="889"/>
        <v>154.58333333333334</v>
      </c>
      <c r="AO1204" s="53">
        <f t="shared" ca="1" si="920"/>
        <v>82029</v>
      </c>
      <c r="AP1204" s="22">
        <v>1197</v>
      </c>
      <c r="AQ1204" s="32">
        <f t="shared" ca="1" si="921"/>
        <v>466.89434857740247</v>
      </c>
      <c r="AR1204" s="23">
        <f t="array" aca="1" ref="AR1204" ca="1">SUM(IF(lsc_start_date=AO1204,lsc_amount,0))</f>
        <v>0</v>
      </c>
      <c r="AS1204" s="24">
        <f t="shared" ca="1" si="895"/>
        <v>0</v>
      </c>
      <c r="AT1204" s="24">
        <f t="shared" ca="1" si="896"/>
        <v>0</v>
      </c>
      <c r="AU1204" s="24">
        <f t="shared" ca="1" si="897"/>
        <v>0</v>
      </c>
      <c r="AV1204" s="25">
        <f t="shared" ca="1" si="898"/>
        <v>0</v>
      </c>
      <c r="AW1204" s="23">
        <f t="array" aca="1" ref="AW1204" ca="1">SUM(IF(rcs_start_date&lt;=AO1204,1,0)*IF(rcs_end_date&gt;=AO1204,1,0)*rcs_amount*(1+rcs_escalation/100)^(INT((AP1204-rcs_months_since_start)/12))*IF(MOD((AP1204-rcs_months_since_start),rcs_frequency)=0,1,0)*IF(rcs_frequency=13,0,1))+SUM(IF(rcs_start_date=AO1204,rcs_amount,0)*IF(rcs_frequency=13,1,0))</f>
        <v>0</v>
      </c>
      <c r="AX1204" s="24">
        <f t="shared" ca="1" si="899"/>
        <v>0</v>
      </c>
      <c r="AY1204" s="24">
        <f t="shared" ca="1" si="900"/>
        <v>0</v>
      </c>
      <c r="AZ1204" s="24">
        <f t="shared" ca="1" si="901"/>
        <v>0</v>
      </c>
      <c r="BA1204" s="25">
        <f t="shared" ca="1" si="902"/>
        <v>0</v>
      </c>
      <c r="BB1204" s="23">
        <f t="array" aca="1" ref="BB1204" ca="1">SUM(IF(w_start_date&lt;=AO1204,1,0)*IF(w_end_date&gt;=AO1204,1,0)*w_amount*(1+w_escalation/100)^(INT((AP1204-w_months_since_start)/12))*IF(MOD(AP1204-w_months_since_start,w_frequency)=0,1,0)*IF(w_frequency=13,0,1))+SUM(IF(w_start_date=AO1204,w_amount,0)*IF(w_frequency=13,1,0))</f>
        <v>0</v>
      </c>
      <c r="BC1204" s="25">
        <f t="shared" ca="1" si="903"/>
        <v>0</v>
      </c>
      <c r="BD1204" s="24" t="b">
        <f t="shared" ca="1" si="904"/>
        <v>1</v>
      </c>
      <c r="BE1204" s="24" t="b">
        <f t="shared" ca="1" si="905"/>
        <v>1</v>
      </c>
      <c r="BF1204" s="23">
        <f t="array" aca="1" ref="BF1204" ca="1">SUM(IF(BD1204,1,0)*IF(ap_start_date&lt;=AO1204,1,0)*IF(ap_end_date&gt;=AO1204,1,0)*ap_amount*(1+ap_escalation/100)^(INT((AP1204-ap_months_since_start)/12))*IF(MOD(AP1204-ap_months_since_start,ap_frequency)=0,1,0))</f>
        <v>1104083.456878111</v>
      </c>
      <c r="BG1204" s="24">
        <f t="shared" ca="1" si="906"/>
        <v>13249001.482537331</v>
      </c>
      <c r="BH1204" s="24">
        <f t="shared" ca="1" si="907"/>
        <v>12.5415391472172</v>
      </c>
      <c r="BI1204">
        <f t="shared" ca="1" si="908"/>
        <v>0</v>
      </c>
      <c r="BJ1204" s="24">
        <f t="shared" ca="1" si="909"/>
        <v>87.790774030520396</v>
      </c>
      <c r="BK1204">
        <f t="shared" ca="1" si="910"/>
        <v>1</v>
      </c>
      <c r="BL1204" s="25">
        <f t="shared" ca="1" si="911"/>
        <v>7.3158978358767008</v>
      </c>
      <c r="BM1204" s="32">
        <f t="shared" ca="1" si="890"/>
        <v>462.89078122514917</v>
      </c>
      <c r="BN1204" s="23">
        <f t="shared" ca="1" si="912"/>
        <v>0</v>
      </c>
      <c r="BO1204" s="24">
        <f t="shared" ca="1" si="913"/>
        <v>0</v>
      </c>
      <c r="BP1204" s="25">
        <f t="shared" ca="1" si="914"/>
        <v>0</v>
      </c>
      <c r="BQ1204" s="34">
        <f t="shared" ca="1" si="915"/>
        <v>82059</v>
      </c>
      <c r="BR1204" s="23">
        <f t="shared" ca="1" si="916"/>
        <v>462.89078122514917</v>
      </c>
      <c r="BS1204" s="24">
        <f t="shared" ca="1" si="917"/>
        <v>0</v>
      </c>
      <c r="BT1204" s="24">
        <f t="shared" ca="1" si="922"/>
        <v>0</v>
      </c>
      <c r="BU1204" s="24">
        <f t="shared" ca="1" si="918"/>
        <v>0</v>
      </c>
      <c r="BV1204" s="24">
        <f t="shared" ca="1" si="923"/>
        <v>0</v>
      </c>
      <c r="BW1204" s="24">
        <f t="shared" ca="1" si="919"/>
        <v>-7.3158978358767008</v>
      </c>
      <c r="BX1204" s="25">
        <f t="shared" ca="1" si="924"/>
        <v>-89.298512193544724</v>
      </c>
      <c r="BY1204" s="23">
        <f t="shared" ca="1" si="891"/>
        <v>9.2555650304760491</v>
      </c>
      <c r="BZ1204" s="24">
        <f t="shared" ca="1" si="892"/>
        <v>0</v>
      </c>
      <c r="CA1204" s="24">
        <f t="shared" ca="1" si="925"/>
        <v>0</v>
      </c>
      <c r="CB1204" s="24">
        <f t="shared" ca="1" si="893"/>
        <v>0</v>
      </c>
      <c r="CC1204" s="24">
        <f t="shared" ca="1" si="926"/>
        <v>0</v>
      </c>
      <c r="CD1204" s="24">
        <f t="shared" ca="1" si="894"/>
        <v>-0.14676127698938574</v>
      </c>
      <c r="CE1204" s="25">
        <f t="shared" ca="1" si="927"/>
        <v>-1.8244963423677558</v>
      </c>
      <c r="CF1204" s="23">
        <f t="shared" ca="1" si="928"/>
        <v>13164071.985854398</v>
      </c>
      <c r="CG1204" s="25">
        <f t="array" aca="1" ref="CG1204" ca="1">SUM(BF1193:BF1204/(1+inflation/100)^(AP1193:AP1204/12))</f>
        <v>267980.53702225391</v>
      </c>
      <c r="CH1204" s="32">
        <f ca="1">IFERROR(IF(MOD(AP1204-ap_months_since_start,12)=0,ap_drawdown/100*(AQ1204+AV1204+BA1204-BC1204),CH1203),0)</f>
        <v>77.1024337669472</v>
      </c>
    </row>
    <row r="1205" spans="40:86" x14ac:dyDescent="0.25">
      <c r="AN1205" s="32">
        <f t="shared" ca="1" si="889"/>
        <v>154.66666666666666</v>
      </c>
      <c r="AO1205" s="53">
        <f t="shared" ca="1" si="920"/>
        <v>82060</v>
      </c>
      <c r="AP1205" s="22">
        <v>1198</v>
      </c>
      <c r="AQ1205" s="32">
        <f t="shared" ca="1" si="921"/>
        <v>462.89078122514917</v>
      </c>
      <c r="AR1205" s="23">
        <f t="array" aca="1" ref="AR1205" ca="1">SUM(IF(lsc_start_date=AO1205,lsc_amount,0))</f>
        <v>0</v>
      </c>
      <c r="AS1205" s="24">
        <f t="shared" ca="1" si="895"/>
        <v>0</v>
      </c>
      <c r="AT1205" s="24">
        <f t="shared" ca="1" si="896"/>
        <v>0</v>
      </c>
      <c r="AU1205" s="24">
        <f t="shared" ca="1" si="897"/>
        <v>0</v>
      </c>
      <c r="AV1205" s="25">
        <f t="shared" ca="1" si="898"/>
        <v>0</v>
      </c>
      <c r="AW1205" s="23">
        <f t="array" aca="1" ref="AW1205" ca="1">SUM(IF(rcs_start_date&lt;=AO1205,1,0)*IF(rcs_end_date&gt;=AO1205,1,0)*rcs_amount*(1+rcs_escalation/100)^(INT((AP1205-rcs_months_since_start)/12))*IF(MOD((AP1205-rcs_months_since_start),rcs_frequency)=0,1,0)*IF(rcs_frequency=13,0,1))+SUM(IF(rcs_start_date=AO1205,rcs_amount,0)*IF(rcs_frequency=13,1,0))</f>
        <v>0</v>
      </c>
      <c r="AX1205" s="24">
        <f t="shared" ca="1" si="899"/>
        <v>0</v>
      </c>
      <c r="AY1205" s="24">
        <f t="shared" ca="1" si="900"/>
        <v>0</v>
      </c>
      <c r="AZ1205" s="24">
        <f t="shared" ca="1" si="901"/>
        <v>0</v>
      </c>
      <c r="BA1205" s="25">
        <f t="shared" ca="1" si="902"/>
        <v>0</v>
      </c>
      <c r="BB1205" s="23">
        <f t="array" aca="1" ref="BB1205" ca="1">SUM(IF(w_start_date&lt;=AO1205,1,0)*IF(w_end_date&gt;=AO1205,1,0)*w_amount*(1+w_escalation/100)^(INT((AP1205-w_months_since_start)/12))*IF(MOD(AP1205-w_months_since_start,w_frequency)=0,1,0)*IF(w_frequency=13,0,1))+SUM(IF(w_start_date=AO1205,w_amount,0)*IF(w_frequency=13,1,0))</f>
        <v>0</v>
      </c>
      <c r="BC1205" s="25">
        <f t="shared" ca="1" si="903"/>
        <v>0</v>
      </c>
      <c r="BD1205" s="24" t="b">
        <f t="shared" ca="1" si="904"/>
        <v>1</v>
      </c>
      <c r="BE1205" s="24" t="b">
        <f t="shared" ca="1" si="905"/>
        <v>1</v>
      </c>
      <c r="BF1205" s="23">
        <f t="array" aca="1" ref="BF1205" ca="1">SUM(IF(BD1205,1,0)*IF(ap_start_date&lt;=AO1205,1,0)*IF(ap_end_date&gt;=AO1205,1,0)*ap_amount*(1+ap_escalation/100)^(INT((AP1205-ap_months_since_start)/12))*IF(MOD(AP1205-ap_months_since_start,ap_frequency)=0,1,0))</f>
        <v>1104083.456878111</v>
      </c>
      <c r="BG1205" s="24">
        <f t="shared" ca="1" si="906"/>
        <v>13249001.482537331</v>
      </c>
      <c r="BH1205" s="24">
        <f t="shared" ca="1" si="907"/>
        <v>12.5415391472172</v>
      </c>
      <c r="BI1205">
        <f t="shared" ca="1" si="908"/>
        <v>0</v>
      </c>
      <c r="BJ1205" s="24">
        <f t="shared" ca="1" si="909"/>
        <v>87.790774030520396</v>
      </c>
      <c r="BK1205">
        <f t="shared" ca="1" si="910"/>
        <v>1</v>
      </c>
      <c r="BL1205" s="25">
        <f t="shared" ca="1" si="911"/>
        <v>7.3158978358767008</v>
      </c>
      <c r="BM1205" s="32">
        <f t="shared" ca="1" si="890"/>
        <v>458.85835886857024</v>
      </c>
      <c r="BN1205" s="23">
        <f t="shared" ca="1" si="912"/>
        <v>0</v>
      </c>
      <c r="BO1205" s="24">
        <f t="shared" ca="1" si="913"/>
        <v>0</v>
      </c>
      <c r="BP1205" s="25">
        <f t="shared" ca="1" si="914"/>
        <v>0</v>
      </c>
      <c r="BQ1205" s="34">
        <f t="shared" ca="1" si="915"/>
        <v>82089</v>
      </c>
      <c r="BR1205" s="23">
        <f t="shared" ca="1" si="916"/>
        <v>458.85835886857024</v>
      </c>
      <c r="BS1205" s="24">
        <f t="shared" ca="1" si="917"/>
        <v>0</v>
      </c>
      <c r="BT1205" s="24">
        <f t="shared" ca="1" si="922"/>
        <v>0</v>
      </c>
      <c r="BU1205" s="24">
        <f t="shared" ca="1" si="918"/>
        <v>0</v>
      </c>
      <c r="BV1205" s="24">
        <f t="shared" ca="1" si="923"/>
        <v>0</v>
      </c>
      <c r="BW1205" s="24">
        <f t="shared" ca="1" si="919"/>
        <v>-7.3158978358767008</v>
      </c>
      <c r="BX1205" s="25">
        <f t="shared" ca="1" si="924"/>
        <v>-88.54464311203256</v>
      </c>
      <c r="BY1205" s="23">
        <f t="shared" ca="1" si="891"/>
        <v>9.1449978458916927</v>
      </c>
      <c r="BZ1205" s="24">
        <f t="shared" ca="1" si="892"/>
        <v>0</v>
      </c>
      <c r="CA1205" s="24">
        <f t="shared" ca="1" si="925"/>
        <v>0</v>
      </c>
      <c r="CB1205" s="24">
        <f t="shared" ca="1" si="893"/>
        <v>0</v>
      </c>
      <c r="CC1205" s="24">
        <f t="shared" ca="1" si="926"/>
        <v>0</v>
      </c>
      <c r="CD1205" s="24">
        <f t="shared" ca="1" si="894"/>
        <v>-0.14628238652119632</v>
      </c>
      <c r="CE1205" s="25">
        <f t="shared" ca="1" si="927"/>
        <v>-1.8029683819676519</v>
      </c>
      <c r="CF1205" s="23">
        <f t="shared" ca="1" si="928"/>
        <v>13206536.734195864</v>
      </c>
      <c r="CG1205" s="25">
        <f t="array" aca="1" ref="CG1205" ca="1">SUM(BF1194:BF1205/(1+inflation/100)^(AP1194:AP1205/12))</f>
        <v>267980.53702225396</v>
      </c>
      <c r="CH1205" s="32">
        <f ca="1">IFERROR(IF(MOD(AP1205-ap_months_since_start,12)=0,ap_drawdown/100*(AQ1205+AV1205+BA1205-BC1205),CH1204),0)</f>
        <v>77.1024337669472</v>
      </c>
    </row>
    <row r="1206" spans="40:86" x14ac:dyDescent="0.25">
      <c r="AN1206" s="32">
        <f t="shared" ca="1" si="889"/>
        <v>154.75</v>
      </c>
      <c r="AO1206" s="53">
        <f t="shared" ca="1" si="920"/>
        <v>82090</v>
      </c>
      <c r="AP1206" s="22">
        <v>1199</v>
      </c>
      <c r="AQ1206" s="32">
        <f t="shared" ca="1" si="921"/>
        <v>458.85835886857024</v>
      </c>
      <c r="AR1206" s="23">
        <f t="array" aca="1" ref="AR1206" ca="1">SUM(IF(lsc_start_date=AO1206,lsc_amount,0))</f>
        <v>0</v>
      </c>
      <c r="AS1206" s="24">
        <f t="shared" ca="1" si="895"/>
        <v>0</v>
      </c>
      <c r="AT1206" s="24">
        <f t="shared" ca="1" si="896"/>
        <v>0</v>
      </c>
      <c r="AU1206" s="24">
        <f t="shared" ca="1" si="897"/>
        <v>0</v>
      </c>
      <c r="AV1206" s="25">
        <f t="shared" ca="1" si="898"/>
        <v>0</v>
      </c>
      <c r="AW1206" s="23">
        <f t="array" aca="1" ref="AW1206" ca="1">SUM(IF(rcs_start_date&lt;=AO1206,1,0)*IF(rcs_end_date&gt;=AO1206,1,0)*rcs_amount*(1+rcs_escalation/100)^(INT((AP1206-rcs_months_since_start)/12))*IF(MOD((AP1206-rcs_months_since_start),rcs_frequency)=0,1,0)*IF(rcs_frequency=13,0,1))+SUM(IF(rcs_start_date=AO1206,rcs_amount,0)*IF(rcs_frequency=13,1,0))</f>
        <v>0</v>
      </c>
      <c r="AX1206" s="24">
        <f t="shared" ca="1" si="899"/>
        <v>0</v>
      </c>
      <c r="AY1206" s="24">
        <f t="shared" ca="1" si="900"/>
        <v>0</v>
      </c>
      <c r="AZ1206" s="24">
        <f t="shared" ca="1" si="901"/>
        <v>0</v>
      </c>
      <c r="BA1206" s="25">
        <f t="shared" ca="1" si="902"/>
        <v>0</v>
      </c>
      <c r="BB1206" s="23">
        <f t="array" aca="1" ref="BB1206" ca="1">SUM(IF(w_start_date&lt;=AO1206,1,0)*IF(w_end_date&gt;=AO1206,1,0)*w_amount*(1+w_escalation/100)^(INT((AP1206-w_months_since_start)/12))*IF(MOD(AP1206-w_months_since_start,w_frequency)=0,1,0)*IF(w_frequency=13,0,1))+SUM(IF(w_start_date=AO1206,w_amount,0)*IF(w_frequency=13,1,0))</f>
        <v>0</v>
      </c>
      <c r="BC1206" s="25">
        <f t="shared" ca="1" si="903"/>
        <v>0</v>
      </c>
      <c r="BD1206" s="24" t="b">
        <f t="shared" ca="1" si="904"/>
        <v>1</v>
      </c>
      <c r="BE1206" s="24" t="b">
        <f t="shared" ca="1" si="905"/>
        <v>1</v>
      </c>
      <c r="BF1206" s="23">
        <f t="array" aca="1" ref="BF1206" ca="1">SUM(IF(BD1206,1,0)*IF(ap_start_date&lt;=AO1206,1,0)*IF(ap_end_date&gt;=AO1206,1,0)*ap_amount*(1+ap_escalation/100)^(INT((AP1206-ap_months_since_start)/12))*IF(MOD(AP1206-ap_months_since_start,ap_frequency)=0,1,0))</f>
        <v>1104083.456878111</v>
      </c>
      <c r="BG1206" s="24">
        <f t="shared" ca="1" si="906"/>
        <v>13249001.482537331</v>
      </c>
      <c r="BH1206" s="24">
        <f t="shared" ca="1" si="907"/>
        <v>12.5415391472172</v>
      </c>
      <c r="BI1206">
        <f t="shared" ca="1" si="908"/>
        <v>0</v>
      </c>
      <c r="BJ1206" s="24">
        <f t="shared" ca="1" si="909"/>
        <v>87.790774030520396</v>
      </c>
      <c r="BK1206">
        <f t="shared" ca="1" si="910"/>
        <v>1</v>
      </c>
      <c r="BL1206" s="25">
        <f t="shared" ca="1" si="911"/>
        <v>7.3158978358767008</v>
      </c>
      <c r="BM1206" s="32">
        <f t="shared" ca="1" si="890"/>
        <v>454.79687354032023</v>
      </c>
      <c r="BN1206" s="23">
        <f t="shared" ca="1" si="912"/>
        <v>0</v>
      </c>
      <c r="BO1206" s="24">
        <f t="shared" ca="1" si="913"/>
        <v>0</v>
      </c>
      <c r="BP1206" s="25">
        <f t="shared" ca="1" si="914"/>
        <v>0</v>
      </c>
      <c r="BQ1206" s="34">
        <f t="shared" ca="1" si="915"/>
        <v>82120</v>
      </c>
      <c r="BR1206" s="23">
        <f t="shared" ca="1" si="916"/>
        <v>454.79687354032023</v>
      </c>
      <c r="BS1206" s="24">
        <f t="shared" ca="1" si="917"/>
        <v>0</v>
      </c>
      <c r="BT1206" s="24">
        <f t="shared" ca="1" si="922"/>
        <v>0</v>
      </c>
      <c r="BU1206" s="24">
        <f t="shared" ca="1" si="918"/>
        <v>0</v>
      </c>
      <c r="BV1206" s="24">
        <f t="shared" ca="1" si="923"/>
        <v>0</v>
      </c>
      <c r="BW1206" s="24">
        <f t="shared" ca="1" si="919"/>
        <v>-7.3158978358767008</v>
      </c>
      <c r="BX1206" s="25">
        <f t="shared" ca="1" si="924"/>
        <v>-87.790774030520382</v>
      </c>
      <c r="BY1206" s="23">
        <f t="shared" ca="1" si="891"/>
        <v>9.0344763545399474</v>
      </c>
      <c r="BZ1206" s="24">
        <f t="shared" ca="1" si="892"/>
        <v>0</v>
      </c>
      <c r="CA1206" s="24">
        <f t="shared" ca="1" si="925"/>
        <v>0</v>
      </c>
      <c r="CB1206" s="24">
        <f t="shared" ca="1" si="893"/>
        <v>0</v>
      </c>
      <c r="CC1206" s="24">
        <f t="shared" ca="1" si="926"/>
        <v>0</v>
      </c>
      <c r="CD1206" s="24">
        <f t="shared" ca="1" si="894"/>
        <v>-0.14580505870008406</v>
      </c>
      <c r="CE1206" s="25">
        <f t="shared" ca="1" si="927"/>
        <v>-1.7815106685376383</v>
      </c>
      <c r="CF1206" s="23">
        <f t="shared" ca="1" si="928"/>
        <v>13249001.482537331</v>
      </c>
      <c r="CG1206" s="25">
        <f t="array" aca="1" ref="CG1206" ca="1">SUM(BF1195:BF1206/(1+inflation/100)^(AP1195:AP1206/12))</f>
        <v>267980.53702225391</v>
      </c>
      <c r="CH1206" s="32">
        <f ca="1">IFERROR(IF(MOD(AP1206-ap_months_since_start,12)=0,ap_drawdown/100*(AQ1206+AV1206+BA1206-BC1206),CH1205),0)</f>
        <v>77.1024337669472</v>
      </c>
    </row>
    <row r="1207" spans="40:86" x14ac:dyDescent="0.25">
      <c r="AN1207" s="32">
        <f t="shared" ca="1" si="889"/>
        <v>154.83333333333334</v>
      </c>
      <c r="AO1207" s="53">
        <f t="shared" ca="1" si="920"/>
        <v>82121</v>
      </c>
      <c r="AP1207" s="22">
        <v>1200</v>
      </c>
      <c r="AQ1207" s="32">
        <f t="shared" ca="1" si="921"/>
        <v>454.79687354032023</v>
      </c>
      <c r="AR1207" s="23">
        <f t="array" aca="1" ref="AR1207" ca="1">SUM(IF(lsc_start_date=AO1207,lsc_amount,0))</f>
        <v>0</v>
      </c>
      <c r="AS1207" s="24">
        <f t="shared" ca="1" si="895"/>
        <v>0</v>
      </c>
      <c r="AT1207" s="24">
        <f t="shared" ca="1" si="896"/>
        <v>0</v>
      </c>
      <c r="AU1207" s="24">
        <f t="shared" ca="1" si="897"/>
        <v>0</v>
      </c>
      <c r="AV1207" s="25">
        <f t="shared" ca="1" si="898"/>
        <v>0</v>
      </c>
      <c r="AW1207" s="23">
        <f t="array" aca="1" ref="AW1207" ca="1">SUM(IF(rcs_start_date&lt;=AO1207,1,0)*IF(rcs_end_date&gt;=AO1207,1,0)*rcs_amount*(1+rcs_escalation/100)^(INT((AP1207-rcs_months_since_start)/12))*IF(MOD((AP1207-rcs_months_since_start),rcs_frequency)=0,1,0)*IF(rcs_frequency=13,0,1))+SUM(IF(rcs_start_date=AO1207,rcs_amount,0)*IF(rcs_frequency=13,1,0))</f>
        <v>0</v>
      </c>
      <c r="AX1207" s="24">
        <f t="shared" ca="1" si="899"/>
        <v>0</v>
      </c>
      <c r="AY1207" s="24">
        <f t="shared" ca="1" si="900"/>
        <v>0</v>
      </c>
      <c r="AZ1207" s="24">
        <f t="shared" ca="1" si="901"/>
        <v>0</v>
      </c>
      <c r="BA1207" s="25">
        <f t="shared" ca="1" si="902"/>
        <v>0</v>
      </c>
      <c r="BB1207" s="23">
        <f t="array" aca="1" ref="BB1207" ca="1">SUM(IF(w_start_date&lt;=AO1207,1,0)*IF(w_end_date&gt;=AO1207,1,0)*w_amount*(1+w_escalation/100)^(INT((AP1207-w_months_since_start)/12))*IF(MOD(AP1207-w_months_since_start,w_frequency)=0,1,0)*IF(w_frequency=13,0,1))+SUM(IF(w_start_date=AO1207,w_amount,0)*IF(w_frequency=13,1,0))</f>
        <v>0</v>
      </c>
      <c r="BC1207" s="25">
        <f t="shared" ca="1" si="903"/>
        <v>0</v>
      </c>
      <c r="BD1207" s="24" t="b">
        <f t="shared" ca="1" si="904"/>
        <v>1</v>
      </c>
      <c r="BE1207" s="24" t="b">
        <f t="shared" ca="1" si="905"/>
        <v>1</v>
      </c>
      <c r="BF1207" s="23">
        <f t="array" aca="1" ref="BF1207" ca="1">SUM(IF(BD1207,1,0)*IF(ap_start_date&lt;=AO1207,1,0)*IF(ap_end_date&gt;=AO1207,1,0)*ap_amount*(1+ap_escalation/100)^(INT((AP1207-ap_months_since_start)/12))*IF(MOD(AP1207-ap_months_since_start,ap_frequency)=0,1,0))</f>
        <v>1148246.7951532356</v>
      </c>
      <c r="BG1207" s="24">
        <f t="shared" ca="1" si="906"/>
        <v>1148246.7951532356</v>
      </c>
      <c r="BH1207" s="24">
        <f t="shared" ca="1" si="907"/>
        <v>11.369921838508006</v>
      </c>
      <c r="BI1207">
        <f t="shared" ca="1" si="908"/>
        <v>0</v>
      </c>
      <c r="BJ1207" s="24">
        <f t="shared" ca="1" si="909"/>
        <v>79.589452869556041</v>
      </c>
      <c r="BK1207">
        <f t="shared" ca="1" si="910"/>
        <v>1</v>
      </c>
      <c r="BL1207" s="25">
        <f t="shared" ca="1" si="911"/>
        <v>79.589452869556041</v>
      </c>
      <c r="BM1207" s="32">
        <f t="shared" ca="1" si="890"/>
        <v>377.91166186215207</v>
      </c>
      <c r="BN1207" s="23">
        <f t="shared" ca="1" si="912"/>
        <v>0</v>
      </c>
      <c r="BO1207" s="24">
        <f t="shared" ca="1" si="913"/>
        <v>0</v>
      </c>
      <c r="BP1207" s="25">
        <f t="shared" ca="1" si="914"/>
        <v>0</v>
      </c>
      <c r="BQ1207" s="34">
        <f t="shared" ca="1" si="915"/>
        <v>82150</v>
      </c>
      <c r="BR1207" s="23">
        <f t="shared" ca="1" si="916"/>
        <v>377.91166186215207</v>
      </c>
      <c r="BS1207" s="24">
        <f t="shared" ca="1" si="917"/>
        <v>0</v>
      </c>
      <c r="BT1207" s="24">
        <f t="shared" ca="1" si="922"/>
        <v>0</v>
      </c>
      <c r="BU1207" s="24">
        <f t="shared" ca="1" si="918"/>
        <v>0</v>
      </c>
      <c r="BV1207" s="24">
        <f t="shared" ca="1" si="923"/>
        <v>0</v>
      </c>
      <c r="BW1207" s="24">
        <f t="shared" ca="1" si="919"/>
        <v>-79.589452869556041</v>
      </c>
      <c r="BX1207" s="25">
        <f t="shared" ca="1" si="924"/>
        <v>-160.06432906419974</v>
      </c>
      <c r="BY1207" s="23">
        <f t="shared" ca="1" si="891"/>
        <v>7.4826660643888578</v>
      </c>
      <c r="BZ1207" s="24">
        <f t="shared" ca="1" si="892"/>
        <v>0</v>
      </c>
      <c r="CA1207" s="24">
        <f t="shared" ca="1" si="925"/>
        <v>0</v>
      </c>
      <c r="CB1207" s="24">
        <f t="shared" ca="1" si="893"/>
        <v>0</v>
      </c>
      <c r="CC1207" s="24">
        <f t="shared" ca="1" si="926"/>
        <v>0</v>
      </c>
      <c r="CD1207" s="24">
        <f t="shared" ca="1" si="894"/>
        <v>-1.5810333620444907</v>
      </c>
      <c r="CE1207" s="25">
        <f t="shared" ca="1" si="927"/>
        <v>-3.2114015706180057</v>
      </c>
      <c r="CF1207" s="23">
        <f t="shared" ca="1" si="928"/>
        <v>13293164.820812456</v>
      </c>
      <c r="CG1207" s="25">
        <f t="array" aca="1" ref="CG1207" ca="1">SUM(BF1196:BF1207/(1+inflation/100)^(AP1196:AP1207/12))</f>
        <v>267980.53702225396</v>
      </c>
      <c r="CH1207" s="32">
        <f ca="1">IFERROR(IF(MOD(AP1207-ap_months_since_start,12)=0,ap_drawdown/100*(AQ1207+AV1207+BA1207-BC1207),CH1206),0)</f>
        <v>69.899606037066562</v>
      </c>
    </row>
    <row r="1208" spans="40:86" x14ac:dyDescent="0.25">
      <c r="AN1208" s="44">
        <f t="shared" ca="1" si="889"/>
        <v>154.91666666666666</v>
      </c>
      <c r="AO1208" s="54">
        <f t="shared" ca="1" si="920"/>
        <v>82151</v>
      </c>
      <c r="AP1208" s="37">
        <v>1201</v>
      </c>
      <c r="AQ1208" s="44">
        <f t="shared" ca="1" si="921"/>
        <v>377.91166186215207</v>
      </c>
      <c r="AR1208" s="42">
        <f t="array" aca="1" ref="AR1208" ca="1">SUM(IF(lsc_start_date=AO1208,lsc_amount,0))</f>
        <v>0</v>
      </c>
      <c r="AS1208" s="45">
        <f t="shared" ca="1" si="895"/>
        <v>0</v>
      </c>
      <c r="AT1208" s="45">
        <f t="shared" ca="1" si="896"/>
        <v>0</v>
      </c>
      <c r="AU1208" s="45">
        <f t="shared" ca="1" si="897"/>
        <v>0</v>
      </c>
      <c r="AV1208" s="43">
        <f t="shared" ca="1" si="898"/>
        <v>0</v>
      </c>
      <c r="AW1208" s="42">
        <f t="array" aca="1" ref="AW1208" ca="1">SUM(IF(rcs_start_date&lt;=AO1208,1,0)*IF(rcs_end_date&gt;=AO1208,1,0)*rcs_amount*(1+rcs_escalation/100)^(INT((AP1208-rcs_months_since_start)/12))*IF(MOD((AP1208-rcs_months_since_start),rcs_frequency)=0,1,0)*IF(rcs_frequency=13,0,1))+SUM(IF(rcs_start_date=AO1208,rcs_amount,0)*IF(rcs_frequency=13,1,0))</f>
        <v>0</v>
      </c>
      <c r="AX1208" s="45">
        <f t="shared" ca="1" si="899"/>
        <v>0</v>
      </c>
      <c r="AY1208" s="45">
        <f t="shared" ca="1" si="900"/>
        <v>0</v>
      </c>
      <c r="AZ1208" s="45">
        <f t="shared" ca="1" si="901"/>
        <v>0</v>
      </c>
      <c r="BA1208" s="43">
        <f t="shared" ca="1" si="902"/>
        <v>0</v>
      </c>
      <c r="BB1208" s="42">
        <f t="array" aca="1" ref="BB1208" ca="1">SUM(IF(w_start_date&lt;=AO1208,1,0)*IF(w_end_date&gt;=AO1208,1,0)*w_amount*(1+w_escalation/100)^(INT((AP1208-w_months_since_start)/12))*IF(MOD(AP1208-w_months_since_start,w_frequency)=0,1,0)*IF(w_frequency=13,0,1))+SUM(IF(w_start_date=AO1208,w_amount,0)*IF(w_frequency=13,1,0))</f>
        <v>0</v>
      </c>
      <c r="BC1208" s="43">
        <f t="shared" ca="1" si="903"/>
        <v>0</v>
      </c>
      <c r="BD1208" s="45" t="b">
        <f t="shared" ca="1" si="904"/>
        <v>1</v>
      </c>
      <c r="BE1208" s="45" t="b">
        <f t="shared" ca="1" si="905"/>
        <v>1</v>
      </c>
      <c r="BF1208" s="42">
        <f t="array" aca="1" ref="BF1208" ca="1">SUM(IF(BD1208,1,0)*IF(ap_start_date&lt;=AO1208,1,0)*IF(ap_end_date&gt;=AO1208,1,0)*ap_amount*(1+ap_escalation/100)^(INT((AP1208-ap_months_since_start)/12))*IF(MOD(AP1208-ap_months_since_start,ap_frequency)=0,1,0))</f>
        <v>0</v>
      </c>
      <c r="BG1208" s="45">
        <f t="shared" ca="1" si="906"/>
        <v>1148246.7951532356</v>
      </c>
      <c r="BH1208" s="45">
        <f t="shared" ca="1" si="907"/>
        <v>11.369921838508006</v>
      </c>
      <c r="BI1208" s="39">
        <f t="shared" ca="1" si="908"/>
        <v>0</v>
      </c>
      <c r="BJ1208" s="45">
        <f t="shared" ca="1" si="909"/>
        <v>79.589452869556041</v>
      </c>
      <c r="BK1208" s="39">
        <f t="shared" ca="1" si="910"/>
        <v>1</v>
      </c>
      <c r="BL1208" s="43">
        <f t="shared" ca="1" si="911"/>
        <v>0</v>
      </c>
      <c r="BM1208" s="44">
        <f t="shared" ca="1" si="890"/>
        <v>380.63539339413114</v>
      </c>
      <c r="BN1208" s="42">
        <f t="shared" ca="1" si="912"/>
        <v>0</v>
      </c>
      <c r="BO1208" s="45">
        <f t="shared" ca="1" si="913"/>
        <v>0</v>
      </c>
      <c r="BP1208" s="43">
        <f t="shared" ca="1" si="914"/>
        <v>0</v>
      </c>
      <c r="BQ1208" s="46">
        <f t="shared" ca="1" si="915"/>
        <v>82181</v>
      </c>
      <c r="BR1208" s="42">
        <f t="shared" ca="1" si="916"/>
        <v>380.63539339413114</v>
      </c>
      <c r="BS1208" s="45">
        <f t="shared" ca="1" si="917"/>
        <v>0</v>
      </c>
      <c r="BT1208" s="45">
        <f t="shared" ca="1" si="922"/>
        <v>0</v>
      </c>
      <c r="BU1208" s="45">
        <f t="shared" ca="1" si="918"/>
        <v>0</v>
      </c>
      <c r="BV1208" s="45">
        <f t="shared" ca="1" si="923"/>
        <v>0</v>
      </c>
      <c r="BW1208" s="45">
        <f t="shared" ca="1" si="919"/>
        <v>0</v>
      </c>
      <c r="BX1208" s="43">
        <f t="shared" ca="1" si="924"/>
        <v>-152.74843122832303</v>
      </c>
      <c r="BY1208" s="42">
        <f t="shared" ca="1" si="891"/>
        <v>7.5120037125836934</v>
      </c>
      <c r="BZ1208" s="45">
        <f t="shared" ca="1" si="892"/>
        <v>0</v>
      </c>
      <c r="CA1208" s="45">
        <f t="shared" ca="1" si="925"/>
        <v>0</v>
      </c>
      <c r="CB1208" s="45">
        <f t="shared" ca="1" si="893"/>
        <v>0</v>
      </c>
      <c r="CC1208" s="45">
        <f t="shared" ca="1" si="926"/>
        <v>0</v>
      </c>
      <c r="CD1208" s="45">
        <f t="shared" ca="1" si="894"/>
        <v>0</v>
      </c>
      <c r="CE1208" s="43">
        <f t="shared" ca="1" si="927"/>
        <v>-3.0607522971735168</v>
      </c>
      <c r="CF1208" s="42">
        <f t="shared" ca="1" si="928"/>
        <v>12189081.363934346</v>
      </c>
      <c r="CG1208" s="43">
        <f t="array" aca="1" ref="CG1208" ca="1">SUM(BF1197:BF1208/(1+inflation/100)^(AP1197:AP1208/12))</f>
        <v>245319.39111241477</v>
      </c>
      <c r="CH1208" s="44">
        <f ca="1">IFERROR(IF(MOD(AP1208-ap_months_since_start,12)=0,ap_drawdown/100*(AQ1208+AV1208+BA1208-BC1208),CH1207),0)</f>
        <v>69.899606037066562</v>
      </c>
    </row>
    <row r="1209" spans="40:86" x14ac:dyDescent="0.25">
      <c r="AN1209" s="32">
        <f t="shared" ca="1" si="889"/>
        <v>155</v>
      </c>
      <c r="AO1209" s="53">
        <f t="shared" ca="1" si="920"/>
        <v>82182</v>
      </c>
      <c r="AP1209" s="22">
        <v>1202</v>
      </c>
      <c r="AQ1209" s="32">
        <f t="shared" ca="1" si="921"/>
        <v>380.63539339413114</v>
      </c>
      <c r="AR1209" s="23">
        <f t="array" aca="1" ref="AR1209" ca="1">SUM(IF(lsc_start_date=AO1209,lsc_amount,0))</f>
        <v>0</v>
      </c>
      <c r="AS1209" s="24">
        <f t="shared" ca="1" si="895"/>
        <v>0</v>
      </c>
      <c r="AT1209" s="24">
        <f t="shared" ca="1" si="896"/>
        <v>0</v>
      </c>
      <c r="AU1209" s="24">
        <f t="shared" ca="1" si="897"/>
        <v>0</v>
      </c>
      <c r="AV1209" s="25">
        <f t="shared" ca="1" si="898"/>
        <v>0</v>
      </c>
      <c r="AW1209" s="23">
        <f t="array" aca="1" ref="AW1209" ca="1">SUM(IF(rcs_start_date&lt;=AO1209,1,0)*IF(rcs_end_date&gt;=AO1209,1,0)*rcs_amount*(1+rcs_escalation/100)^(INT((AP1209-rcs_months_since_start)/12))*IF(MOD((AP1209-rcs_months_since_start),rcs_frequency)=0,1,0)*IF(rcs_frequency=13,0,1))+SUM(IF(rcs_start_date=AO1209,rcs_amount,0)*IF(rcs_frequency=13,1,0))</f>
        <v>0</v>
      </c>
      <c r="AX1209" s="24">
        <f t="shared" ca="1" si="899"/>
        <v>0</v>
      </c>
      <c r="AY1209" s="24">
        <f t="shared" ca="1" si="900"/>
        <v>0</v>
      </c>
      <c r="AZ1209" s="24">
        <f t="shared" ca="1" si="901"/>
        <v>0</v>
      </c>
      <c r="BA1209" s="25">
        <f t="shared" ca="1" si="902"/>
        <v>0</v>
      </c>
      <c r="BB1209" s="23">
        <f t="array" aca="1" ref="BB1209" ca="1">SUM(IF(w_start_date&lt;=AO1209,1,0)*IF(w_end_date&gt;=AO1209,1,0)*w_amount*(1+w_escalation/100)^(INT((AP1209-w_months_since_start)/12))*IF(MOD(AP1209-w_months_since_start,w_frequency)=0,1,0)*IF(w_frequency=13,0,1))+SUM(IF(w_start_date=AO1209,w_amount,0)*IF(w_frequency=13,1,0))</f>
        <v>0</v>
      </c>
      <c r="BC1209" s="25">
        <f t="shared" ca="1" si="903"/>
        <v>0</v>
      </c>
      <c r="BD1209" s="24" t="b">
        <f t="shared" ca="1" si="904"/>
        <v>1</v>
      </c>
      <c r="BE1209" s="24" t="b">
        <f t="shared" ca="1" si="905"/>
        <v>1</v>
      </c>
      <c r="BF1209" s="23">
        <f t="array" aca="1" ref="BF1209" ca="1">SUM(IF(BD1209,1,0)*IF(ap_start_date&lt;=AO1209,1,0)*IF(ap_end_date&gt;=AO1209,1,0)*ap_amount*(1+ap_escalation/100)^(INT((AP1209-ap_months_since_start)/12))*IF(MOD(AP1209-ap_months_since_start,ap_frequency)=0,1,0))</f>
        <v>0</v>
      </c>
      <c r="BG1209" s="24">
        <f t="shared" ca="1" si="906"/>
        <v>1148246.7951532356</v>
      </c>
      <c r="BH1209" s="24">
        <f t="shared" ca="1" si="907"/>
        <v>11.369921838508006</v>
      </c>
      <c r="BI1209">
        <f t="shared" ca="1" si="908"/>
        <v>0</v>
      </c>
      <c r="BJ1209" s="24">
        <f t="shared" ca="1" si="909"/>
        <v>79.589452869556041</v>
      </c>
      <c r="BK1209">
        <f t="shared" ca="1" si="910"/>
        <v>1</v>
      </c>
      <c r="BL1209" s="25">
        <f t="shared" ca="1" si="911"/>
        <v>0</v>
      </c>
      <c r="BM1209" s="32">
        <f t="shared" ca="1" si="890"/>
        <v>383.37875573988754</v>
      </c>
      <c r="BN1209" s="23">
        <f t="shared" ca="1" si="912"/>
        <v>0</v>
      </c>
      <c r="BO1209" s="24">
        <f t="shared" ca="1" si="913"/>
        <v>0</v>
      </c>
      <c r="BP1209" s="25">
        <f t="shared" ca="1" si="914"/>
        <v>0</v>
      </c>
      <c r="BQ1209" s="34">
        <f t="shared" ca="1" si="915"/>
        <v>82212</v>
      </c>
      <c r="BR1209" s="23">
        <f t="shared" ca="1" si="916"/>
        <v>383.37875573988754</v>
      </c>
      <c r="BS1209" s="24">
        <f t="shared" ca="1" si="917"/>
        <v>0</v>
      </c>
      <c r="BT1209" s="24">
        <f t="shared" ca="1" si="922"/>
        <v>0</v>
      </c>
      <c r="BU1209" s="24">
        <f t="shared" ca="1" si="918"/>
        <v>0</v>
      </c>
      <c r="BV1209" s="24">
        <f t="shared" ca="1" si="923"/>
        <v>0</v>
      </c>
      <c r="BW1209" s="24">
        <f t="shared" ca="1" si="919"/>
        <v>0</v>
      </c>
      <c r="BX1209" s="25">
        <f t="shared" ca="1" si="924"/>
        <v>-145.43253339244632</v>
      </c>
      <c r="BY1209" s="23">
        <f t="shared" ca="1" si="891"/>
        <v>7.541456386304735</v>
      </c>
      <c r="BZ1209" s="24">
        <f t="shared" ca="1" si="892"/>
        <v>0</v>
      </c>
      <c r="CA1209" s="24">
        <f t="shared" ca="1" si="925"/>
        <v>0</v>
      </c>
      <c r="CB1209" s="24">
        <f t="shared" ca="1" si="893"/>
        <v>0</v>
      </c>
      <c r="CC1209" s="24">
        <f t="shared" ca="1" si="926"/>
        <v>0</v>
      </c>
      <c r="CD1209" s="24">
        <f t="shared" ca="1" si="894"/>
        <v>0</v>
      </c>
      <c r="CE1209" s="25">
        <f t="shared" ca="1" si="927"/>
        <v>-2.9105946009527495</v>
      </c>
      <c r="CF1209" s="23">
        <f t="shared" ca="1" si="928"/>
        <v>11084997.907056235</v>
      </c>
      <c r="CG1209" s="25">
        <f t="array" aca="1" ref="CG1209" ca="1">SUM(BF1198:BF1209/(1+inflation/100)^(AP1198:AP1209/12))</f>
        <v>222732.18982200854</v>
      </c>
      <c r="CH1209" s="32">
        <f ca="1">IFERROR(IF(MOD(AP1209-ap_months_since_start,12)=0,ap_drawdown/100*(AQ1209+AV1209+BA1209-BC1209),CH1208),0)</f>
        <v>69.899606037066562</v>
      </c>
    </row>
    <row r="1210" spans="40:86" x14ac:dyDescent="0.25">
      <c r="AN1210" s="32">
        <f t="shared" ca="1" si="889"/>
        <v>155.08333333333334</v>
      </c>
      <c r="AO1210" s="53">
        <f t="shared" ca="1" si="920"/>
        <v>82213</v>
      </c>
      <c r="AP1210" s="22">
        <v>1203</v>
      </c>
      <c r="AQ1210" s="32">
        <f t="shared" ca="1" si="921"/>
        <v>383.37875573988754</v>
      </c>
      <c r="AR1210" s="23">
        <f t="array" aca="1" ref="AR1210" ca="1">SUM(IF(lsc_start_date=AO1210,lsc_amount,0))</f>
        <v>0</v>
      </c>
      <c r="AS1210" s="24">
        <f t="shared" ca="1" si="895"/>
        <v>0</v>
      </c>
      <c r="AT1210" s="24">
        <f t="shared" ca="1" si="896"/>
        <v>0</v>
      </c>
      <c r="AU1210" s="24">
        <f t="shared" ca="1" si="897"/>
        <v>0</v>
      </c>
      <c r="AV1210" s="25">
        <f t="shared" ca="1" si="898"/>
        <v>0</v>
      </c>
      <c r="AW1210" s="23">
        <f t="array" aca="1" ref="AW1210" ca="1">SUM(IF(rcs_start_date&lt;=AO1210,1,0)*IF(rcs_end_date&gt;=AO1210,1,0)*rcs_amount*(1+rcs_escalation/100)^(INT((AP1210-rcs_months_since_start)/12))*IF(MOD((AP1210-rcs_months_since_start),rcs_frequency)=0,1,0)*IF(rcs_frequency=13,0,1))+SUM(IF(rcs_start_date=AO1210,rcs_amount,0)*IF(rcs_frequency=13,1,0))</f>
        <v>0</v>
      </c>
      <c r="AX1210" s="24">
        <f t="shared" ca="1" si="899"/>
        <v>0</v>
      </c>
      <c r="AY1210" s="24">
        <f t="shared" ca="1" si="900"/>
        <v>0</v>
      </c>
      <c r="AZ1210" s="24">
        <f t="shared" ca="1" si="901"/>
        <v>0</v>
      </c>
      <c r="BA1210" s="25">
        <f t="shared" ca="1" si="902"/>
        <v>0</v>
      </c>
      <c r="BB1210" s="23">
        <f t="array" aca="1" ref="BB1210" ca="1">SUM(IF(w_start_date&lt;=AO1210,1,0)*IF(w_end_date&gt;=AO1210,1,0)*w_amount*(1+w_escalation/100)^(INT((AP1210-w_months_since_start)/12))*IF(MOD(AP1210-w_months_since_start,w_frequency)=0,1,0)*IF(w_frequency=13,0,1))+SUM(IF(w_start_date=AO1210,w_amount,0)*IF(w_frequency=13,1,0))</f>
        <v>0</v>
      </c>
      <c r="BC1210" s="25">
        <f t="shared" ca="1" si="903"/>
        <v>0</v>
      </c>
      <c r="BD1210" s="24" t="b">
        <f t="shared" ca="1" si="904"/>
        <v>1</v>
      </c>
      <c r="BE1210" s="24" t="b">
        <f t="shared" ca="1" si="905"/>
        <v>1</v>
      </c>
      <c r="BF1210" s="23">
        <f t="array" aca="1" ref="BF1210" ca="1">SUM(IF(BD1210,1,0)*IF(ap_start_date&lt;=AO1210,1,0)*IF(ap_end_date&gt;=AO1210,1,0)*ap_amount*(1+ap_escalation/100)^(INT((AP1210-ap_months_since_start)/12))*IF(MOD(AP1210-ap_months_since_start,ap_frequency)=0,1,0))</f>
        <v>0</v>
      </c>
      <c r="BG1210" s="24">
        <f t="shared" ca="1" si="906"/>
        <v>1148246.7951532356</v>
      </c>
      <c r="BH1210" s="24">
        <f t="shared" ca="1" si="907"/>
        <v>11.369921838508006</v>
      </c>
      <c r="BI1210">
        <f t="shared" ca="1" si="908"/>
        <v>0</v>
      </c>
      <c r="BJ1210" s="24">
        <f t="shared" ca="1" si="909"/>
        <v>79.589452869556041</v>
      </c>
      <c r="BK1210">
        <f t="shared" ca="1" si="910"/>
        <v>1</v>
      </c>
      <c r="BL1210" s="25">
        <f t="shared" ca="1" si="911"/>
        <v>0</v>
      </c>
      <c r="BM1210" s="32">
        <f t="shared" ca="1" si="890"/>
        <v>386.1418903850431</v>
      </c>
      <c r="BN1210" s="23">
        <f t="shared" ca="1" si="912"/>
        <v>0</v>
      </c>
      <c r="BO1210" s="24">
        <f t="shared" ca="1" si="913"/>
        <v>0</v>
      </c>
      <c r="BP1210" s="25">
        <f t="shared" ca="1" si="914"/>
        <v>0</v>
      </c>
      <c r="BQ1210" s="34">
        <f t="shared" ca="1" si="915"/>
        <v>82240</v>
      </c>
      <c r="BR1210" s="23">
        <f t="shared" ca="1" si="916"/>
        <v>386.1418903850431</v>
      </c>
      <c r="BS1210" s="24">
        <f t="shared" ca="1" si="917"/>
        <v>0</v>
      </c>
      <c r="BT1210" s="24">
        <f t="shared" ca="1" si="922"/>
        <v>0</v>
      </c>
      <c r="BU1210" s="24">
        <f t="shared" ca="1" si="918"/>
        <v>0</v>
      </c>
      <c r="BV1210" s="24">
        <f t="shared" ca="1" si="923"/>
        <v>0</v>
      </c>
      <c r="BW1210" s="24">
        <f t="shared" ca="1" si="919"/>
        <v>0</v>
      </c>
      <c r="BX1210" s="25">
        <f t="shared" ca="1" si="924"/>
        <v>-138.11663555656963</v>
      </c>
      <c r="BY1210" s="23">
        <f t="shared" ca="1" si="891"/>
        <v>7.5710245365381095</v>
      </c>
      <c r="BZ1210" s="24">
        <f t="shared" ca="1" si="892"/>
        <v>0</v>
      </c>
      <c r="CA1210" s="24">
        <f t="shared" ca="1" si="925"/>
        <v>0</v>
      </c>
      <c r="CB1210" s="24">
        <f t="shared" ca="1" si="893"/>
        <v>0</v>
      </c>
      <c r="CC1210" s="24">
        <f t="shared" ca="1" si="926"/>
        <v>0</v>
      </c>
      <c r="CD1210" s="24">
        <f t="shared" ca="1" si="894"/>
        <v>0</v>
      </c>
      <c r="CE1210" s="25">
        <f t="shared" ca="1" si="927"/>
        <v>-2.7609268779110145</v>
      </c>
      <c r="CF1210" s="23">
        <f t="shared" ca="1" si="928"/>
        <v>9980914.450178124</v>
      </c>
      <c r="CG1210" s="25">
        <f t="array" aca="1" ref="CG1210" ca="1">SUM(BF1199:BF1210/(1+inflation/100)^(AP1199:AP1210/12))</f>
        <v>200218.69186549901</v>
      </c>
      <c r="CH1210" s="32">
        <f ca="1">IFERROR(IF(MOD(AP1210-ap_months_since_start,12)=0,ap_drawdown/100*(AQ1210+AV1210+BA1210-BC1210),CH1209),0)</f>
        <v>69.899606037066562</v>
      </c>
    </row>
    <row r="1211" spans="40:86" x14ac:dyDescent="0.25">
      <c r="AN1211" s="32">
        <f t="shared" ca="1" si="889"/>
        <v>155.16666666666666</v>
      </c>
      <c r="AO1211" s="53">
        <f t="shared" ca="1" si="920"/>
        <v>82241</v>
      </c>
      <c r="AP1211" s="22">
        <v>1204</v>
      </c>
      <c r="AQ1211" s="32">
        <f t="shared" ca="1" si="921"/>
        <v>386.1418903850431</v>
      </c>
      <c r="AR1211" s="23">
        <f t="array" aca="1" ref="AR1211" ca="1">SUM(IF(lsc_start_date=AO1211,lsc_amount,0))</f>
        <v>0</v>
      </c>
      <c r="AS1211" s="24">
        <f t="shared" ca="1" si="895"/>
        <v>0</v>
      </c>
      <c r="AT1211" s="24">
        <f t="shared" ca="1" si="896"/>
        <v>0</v>
      </c>
      <c r="AU1211" s="24">
        <f t="shared" ca="1" si="897"/>
        <v>0</v>
      </c>
      <c r="AV1211" s="25">
        <f t="shared" ca="1" si="898"/>
        <v>0</v>
      </c>
      <c r="AW1211" s="23">
        <f t="array" aca="1" ref="AW1211" ca="1">SUM(IF(rcs_start_date&lt;=AO1211,1,0)*IF(rcs_end_date&gt;=AO1211,1,0)*rcs_amount*(1+rcs_escalation/100)^(INT((AP1211-rcs_months_since_start)/12))*IF(MOD((AP1211-rcs_months_since_start),rcs_frequency)=0,1,0)*IF(rcs_frequency=13,0,1))+SUM(IF(rcs_start_date=AO1211,rcs_amount,0)*IF(rcs_frequency=13,1,0))</f>
        <v>0</v>
      </c>
      <c r="AX1211" s="24">
        <f t="shared" ca="1" si="899"/>
        <v>0</v>
      </c>
      <c r="AY1211" s="24">
        <f t="shared" ca="1" si="900"/>
        <v>0</v>
      </c>
      <c r="AZ1211" s="24">
        <f t="shared" ca="1" si="901"/>
        <v>0</v>
      </c>
      <c r="BA1211" s="25">
        <f t="shared" ca="1" si="902"/>
        <v>0</v>
      </c>
      <c r="BB1211" s="23">
        <f t="array" aca="1" ref="BB1211" ca="1">SUM(IF(w_start_date&lt;=AO1211,1,0)*IF(w_end_date&gt;=AO1211,1,0)*w_amount*(1+w_escalation/100)^(INT((AP1211-w_months_since_start)/12))*IF(MOD(AP1211-w_months_since_start,w_frequency)=0,1,0)*IF(w_frequency=13,0,1))+SUM(IF(w_start_date=AO1211,w_amount,0)*IF(w_frequency=13,1,0))</f>
        <v>0</v>
      </c>
      <c r="BC1211" s="25">
        <f t="shared" ca="1" si="903"/>
        <v>0</v>
      </c>
      <c r="BD1211" s="24" t="b">
        <f t="shared" ca="1" si="904"/>
        <v>1</v>
      </c>
      <c r="BE1211" s="24" t="b">
        <f t="shared" ca="1" si="905"/>
        <v>1</v>
      </c>
      <c r="BF1211" s="23">
        <f t="array" aca="1" ref="BF1211" ca="1">SUM(IF(BD1211,1,0)*IF(ap_start_date&lt;=AO1211,1,0)*IF(ap_end_date&gt;=AO1211,1,0)*ap_amount*(1+ap_escalation/100)^(INT((AP1211-ap_months_since_start)/12))*IF(MOD(AP1211-ap_months_since_start,ap_frequency)=0,1,0))</f>
        <v>0</v>
      </c>
      <c r="BG1211" s="24">
        <f t="shared" ca="1" si="906"/>
        <v>1148246.7951532356</v>
      </c>
      <c r="BH1211" s="24">
        <f t="shared" ca="1" si="907"/>
        <v>11.369921838508006</v>
      </c>
      <c r="BI1211">
        <f t="shared" ca="1" si="908"/>
        <v>0</v>
      </c>
      <c r="BJ1211" s="24">
        <f t="shared" ca="1" si="909"/>
        <v>79.589452869556041</v>
      </c>
      <c r="BK1211">
        <f t="shared" ca="1" si="910"/>
        <v>1</v>
      </c>
      <c r="BL1211" s="25">
        <f t="shared" ca="1" si="911"/>
        <v>0</v>
      </c>
      <c r="BM1211" s="32">
        <f t="shared" ca="1" si="890"/>
        <v>388.92493983495234</v>
      </c>
      <c r="BN1211" s="23">
        <f t="shared" ca="1" si="912"/>
        <v>0</v>
      </c>
      <c r="BO1211" s="24">
        <f t="shared" ca="1" si="913"/>
        <v>0</v>
      </c>
      <c r="BP1211" s="25">
        <f t="shared" ca="1" si="914"/>
        <v>0</v>
      </c>
      <c r="BQ1211" s="34">
        <f t="shared" ca="1" si="915"/>
        <v>82271</v>
      </c>
      <c r="BR1211" s="23">
        <f t="shared" ca="1" si="916"/>
        <v>388.92493983495234</v>
      </c>
      <c r="BS1211" s="24">
        <f t="shared" ca="1" si="917"/>
        <v>0</v>
      </c>
      <c r="BT1211" s="24">
        <f t="shared" ca="1" si="922"/>
        <v>0</v>
      </c>
      <c r="BU1211" s="24">
        <f t="shared" ca="1" si="918"/>
        <v>0</v>
      </c>
      <c r="BV1211" s="24">
        <f t="shared" ca="1" si="923"/>
        <v>0</v>
      </c>
      <c r="BW1211" s="24">
        <f t="shared" ca="1" si="919"/>
        <v>0</v>
      </c>
      <c r="BX1211" s="25">
        <f t="shared" ca="1" si="924"/>
        <v>-130.80073772069295</v>
      </c>
      <c r="BY1211" s="23">
        <f t="shared" ca="1" si="891"/>
        <v>7.6007086160381192</v>
      </c>
      <c r="BZ1211" s="24">
        <f t="shared" ca="1" si="892"/>
        <v>0</v>
      </c>
      <c r="CA1211" s="24">
        <f t="shared" ca="1" si="925"/>
        <v>0</v>
      </c>
      <c r="CB1211" s="24">
        <f t="shared" ca="1" si="893"/>
        <v>0</v>
      </c>
      <c r="CC1211" s="24">
        <f t="shared" ca="1" si="926"/>
        <v>0</v>
      </c>
      <c r="CD1211" s="24">
        <f t="shared" ca="1" si="894"/>
        <v>0</v>
      </c>
      <c r="CE1211" s="25">
        <f t="shared" ca="1" si="927"/>
        <v>-2.6117475292377139</v>
      </c>
      <c r="CF1211" s="23">
        <f t="shared" ca="1" si="928"/>
        <v>8876830.9933000114</v>
      </c>
      <c r="CG1211" s="25">
        <f t="array" aca="1" ref="CG1211" ca="1">SUM(BF1200:BF1211/(1+inflation/100)^(AP1200:AP1211/12))</f>
        <v>177778.65674467848</v>
      </c>
      <c r="CH1211" s="32">
        <f ca="1">IFERROR(IF(MOD(AP1211-ap_months_since_start,12)=0,ap_drawdown/100*(AQ1211+AV1211+BA1211-BC1211),CH1210),0)</f>
        <v>69.899606037066562</v>
      </c>
    </row>
    <row r="1212" spans="40:86" x14ac:dyDescent="0.25">
      <c r="AN1212" s="32">
        <f t="shared" ca="1" si="889"/>
        <v>155.25</v>
      </c>
      <c r="AO1212" s="53">
        <f t="shared" ca="1" si="920"/>
        <v>82272</v>
      </c>
      <c r="AP1212" s="22">
        <v>1205</v>
      </c>
      <c r="AQ1212" s="32">
        <f t="shared" ca="1" si="921"/>
        <v>388.92493983495234</v>
      </c>
      <c r="AR1212" s="23">
        <f t="array" aca="1" ref="AR1212" ca="1">SUM(IF(lsc_start_date=AO1212,lsc_amount,0))</f>
        <v>0</v>
      </c>
      <c r="AS1212" s="24">
        <f t="shared" ca="1" si="895"/>
        <v>0</v>
      </c>
      <c r="AT1212" s="24">
        <f t="shared" ca="1" si="896"/>
        <v>0</v>
      </c>
      <c r="AU1212" s="24">
        <f t="shared" ca="1" si="897"/>
        <v>0</v>
      </c>
      <c r="AV1212" s="25">
        <f t="shared" ca="1" si="898"/>
        <v>0</v>
      </c>
      <c r="AW1212" s="23">
        <f t="array" aca="1" ref="AW1212" ca="1">SUM(IF(rcs_start_date&lt;=AO1212,1,0)*IF(rcs_end_date&gt;=AO1212,1,0)*rcs_amount*(1+rcs_escalation/100)^(INT((AP1212-rcs_months_since_start)/12))*IF(MOD((AP1212-rcs_months_since_start),rcs_frequency)=0,1,0)*IF(rcs_frequency=13,0,1))+SUM(IF(rcs_start_date=AO1212,rcs_amount,0)*IF(rcs_frequency=13,1,0))</f>
        <v>0</v>
      </c>
      <c r="AX1212" s="24">
        <f t="shared" ca="1" si="899"/>
        <v>0</v>
      </c>
      <c r="AY1212" s="24">
        <f t="shared" ca="1" si="900"/>
        <v>0</v>
      </c>
      <c r="AZ1212" s="24">
        <f t="shared" ca="1" si="901"/>
        <v>0</v>
      </c>
      <c r="BA1212" s="25">
        <f t="shared" ca="1" si="902"/>
        <v>0</v>
      </c>
      <c r="BB1212" s="23">
        <f t="array" aca="1" ref="BB1212" ca="1">SUM(IF(w_start_date&lt;=AO1212,1,0)*IF(w_end_date&gt;=AO1212,1,0)*w_amount*(1+w_escalation/100)^(INT((AP1212-w_months_since_start)/12))*IF(MOD(AP1212-w_months_since_start,w_frequency)=0,1,0)*IF(w_frequency=13,0,1))+SUM(IF(w_start_date=AO1212,w_amount,0)*IF(w_frequency=13,1,0))</f>
        <v>0</v>
      </c>
      <c r="BC1212" s="25">
        <f t="shared" ca="1" si="903"/>
        <v>0</v>
      </c>
      <c r="BD1212" s="24" t="b">
        <f t="shared" ca="1" si="904"/>
        <v>1</v>
      </c>
      <c r="BE1212" s="24" t="b">
        <f t="shared" ca="1" si="905"/>
        <v>1</v>
      </c>
      <c r="BF1212" s="23">
        <f t="array" aca="1" ref="BF1212" ca="1">SUM(IF(BD1212,1,0)*IF(ap_start_date&lt;=AO1212,1,0)*IF(ap_end_date&gt;=AO1212,1,0)*ap_amount*(1+ap_escalation/100)^(INT((AP1212-ap_months_since_start)/12))*IF(MOD(AP1212-ap_months_since_start,ap_frequency)=0,1,0))</f>
        <v>0</v>
      </c>
      <c r="BG1212" s="24">
        <f t="shared" ca="1" si="906"/>
        <v>1148246.7951532356</v>
      </c>
      <c r="BH1212" s="24">
        <f t="shared" ca="1" si="907"/>
        <v>11.369921838508006</v>
      </c>
      <c r="BI1212">
        <f t="shared" ca="1" si="908"/>
        <v>0</v>
      </c>
      <c r="BJ1212" s="24">
        <f t="shared" ca="1" si="909"/>
        <v>79.589452869556041</v>
      </c>
      <c r="BK1212">
        <f t="shared" ca="1" si="910"/>
        <v>1</v>
      </c>
      <c r="BL1212" s="25">
        <f t="shared" ca="1" si="911"/>
        <v>0</v>
      </c>
      <c r="BM1212" s="32">
        <f t="shared" ca="1" si="890"/>
        <v>391.72804762205186</v>
      </c>
      <c r="BN1212" s="23">
        <f t="shared" ca="1" si="912"/>
        <v>0</v>
      </c>
      <c r="BO1212" s="24">
        <f t="shared" ca="1" si="913"/>
        <v>0</v>
      </c>
      <c r="BP1212" s="25">
        <f t="shared" ca="1" si="914"/>
        <v>0</v>
      </c>
      <c r="BQ1212" s="34">
        <f t="shared" ca="1" si="915"/>
        <v>82301</v>
      </c>
      <c r="BR1212" s="23">
        <f t="shared" ca="1" si="916"/>
        <v>391.72804762205186</v>
      </c>
      <c r="BS1212" s="24">
        <f t="shared" ca="1" si="917"/>
        <v>0</v>
      </c>
      <c r="BT1212" s="24">
        <f t="shared" ca="1" si="922"/>
        <v>0</v>
      </c>
      <c r="BU1212" s="24">
        <f t="shared" ca="1" si="918"/>
        <v>0</v>
      </c>
      <c r="BV1212" s="24">
        <f t="shared" ca="1" si="923"/>
        <v>0</v>
      </c>
      <c r="BW1212" s="24">
        <f t="shared" ca="1" si="919"/>
        <v>0</v>
      </c>
      <c r="BX1212" s="25">
        <f t="shared" ca="1" si="924"/>
        <v>-123.48483988481624</v>
      </c>
      <c r="BY1212" s="23">
        <f t="shared" ca="1" si="891"/>
        <v>7.6305090793342041</v>
      </c>
      <c r="BZ1212" s="24">
        <f t="shared" ca="1" si="892"/>
        <v>0</v>
      </c>
      <c r="CA1212" s="24">
        <f t="shared" ca="1" si="925"/>
        <v>0</v>
      </c>
      <c r="CB1212" s="24">
        <f t="shared" ca="1" si="893"/>
        <v>0</v>
      </c>
      <c r="CC1212" s="24">
        <f t="shared" ca="1" si="926"/>
        <v>0</v>
      </c>
      <c r="CD1212" s="24">
        <f t="shared" ca="1" si="894"/>
        <v>0</v>
      </c>
      <c r="CE1212" s="25">
        <f t="shared" ca="1" si="927"/>
        <v>-2.4630549613392603</v>
      </c>
      <c r="CF1212" s="23">
        <f t="shared" ca="1" si="928"/>
        <v>7772747.5364219006</v>
      </c>
      <c r="CG1212" s="25">
        <f t="array" aca="1" ref="CG1212" ca="1">SUM(BF1201:BF1212/(1+inflation/100)^(AP1201:AP1212/12))</f>
        <v>155411.84474609865</v>
      </c>
      <c r="CH1212" s="32">
        <f ca="1">IFERROR(IF(MOD(AP1212-ap_months_since_start,12)=0,ap_drawdown/100*(AQ1212+AV1212+BA1212-BC1212),CH1211),0)</f>
        <v>69.899606037066562</v>
      </c>
    </row>
    <row r="1213" spans="40:86" x14ac:dyDescent="0.25">
      <c r="AN1213" s="32">
        <f t="shared" ca="1" si="889"/>
        <v>155.33333333333334</v>
      </c>
      <c r="AO1213" s="53">
        <f t="shared" ca="1" si="920"/>
        <v>82302</v>
      </c>
      <c r="AP1213" s="22">
        <v>1206</v>
      </c>
      <c r="AQ1213" s="32">
        <f t="shared" ca="1" si="921"/>
        <v>391.72804762205186</v>
      </c>
      <c r="AR1213" s="23">
        <f t="array" aca="1" ref="AR1213" ca="1">SUM(IF(lsc_start_date=AO1213,lsc_amount,0))</f>
        <v>0</v>
      </c>
      <c r="AS1213" s="24">
        <f t="shared" ca="1" si="895"/>
        <v>0</v>
      </c>
      <c r="AT1213" s="24">
        <f t="shared" ca="1" si="896"/>
        <v>0</v>
      </c>
      <c r="AU1213" s="24">
        <f t="shared" ca="1" si="897"/>
        <v>0</v>
      </c>
      <c r="AV1213" s="25">
        <f t="shared" ca="1" si="898"/>
        <v>0</v>
      </c>
      <c r="AW1213" s="23">
        <f t="array" aca="1" ref="AW1213" ca="1">SUM(IF(rcs_start_date&lt;=AO1213,1,0)*IF(rcs_end_date&gt;=AO1213,1,0)*rcs_amount*(1+rcs_escalation/100)^(INT((AP1213-rcs_months_since_start)/12))*IF(MOD((AP1213-rcs_months_since_start),rcs_frequency)=0,1,0)*IF(rcs_frequency=13,0,1))+SUM(IF(rcs_start_date=AO1213,rcs_amount,0)*IF(rcs_frequency=13,1,0))</f>
        <v>0</v>
      </c>
      <c r="AX1213" s="24">
        <f t="shared" ca="1" si="899"/>
        <v>0</v>
      </c>
      <c r="AY1213" s="24">
        <f t="shared" ca="1" si="900"/>
        <v>0</v>
      </c>
      <c r="AZ1213" s="24">
        <f t="shared" ca="1" si="901"/>
        <v>0</v>
      </c>
      <c r="BA1213" s="25">
        <f t="shared" ca="1" si="902"/>
        <v>0</v>
      </c>
      <c r="BB1213" s="23">
        <f t="array" aca="1" ref="BB1213" ca="1">SUM(IF(w_start_date&lt;=AO1213,1,0)*IF(w_end_date&gt;=AO1213,1,0)*w_amount*(1+w_escalation/100)^(INT((AP1213-w_months_since_start)/12))*IF(MOD(AP1213-w_months_since_start,w_frequency)=0,1,0)*IF(w_frequency=13,0,1))+SUM(IF(w_start_date=AO1213,w_amount,0)*IF(w_frequency=13,1,0))</f>
        <v>0</v>
      </c>
      <c r="BC1213" s="25">
        <f t="shared" ca="1" si="903"/>
        <v>0</v>
      </c>
      <c r="BD1213" s="24" t="b">
        <f t="shared" ca="1" si="904"/>
        <v>1</v>
      </c>
      <c r="BE1213" s="24" t="b">
        <f t="shared" ca="1" si="905"/>
        <v>1</v>
      </c>
      <c r="BF1213" s="23">
        <f t="array" aca="1" ref="BF1213" ca="1">SUM(IF(BD1213,1,0)*IF(ap_start_date&lt;=AO1213,1,0)*IF(ap_end_date&gt;=AO1213,1,0)*ap_amount*(1+ap_escalation/100)^(INT((AP1213-ap_months_since_start)/12))*IF(MOD(AP1213-ap_months_since_start,ap_frequency)=0,1,0))</f>
        <v>0</v>
      </c>
      <c r="BG1213" s="24">
        <f t="shared" ca="1" si="906"/>
        <v>1148246.7951532356</v>
      </c>
      <c r="BH1213" s="24">
        <f t="shared" ca="1" si="907"/>
        <v>11.369921838508006</v>
      </c>
      <c r="BI1213">
        <f t="shared" ca="1" si="908"/>
        <v>0</v>
      </c>
      <c r="BJ1213" s="24">
        <f t="shared" ca="1" si="909"/>
        <v>79.589452869556041</v>
      </c>
      <c r="BK1213">
        <f t="shared" ca="1" si="910"/>
        <v>1</v>
      </c>
      <c r="BL1213" s="25">
        <f t="shared" ca="1" si="911"/>
        <v>0</v>
      </c>
      <c r="BM1213" s="32">
        <f t="shared" ca="1" si="890"/>
        <v>394.55135831326299</v>
      </c>
      <c r="BN1213" s="23">
        <f t="shared" ca="1" si="912"/>
        <v>0</v>
      </c>
      <c r="BO1213" s="24">
        <f t="shared" ca="1" si="913"/>
        <v>0</v>
      </c>
      <c r="BP1213" s="25">
        <f t="shared" ca="1" si="914"/>
        <v>0</v>
      </c>
      <c r="BQ1213" s="34">
        <f t="shared" ca="1" si="915"/>
        <v>82332</v>
      </c>
      <c r="BR1213" s="23">
        <f t="shared" ca="1" si="916"/>
        <v>394.55135831326299</v>
      </c>
      <c r="BS1213" s="24">
        <f t="shared" ca="1" si="917"/>
        <v>0</v>
      </c>
      <c r="BT1213" s="24">
        <f t="shared" ca="1" si="922"/>
        <v>0</v>
      </c>
      <c r="BU1213" s="24">
        <f t="shared" ca="1" si="918"/>
        <v>0</v>
      </c>
      <c r="BV1213" s="24">
        <f t="shared" ca="1" si="923"/>
        <v>0</v>
      </c>
      <c r="BW1213" s="24">
        <f t="shared" ca="1" si="919"/>
        <v>0</v>
      </c>
      <c r="BX1213" s="25">
        <f t="shared" ca="1" si="924"/>
        <v>-116.16894204893954</v>
      </c>
      <c r="BY1213" s="23">
        <f t="shared" ca="1" si="891"/>
        <v>7.66042638273791</v>
      </c>
      <c r="BZ1213" s="24">
        <f t="shared" ca="1" si="892"/>
        <v>0</v>
      </c>
      <c r="CA1213" s="24">
        <f t="shared" ca="1" si="925"/>
        <v>0</v>
      </c>
      <c r="CB1213" s="24">
        <f t="shared" ca="1" si="893"/>
        <v>0</v>
      </c>
      <c r="CC1213" s="24">
        <f t="shared" ca="1" si="926"/>
        <v>0</v>
      </c>
      <c r="CD1213" s="24">
        <f t="shared" ca="1" si="894"/>
        <v>0</v>
      </c>
      <c r="CE1213" s="25">
        <f t="shared" ca="1" si="927"/>
        <v>-2.3148475858220521</v>
      </c>
      <c r="CF1213" s="23">
        <f t="shared" ca="1" si="928"/>
        <v>6668664.0795437898</v>
      </c>
      <c r="CG1213" s="25">
        <f t="array" aca="1" ref="CG1213" ca="1">SUM(BF1202:BF1213/(1+inflation/100)^(AP1202:AP1213/12))</f>
        <v>133118.01693851</v>
      </c>
      <c r="CH1213" s="32">
        <f ca="1">IFERROR(IF(MOD(AP1213-ap_months_since_start,12)=0,ap_drawdown/100*(AQ1213+AV1213+BA1213-BC1213),CH1212),0)</f>
        <v>69.899606037066562</v>
      </c>
    </row>
    <row r="1214" spans="40:86" x14ac:dyDescent="0.25">
      <c r="AN1214" s="32">
        <f t="shared" ca="1" si="889"/>
        <v>155.41666666666666</v>
      </c>
      <c r="AO1214" s="53">
        <f t="shared" ca="1" si="920"/>
        <v>82333</v>
      </c>
      <c r="AP1214" s="22">
        <v>1207</v>
      </c>
      <c r="AQ1214" s="32">
        <f t="shared" ca="1" si="921"/>
        <v>394.55135831326299</v>
      </c>
      <c r="AR1214" s="23">
        <f t="array" aca="1" ref="AR1214" ca="1">SUM(IF(lsc_start_date=AO1214,lsc_amount,0))</f>
        <v>0</v>
      </c>
      <c r="AS1214" s="24">
        <f t="shared" ca="1" si="895"/>
        <v>0</v>
      </c>
      <c r="AT1214" s="24">
        <f t="shared" ca="1" si="896"/>
        <v>0</v>
      </c>
      <c r="AU1214" s="24">
        <f t="shared" ca="1" si="897"/>
        <v>0</v>
      </c>
      <c r="AV1214" s="25">
        <f t="shared" ca="1" si="898"/>
        <v>0</v>
      </c>
      <c r="AW1214" s="23">
        <f t="array" aca="1" ref="AW1214" ca="1">SUM(IF(rcs_start_date&lt;=AO1214,1,0)*IF(rcs_end_date&gt;=AO1214,1,0)*rcs_amount*(1+rcs_escalation/100)^(INT((AP1214-rcs_months_since_start)/12))*IF(MOD((AP1214-rcs_months_since_start),rcs_frequency)=0,1,0)*IF(rcs_frequency=13,0,1))+SUM(IF(rcs_start_date=AO1214,rcs_amount,0)*IF(rcs_frequency=13,1,0))</f>
        <v>0</v>
      </c>
      <c r="AX1214" s="24">
        <f t="shared" ca="1" si="899"/>
        <v>0</v>
      </c>
      <c r="AY1214" s="24">
        <f t="shared" ca="1" si="900"/>
        <v>0</v>
      </c>
      <c r="AZ1214" s="24">
        <f t="shared" ca="1" si="901"/>
        <v>0</v>
      </c>
      <c r="BA1214" s="25">
        <f t="shared" ca="1" si="902"/>
        <v>0</v>
      </c>
      <c r="BB1214" s="23">
        <f t="array" aca="1" ref="BB1214" ca="1">SUM(IF(w_start_date&lt;=AO1214,1,0)*IF(w_end_date&gt;=AO1214,1,0)*w_amount*(1+w_escalation/100)^(INT((AP1214-w_months_since_start)/12))*IF(MOD(AP1214-w_months_since_start,w_frequency)=0,1,0)*IF(w_frequency=13,0,1))+SUM(IF(w_start_date=AO1214,w_amount,0)*IF(w_frequency=13,1,0))</f>
        <v>0</v>
      </c>
      <c r="BC1214" s="25">
        <f t="shared" ca="1" si="903"/>
        <v>0</v>
      </c>
      <c r="BD1214" s="24" t="b">
        <f t="shared" ca="1" si="904"/>
        <v>1</v>
      </c>
      <c r="BE1214" s="24" t="b">
        <f t="shared" ca="1" si="905"/>
        <v>1</v>
      </c>
      <c r="BF1214" s="23">
        <f t="array" aca="1" ref="BF1214" ca="1">SUM(IF(BD1214,1,0)*IF(ap_start_date&lt;=AO1214,1,0)*IF(ap_end_date&gt;=AO1214,1,0)*ap_amount*(1+ap_escalation/100)^(INT((AP1214-ap_months_since_start)/12))*IF(MOD(AP1214-ap_months_since_start,ap_frequency)=0,1,0))</f>
        <v>0</v>
      </c>
      <c r="BG1214" s="24">
        <f t="shared" ca="1" si="906"/>
        <v>1148246.7951532356</v>
      </c>
      <c r="BH1214" s="24">
        <f t="shared" ca="1" si="907"/>
        <v>11.369921838508006</v>
      </c>
      <c r="BI1214">
        <f t="shared" ca="1" si="908"/>
        <v>0</v>
      </c>
      <c r="BJ1214" s="24">
        <f t="shared" ca="1" si="909"/>
        <v>79.589452869556041</v>
      </c>
      <c r="BK1214">
        <f t="shared" ca="1" si="910"/>
        <v>1</v>
      </c>
      <c r="BL1214" s="25">
        <f t="shared" ca="1" si="911"/>
        <v>0</v>
      </c>
      <c r="BM1214" s="32">
        <f t="shared" ca="1" si="890"/>
        <v>397.39501751744757</v>
      </c>
      <c r="BN1214" s="23">
        <f t="shared" ca="1" si="912"/>
        <v>0</v>
      </c>
      <c r="BO1214" s="24">
        <f t="shared" ca="1" si="913"/>
        <v>0</v>
      </c>
      <c r="BP1214" s="25">
        <f t="shared" ca="1" si="914"/>
        <v>0</v>
      </c>
      <c r="BQ1214" s="34">
        <f t="shared" ca="1" si="915"/>
        <v>82362</v>
      </c>
      <c r="BR1214" s="23">
        <f t="shared" ca="1" si="916"/>
        <v>397.39501751744757</v>
      </c>
      <c r="BS1214" s="24">
        <f t="shared" ca="1" si="917"/>
        <v>0</v>
      </c>
      <c r="BT1214" s="24">
        <f t="shared" ca="1" si="922"/>
        <v>0</v>
      </c>
      <c r="BU1214" s="24">
        <f t="shared" ca="1" si="918"/>
        <v>0</v>
      </c>
      <c r="BV1214" s="24">
        <f t="shared" ca="1" si="923"/>
        <v>0</v>
      </c>
      <c r="BW1214" s="24">
        <f t="shared" ca="1" si="919"/>
        <v>0</v>
      </c>
      <c r="BX1214" s="25">
        <f t="shared" ca="1" si="924"/>
        <v>-108.85304421306284</v>
      </c>
      <c r="BY1214" s="23">
        <f t="shared" ca="1" si="891"/>
        <v>7.6904609843498521</v>
      </c>
      <c r="BZ1214" s="24">
        <f t="shared" ca="1" si="892"/>
        <v>0</v>
      </c>
      <c r="CA1214" s="24">
        <f t="shared" ca="1" si="925"/>
        <v>0</v>
      </c>
      <c r="CB1214" s="24">
        <f t="shared" ca="1" si="893"/>
        <v>0</v>
      </c>
      <c r="CC1214" s="24">
        <f t="shared" ca="1" si="926"/>
        <v>0</v>
      </c>
      <c r="CD1214" s="24">
        <f t="shared" ca="1" si="894"/>
        <v>0</v>
      </c>
      <c r="CE1214" s="25">
        <f t="shared" ca="1" si="927"/>
        <v>-2.1671238194755089</v>
      </c>
      <c r="CF1214" s="23">
        <f t="shared" ca="1" si="928"/>
        <v>5564580.6226656791</v>
      </c>
      <c r="CG1214" s="25">
        <f t="array" aca="1" ref="CG1214" ca="1">SUM(BF1203:BF1214/(1+inflation/100)^(AP1203:AP1214/12))</f>
        <v>110896.9351703094</v>
      </c>
      <c r="CH1214" s="32">
        <f ca="1">IFERROR(IF(MOD(AP1214-ap_months_since_start,12)=0,ap_drawdown/100*(AQ1214+AV1214+BA1214-BC1214),CH1213),0)</f>
        <v>69.899606037066562</v>
      </c>
    </row>
    <row r="1215" spans="40:86" x14ac:dyDescent="0.25">
      <c r="AN1215" s="32">
        <f t="shared" ca="1" si="889"/>
        <v>155.5</v>
      </c>
      <c r="AO1215" s="53">
        <f t="shared" ca="1" si="920"/>
        <v>82363</v>
      </c>
      <c r="AP1215" s="22">
        <v>1208</v>
      </c>
      <c r="AQ1215" s="32">
        <f t="shared" ca="1" si="921"/>
        <v>397.39501751744757</v>
      </c>
      <c r="AR1215" s="23">
        <f t="array" aca="1" ref="AR1215" ca="1">SUM(IF(lsc_start_date=AO1215,lsc_amount,0))</f>
        <v>0</v>
      </c>
      <c r="AS1215" s="24">
        <f t="shared" ca="1" si="895"/>
        <v>0</v>
      </c>
      <c r="AT1215" s="24">
        <f t="shared" ca="1" si="896"/>
        <v>0</v>
      </c>
      <c r="AU1215" s="24">
        <f t="shared" ca="1" si="897"/>
        <v>0</v>
      </c>
      <c r="AV1215" s="25">
        <f t="shared" ca="1" si="898"/>
        <v>0</v>
      </c>
      <c r="AW1215" s="23">
        <f t="array" aca="1" ref="AW1215" ca="1">SUM(IF(rcs_start_date&lt;=AO1215,1,0)*IF(rcs_end_date&gt;=AO1215,1,0)*rcs_amount*(1+rcs_escalation/100)^(INT((AP1215-rcs_months_since_start)/12))*IF(MOD((AP1215-rcs_months_since_start),rcs_frequency)=0,1,0)*IF(rcs_frequency=13,0,1))+SUM(IF(rcs_start_date=AO1215,rcs_amount,0)*IF(rcs_frequency=13,1,0))</f>
        <v>0</v>
      </c>
      <c r="AX1215" s="24">
        <f t="shared" ca="1" si="899"/>
        <v>0</v>
      </c>
      <c r="AY1215" s="24">
        <f t="shared" ca="1" si="900"/>
        <v>0</v>
      </c>
      <c r="AZ1215" s="24">
        <f t="shared" ca="1" si="901"/>
        <v>0</v>
      </c>
      <c r="BA1215" s="25">
        <f t="shared" ca="1" si="902"/>
        <v>0</v>
      </c>
      <c r="BB1215" s="23">
        <f t="array" aca="1" ref="BB1215" ca="1">SUM(IF(w_start_date&lt;=AO1215,1,0)*IF(w_end_date&gt;=AO1215,1,0)*w_amount*(1+w_escalation/100)^(INT((AP1215-w_months_since_start)/12))*IF(MOD(AP1215-w_months_since_start,w_frequency)=0,1,0)*IF(w_frequency=13,0,1))+SUM(IF(w_start_date=AO1215,w_amount,0)*IF(w_frequency=13,1,0))</f>
        <v>0</v>
      </c>
      <c r="BC1215" s="25">
        <f t="shared" ca="1" si="903"/>
        <v>0</v>
      </c>
      <c r="BD1215" s="24" t="b">
        <f t="shared" ca="1" si="904"/>
        <v>1</v>
      </c>
      <c r="BE1215" s="24" t="b">
        <f t="shared" ca="1" si="905"/>
        <v>1</v>
      </c>
      <c r="BF1215" s="23">
        <f t="array" aca="1" ref="BF1215" ca="1">SUM(IF(BD1215,1,0)*IF(ap_start_date&lt;=AO1215,1,0)*IF(ap_end_date&gt;=AO1215,1,0)*ap_amount*(1+ap_escalation/100)^(INT((AP1215-ap_months_since_start)/12))*IF(MOD(AP1215-ap_months_since_start,ap_frequency)=0,1,0))</f>
        <v>0</v>
      </c>
      <c r="BG1215" s="24">
        <f t="shared" ca="1" si="906"/>
        <v>1148246.7951532356</v>
      </c>
      <c r="BH1215" s="24">
        <f t="shared" ca="1" si="907"/>
        <v>11.369921838508006</v>
      </c>
      <c r="BI1215">
        <f t="shared" ca="1" si="908"/>
        <v>0</v>
      </c>
      <c r="BJ1215" s="24">
        <f t="shared" ca="1" si="909"/>
        <v>79.589452869556041</v>
      </c>
      <c r="BK1215">
        <f t="shared" ca="1" si="910"/>
        <v>1</v>
      </c>
      <c r="BL1215" s="25">
        <f t="shared" ca="1" si="911"/>
        <v>0</v>
      </c>
      <c r="BM1215" s="32">
        <f t="shared" ca="1" si="890"/>
        <v>400.25917189291761</v>
      </c>
      <c r="BN1215" s="23">
        <f t="shared" ca="1" si="912"/>
        <v>0</v>
      </c>
      <c r="BO1215" s="24">
        <f t="shared" ca="1" si="913"/>
        <v>0</v>
      </c>
      <c r="BP1215" s="25">
        <f t="shared" ca="1" si="914"/>
        <v>0</v>
      </c>
      <c r="BQ1215" s="34">
        <f t="shared" ca="1" si="915"/>
        <v>82393</v>
      </c>
      <c r="BR1215" s="23">
        <f t="shared" ca="1" si="916"/>
        <v>400.25917189291761</v>
      </c>
      <c r="BS1215" s="24">
        <f t="shared" ca="1" si="917"/>
        <v>0</v>
      </c>
      <c r="BT1215" s="24">
        <f t="shared" ca="1" si="922"/>
        <v>0</v>
      </c>
      <c r="BU1215" s="24">
        <f t="shared" ca="1" si="918"/>
        <v>0</v>
      </c>
      <c r="BV1215" s="24">
        <f t="shared" ca="1" si="923"/>
        <v>0</v>
      </c>
      <c r="BW1215" s="24">
        <f t="shared" ca="1" si="919"/>
        <v>0</v>
      </c>
      <c r="BX1215" s="25">
        <f t="shared" ca="1" si="924"/>
        <v>-101.53714637718615</v>
      </c>
      <c r="BY1215" s="23">
        <f t="shared" ca="1" si="891"/>
        <v>7.7206133440667468</v>
      </c>
      <c r="BZ1215" s="24">
        <f t="shared" ca="1" si="892"/>
        <v>0</v>
      </c>
      <c r="CA1215" s="24">
        <f t="shared" ca="1" si="925"/>
        <v>0</v>
      </c>
      <c r="CB1215" s="24">
        <f t="shared" ca="1" si="893"/>
        <v>0</v>
      </c>
      <c r="CC1215" s="24">
        <f t="shared" ca="1" si="926"/>
        <v>0</v>
      </c>
      <c r="CD1215" s="24">
        <f t="shared" ca="1" si="894"/>
        <v>0</v>
      </c>
      <c r="CE1215" s="25">
        <f t="shared" ca="1" si="927"/>
        <v>-2.019882084255157</v>
      </c>
      <c r="CF1215" s="23">
        <f t="shared" ca="1" si="928"/>
        <v>4460497.1657875683</v>
      </c>
      <c r="CG1215" s="25">
        <f t="array" aca="1" ref="CG1215" ca="1">SUM(BF1204:BF1215/(1+inflation/100)^(AP1204:AP1215/12))</f>
        <v>88748.362066996066</v>
      </c>
      <c r="CH1215" s="32">
        <f ca="1">IFERROR(IF(MOD(AP1215-ap_months_since_start,12)=0,ap_drawdown/100*(AQ1215+AV1215+BA1215-BC1215),CH1214),0)</f>
        <v>69.899606037066562</v>
      </c>
    </row>
    <row r="1216" spans="40:86" x14ac:dyDescent="0.25">
      <c r="AN1216" s="32">
        <f t="shared" ca="1" si="889"/>
        <v>155.58333333333334</v>
      </c>
      <c r="AO1216" s="53">
        <f t="shared" ca="1" si="920"/>
        <v>82394</v>
      </c>
      <c r="AP1216" s="22">
        <v>1209</v>
      </c>
      <c r="AQ1216" s="32">
        <f t="shared" ca="1" si="921"/>
        <v>400.25917189291761</v>
      </c>
      <c r="AR1216" s="23">
        <f t="array" aca="1" ref="AR1216" ca="1">SUM(IF(lsc_start_date=AO1216,lsc_amount,0))</f>
        <v>0</v>
      </c>
      <c r="AS1216" s="24">
        <f t="shared" ca="1" si="895"/>
        <v>0</v>
      </c>
      <c r="AT1216" s="24">
        <f t="shared" ca="1" si="896"/>
        <v>0</v>
      </c>
      <c r="AU1216" s="24">
        <f t="shared" ca="1" si="897"/>
        <v>0</v>
      </c>
      <c r="AV1216" s="25">
        <f t="shared" ca="1" si="898"/>
        <v>0</v>
      </c>
      <c r="AW1216" s="23">
        <f t="array" aca="1" ref="AW1216" ca="1">SUM(IF(rcs_start_date&lt;=AO1216,1,0)*IF(rcs_end_date&gt;=AO1216,1,0)*rcs_amount*(1+rcs_escalation/100)^(INT((AP1216-rcs_months_since_start)/12))*IF(MOD((AP1216-rcs_months_since_start),rcs_frequency)=0,1,0)*IF(rcs_frequency=13,0,1))+SUM(IF(rcs_start_date=AO1216,rcs_amount,0)*IF(rcs_frequency=13,1,0))</f>
        <v>0</v>
      </c>
      <c r="AX1216" s="24">
        <f t="shared" ca="1" si="899"/>
        <v>0</v>
      </c>
      <c r="AY1216" s="24">
        <f t="shared" ca="1" si="900"/>
        <v>0</v>
      </c>
      <c r="AZ1216" s="24">
        <f t="shared" ca="1" si="901"/>
        <v>0</v>
      </c>
      <c r="BA1216" s="25">
        <f t="shared" ca="1" si="902"/>
        <v>0</v>
      </c>
      <c r="BB1216" s="23">
        <f t="array" aca="1" ref="BB1216" ca="1">SUM(IF(w_start_date&lt;=AO1216,1,0)*IF(w_end_date&gt;=AO1216,1,0)*w_amount*(1+w_escalation/100)^(INT((AP1216-w_months_since_start)/12))*IF(MOD(AP1216-w_months_since_start,w_frequency)=0,1,0)*IF(w_frequency=13,0,1))+SUM(IF(w_start_date=AO1216,w_amount,0)*IF(w_frequency=13,1,0))</f>
        <v>0</v>
      </c>
      <c r="BC1216" s="25">
        <f t="shared" ca="1" si="903"/>
        <v>0</v>
      </c>
      <c r="BD1216" s="24" t="b">
        <f t="shared" ca="1" si="904"/>
        <v>1</v>
      </c>
      <c r="BE1216" s="24" t="b">
        <f t="shared" ca="1" si="905"/>
        <v>1</v>
      </c>
      <c r="BF1216" s="23">
        <f t="array" aca="1" ref="BF1216" ca="1">SUM(IF(BD1216,1,0)*IF(ap_start_date&lt;=AO1216,1,0)*IF(ap_end_date&gt;=AO1216,1,0)*ap_amount*(1+ap_escalation/100)^(INT((AP1216-ap_months_since_start)/12))*IF(MOD(AP1216-ap_months_since_start,ap_frequency)=0,1,0))</f>
        <v>0</v>
      </c>
      <c r="BG1216" s="24">
        <f t="shared" ca="1" si="906"/>
        <v>1148246.7951532356</v>
      </c>
      <c r="BH1216" s="24">
        <f t="shared" ca="1" si="907"/>
        <v>11.369921838508006</v>
      </c>
      <c r="BI1216">
        <f t="shared" ca="1" si="908"/>
        <v>0</v>
      </c>
      <c r="BJ1216" s="24">
        <f t="shared" ca="1" si="909"/>
        <v>79.589452869556041</v>
      </c>
      <c r="BK1216">
        <f t="shared" ca="1" si="910"/>
        <v>1</v>
      </c>
      <c r="BL1216" s="25">
        <f t="shared" ca="1" si="911"/>
        <v>0</v>
      </c>
      <c r="BM1216" s="32">
        <f t="shared" ca="1" si="890"/>
        <v>403.14396915499901</v>
      </c>
      <c r="BN1216" s="23">
        <f t="shared" ca="1" si="912"/>
        <v>0</v>
      </c>
      <c r="BO1216" s="24">
        <f t="shared" ca="1" si="913"/>
        <v>0</v>
      </c>
      <c r="BP1216" s="25">
        <f t="shared" ca="1" si="914"/>
        <v>0</v>
      </c>
      <c r="BQ1216" s="34">
        <f t="shared" ca="1" si="915"/>
        <v>82424</v>
      </c>
      <c r="BR1216" s="23">
        <f t="shared" ca="1" si="916"/>
        <v>403.14396915499901</v>
      </c>
      <c r="BS1216" s="24">
        <f t="shared" ca="1" si="917"/>
        <v>0</v>
      </c>
      <c r="BT1216" s="24">
        <f t="shared" ca="1" si="922"/>
        <v>0</v>
      </c>
      <c r="BU1216" s="24">
        <f t="shared" ca="1" si="918"/>
        <v>0</v>
      </c>
      <c r="BV1216" s="24">
        <f t="shared" ca="1" si="923"/>
        <v>0</v>
      </c>
      <c r="BW1216" s="24">
        <f t="shared" ca="1" si="919"/>
        <v>0</v>
      </c>
      <c r="BX1216" s="25">
        <f t="shared" ca="1" si="924"/>
        <v>-94.22124854130945</v>
      </c>
      <c r="BY1216" s="23">
        <f t="shared" ca="1" si="891"/>
        <v>7.7508839235884608</v>
      </c>
      <c r="BZ1216" s="24">
        <f t="shared" ca="1" si="892"/>
        <v>0</v>
      </c>
      <c r="CA1216" s="24">
        <f t="shared" ca="1" si="925"/>
        <v>0</v>
      </c>
      <c r="CB1216" s="24">
        <f t="shared" ca="1" si="893"/>
        <v>0</v>
      </c>
      <c r="CC1216" s="24">
        <f t="shared" ca="1" si="926"/>
        <v>0</v>
      </c>
      <c r="CD1216" s="24">
        <f t="shared" ca="1" si="894"/>
        <v>0</v>
      </c>
      <c r="CE1216" s="25">
        <f t="shared" ca="1" si="927"/>
        <v>-1.8731208072657712</v>
      </c>
      <c r="CF1216" s="23">
        <f t="shared" ca="1" si="928"/>
        <v>3356413.7089094575</v>
      </c>
      <c r="CG1216" s="25">
        <f t="array" aca="1" ref="CG1216" ca="1">SUM(BF1205:BF1216/(1+inflation/100)^(AP1205:AP1216/12))</f>
        <v>66672.061028635784</v>
      </c>
      <c r="CH1216" s="32">
        <f ca="1">IFERROR(IF(MOD(AP1216-ap_months_since_start,12)=0,ap_drawdown/100*(AQ1216+AV1216+BA1216-BC1216),CH1215),0)</f>
        <v>69.899606037066562</v>
      </c>
    </row>
    <row r="1217" spans="40:86" x14ac:dyDescent="0.25">
      <c r="AN1217" s="32">
        <f t="shared" ca="1" si="889"/>
        <v>155.66666666666666</v>
      </c>
      <c r="AO1217" s="53">
        <f t="shared" ca="1" si="920"/>
        <v>82425</v>
      </c>
      <c r="AP1217" s="22">
        <v>1210</v>
      </c>
      <c r="AQ1217" s="32">
        <f t="shared" ca="1" si="921"/>
        <v>403.14396915499901</v>
      </c>
      <c r="AR1217" s="23">
        <f t="array" aca="1" ref="AR1217" ca="1">SUM(IF(lsc_start_date=AO1217,lsc_amount,0))</f>
        <v>0</v>
      </c>
      <c r="AS1217" s="24">
        <f t="shared" ca="1" si="895"/>
        <v>0</v>
      </c>
      <c r="AT1217" s="24">
        <f t="shared" ca="1" si="896"/>
        <v>0</v>
      </c>
      <c r="AU1217" s="24">
        <f t="shared" ca="1" si="897"/>
        <v>0</v>
      </c>
      <c r="AV1217" s="25">
        <f t="shared" ca="1" si="898"/>
        <v>0</v>
      </c>
      <c r="AW1217" s="23">
        <f t="array" aca="1" ref="AW1217" ca="1">SUM(IF(rcs_start_date&lt;=AO1217,1,0)*IF(rcs_end_date&gt;=AO1217,1,0)*rcs_amount*(1+rcs_escalation/100)^(INT((AP1217-rcs_months_since_start)/12))*IF(MOD((AP1217-rcs_months_since_start),rcs_frequency)=0,1,0)*IF(rcs_frequency=13,0,1))+SUM(IF(rcs_start_date=AO1217,rcs_amount,0)*IF(rcs_frequency=13,1,0))</f>
        <v>0</v>
      </c>
      <c r="AX1217" s="24">
        <f t="shared" ca="1" si="899"/>
        <v>0</v>
      </c>
      <c r="AY1217" s="24">
        <f t="shared" ca="1" si="900"/>
        <v>0</v>
      </c>
      <c r="AZ1217" s="24">
        <f t="shared" ca="1" si="901"/>
        <v>0</v>
      </c>
      <c r="BA1217" s="25">
        <f t="shared" ca="1" si="902"/>
        <v>0</v>
      </c>
      <c r="BB1217" s="23">
        <f t="array" aca="1" ref="BB1217" ca="1">SUM(IF(w_start_date&lt;=AO1217,1,0)*IF(w_end_date&gt;=AO1217,1,0)*w_amount*(1+w_escalation/100)^(INT((AP1217-w_months_since_start)/12))*IF(MOD(AP1217-w_months_since_start,w_frequency)=0,1,0)*IF(w_frequency=13,0,1))+SUM(IF(w_start_date=AO1217,w_amount,0)*IF(w_frequency=13,1,0))</f>
        <v>0</v>
      </c>
      <c r="BC1217" s="25">
        <f t="shared" ca="1" si="903"/>
        <v>0</v>
      </c>
      <c r="BD1217" s="24" t="b">
        <f t="shared" ca="1" si="904"/>
        <v>1</v>
      </c>
      <c r="BE1217" s="24" t="b">
        <f t="shared" ca="1" si="905"/>
        <v>1</v>
      </c>
      <c r="BF1217" s="23">
        <f t="array" aca="1" ref="BF1217" ca="1">SUM(IF(BD1217,1,0)*IF(ap_start_date&lt;=AO1217,1,0)*IF(ap_end_date&gt;=AO1217,1,0)*ap_amount*(1+ap_escalation/100)^(INT((AP1217-ap_months_since_start)/12))*IF(MOD(AP1217-ap_months_since_start,ap_frequency)=0,1,0))</f>
        <v>0</v>
      </c>
      <c r="BG1217" s="24">
        <f t="shared" ca="1" si="906"/>
        <v>1148246.7951532356</v>
      </c>
      <c r="BH1217" s="24">
        <f t="shared" ca="1" si="907"/>
        <v>11.369921838508006</v>
      </c>
      <c r="BI1217">
        <f t="shared" ca="1" si="908"/>
        <v>0</v>
      </c>
      <c r="BJ1217" s="24">
        <f t="shared" ca="1" si="909"/>
        <v>79.589452869556041</v>
      </c>
      <c r="BK1217">
        <f t="shared" ca="1" si="910"/>
        <v>1</v>
      </c>
      <c r="BL1217" s="25">
        <f t="shared" ca="1" si="911"/>
        <v>0</v>
      </c>
      <c r="BM1217" s="32">
        <f t="shared" ca="1" si="890"/>
        <v>406.04955808364974</v>
      </c>
      <c r="BN1217" s="23">
        <f t="shared" ca="1" si="912"/>
        <v>0</v>
      </c>
      <c r="BO1217" s="24">
        <f t="shared" ca="1" si="913"/>
        <v>0</v>
      </c>
      <c r="BP1217" s="25">
        <f t="shared" ca="1" si="914"/>
        <v>0</v>
      </c>
      <c r="BQ1217" s="34">
        <f t="shared" ca="1" si="915"/>
        <v>82454</v>
      </c>
      <c r="BR1217" s="23">
        <f t="shared" ca="1" si="916"/>
        <v>406.04955808364974</v>
      </c>
      <c r="BS1217" s="24">
        <f t="shared" ca="1" si="917"/>
        <v>0</v>
      </c>
      <c r="BT1217" s="24">
        <f t="shared" ca="1" si="922"/>
        <v>0</v>
      </c>
      <c r="BU1217" s="24">
        <f t="shared" ca="1" si="918"/>
        <v>0</v>
      </c>
      <c r="BV1217" s="24">
        <f t="shared" ca="1" si="923"/>
        <v>0</v>
      </c>
      <c r="BW1217" s="24">
        <f t="shared" ca="1" si="919"/>
        <v>0</v>
      </c>
      <c r="BX1217" s="25">
        <f t="shared" ca="1" si="924"/>
        <v>-86.905350705432738</v>
      </c>
      <c r="BY1217" s="23">
        <f t="shared" ca="1" si="891"/>
        <v>7.7812731864250537</v>
      </c>
      <c r="BZ1217" s="24">
        <f t="shared" ca="1" si="892"/>
        <v>0</v>
      </c>
      <c r="CA1217" s="24">
        <f t="shared" ca="1" si="925"/>
        <v>0</v>
      </c>
      <c r="CB1217" s="24">
        <f t="shared" ca="1" si="893"/>
        <v>0</v>
      </c>
      <c r="CC1217" s="24">
        <f t="shared" ca="1" si="926"/>
        <v>0</v>
      </c>
      <c r="CD1217" s="24">
        <f t="shared" ca="1" si="894"/>
        <v>0</v>
      </c>
      <c r="CE1217" s="25">
        <f t="shared" ca="1" si="927"/>
        <v>-1.7268384207445748</v>
      </c>
      <c r="CF1217" s="23">
        <f t="shared" ca="1" si="928"/>
        <v>2252330.2520313468</v>
      </c>
      <c r="CG1217" s="25">
        <f t="array" aca="1" ref="CG1217" ca="1">SUM(BF1206:BF1217/(1+inflation/100)^(AP1206:AP1217/12))</f>
        <v>44667.79622733358</v>
      </c>
      <c r="CH1217" s="32">
        <f ca="1">IFERROR(IF(MOD(AP1217-ap_months_since_start,12)=0,ap_drawdown/100*(AQ1217+AV1217+BA1217-BC1217),CH1216),0)</f>
        <v>69.899606037066562</v>
      </c>
    </row>
    <row r="1218" spans="40:86" x14ac:dyDescent="0.25">
      <c r="AN1218" s="32">
        <f t="shared" ca="1" si="889"/>
        <v>155.75</v>
      </c>
      <c r="AO1218" s="53">
        <f t="shared" ca="1" si="920"/>
        <v>82455</v>
      </c>
      <c r="AP1218" s="22">
        <v>1211</v>
      </c>
      <c r="AQ1218" s="32">
        <f t="shared" ca="1" si="921"/>
        <v>406.04955808364974</v>
      </c>
      <c r="AR1218" s="23">
        <f t="array" aca="1" ref="AR1218" ca="1">SUM(IF(lsc_start_date=AO1218,lsc_amount,0))</f>
        <v>0</v>
      </c>
      <c r="AS1218" s="24">
        <f t="shared" ca="1" si="895"/>
        <v>0</v>
      </c>
      <c r="AT1218" s="24">
        <f t="shared" ca="1" si="896"/>
        <v>0</v>
      </c>
      <c r="AU1218" s="24">
        <f t="shared" ca="1" si="897"/>
        <v>0</v>
      </c>
      <c r="AV1218" s="25">
        <f t="shared" ca="1" si="898"/>
        <v>0</v>
      </c>
      <c r="AW1218" s="23">
        <f t="array" aca="1" ref="AW1218" ca="1">SUM(IF(rcs_start_date&lt;=AO1218,1,0)*IF(rcs_end_date&gt;=AO1218,1,0)*rcs_amount*(1+rcs_escalation/100)^(INT((AP1218-rcs_months_since_start)/12))*IF(MOD((AP1218-rcs_months_since_start),rcs_frequency)=0,1,0)*IF(rcs_frequency=13,0,1))+SUM(IF(rcs_start_date=AO1218,rcs_amount,0)*IF(rcs_frequency=13,1,0))</f>
        <v>0</v>
      </c>
      <c r="AX1218" s="24">
        <f t="shared" ca="1" si="899"/>
        <v>0</v>
      </c>
      <c r="AY1218" s="24">
        <f t="shared" ca="1" si="900"/>
        <v>0</v>
      </c>
      <c r="AZ1218" s="24">
        <f t="shared" ca="1" si="901"/>
        <v>0</v>
      </c>
      <c r="BA1218" s="25">
        <f t="shared" ca="1" si="902"/>
        <v>0</v>
      </c>
      <c r="BB1218" s="23">
        <f t="array" aca="1" ref="BB1218" ca="1">SUM(IF(w_start_date&lt;=AO1218,1,0)*IF(w_end_date&gt;=AO1218,1,0)*w_amount*(1+w_escalation/100)^(INT((AP1218-w_months_since_start)/12))*IF(MOD(AP1218-w_months_since_start,w_frequency)=0,1,0)*IF(w_frequency=13,0,1))+SUM(IF(w_start_date=AO1218,w_amount,0)*IF(w_frequency=13,1,0))</f>
        <v>0</v>
      </c>
      <c r="BC1218" s="25">
        <f t="shared" ca="1" si="903"/>
        <v>0</v>
      </c>
      <c r="BD1218" s="24" t="b">
        <f t="shared" ca="1" si="904"/>
        <v>1</v>
      </c>
      <c r="BE1218" s="24" t="b">
        <f t="shared" ca="1" si="905"/>
        <v>1</v>
      </c>
      <c r="BF1218" s="23">
        <f t="array" aca="1" ref="BF1218" ca="1">SUM(IF(BD1218,1,0)*IF(ap_start_date&lt;=AO1218,1,0)*IF(ap_end_date&gt;=AO1218,1,0)*ap_amount*(1+ap_escalation/100)^(INT((AP1218-ap_months_since_start)/12))*IF(MOD(AP1218-ap_months_since_start,ap_frequency)=0,1,0))</f>
        <v>0</v>
      </c>
      <c r="BG1218" s="24">
        <f t="shared" ca="1" si="906"/>
        <v>1148246.7951532356</v>
      </c>
      <c r="BH1218" s="24">
        <f t="shared" ca="1" si="907"/>
        <v>11.369921838508006</v>
      </c>
      <c r="BI1218">
        <f t="shared" ca="1" si="908"/>
        <v>0</v>
      </c>
      <c r="BJ1218" s="24">
        <f t="shared" ca="1" si="909"/>
        <v>79.589452869556041</v>
      </c>
      <c r="BK1218">
        <f t="shared" ca="1" si="910"/>
        <v>1</v>
      </c>
      <c r="BL1218" s="25">
        <f t="shared" ca="1" si="911"/>
        <v>0</v>
      </c>
      <c r="BM1218" s="32">
        <f t="shared" ca="1" si="890"/>
        <v>408.97608853113303</v>
      </c>
      <c r="BN1218" s="23">
        <f t="shared" ca="1" si="912"/>
        <v>0</v>
      </c>
      <c r="BO1218" s="24">
        <f t="shared" ca="1" si="913"/>
        <v>0</v>
      </c>
      <c r="BP1218" s="25">
        <f t="shared" ca="1" si="914"/>
        <v>0</v>
      </c>
      <c r="BQ1218" s="34">
        <f t="shared" ca="1" si="915"/>
        <v>82485</v>
      </c>
      <c r="BR1218" s="23">
        <f t="shared" ca="1" si="916"/>
        <v>408.97608853113303</v>
      </c>
      <c r="BS1218" s="24">
        <f t="shared" ca="1" si="917"/>
        <v>0</v>
      </c>
      <c r="BT1218" s="24">
        <f t="shared" ca="1" si="922"/>
        <v>0</v>
      </c>
      <c r="BU1218" s="24">
        <f t="shared" ca="1" si="918"/>
        <v>0</v>
      </c>
      <c r="BV1218" s="24">
        <f t="shared" ca="1" si="923"/>
        <v>0</v>
      </c>
      <c r="BW1218" s="24">
        <f t="shared" ca="1" si="919"/>
        <v>0</v>
      </c>
      <c r="BX1218" s="25">
        <f t="shared" ca="1" si="924"/>
        <v>-79.589452869556041</v>
      </c>
      <c r="BY1218" s="23">
        <f t="shared" ca="1" si="891"/>
        <v>7.8117815979038916</v>
      </c>
      <c r="BZ1218" s="24">
        <f t="shared" ca="1" si="892"/>
        <v>0</v>
      </c>
      <c r="CA1218" s="24">
        <f t="shared" ca="1" si="925"/>
        <v>0</v>
      </c>
      <c r="CB1218" s="24">
        <f t="shared" ca="1" si="893"/>
        <v>0</v>
      </c>
      <c r="CC1218" s="24">
        <f t="shared" ca="1" si="926"/>
        <v>0</v>
      </c>
      <c r="CD1218" s="24">
        <f t="shared" ca="1" si="894"/>
        <v>0</v>
      </c>
      <c r="CE1218" s="25">
        <f t="shared" ca="1" si="927"/>
        <v>-1.5810333620444907</v>
      </c>
      <c r="CF1218" s="23">
        <f t="shared" ca="1" si="928"/>
        <v>1148246.7951532356</v>
      </c>
      <c r="CG1218" s="25">
        <f t="array" aca="1" ref="CG1218" ca="1">SUM(BF1207:BF1218/(1+inflation/100)^(AP1207:AP1218/12))</f>
        <v>22735.332604714375</v>
      </c>
      <c r="CH1218" s="32">
        <f ca="1">IFERROR(IF(MOD(AP1218-ap_months_since_start,12)=0,ap_drawdown/100*(AQ1218+AV1218+BA1218-BC1218),CH1217),0)</f>
        <v>69.899606037066562</v>
      </c>
    </row>
    <row r="1219" spans="40:86" x14ac:dyDescent="0.25">
      <c r="AN1219" s="33">
        <f t="shared" ca="1" si="889"/>
        <v>155.83333333333334</v>
      </c>
      <c r="AO1219" s="55">
        <f t="shared" ca="1" si="920"/>
        <v>82486</v>
      </c>
      <c r="AP1219" s="38">
        <v>1212</v>
      </c>
      <c r="AQ1219" s="33">
        <f t="shared" ca="1" si="921"/>
        <v>408.97608853113303</v>
      </c>
      <c r="AR1219" s="26">
        <f t="array" aca="1" ref="AR1219" ca="1">SUM(IF(lsc_start_date=AO1219,lsc_amount,0))</f>
        <v>0</v>
      </c>
      <c r="AS1219" s="27">
        <f t="shared" ca="1" si="895"/>
        <v>0</v>
      </c>
      <c r="AT1219" s="27">
        <f t="shared" ca="1" si="896"/>
        <v>0</v>
      </c>
      <c r="AU1219" s="27">
        <f t="shared" ca="1" si="897"/>
        <v>0</v>
      </c>
      <c r="AV1219" s="28">
        <f t="shared" ca="1" si="898"/>
        <v>0</v>
      </c>
      <c r="AW1219" s="26">
        <f t="array" aca="1" ref="AW1219" ca="1">SUM(IF(rcs_start_date&lt;=AO1219,1,0)*IF(rcs_end_date&gt;=AO1219,1,0)*rcs_amount*(1+rcs_escalation/100)^(INT((AP1219-rcs_months_since_start)/12))*IF(MOD((AP1219-rcs_months_since_start),rcs_frequency)=0,1,0)*IF(rcs_frequency=13,0,1))+SUM(IF(rcs_start_date=AO1219,rcs_amount,0)*IF(rcs_frequency=13,1,0))</f>
        <v>0</v>
      </c>
      <c r="AX1219" s="27">
        <f t="shared" ca="1" si="899"/>
        <v>0</v>
      </c>
      <c r="AY1219" s="27">
        <f t="shared" ca="1" si="900"/>
        <v>0</v>
      </c>
      <c r="AZ1219" s="27">
        <f t="shared" ca="1" si="901"/>
        <v>0</v>
      </c>
      <c r="BA1219" s="28">
        <f t="shared" ca="1" si="902"/>
        <v>0</v>
      </c>
      <c r="BB1219" s="26">
        <f t="array" aca="1" ref="BB1219" ca="1">SUM(IF(w_start_date&lt;=AO1219,1,0)*IF(w_end_date&gt;=AO1219,1,0)*w_amount*(1+w_escalation/100)^(INT((AP1219-w_months_since_start)/12))*IF(MOD(AP1219-w_months_since_start,w_frequency)=0,1,0)*IF(w_frequency=13,0,1))+SUM(IF(w_start_date=AO1219,w_amount,0)*IF(w_frequency=13,1,0))</f>
        <v>0</v>
      </c>
      <c r="BC1219" s="28">
        <f t="shared" ca="1" si="903"/>
        <v>0</v>
      </c>
      <c r="BD1219" s="27" t="b">
        <f t="shared" ca="1" si="904"/>
        <v>1</v>
      </c>
      <c r="BE1219" s="27" t="b">
        <f t="shared" ca="1" si="905"/>
        <v>1</v>
      </c>
      <c r="BF1219" s="26">
        <f t="array" aca="1" ref="BF1219" ca="1">SUM(IF(BD1219,1,0)*IF(ap_start_date&lt;=AO1219,1,0)*IF(ap_end_date&gt;=AO1219,1,0)*ap_amount*(1+ap_escalation/100)^(INT((AP1219-ap_months_since_start)/12))*IF(MOD(AP1219-ap_months_since_start,ap_frequency)=0,1,0))</f>
        <v>0</v>
      </c>
      <c r="BG1219" s="27">
        <f t="shared" ca="1" si="906"/>
        <v>0</v>
      </c>
      <c r="BH1219" s="27">
        <f t="shared" ca="1" si="907"/>
        <v>10.224402213278326</v>
      </c>
      <c r="BI1219" s="15">
        <f t="shared" ca="1" si="908"/>
        <v>1</v>
      </c>
      <c r="BJ1219" s="27">
        <f t="shared" ca="1" si="909"/>
        <v>71.57081549294827</v>
      </c>
      <c r="BK1219" s="15">
        <f t="shared" ca="1" si="910"/>
        <v>0</v>
      </c>
      <c r="BL1219" s="28">
        <f t="shared" ca="1" si="911"/>
        <v>0</v>
      </c>
      <c r="BM1219" s="33">
        <f t="shared" ca="1" si="890"/>
        <v>411.92371142974588</v>
      </c>
      <c r="BN1219" s="26">
        <f t="shared" ca="1" si="912"/>
        <v>0</v>
      </c>
      <c r="BO1219" s="27">
        <f t="shared" ca="1" si="913"/>
        <v>0</v>
      </c>
      <c r="BP1219" s="28">
        <f t="shared" ca="1" si="914"/>
        <v>0</v>
      </c>
      <c r="BQ1219" s="35">
        <v>79958</v>
      </c>
      <c r="BR1219" s="26">
        <f t="shared" ca="1" si="916"/>
        <v>411.92371142974588</v>
      </c>
      <c r="BS1219" s="27">
        <f t="shared" ca="1" si="917"/>
        <v>0</v>
      </c>
      <c r="BT1219" s="27">
        <f t="shared" ca="1" si="922"/>
        <v>0</v>
      </c>
      <c r="BU1219" s="27">
        <f t="shared" ca="1" si="918"/>
        <v>0</v>
      </c>
      <c r="BV1219" s="27">
        <f t="shared" ca="1" si="923"/>
        <v>0</v>
      </c>
      <c r="BW1219" s="27">
        <f t="shared" ca="1" si="919"/>
        <v>0</v>
      </c>
      <c r="BX1219" s="28">
        <f t="shared" ca="1" si="924"/>
        <v>0</v>
      </c>
      <c r="BY1219" s="26">
        <f t="shared" ca="1" si="891"/>
        <v>7.842409625176785</v>
      </c>
      <c r="BZ1219" s="27">
        <f t="shared" ca="1" si="892"/>
        <v>0</v>
      </c>
      <c r="CA1219" s="27">
        <f t="shared" ca="1" si="925"/>
        <v>0</v>
      </c>
      <c r="CB1219" s="27">
        <f t="shared" ca="1" si="893"/>
        <v>0</v>
      </c>
      <c r="CC1219" s="27">
        <f t="shared" ca="1" si="926"/>
        <v>0</v>
      </c>
      <c r="CD1219" s="27">
        <f t="shared" ca="1" si="894"/>
        <v>0</v>
      </c>
      <c r="CE1219" s="28">
        <f t="shared" ca="1" si="927"/>
        <v>0</v>
      </c>
      <c r="CF1219" s="26">
        <f t="shared" ca="1" si="928"/>
        <v>0</v>
      </c>
      <c r="CG1219" s="28">
        <f t="array" aca="1" ref="CG1219" ca="1">SUM(BF1208:BF1219/(1+inflation/100)^(AP1208:AP1219/12))</f>
        <v>0</v>
      </c>
      <c r="CH1219" s="33">
        <f ca="1">IFERROR(IF(MOD(AP1219-ap_months_since_start,12)=0,ap_drawdown/100*(AQ1219+AV1219+BA1219-BC1219),CH1218),0)</f>
        <v>62.857220728832118</v>
      </c>
    </row>
  </sheetData>
  <sheetProtection algorithmName="SHA-512" hashValue="7usR8mS1B7RESbTo+CJJtBart401BOtslsdXZ/1FJJ22j25Mj5n7U5Cx7IIPIV0cCWV//S4iQf2sH2AkiEJI7g==" saltValue="+wyLeG3KNCHSfB4uxOlB6Q==" spinCount="100000" sheet="1" objects="1" scenarios="1" selectLockedCells="1"/>
  <mergeCells count="97">
    <mergeCell ref="DP11:DP60"/>
    <mergeCell ref="DD11:DD60"/>
    <mergeCell ref="X53:Y53"/>
    <mergeCell ref="H52:Q52"/>
    <mergeCell ref="T52:AC52"/>
    <mergeCell ref="Z53:AA53"/>
    <mergeCell ref="AB53:AC53"/>
    <mergeCell ref="P18:Q18"/>
    <mergeCell ref="N18:O18"/>
    <mergeCell ref="H53:H54"/>
    <mergeCell ref="I53:I54"/>
    <mergeCell ref="J53:K53"/>
    <mergeCell ref="T33:U33"/>
    <mergeCell ref="T34:U34"/>
    <mergeCell ref="L53:M53"/>
    <mergeCell ref="N53:O53"/>
    <mergeCell ref="B11:C12"/>
    <mergeCell ref="T23:U23"/>
    <mergeCell ref="B14:B15"/>
    <mergeCell ref="T15:AA15"/>
    <mergeCell ref="T18:U18"/>
    <mergeCell ref="C19:E19"/>
    <mergeCell ref="C20:E20"/>
    <mergeCell ref="T19:U19"/>
    <mergeCell ref="T20:U20"/>
    <mergeCell ref="D26:E26"/>
    <mergeCell ref="AG21:AJ21"/>
    <mergeCell ref="U53:U54"/>
    <mergeCell ref="T47:U47"/>
    <mergeCell ref="D29:E29"/>
    <mergeCell ref="D30:E30"/>
    <mergeCell ref="T42:U42"/>
    <mergeCell ref="T26:U26"/>
    <mergeCell ref="T28:U28"/>
    <mergeCell ref="T41:U41"/>
    <mergeCell ref="T37:U37"/>
    <mergeCell ref="T29:U29"/>
    <mergeCell ref="T30:U30"/>
    <mergeCell ref="T32:U32"/>
    <mergeCell ref="P53:Q53"/>
    <mergeCell ref="T48:U48"/>
    <mergeCell ref="AR6:AV6"/>
    <mergeCell ref="D43:D44"/>
    <mergeCell ref="T31:U31"/>
    <mergeCell ref="T25:U25"/>
    <mergeCell ref="CJ11:CJ60"/>
    <mergeCell ref="T49:U49"/>
    <mergeCell ref="T50:U50"/>
    <mergeCell ref="BY6:CE6"/>
    <mergeCell ref="BB6:BC6"/>
    <mergeCell ref="BF6:BL6"/>
    <mergeCell ref="BN6:BP6"/>
    <mergeCell ref="AW6:BA6"/>
    <mergeCell ref="BD6:BE6"/>
    <mergeCell ref="BR6:BX6"/>
    <mergeCell ref="D25:E25"/>
    <mergeCell ref="D24:E24"/>
    <mergeCell ref="CR11:CR60"/>
    <mergeCell ref="V53:W53"/>
    <mergeCell ref="T21:U21"/>
    <mergeCell ref="T22:U22"/>
    <mergeCell ref="T27:U27"/>
    <mergeCell ref="T35:U35"/>
    <mergeCell ref="T36:U36"/>
    <mergeCell ref="T16:U16"/>
    <mergeCell ref="T17:U17"/>
    <mergeCell ref="T44:U44"/>
    <mergeCell ref="T45:U45"/>
    <mergeCell ref="T24:U24"/>
    <mergeCell ref="T38:U38"/>
    <mergeCell ref="T39:U39"/>
    <mergeCell ref="T40:U40"/>
    <mergeCell ref="T53:T54"/>
    <mergeCell ref="B43:B44"/>
    <mergeCell ref="E43:E44"/>
    <mergeCell ref="T46:U46"/>
    <mergeCell ref="T43:U43"/>
    <mergeCell ref="D46:E46"/>
    <mergeCell ref="D49:E49"/>
    <mergeCell ref="D52:E52"/>
    <mergeCell ref="D72:E72"/>
    <mergeCell ref="D85:E85"/>
    <mergeCell ref="D86:E86"/>
    <mergeCell ref="D82:E83"/>
    <mergeCell ref="D59:E59"/>
    <mergeCell ref="D60:E60"/>
    <mergeCell ref="D65:E65"/>
    <mergeCell ref="D66:E66"/>
    <mergeCell ref="D71:E71"/>
    <mergeCell ref="D90:E90"/>
    <mergeCell ref="B116:D125"/>
    <mergeCell ref="D107:E107"/>
    <mergeCell ref="D106:E106"/>
    <mergeCell ref="D92:E93"/>
    <mergeCell ref="D102:E102"/>
    <mergeCell ref="D103:E103"/>
    <mergeCell ref="B109:C111"/>
  </mergeCells>
  <conditionalFormatting sqref="H55:Q154">
    <cfRule type="expression" dxfId="24" priority="18">
      <formula>$AE54=time_horizon</formula>
    </cfRule>
  </conditionalFormatting>
  <conditionalFormatting sqref="H56:Q154">
    <cfRule type="expression" dxfId="23" priority="17">
      <formula>$AE55&gt;time_horizon</formula>
    </cfRule>
  </conditionalFormatting>
  <conditionalFormatting sqref="T55:AC154">
    <cfRule type="expression" dxfId="22" priority="16">
      <formula>$AE54=time_horizon</formula>
    </cfRule>
  </conditionalFormatting>
  <conditionalFormatting sqref="T56:AC154">
    <cfRule type="expression" dxfId="21" priority="15">
      <formula>$AE55&gt;time_horizon</formula>
    </cfRule>
  </conditionalFormatting>
  <conditionalFormatting sqref="D108:E108">
    <cfRule type="expression" dxfId="20" priority="14">
      <formula>OR($D$106="Nominal return",$D$107="Escalation",$D$107="Drawdown")</formula>
    </cfRule>
  </conditionalFormatting>
  <conditionalFormatting sqref="H52:Q52">
    <cfRule type="expression" dxfId="19" priority="13">
      <formula>$AI$25=0</formula>
    </cfRule>
  </conditionalFormatting>
  <conditionalFormatting sqref="T17:AA50">
    <cfRule type="expression" dxfId="18" priority="11">
      <formula>$AE$16=$AE17</formula>
    </cfRule>
    <cfRule type="expression" dxfId="17" priority="12">
      <formula>$AE17&gt;$AE$16</formula>
    </cfRule>
  </conditionalFormatting>
  <conditionalFormatting sqref="B109:C111">
    <cfRule type="expression" dxfId="16" priority="10">
      <formula>$AG$35</formula>
    </cfRule>
  </conditionalFormatting>
  <conditionalFormatting sqref="D82:E83">
    <cfRule type="expression" dxfId="15" priority="5">
      <formula>$D$82&lt;&gt;""</formula>
    </cfRule>
  </conditionalFormatting>
  <conditionalFormatting sqref="D92:E99">
    <cfRule type="expression" dxfId="14" priority="4">
      <formula>$D$92&lt;&gt;""</formula>
    </cfRule>
  </conditionalFormatting>
  <conditionalFormatting sqref="D43:E44">
    <cfRule type="expression" dxfId="13" priority="3">
      <formula>lsc+rcs+w+ap=0</formula>
    </cfRule>
  </conditionalFormatting>
  <conditionalFormatting sqref="N55:O154">
    <cfRule type="expression" dxfId="12" priority="2">
      <formula>AND($AI54&gt;0,$AE54&lt;=time_horizon)</formula>
    </cfRule>
  </conditionalFormatting>
  <conditionalFormatting sqref="Z55:AA154">
    <cfRule type="expression" dxfId="11" priority="1">
      <formula>AND($AJ54&gt;0,$AE54&lt;=time_horizon)</formula>
    </cfRule>
  </conditionalFormatting>
  <dataValidations xWindow="712" yWindow="534" count="39">
    <dataValidation type="date" operator="greaterThanOrEqual" allowBlank="1" showInputMessage="1" showErrorMessage="1" errorTitle="Please enter a valid date" error="Please enter a valid date of birth" sqref="C20:E20" xr:uid="{00000000-0002-0000-0100-000000000000}">
      <formula1>1</formula1>
    </dataValidation>
    <dataValidation type="date" operator="greaterThanOrEqual" allowBlank="1" showInputMessage="1" showErrorMessage="1" errorTitle="Please enter a valid date" error="Please enter a valid start date" prompt="Enter the desired start date. This is the date from which you want the tool to start the cash flows. _x000a_Note: the tool always starts on the first of the month even if another day is entered." sqref="E24" xr:uid="{00000000-0002-0000-0100-000001000000}">
      <formula1>1</formula1>
    </dataValidation>
    <dataValidation type="whole" allowBlank="1" showInputMessage="1" showErrorMessage="1" errorTitle="Enter a valid time horizon" error="Please enter a valid time horizon of between 1 and 100 years. Only whole numbers are allowed" prompt="Enter the desired time horizon, in years, for cash flow planning. Only whole numbers from 1 to 100 are allowed." sqref="E25" xr:uid="{00000000-0002-0000-0100-000002000000}">
      <formula1>0</formula1>
      <formula2>100</formula2>
    </dataValidation>
    <dataValidation type="decimal" allowBlank="1" showInputMessage="1" showErrorMessage="1" errorTitle="Enter a valid number" error="Please enter a valid number between 0 and 100" prompt="Enter the expected rate of inflation as a percentage. _x000a_For example: 10.5% would be entered as 10.5" sqref="E30" xr:uid="{00000000-0002-0000-0100-000003000000}">
      <formula1>0</formula1>
      <formula2>100</formula2>
    </dataValidation>
    <dataValidation type="decimal" allowBlank="1" showErrorMessage="1" errorTitle="Enter a valid number" error="Please enter a valid amount between 0 and 100" prompt="Enter the ongoing platform administration fee (incl. VAT) as a percentage. _x000a_For example: 0.5% would be entered as 0.5" sqref="E33" xr:uid="{00000000-0002-0000-0100-000004000000}">
      <formula1>0</formula1>
      <formula2>100</formula2>
    </dataValidation>
    <dataValidation type="list" allowBlank="1" showInputMessage="1" showErrorMessage="1" prompt="Choose a variable to optimise. This is the variable whose value you would like to change based on one of the inputs." sqref="E102" xr:uid="{00000000-0002-0000-0100-000005000000}">
      <formula1>Variable_to_optimise</formula1>
    </dataValidation>
    <dataValidation type="list" allowBlank="1" showInputMessage="1" showErrorMessage="1" prompt="Choose a variable to change in order to achieve the desired amount for the variable to optimise. The list includes all cash flows and the nominal rate of return." sqref="E106" xr:uid="{00000000-0002-0000-0100-000006000000}">
      <formula1>Name_of_flows</formula1>
    </dataValidation>
    <dataValidation type="list" allowBlank="1" showInputMessage="1" showErrorMessage="1" prompt="Choose the type of variable to change. _x000a_In other words, do you want to change the amount, the escalation or (in the case of nominal return) the rate of the chosen variable to change. The value at the selected year end is given below." sqref="E107" xr:uid="{00000000-0002-0000-0100-000007000000}">
      <formula1>IF(AdjVar&lt;&gt;"Nominal return",VarTypes,RateEntry)</formula1>
    </dataValidation>
    <dataValidation type="decimal" operator="greaterThanOrEqual" allowBlank="1" showErrorMessage="1" errorTitle="Enter a valid number" error="Please enter a valid amount that is greater than 0" prompt="Enter the desired amount for the variable to optimise in real terms." sqref="E105" xr:uid="{00000000-0002-0000-0100-000008000000}">
      <formula1>0</formula1>
    </dataValidation>
    <dataValidation type="decimal" allowBlank="1" showInputMessage="1" showErrorMessage="1" errorTitle="Enter a valid number" error="Please enter a valid number between 0 and 100" prompt="Enter the expected nominal return as a percentage. _x000a_For example: 10.5% would be entered as 10.5" sqref="E29" xr:uid="{00000000-0002-0000-0100-000009000000}">
      <formula1>0</formula1>
      <formula2>100</formula2>
    </dataValidation>
    <dataValidation type="decimal" allowBlank="1" showErrorMessage="1" errorTitle="Enter a valid number" error="Please enter a valid amount between 0 and 100" prompt="Enter the initial platform administration fee (incl. VAT) as a percentage. _x000a_For example: 0.5% would be entered as 0.5" sqref="D33" xr:uid="{00000000-0002-0000-0100-00000A000000}">
      <formula1>0</formula1>
      <formula2>100</formula2>
    </dataValidation>
    <dataValidation type="decimal" allowBlank="1" showErrorMessage="1" errorTitle="Enter a valid number" error="Please enter a valid amount between 0 and 100" prompt="Enter the initial financial adviser fee (incl. VAT) as a percentage. _x000a_For example: 0.5% would be entered as 0.5" sqref="D34" xr:uid="{00000000-0002-0000-0100-00000B000000}">
      <formula1>0</formula1>
      <formula2>100</formula2>
    </dataValidation>
    <dataValidation type="decimal" allowBlank="1" showErrorMessage="1" errorTitle="Enter a valid number" error="Please enter a valid amount between 0 and 100" prompt="Enter the initial other fee (incl. VAT) as a percentage. Other fees may include DIM fees and RIC fees. _x000a_For example: 0.5% would be entered as 0.5" sqref="D35" xr:uid="{00000000-0002-0000-0100-00000C000000}">
      <formula1>0</formula1>
      <formula2>100</formula2>
    </dataValidation>
    <dataValidation type="decimal" allowBlank="1" showErrorMessage="1" errorTitle="Enter a valid number" error="Please enter a valid amount between 0 and 100" prompt="Enter the annual other fee (incl. VAT) as a percentage. Other fees may include DIM fees and RIC fees. _x000a_For example: 0.5% would be entered as 0.5" sqref="E35" xr:uid="{00000000-0002-0000-0100-00000D000000}">
      <formula1>0</formula1>
      <formula2>100</formula2>
    </dataValidation>
    <dataValidation type="decimal" allowBlank="1" showErrorMessage="1" errorTitle="Enter a valid number" error="Please enter a valid amount between 0 and 100" prompt="Enter the ongoing financial adviser fee (incl. VAT) as a percentage. _x000a_For example: 0.5% would be entered as 0.5" sqref="E34" xr:uid="{00000000-0002-0000-0100-00000E000000}">
      <formula1>0</formula1>
      <formula2>100</formula2>
    </dataValidation>
    <dataValidation type="list" allowBlank="1" showInputMessage="1" showErrorMessage="1" prompt="Choose the year that you would like to optimise. The value at the selected year end, in both real and nominal terms, is given in the cells below." sqref="E103" xr:uid="{00000000-0002-0000-0100-00000F000000}">
      <formula1>IF(VarToOptimise="Annuity payment",OFFSET($H$55,$AG$54-1,0,$AH$54,1),graph_date)</formula1>
    </dataValidation>
    <dataValidation type="whole" operator="greaterThanOrEqual" allowBlank="1" showInputMessage="1" showErrorMessage="1" errorTitle="Enter a valide age" error="Please enter a avlid age, greater than 0. Only whole numbers are allowed." prompt="Enter the client's age at the end of the desired investment time horizon." sqref="E26" xr:uid="{00000000-0002-0000-0100-000010000000}">
      <formula1>0</formula1>
    </dataValidation>
    <dataValidation type="decimal" operator="greaterThanOrEqual" allowBlank="1" showErrorMessage="1" errorTitle="Enter a valid number" error="Please enter a valid amount that is greater than 0" prompt="Enter the desired amount for the variable to optimise in nominal terms._x000a_" sqref="D105" xr:uid="{00000000-0002-0000-0100-000011000000}">
      <formula1>0</formula1>
    </dataValidation>
    <dataValidation type="date" operator="greaterThanOrEqual" allowBlank="1" showErrorMessage="1" errorTitle="Please enter a valid date" error="Please enter a valid start date" prompt="Enter the desired start date. This is the date from which you want the tool to start the cash flows. _x000a_Note: the tool always starts on the first of the month even if another day is entered." sqref="D24" xr:uid="{00000000-0002-0000-0100-000012000000}">
      <formula1>1</formula1>
    </dataValidation>
    <dataValidation type="whole" allowBlank="1" showErrorMessage="1" errorTitle="Enter a valid time horizon" error="Please enter a valid time horizon of between 1 and 100 years. Only whole numbers are allowed" prompt="Enter the desired time horizon, in years, for cash flow planning. Only whole numbers from 1 to 100 are allowed." sqref="D25" xr:uid="{00000000-0002-0000-0100-000013000000}">
      <formula1>0</formula1>
      <formula2>100</formula2>
    </dataValidation>
    <dataValidation type="whole" operator="greaterThanOrEqual" allowBlank="1" showErrorMessage="1" errorTitle="Enter a valide age" error="Please enter a avlid age, greater than 0. Only whole numbers are allowed." prompt="Enter the client's age at the end of the desired investment time horizon." sqref="D26" xr:uid="{00000000-0002-0000-0100-000014000000}">
      <formula1>0</formula1>
    </dataValidation>
    <dataValidation type="decimal" allowBlank="1" showErrorMessage="1" errorTitle="Enter a valid number" error="Please enter a valid number between 0 and 100" prompt="Enter the expected nominal return as a percentage. _x000a_For example: 10.5% would be entered as 10.5" sqref="D29" xr:uid="{00000000-0002-0000-0100-000015000000}">
      <formula1>0</formula1>
      <formula2>100</formula2>
    </dataValidation>
    <dataValidation type="decimal" allowBlank="1" showErrorMessage="1" errorTitle="Enter a valid number" error="Please enter a valid number between 0 and 100" prompt="Enter the expected rate of inflation as a percentage. _x000a_For example: 10.5% would be entered as 10.5" sqref="D30" xr:uid="{00000000-0002-0000-0100-000016000000}">
      <formula1>0</formula1>
      <formula2>100</formula2>
    </dataValidation>
    <dataValidation type="list" allowBlank="1" showErrorMessage="1" prompt="Choose a variable to optimise. This is the variable whose value you would like to change based on one of the inputs." sqref="D102" xr:uid="{00000000-0002-0000-0100-000017000000}">
      <formula1>Variable_to_optimise</formula1>
    </dataValidation>
    <dataValidation type="list" allowBlank="1" showErrorMessage="1" prompt="Choose the year that you would like to optimise. The value at the selected year end, in both real and nominal terms, is given in the cells below." sqref="D103" xr:uid="{00000000-0002-0000-0100-000018000000}">
      <formula1>IF(VarToOptimise="Annuity payment",OFFSET($H$55,$AG$54-1,0,$AH$54,1),graph_date)</formula1>
    </dataValidation>
    <dataValidation type="list" allowBlank="1" showErrorMessage="1" prompt="Choose a variable to change in order to achieve the desired amount for the variable to optimise. The list includes all cash flows and the nominal rate of return." sqref="D106" xr:uid="{00000000-0002-0000-0100-000019000000}">
      <formula1>Name_of_flows</formula1>
    </dataValidation>
    <dataValidation type="list" allowBlank="1" showErrorMessage="1" prompt="Choose the type of variable to change. _x000a_In other words, do you want to change the amount, the escalation or (in the case of nominal return) the rate of the chosen variable to change. The value at the selected year end is given below." sqref="D107" xr:uid="{00000000-0002-0000-0100-00001A000000}">
      <formula1>IF(AdjVar&lt;&gt;"Nominal return",VarTypes,RateEntry)</formula1>
    </dataValidation>
    <dataValidation type="decimal" operator="greaterThanOrEqual" allowBlank="1" showErrorMessage="1" errorTitle="Enter a valid amount" error="The amount you entered is not valid. Please enter a value greater than or equal to 0" sqref="D47:E47 D87:E87 D50:E50 D53:E53 D61:E61 D67:E67 D73:E73" xr:uid="{645E2EEF-F054-4DF8-AEFF-89A26733B8AA}">
      <formula1>0</formula1>
    </dataValidation>
    <dataValidation type="decimal" allowBlank="1" showErrorMessage="1" errorTitle="Enter a valid number of years" error="Please enter a valid number of years from the chosen start date of between 0 (starting at the start date) and the time horizon" sqref="E88 E48 E51 E54 E62 E68 E74" xr:uid="{40E380AF-3216-4010-8608-6DC1D418B9C4}">
      <formula1>0</formula1>
      <formula2>time_horizon</formula2>
    </dataValidation>
    <dataValidation type="list" allowBlank="1" showInputMessage="1" showErrorMessage="1" sqref="D88 D48 D51 D54 D62 D68 D74" xr:uid="{D02969CA-B6E1-474D-9AA2-E644A8690D91}">
      <formula1>OFFSET(date_start,0,0,time_horizon*12,1)</formula1>
    </dataValidation>
    <dataValidation type="decimal" allowBlank="1" showErrorMessage="1" errorTitle="Enter a valid drawdown per cent" error="Please enter a valid drawdown per cent of between 2.5 and 17.5" sqref="D90" xr:uid="{D2209976-F1B3-400B-A029-68F280F09DA6}">
      <formula1>2.5</formula1>
      <formula2>17.5</formula2>
    </dataValidation>
    <dataValidation type="list" allowBlank="1" showInputMessage="1" showErrorMessage="1" sqref="D86 D60 D66 D72" xr:uid="{450AAC9B-7544-45CC-AC29-98C94889D795}">
      <formula1>recurring_freq_options_list</formula1>
    </dataValidation>
    <dataValidation type="decimal" operator="greaterThanOrEqual" allowBlank="1" showErrorMessage="1" errorTitle="Enter a valid escalation" error="The escalation you entered is not valid." sqref="D89:E89 D64:E64 D70:E70 D76:E76" xr:uid="{AA30752C-5D4A-4C54-A018-D75926F866C4}">
      <formula1>-1000</formula1>
    </dataValidation>
    <dataValidation type="decimal" allowBlank="1" showErrorMessage="1" errorTitle="Enter a valid number of years" error="Please enter a valid number of years from the chosen start date. This must be greater than or equal to the number above and less than the time horizon" sqref="E63" xr:uid="{FC8BBA6B-DD92-442D-A8C2-FA94BF6F63DA}">
      <formula1>$E$62</formula1>
      <formula2>time_horizon</formula2>
    </dataValidation>
    <dataValidation type="list" allowBlank="1" showInputMessage="1" showErrorMessage="1" sqref="D63" xr:uid="{EFC7E17B-8918-4A97-87BF-44881B02391D}">
      <formula1>OFFSET(date_start,IFERROR(MATCH($D$62,Month_start_dates,0)-1,0),0,time_horizon*12-IFERROR(MATCH($D$62,Month_start_dates,0)-1,0),1)</formula1>
    </dataValidation>
    <dataValidation type="decimal" allowBlank="1" showErrorMessage="1" errorTitle="Enter a valid number of years" error="Please enter a valid number of years from the chosen start date. This must be greater than or equal to the number above and less than the time horizon" sqref="E69" xr:uid="{6315EA08-3F50-4B6E-AE13-F47A0F05139C}">
      <formula1>$E$68</formula1>
      <formula2>time_horizon</formula2>
    </dataValidation>
    <dataValidation type="list" allowBlank="1" showInputMessage="1" showErrorMessage="1" sqref="D69" xr:uid="{B5927864-92D8-49D2-9A21-DA24B28B7C80}">
      <formula1>OFFSET(date_start,IFERROR(MATCH($D$68,Month_start_dates,0)-1,0),0,time_horizon*12-IFERROR(MATCH($D$68,Month_start_dates,0)-1,0),1)</formula1>
    </dataValidation>
    <dataValidation type="decimal" allowBlank="1" showErrorMessage="1" errorTitle="Enter a valid number of years" error="Please enter a valid number of years from the chosen start date. This must be greater than or equal to the number above and less than the time horizon" sqref="E75" xr:uid="{9AC33DC2-FAF5-4FC0-9EB5-70257BEA1CC0}">
      <formula1>$E$74</formula1>
      <formula2>time_horizon</formula2>
    </dataValidation>
    <dataValidation type="list" allowBlank="1" showInputMessage="1" showErrorMessage="1" sqref="D75" xr:uid="{3E6CE400-33B5-4F85-AE21-A85456C129E9}">
      <formula1>OFFSET(date_start,IFERROR(MATCH($D$74,Month_start_dates,0)-1,0),0,time_horizon*12-IFERROR(MATCH($D$74,Month_start_dates,0)-1,0),1)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macro="[0]!real_contribution_bar">
                <anchor moveWithCells="1">
                  <from>
                    <xdr:col>10</xdr:col>
                    <xdr:colOff>533400</xdr:colOff>
                    <xdr:row>46</xdr:row>
                    <xdr:rowOff>121920</xdr:rowOff>
                  </from>
                  <to>
                    <xdr:col>10</xdr:col>
                    <xdr:colOff>914400</xdr:colOff>
                    <xdr:row>48</xdr:row>
                    <xdr:rowOff>7620</xdr:rowOff>
                  </to>
                </anchor>
              </controlPr>
            </control>
          </mc:Choice>
        </mc:AlternateContent>
        <mc:AlternateContent xmlns:mc="http://schemas.openxmlformats.org/markup-compatibility/2006">
          <mc:Choice Requires="x14">
            <control shapeId="1026" r:id="rId5" name="Check Box 2">
              <controlPr defaultSize="0" autoFill="0" autoLine="0" autoPict="0" macro="[0]!real_withdrawal_bar">
                <anchor moveWithCells="1">
                  <from>
                    <xdr:col>11</xdr:col>
                    <xdr:colOff>655320</xdr:colOff>
                    <xdr:row>46</xdr:row>
                    <xdr:rowOff>121920</xdr:rowOff>
                  </from>
                  <to>
                    <xdr:col>11</xdr:col>
                    <xdr:colOff>1036320</xdr:colOff>
                    <xdr:row>48</xdr:row>
                    <xdr:rowOff>7620</xdr:rowOff>
                  </to>
                </anchor>
              </controlPr>
            </control>
          </mc:Choice>
        </mc:AlternateContent>
        <mc:AlternateContent xmlns:mc="http://schemas.openxmlformats.org/markup-compatibility/2006">
          <mc:Choice Requires="x14">
            <control shapeId="1027" r:id="rId6" name="Check Box 3">
              <controlPr defaultSize="0" autoFill="0" autoLine="0" autoPict="0" macro="[0]!real_income_bar">
                <anchor moveWithCells="1">
                  <from>
                    <xdr:col>12</xdr:col>
                    <xdr:colOff>784860</xdr:colOff>
                    <xdr:row>46</xdr:row>
                    <xdr:rowOff>121920</xdr:rowOff>
                  </from>
                  <to>
                    <xdr:col>13</xdr:col>
                    <xdr:colOff>38100</xdr:colOff>
                    <xdr:row>48</xdr:row>
                    <xdr:rowOff>7620</xdr:rowOff>
                  </to>
                </anchor>
              </controlPr>
            </control>
          </mc:Choice>
        </mc:AlternateContent>
        <mc:AlternateContent xmlns:mc="http://schemas.openxmlformats.org/markup-compatibility/2006">
          <mc:Choice Requires="x14">
            <control shapeId="1028" r:id="rId7" name="Check Box 4">
              <controlPr defaultSize="0" autoFill="0" autoLine="0" autoPict="0" macro="[0]!real_mv_line">
                <anchor moveWithCells="1">
                  <from>
                    <xdr:col>13</xdr:col>
                    <xdr:colOff>906780</xdr:colOff>
                    <xdr:row>46</xdr:row>
                    <xdr:rowOff>121920</xdr:rowOff>
                  </from>
                  <to>
                    <xdr:col>14</xdr:col>
                    <xdr:colOff>167640</xdr:colOff>
                    <xdr:row>48</xdr:row>
                    <xdr:rowOff>7620</xdr:rowOff>
                  </to>
                </anchor>
              </controlPr>
            </control>
          </mc:Choice>
        </mc:AlternateContent>
        <mc:AlternateContent xmlns:mc="http://schemas.openxmlformats.org/markup-compatibility/2006">
          <mc:Choice Requires="x14">
            <control shapeId="1029" r:id="rId8" name="Save_contributions_check_box">
              <controlPr defaultSize="0" autoFill="0" autoLine="0" autoPict="0" macro="[0]!Call_compare_real_contribution_bar">
                <anchor moveWithCells="1">
                  <from>
                    <xdr:col>10</xdr:col>
                    <xdr:colOff>525780</xdr:colOff>
                    <xdr:row>48</xdr:row>
                    <xdr:rowOff>68580</xdr:rowOff>
                  </from>
                  <to>
                    <xdr:col>10</xdr:col>
                    <xdr:colOff>906780</xdr:colOff>
                    <xdr:row>49</xdr:row>
                    <xdr:rowOff>129540</xdr:rowOff>
                  </to>
                </anchor>
              </controlPr>
            </control>
          </mc:Choice>
        </mc:AlternateContent>
        <mc:AlternateContent xmlns:mc="http://schemas.openxmlformats.org/markup-compatibility/2006">
          <mc:Choice Requires="x14">
            <control shapeId="1030" r:id="rId9" name="Save_withdrawals_check_box">
              <controlPr defaultSize="0" autoFill="0" autoLine="0" autoPict="0" macro="[0]!Call_compare_real_withdrawal_bar">
                <anchor moveWithCells="1">
                  <from>
                    <xdr:col>11</xdr:col>
                    <xdr:colOff>655320</xdr:colOff>
                    <xdr:row>48</xdr:row>
                    <xdr:rowOff>68580</xdr:rowOff>
                  </from>
                  <to>
                    <xdr:col>11</xdr:col>
                    <xdr:colOff>1036320</xdr:colOff>
                    <xdr:row>49</xdr:row>
                    <xdr:rowOff>129540</xdr:rowOff>
                  </to>
                </anchor>
              </controlPr>
            </control>
          </mc:Choice>
        </mc:AlternateContent>
        <mc:AlternateContent xmlns:mc="http://schemas.openxmlformats.org/markup-compatibility/2006">
          <mc:Choice Requires="x14">
            <control shapeId="1031" r:id="rId10" name="Save_income_check_box">
              <controlPr defaultSize="0" autoFill="0" autoLine="0" autoPict="0" macro="[0]!Call_compare_real_income_bar">
                <anchor moveWithCells="1">
                  <from>
                    <xdr:col>12</xdr:col>
                    <xdr:colOff>784860</xdr:colOff>
                    <xdr:row>48</xdr:row>
                    <xdr:rowOff>68580</xdr:rowOff>
                  </from>
                  <to>
                    <xdr:col>13</xdr:col>
                    <xdr:colOff>38100</xdr:colOff>
                    <xdr:row>49</xdr:row>
                    <xdr:rowOff>129540</xdr:rowOff>
                  </to>
                </anchor>
              </controlPr>
            </control>
          </mc:Choice>
        </mc:AlternateContent>
        <mc:AlternateContent xmlns:mc="http://schemas.openxmlformats.org/markup-compatibility/2006">
          <mc:Choice Requires="x14">
            <control shapeId="1032" r:id="rId11" name="Save_mv_check_box">
              <controlPr defaultSize="0" autoFill="0" autoLine="0" autoPict="0" macro="[0]!Call_compare_real_mv_line">
                <anchor moveWithCells="1">
                  <from>
                    <xdr:col>13</xdr:col>
                    <xdr:colOff>906780</xdr:colOff>
                    <xdr:row>48</xdr:row>
                    <xdr:rowOff>68580</xdr:rowOff>
                  </from>
                  <to>
                    <xdr:col>14</xdr:col>
                    <xdr:colOff>167640</xdr:colOff>
                    <xdr:row>49</xdr:row>
                    <xdr:rowOff>129540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15</xdr:col>
                    <xdr:colOff>617220</xdr:colOff>
                    <xdr:row>46</xdr:row>
                    <xdr:rowOff>99060</xdr:rowOff>
                  </from>
                  <to>
                    <xdr:col>16</xdr:col>
                    <xdr:colOff>411480</xdr:colOff>
                    <xdr:row>47</xdr:row>
                    <xdr:rowOff>152400</xdr:rowOff>
                  </to>
                </anchor>
              </controlPr>
            </control>
          </mc:Choice>
        </mc:AlternateContent>
        <mc:AlternateContent xmlns:mc="http://schemas.openxmlformats.org/markup-compatibility/2006">
          <mc:Choice Requires="x14">
            <control shapeId="1036" r:id="rId13" name="Button 12">
              <controlPr defaultSize="0" print="0" autoFill="0" autoPict="0" macro="[0]!add_lump_sum_contributions">
                <anchor moveWithCells="1" sizeWithCells="1">
                  <from>
                    <xdr:col>1</xdr:col>
                    <xdr:colOff>60960</xdr:colOff>
                    <xdr:row>54</xdr:row>
                    <xdr:rowOff>45720</xdr:rowOff>
                  </from>
                  <to>
                    <xdr:col>1</xdr:col>
                    <xdr:colOff>1036320</xdr:colOff>
                    <xdr:row>56</xdr:row>
                    <xdr:rowOff>45720</xdr:rowOff>
                  </to>
                </anchor>
              </controlPr>
            </control>
          </mc:Choice>
        </mc:AlternateContent>
        <mc:AlternateContent xmlns:mc="http://schemas.openxmlformats.org/markup-compatibility/2006">
          <mc:Choice Requires="x14">
            <control shapeId="1038" r:id="rId14" name="Button 14">
              <controlPr defaultSize="0" print="0" autoFill="0" autoPict="0" macro="[0]!rlsc">
                <anchor moveWithCells="1" sizeWithCells="1">
                  <from>
                    <xdr:col>1</xdr:col>
                    <xdr:colOff>1150620</xdr:colOff>
                    <xdr:row>54</xdr:row>
                    <xdr:rowOff>45720</xdr:rowOff>
                  </from>
                  <to>
                    <xdr:col>1</xdr:col>
                    <xdr:colOff>2133600</xdr:colOff>
                    <xdr:row>56</xdr:row>
                    <xdr:rowOff>45720</xdr:rowOff>
                  </to>
                </anchor>
              </controlPr>
            </control>
          </mc:Choice>
        </mc:AlternateContent>
        <mc:AlternateContent xmlns:mc="http://schemas.openxmlformats.org/markup-compatibility/2006">
          <mc:Choice Requires="x14">
            <control shapeId="1039" r:id="rId15" name="Button 15">
              <controlPr defaultSize="0" print="0" autoFill="0" autoPict="0" macro="[0]!add_recurring_contributions">
                <anchor moveWithCells="1" sizeWithCells="1">
                  <from>
                    <xdr:col>1</xdr:col>
                    <xdr:colOff>60960</xdr:colOff>
                    <xdr:row>76</xdr:row>
                    <xdr:rowOff>45720</xdr:rowOff>
                  </from>
                  <to>
                    <xdr:col>1</xdr:col>
                    <xdr:colOff>1036320</xdr:colOff>
                    <xdr:row>78</xdr:row>
                    <xdr:rowOff>45720</xdr:rowOff>
                  </to>
                </anchor>
              </controlPr>
            </control>
          </mc:Choice>
        </mc:AlternateContent>
        <mc:AlternateContent xmlns:mc="http://schemas.openxmlformats.org/markup-compatibility/2006">
          <mc:Choice Requires="x14">
            <control shapeId="1040" r:id="rId16" name="Button 16">
              <controlPr defaultSize="0" print="0" autoFill="0" autoPict="0" macro="[0]!rrcs">
                <anchor moveWithCells="1" sizeWithCells="1">
                  <from>
                    <xdr:col>1</xdr:col>
                    <xdr:colOff>1150620</xdr:colOff>
                    <xdr:row>76</xdr:row>
                    <xdr:rowOff>45720</xdr:rowOff>
                  </from>
                  <to>
                    <xdr:col>1</xdr:col>
                    <xdr:colOff>2133600</xdr:colOff>
                    <xdr:row>78</xdr:row>
                    <xdr:rowOff>45720</xdr:rowOff>
                  </to>
                </anchor>
              </controlPr>
            </control>
          </mc:Choice>
        </mc:AlternateContent>
        <mc:AlternateContent xmlns:mc="http://schemas.openxmlformats.org/markup-compatibility/2006">
          <mc:Choice Requires="x14">
            <control shapeId="1041" r:id="rId17" name="Button 17">
              <controlPr defaultSize="0" print="0" autoFill="0" autoPict="0" macro="[0]!add_withdrawals">
                <anchor moveWithCells="1" sizeWithCells="1">
                  <from>
                    <xdr:col>1</xdr:col>
                    <xdr:colOff>60960</xdr:colOff>
                    <xdr:row>80</xdr:row>
                    <xdr:rowOff>45720</xdr:rowOff>
                  </from>
                  <to>
                    <xdr:col>1</xdr:col>
                    <xdr:colOff>1036320</xdr:colOff>
                    <xdr:row>82</xdr:row>
                    <xdr:rowOff>45720</xdr:rowOff>
                  </to>
                </anchor>
              </controlPr>
            </control>
          </mc:Choice>
        </mc:AlternateContent>
        <mc:AlternateContent xmlns:mc="http://schemas.openxmlformats.org/markup-compatibility/2006">
          <mc:Choice Requires="x14">
            <control shapeId="1042" r:id="rId18" name="Button 18">
              <controlPr defaultSize="0" print="0" autoFill="0" autoPict="0" macro="[0]!rw">
                <anchor moveWithCells="1" sizeWithCells="1">
                  <from>
                    <xdr:col>1</xdr:col>
                    <xdr:colOff>1150620</xdr:colOff>
                    <xdr:row>80</xdr:row>
                    <xdr:rowOff>45720</xdr:rowOff>
                  </from>
                  <to>
                    <xdr:col>1</xdr:col>
                    <xdr:colOff>2133600</xdr:colOff>
                    <xdr:row>82</xdr:row>
                    <xdr:rowOff>45720</xdr:rowOff>
                  </to>
                </anchor>
              </controlPr>
            </control>
          </mc:Choice>
        </mc:AlternateContent>
        <mc:AlternateContent xmlns:mc="http://schemas.openxmlformats.org/markup-compatibility/2006">
          <mc:Choice Requires="x14">
            <control shapeId="1043" r:id="rId19" name="Button 19">
              <controlPr defaultSize="0" print="0" autoFill="0" autoPict="0" macro="[0]!add_annuity_payment">
                <anchor moveWithCells="1" sizeWithCells="1">
                  <from>
                    <xdr:col>1</xdr:col>
                    <xdr:colOff>60960</xdr:colOff>
                    <xdr:row>90</xdr:row>
                    <xdr:rowOff>45720</xdr:rowOff>
                  </from>
                  <to>
                    <xdr:col>1</xdr:col>
                    <xdr:colOff>1036320</xdr:colOff>
                    <xdr:row>92</xdr:row>
                    <xdr:rowOff>45720</xdr:rowOff>
                  </to>
                </anchor>
              </controlPr>
            </control>
          </mc:Choice>
        </mc:AlternateContent>
        <mc:AlternateContent xmlns:mc="http://schemas.openxmlformats.org/markup-compatibility/2006">
          <mc:Choice Requires="x14">
            <control shapeId="1044" r:id="rId20" name="Button 20">
              <controlPr defaultSize="0" print="0" autoFill="0" autoPict="0" macro="[0]!rap">
                <anchor moveWithCells="1" sizeWithCells="1">
                  <from>
                    <xdr:col>1</xdr:col>
                    <xdr:colOff>1150620</xdr:colOff>
                    <xdr:row>90</xdr:row>
                    <xdr:rowOff>45720</xdr:rowOff>
                  </from>
                  <to>
                    <xdr:col>1</xdr:col>
                    <xdr:colOff>2133600</xdr:colOff>
                    <xdr:row>92</xdr:row>
                    <xdr:rowOff>45720</xdr:rowOff>
                  </to>
                </anchor>
              </controlPr>
            </control>
          </mc:Choice>
        </mc:AlternateContent>
        <mc:AlternateContent xmlns:mc="http://schemas.openxmlformats.org/markup-compatibility/2006">
          <mc:Choice Requires="x14">
            <control shapeId="1045" r:id="rId21" name="Button 21">
              <controlPr defaultSize="0" print="0" autoFill="0" autoPict="0" macro="[0]!solver">
                <anchor moveWithCells="1" sizeWithCells="1">
                  <from>
                    <xdr:col>3</xdr:col>
                    <xdr:colOff>114300</xdr:colOff>
                    <xdr:row>109</xdr:row>
                    <xdr:rowOff>22860</xdr:rowOff>
                  </from>
                  <to>
                    <xdr:col>3</xdr:col>
                    <xdr:colOff>1097280</xdr:colOff>
                    <xdr:row>111</xdr:row>
                    <xdr:rowOff>22860</xdr:rowOff>
                  </to>
                </anchor>
              </controlPr>
            </control>
          </mc:Choice>
        </mc:AlternateContent>
        <mc:AlternateContent xmlns:mc="http://schemas.openxmlformats.org/markup-compatibility/2006">
          <mc:Choice Requires="x14">
            <control shapeId="1046" r:id="rId22" name="Button 22">
              <controlPr defaultSize="0" print="0" autoFill="0" autoPict="0" macro="[0]!ClearSolverData">
                <anchor moveWithCells="1" sizeWithCells="1">
                  <from>
                    <xdr:col>4</xdr:col>
                    <xdr:colOff>144780</xdr:colOff>
                    <xdr:row>109</xdr:row>
                    <xdr:rowOff>22860</xdr:rowOff>
                  </from>
                  <to>
                    <xdr:col>4</xdr:col>
                    <xdr:colOff>1127760</xdr:colOff>
                    <xdr:row>111</xdr:row>
                    <xdr:rowOff>22860</xdr:rowOff>
                  </to>
                </anchor>
              </controlPr>
            </control>
          </mc:Choice>
        </mc:AlternateContent>
        <mc:AlternateContent xmlns:mc="http://schemas.openxmlformats.org/markup-compatibility/2006">
          <mc:Choice Requires="x14">
            <control shapeId="1047" r:id="rId23" name="Set_compare">
              <controlPr defaultSize="0" print="0" autoFill="0" autoPict="0" macro="[0]!compare_selected">
                <anchor moveWithCells="1" sizeWithCells="1">
                  <from>
                    <xdr:col>1</xdr:col>
                    <xdr:colOff>60960</xdr:colOff>
                    <xdr:row>96</xdr:row>
                    <xdr:rowOff>0</xdr:rowOff>
                  </from>
                  <to>
                    <xdr:col>1</xdr:col>
                    <xdr:colOff>1036320</xdr:colOff>
                    <xdr:row>98</xdr:row>
                    <xdr:rowOff>0</xdr:rowOff>
                  </to>
                </anchor>
              </controlPr>
            </control>
          </mc:Choice>
        </mc:AlternateContent>
        <mc:AlternateContent xmlns:mc="http://schemas.openxmlformats.org/markup-compatibility/2006">
          <mc:Choice Requires="x14">
            <control shapeId="1048" r:id="rId24" name="Remove_compare">
              <controlPr defaultSize="0" print="0" autoFill="0" autoPict="0" macro="[0]!Call_delete_compare">
                <anchor moveWithCells="1" sizeWithCells="1">
                  <from>
                    <xdr:col>1</xdr:col>
                    <xdr:colOff>1150620</xdr:colOff>
                    <xdr:row>96</xdr:row>
                    <xdr:rowOff>0</xdr:rowOff>
                  </from>
                  <to>
                    <xdr:col>1</xdr:col>
                    <xdr:colOff>2133600</xdr:colOff>
                    <xdr:row>98</xdr:row>
                    <xdr:rowOff>0</xdr:rowOff>
                  </to>
                </anchor>
              </controlPr>
            </control>
          </mc:Choice>
        </mc:AlternateContent>
        <mc:AlternateContent xmlns:mc="http://schemas.openxmlformats.org/markup-compatibility/2006">
          <mc:Choice Requires="x14">
            <control shapeId="1049" r:id="rId25" name="Button 25">
              <controlPr defaultSize="0" print="0" autoFill="0" autoPict="0" macro="[0]!clear_all">
                <anchor moveWithCells="1" sizeWithCells="1">
                  <from>
                    <xdr:col>3</xdr:col>
                    <xdr:colOff>198120</xdr:colOff>
                    <xdr:row>13</xdr:row>
                    <xdr:rowOff>0</xdr:rowOff>
                  </from>
                  <to>
                    <xdr:col>3</xdr:col>
                    <xdr:colOff>1181100</xdr:colOff>
                    <xdr:row>15</xdr:row>
                    <xdr:rowOff>0</xdr:rowOff>
                  </to>
                </anchor>
              </controlPr>
            </control>
          </mc:Choice>
        </mc:AlternateContent>
        <mc:AlternateContent xmlns:mc="http://schemas.openxmlformats.org/markup-compatibility/2006">
          <mc:Choice Requires="x14">
            <control shapeId="1050" r:id="rId26" name="Button 26">
              <controlPr defaultSize="0" print="0" autoFill="0" autoPict="0" macro="[0]!Print_page">
                <anchor moveWithCells="1" sizeWithCells="1">
                  <from>
                    <xdr:col>4</xdr:col>
                    <xdr:colOff>60960</xdr:colOff>
                    <xdr:row>13</xdr:row>
                    <xdr:rowOff>0</xdr:rowOff>
                  </from>
                  <to>
                    <xdr:col>4</xdr:col>
                    <xdr:colOff>1036320</xdr:colOff>
                    <xdr:row>15</xdr:row>
                    <xdr:rowOff>0</xdr:rowOff>
                  </to>
                </anchor>
              </controlPr>
            </control>
          </mc:Choice>
        </mc:AlternateContent>
        <mc:AlternateContent xmlns:mc="http://schemas.openxmlformats.org/markup-compatibility/2006">
          <mc:Choice Requires="x14">
            <control shapeId="1051" r:id="rId27" name="Option Button 27">
              <controlPr defaultSize="0" autoFill="0" autoLine="0" autoPict="0" macro="[0]!nominal_real_selected">
                <anchor moveWithCells="1">
                  <from>
                    <xdr:col>4</xdr:col>
                    <xdr:colOff>518160</xdr:colOff>
                    <xdr:row>38</xdr:row>
                    <xdr:rowOff>144780</xdr:rowOff>
                  </from>
                  <to>
                    <xdr:col>4</xdr:col>
                    <xdr:colOff>807720</xdr:colOff>
                    <xdr:row>40</xdr:row>
                    <xdr:rowOff>22860</xdr:rowOff>
                  </to>
                </anchor>
              </controlPr>
            </control>
          </mc:Choice>
        </mc:AlternateContent>
        <mc:AlternateContent xmlns:mc="http://schemas.openxmlformats.org/markup-compatibility/2006">
          <mc:Choice Requires="x14">
            <control shapeId="1052" r:id="rId28" name="Option Button 28">
              <controlPr defaultSize="0" autoFill="0" autoLine="0" autoPict="0" macro="[0]!nominal_real_selected">
                <anchor moveWithCells="1">
                  <from>
                    <xdr:col>3</xdr:col>
                    <xdr:colOff>525780</xdr:colOff>
                    <xdr:row>38</xdr:row>
                    <xdr:rowOff>144780</xdr:rowOff>
                  </from>
                  <to>
                    <xdr:col>3</xdr:col>
                    <xdr:colOff>822960</xdr:colOff>
                    <xdr:row>40</xdr:row>
                    <xdr:rowOff>22860</xdr:rowOff>
                  </to>
                </anchor>
              </controlPr>
            </control>
          </mc:Choice>
        </mc:AlternateContent>
        <mc:AlternateContent xmlns:mc="http://schemas.openxmlformats.org/markup-compatibility/2006">
          <mc:Choice Requires="x14">
            <control shapeId="1055" r:id="rId29" name="Check Box 31">
              <controlPr defaultSize="0" autoFill="0" autoLine="0" autoPict="0" macro="[0]!Input_message_tick_selected">
                <anchor moveWithCells="1">
                  <from>
                    <xdr:col>1</xdr:col>
                    <xdr:colOff>1097280</xdr:colOff>
                    <xdr:row>13</xdr:row>
                    <xdr:rowOff>45720</xdr:rowOff>
                  </from>
                  <to>
                    <xdr:col>1</xdr:col>
                    <xdr:colOff>1470660</xdr:colOff>
                    <xdr:row>14</xdr:row>
                    <xdr:rowOff>106680</xdr:rowOff>
                  </to>
                </anchor>
              </controlPr>
            </control>
          </mc:Choice>
        </mc:AlternateContent>
        <mc:AlternateContent xmlns:mc="http://schemas.openxmlformats.org/markup-compatibility/2006">
          <mc:Choice Requires="x14">
            <control shapeId="1056" r:id="rId30" name="Button 32">
              <controlPr defaultSize="0" print="0" autoFill="0" autoPict="0" macro="[0]!go_to_logo_sheet">
                <anchor moveWithCells="1" sizeWithCells="1">
                  <from>
                    <xdr:col>1</xdr:col>
                    <xdr:colOff>60960</xdr:colOff>
                    <xdr:row>125</xdr:row>
                    <xdr:rowOff>0</xdr:rowOff>
                  </from>
                  <to>
                    <xdr:col>1</xdr:col>
                    <xdr:colOff>1036320</xdr:colOff>
                    <xdr:row>127</xdr:row>
                    <xdr:rowOff>0</xdr:rowOff>
                  </to>
                </anchor>
              </controlPr>
            </control>
          </mc:Choice>
        </mc:AlternateContent>
        <mc:AlternateContent xmlns:mc="http://schemas.openxmlformats.org/markup-compatibility/2006">
          <mc:Choice Requires="x14">
            <control shapeId="1057" r:id="rId31" name="View_help">
              <controlPr defaultSize="0" print="0" autoFill="0" autoPict="0" macro="[0]!view_help_scenarios">
                <anchor moveWithCells="1" sizeWithCells="1">
                  <from>
                    <xdr:col>1</xdr:col>
                    <xdr:colOff>60960</xdr:colOff>
                    <xdr:row>128</xdr:row>
                    <xdr:rowOff>22860</xdr:rowOff>
                  </from>
                  <to>
                    <xdr:col>1</xdr:col>
                    <xdr:colOff>1036320</xdr:colOff>
                    <xdr:row>130</xdr:row>
                    <xdr:rowOff>144780</xdr:rowOff>
                  </to>
                </anchor>
              </controlPr>
            </control>
          </mc:Choice>
        </mc:AlternateContent>
        <mc:AlternateContent xmlns:mc="http://schemas.openxmlformats.org/markup-compatibility/2006">
          <mc:Choice Requires="x14">
            <control shapeId="1058" r:id="rId32" name="Hide_help">
              <controlPr defaultSize="0" print="0" autoFill="0" autoPict="0" macro="[0]!hide_help_scenarios">
                <anchor moveWithCells="1" sizeWithCells="1">
                  <from>
                    <xdr:col>1</xdr:col>
                    <xdr:colOff>68580</xdr:colOff>
                    <xdr:row>128</xdr:row>
                    <xdr:rowOff>22860</xdr:rowOff>
                  </from>
                  <to>
                    <xdr:col>1</xdr:col>
                    <xdr:colOff>1051560</xdr:colOff>
                    <xdr:row>130</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
  <sheetViews>
    <sheetView showGridLines="0" showRowColHeaders="0" tabSelected="1" topLeftCell="A28" zoomScaleNormal="100" workbookViewId="0">
      <selection activeCell="AE31" sqref="AE31"/>
    </sheetView>
  </sheetViews>
  <sheetFormatPr defaultRowHeight="13.2" x14ac:dyDescent="0.25"/>
  <sheetData/>
  <sheetProtection password="CD91" sheet="1" objects="1" scenarios="1"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
  <sheetViews>
    <sheetView showGridLines="0" showRowColHeaders="0" zoomScale="76" workbookViewId="0">
      <selection activeCell="H46" sqref="H46"/>
    </sheetView>
  </sheetViews>
  <sheetFormatPr defaultRowHeight="13.2" x14ac:dyDescent="0.25"/>
  <sheetData/>
  <sheetProtection password="CD91" sheet="1" objects="1" scenarios="1" selectLockedCells="1" selectUn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A14"/>
  <sheetViews>
    <sheetView showGridLines="0" showRowColHeaders="0" zoomScale="130" zoomScaleNormal="130" workbookViewId="0">
      <selection activeCell="C6" sqref="C6"/>
    </sheetView>
  </sheetViews>
  <sheetFormatPr defaultRowHeight="13.2" x14ac:dyDescent="0.25"/>
  <cols>
    <col min="1" max="1" width="9.109375"/>
    <col min="2" max="2" width="1.44140625" customWidth="1"/>
    <col min="3" max="26" width="2.109375" customWidth="1"/>
    <col min="27" max="27" width="1.44140625" customWidth="1"/>
  </cols>
  <sheetData>
    <row r="2" spans="2:27" x14ac:dyDescent="0.25">
      <c r="C2" s="195" t="s">
        <v>183</v>
      </c>
      <c r="D2" s="195"/>
      <c r="E2" s="195"/>
      <c r="F2" s="195"/>
      <c r="G2" s="195"/>
      <c r="H2" s="195"/>
      <c r="I2" s="195"/>
      <c r="J2" s="195"/>
      <c r="K2" s="195"/>
      <c r="L2" s="195"/>
      <c r="M2" s="195"/>
      <c r="N2" s="195"/>
      <c r="O2" s="195"/>
      <c r="P2" s="195"/>
      <c r="Q2" s="195"/>
      <c r="R2" s="195"/>
      <c r="S2" s="195"/>
      <c r="T2" s="195"/>
      <c r="U2" s="195"/>
      <c r="V2" s="195"/>
      <c r="W2" s="195"/>
      <c r="X2" s="195"/>
      <c r="Y2" s="195"/>
      <c r="Z2" s="195"/>
    </row>
    <row r="3" spans="2:27" x14ac:dyDescent="0.25">
      <c r="C3" s="195"/>
      <c r="D3" s="195"/>
      <c r="E3" s="195"/>
      <c r="F3" s="195"/>
      <c r="G3" s="195"/>
      <c r="H3" s="195"/>
      <c r="I3" s="195"/>
      <c r="J3" s="195"/>
      <c r="K3" s="195"/>
      <c r="L3" s="195"/>
      <c r="M3" s="195"/>
      <c r="N3" s="195"/>
      <c r="O3" s="195"/>
      <c r="P3" s="195"/>
      <c r="Q3" s="195"/>
      <c r="R3" s="195"/>
      <c r="S3" s="195"/>
      <c r="T3" s="195"/>
      <c r="U3" s="195"/>
      <c r="V3" s="195"/>
      <c r="W3" s="195"/>
      <c r="X3" s="195"/>
      <c r="Y3" s="195"/>
      <c r="Z3" s="195"/>
    </row>
    <row r="4" spans="2:27" x14ac:dyDescent="0.25">
      <c r="C4" s="195"/>
      <c r="D4" s="195"/>
      <c r="E4" s="195"/>
      <c r="F4" s="195"/>
      <c r="G4" s="195"/>
      <c r="H4" s="195"/>
      <c r="I4" s="195"/>
      <c r="J4" s="195"/>
      <c r="K4" s="195"/>
      <c r="L4" s="195"/>
      <c r="M4" s="195"/>
      <c r="N4" s="195"/>
      <c r="O4" s="195"/>
      <c r="P4" s="195"/>
      <c r="Q4" s="195"/>
      <c r="R4" s="195"/>
      <c r="S4" s="195"/>
      <c r="T4" s="195"/>
      <c r="U4" s="195"/>
      <c r="V4" s="195"/>
      <c r="W4" s="195"/>
      <c r="X4" s="195"/>
      <c r="Y4" s="195"/>
      <c r="Z4" s="195"/>
    </row>
    <row r="5" spans="2:27" ht="7.5" customHeight="1" x14ac:dyDescent="0.25">
      <c r="B5" s="110"/>
      <c r="C5" s="110"/>
      <c r="D5" s="110"/>
      <c r="E5" s="110"/>
      <c r="F5" s="110"/>
      <c r="G5" s="110"/>
      <c r="H5" s="110"/>
      <c r="I5" s="110"/>
      <c r="J5" s="110"/>
      <c r="K5" s="110"/>
      <c r="L5" s="110"/>
      <c r="M5" s="110"/>
      <c r="N5" s="110"/>
      <c r="O5" s="110"/>
      <c r="P5" s="110"/>
      <c r="Q5" s="110"/>
      <c r="R5" s="110"/>
      <c r="S5" s="110"/>
      <c r="T5" s="110"/>
      <c r="U5" s="110"/>
      <c r="V5" s="110"/>
      <c r="W5" s="110"/>
      <c r="X5" s="110"/>
      <c r="Y5" s="110"/>
      <c r="Z5" s="110"/>
      <c r="AA5" s="110"/>
    </row>
    <row r="6" spans="2:27" x14ac:dyDescent="0.25">
      <c r="B6" s="110"/>
      <c r="AA6" s="110"/>
    </row>
    <row r="7" spans="2:27" x14ac:dyDescent="0.25">
      <c r="B7" s="110"/>
      <c r="AA7" s="110"/>
    </row>
    <row r="8" spans="2:27" x14ac:dyDescent="0.25">
      <c r="B8" s="110"/>
      <c r="AA8" s="110"/>
    </row>
    <row r="9" spans="2:27" x14ac:dyDescent="0.25">
      <c r="B9" s="110"/>
      <c r="AA9" s="110"/>
    </row>
    <row r="10" spans="2:27" x14ac:dyDescent="0.25">
      <c r="B10" s="110"/>
      <c r="AA10" s="110"/>
    </row>
    <row r="11" spans="2:27" x14ac:dyDescent="0.25">
      <c r="B11" s="110"/>
      <c r="AA11" s="110"/>
    </row>
    <row r="12" spans="2:27" x14ac:dyDescent="0.25">
      <c r="B12" s="110"/>
      <c r="AA12" s="110"/>
    </row>
    <row r="13" spans="2:27" x14ac:dyDescent="0.25">
      <c r="B13" s="110"/>
      <c r="AA13" s="110"/>
    </row>
    <row r="14" spans="2:27" ht="7.5" customHeight="1" x14ac:dyDescent="0.25">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c r="AA14" s="110"/>
    </row>
  </sheetData>
  <mergeCells count="1">
    <mergeCell ref="C2:Z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opy_logo">
                <anchor moveWithCells="1" sizeWithCells="1">
                  <from>
                    <xdr:col>8</xdr:col>
                    <xdr:colOff>114300</xdr:colOff>
                    <xdr:row>14</xdr:row>
                    <xdr:rowOff>121920</xdr:rowOff>
                  </from>
                  <to>
                    <xdr:col>17</xdr:col>
                    <xdr:colOff>45720</xdr:colOff>
                    <xdr:row>16</xdr:row>
                    <xdr:rowOff>121920</xdr:rowOff>
                  </to>
                </anchor>
              </controlPr>
            </control>
          </mc:Choice>
        </mc:AlternateContent>
        <mc:AlternateContent xmlns:mc="http://schemas.openxmlformats.org/markup-compatibility/2006">
          <mc:Choice Requires="x14">
            <control shapeId="5122" r:id="rId4" name="Button 2">
              <controlPr defaultSize="0" print="0" autoFill="0" autoPict="0" macro="[0]!return_to_tool">
                <anchor moveWithCells="1" sizeWithCells="1">
                  <from>
                    <xdr:col>8</xdr:col>
                    <xdr:colOff>114300</xdr:colOff>
                    <xdr:row>17</xdr:row>
                    <xdr:rowOff>121920</xdr:rowOff>
                  </from>
                  <to>
                    <xdr:col>17</xdr:col>
                    <xdr:colOff>45720</xdr:colOff>
                    <xdr:row>19</xdr:row>
                    <xdr:rowOff>121920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B5:BU455"/>
  <sheetViews>
    <sheetView showGridLines="0" showRowColHeaders="0" view="pageLayout" zoomScaleNormal="100" workbookViewId="0">
      <selection activeCell="B4" sqref="B4"/>
    </sheetView>
  </sheetViews>
  <sheetFormatPr defaultRowHeight="13.2" x14ac:dyDescent="0.25"/>
  <cols>
    <col min="1" max="74" width="2" customWidth="1"/>
  </cols>
  <sheetData>
    <row r="5" spans="2:66" x14ac:dyDescent="0.25">
      <c r="B5" s="236" t="s">
        <v>145</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row>
    <row r="6" spans="2:66" x14ac:dyDescent="0.25">
      <c r="B6" s="236"/>
      <c r="C6" s="236"/>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row>
    <row r="7" spans="2:66" x14ac:dyDescent="0.25">
      <c r="B7" t="s">
        <v>181</v>
      </c>
    </row>
    <row r="8" spans="2:66" x14ac:dyDescent="0.25">
      <c r="B8" t="s">
        <v>182</v>
      </c>
    </row>
    <row r="10" spans="2:66" x14ac:dyDescent="0.25">
      <c r="B10" s="3" t="s">
        <v>0</v>
      </c>
    </row>
    <row r="12" spans="2:66" x14ac:dyDescent="0.25">
      <c r="B12" t="s">
        <v>1</v>
      </c>
      <c r="AW12" s="237" t="str">
        <f>IF('Financial Planning Tool'!C19&lt;&gt;"",'Financial Planning Tool'!C19,"")</f>
        <v>Mr Example</v>
      </c>
      <c r="AX12" s="238"/>
      <c r="AY12" s="238"/>
      <c r="AZ12" s="238"/>
      <c r="BA12" s="238"/>
      <c r="BB12" s="238"/>
      <c r="BC12" s="238"/>
      <c r="BD12" s="238"/>
      <c r="BE12" s="238"/>
      <c r="BF12" s="238"/>
      <c r="BG12" s="238"/>
      <c r="BH12" s="238"/>
      <c r="BI12" s="238"/>
      <c r="BJ12" s="238"/>
      <c r="BK12" s="238"/>
      <c r="BL12" s="238"/>
      <c r="BM12" s="238"/>
      <c r="BN12" s="239"/>
    </row>
    <row r="13" spans="2:66" x14ac:dyDescent="0.25">
      <c r="B13" t="s">
        <v>146</v>
      </c>
      <c r="AW13" s="240">
        <f>IF('Financial Planning Tool'!C20&lt;&gt;"",'Financial Planning Tool'!C20,"")</f>
        <v>25569</v>
      </c>
      <c r="AX13" s="241"/>
      <c r="AY13" s="241"/>
      <c r="AZ13" s="241"/>
      <c r="BA13" s="241"/>
      <c r="BB13" s="241"/>
      <c r="BC13" s="241"/>
      <c r="BD13" s="241"/>
      <c r="BE13" s="241"/>
      <c r="BF13" s="241"/>
      <c r="BG13" s="241"/>
      <c r="BH13" s="241"/>
      <c r="BI13" s="241"/>
      <c r="BJ13" s="241"/>
      <c r="BK13" s="241"/>
      <c r="BL13" s="241"/>
      <c r="BM13" s="241"/>
      <c r="BN13" s="242"/>
    </row>
    <row r="15" spans="2:66" x14ac:dyDescent="0.25">
      <c r="B15" s="3" t="s">
        <v>2</v>
      </c>
    </row>
    <row r="17" spans="2:66" x14ac:dyDescent="0.25">
      <c r="B17" t="s">
        <v>98</v>
      </c>
      <c r="AW17" s="240">
        <f ca="1">'Financial Planning Tool'!D24</f>
        <v>45647</v>
      </c>
      <c r="AX17" s="238"/>
      <c r="AY17" s="238"/>
      <c r="AZ17" s="238"/>
      <c r="BA17" s="238"/>
      <c r="BB17" s="238"/>
      <c r="BC17" s="238"/>
      <c r="BD17" s="238"/>
      <c r="BE17" s="238"/>
      <c r="BF17" s="238"/>
      <c r="BG17" s="238"/>
      <c r="BH17" s="238"/>
      <c r="BI17" s="238"/>
      <c r="BJ17" s="238"/>
      <c r="BK17" s="238"/>
      <c r="BL17" s="238"/>
      <c r="BM17" s="238"/>
      <c r="BN17" s="239"/>
    </row>
    <row r="18" spans="2:66" x14ac:dyDescent="0.25">
      <c r="B18" t="s">
        <v>3</v>
      </c>
      <c r="AW18" s="237">
        <f>IF('Financial Planning Tool'!D25&lt;&gt;"",'Financial Planning Tool'!D25,"")</f>
        <v>36</v>
      </c>
      <c r="AX18" s="238"/>
      <c r="AY18" s="238"/>
      <c r="AZ18" s="238"/>
      <c r="BA18" s="238"/>
      <c r="BB18" s="238"/>
      <c r="BC18" s="238"/>
      <c r="BD18" s="238"/>
      <c r="BE18" s="238"/>
      <c r="BF18" s="238"/>
      <c r="BG18" s="238"/>
      <c r="BH18" s="238"/>
      <c r="BI18" s="238"/>
      <c r="BJ18" s="238"/>
      <c r="BK18" s="238"/>
      <c r="BL18" s="238"/>
      <c r="BM18" s="238"/>
      <c r="BN18" s="239"/>
    </row>
    <row r="19" spans="2:66" x14ac:dyDescent="0.25">
      <c r="B19" t="s">
        <v>4</v>
      </c>
      <c r="AW19" s="237">
        <f>IF(AW13="","",'Financial Planning Tool'!D26)</f>
        <v>90</v>
      </c>
      <c r="AX19" s="238"/>
      <c r="AY19" s="238"/>
      <c r="AZ19" s="238"/>
      <c r="BA19" s="238"/>
      <c r="BB19" s="238"/>
      <c r="BC19" s="238"/>
      <c r="BD19" s="238"/>
      <c r="BE19" s="238"/>
      <c r="BF19" s="238"/>
      <c r="BG19" s="238"/>
      <c r="BH19" s="238"/>
      <c r="BI19" s="238"/>
      <c r="BJ19" s="238"/>
      <c r="BK19" s="238"/>
      <c r="BL19" s="238"/>
      <c r="BM19" s="238"/>
      <c r="BN19" s="239"/>
    </row>
    <row r="21" spans="2:66" x14ac:dyDescent="0.25">
      <c r="B21" s="3" t="s">
        <v>5</v>
      </c>
    </row>
    <row r="22" spans="2:66" x14ac:dyDescent="0.25">
      <c r="B22" t="s">
        <v>6</v>
      </c>
      <c r="AW22" s="243">
        <f>'Financial Planning Tool'!D29</f>
        <v>9</v>
      </c>
      <c r="AX22" s="244"/>
      <c r="AY22" s="244"/>
      <c r="AZ22" s="244"/>
      <c r="BA22" s="244"/>
      <c r="BB22" s="244"/>
      <c r="BC22" s="244"/>
      <c r="BD22" s="244"/>
      <c r="BE22" s="244"/>
      <c r="BF22" s="244"/>
      <c r="BG22" s="244"/>
      <c r="BH22" s="244"/>
      <c r="BI22" s="244"/>
      <c r="BJ22" s="244"/>
      <c r="BK22" s="244"/>
      <c r="BL22" s="244"/>
      <c r="BM22" s="244"/>
      <c r="BN22" s="245"/>
    </row>
    <row r="23" spans="2:66" x14ac:dyDescent="0.25">
      <c r="B23" t="s">
        <v>7</v>
      </c>
      <c r="AW23" s="243">
        <f>'Financial Planning Tool'!D30</f>
        <v>4</v>
      </c>
      <c r="AX23" s="244"/>
      <c r="AY23" s="244"/>
      <c r="AZ23" s="244"/>
      <c r="BA23" s="244"/>
      <c r="BB23" s="244"/>
      <c r="BC23" s="244"/>
      <c r="BD23" s="244"/>
      <c r="BE23" s="244"/>
      <c r="BF23" s="244"/>
      <c r="BG23" s="244"/>
      <c r="BH23" s="244"/>
      <c r="BI23" s="244"/>
      <c r="BJ23" s="244"/>
      <c r="BK23" s="244"/>
      <c r="BL23" s="244"/>
      <c r="BM23" s="244"/>
      <c r="BN23" s="245"/>
    </row>
    <row r="25" spans="2:66" x14ac:dyDescent="0.25">
      <c r="B25" s="3" t="s">
        <v>193</v>
      </c>
      <c r="AW25" s="246" t="s">
        <v>147</v>
      </c>
      <c r="AX25" s="246"/>
      <c r="AY25" s="246"/>
      <c r="AZ25" s="246"/>
      <c r="BA25" s="246"/>
      <c r="BB25" s="246"/>
      <c r="BC25" s="246"/>
      <c r="BD25" s="246"/>
      <c r="BE25" s="246"/>
      <c r="BF25" s="246" t="s">
        <v>148</v>
      </c>
      <c r="BG25" s="246"/>
      <c r="BH25" s="246"/>
      <c r="BI25" s="246"/>
      <c r="BJ25" s="246"/>
      <c r="BK25" s="246"/>
      <c r="BL25" s="246"/>
      <c r="BM25" s="246"/>
      <c r="BN25" s="246"/>
    </row>
    <row r="26" spans="2:66" x14ac:dyDescent="0.25">
      <c r="B26" t="s">
        <v>8</v>
      </c>
      <c r="AW26" s="243">
        <f>'Financial Planning Tool'!D33</f>
        <v>0</v>
      </c>
      <c r="AX26" s="244"/>
      <c r="AY26" s="244"/>
      <c r="AZ26" s="244"/>
      <c r="BA26" s="244"/>
      <c r="BB26" s="244"/>
      <c r="BC26" s="244"/>
      <c r="BD26" s="244"/>
      <c r="BE26" s="245"/>
      <c r="BF26" s="244">
        <f>'Financial Planning Tool'!E33</f>
        <v>0</v>
      </c>
      <c r="BG26" s="244"/>
      <c r="BH26" s="244"/>
      <c r="BI26" s="244"/>
      <c r="BJ26" s="244"/>
      <c r="BK26" s="244"/>
      <c r="BL26" s="244"/>
      <c r="BM26" s="244"/>
      <c r="BN26" s="245"/>
    </row>
    <row r="27" spans="2:66" x14ac:dyDescent="0.25">
      <c r="B27" t="s">
        <v>9</v>
      </c>
      <c r="AW27" s="243">
        <f>'Financial Planning Tool'!D34</f>
        <v>0</v>
      </c>
      <c r="AX27" s="244"/>
      <c r="AY27" s="244"/>
      <c r="AZ27" s="244"/>
      <c r="BA27" s="244"/>
      <c r="BB27" s="244"/>
      <c r="BC27" s="244"/>
      <c r="BD27" s="244"/>
      <c r="BE27" s="245"/>
      <c r="BF27" s="244">
        <f>'Financial Planning Tool'!E34</f>
        <v>0</v>
      </c>
      <c r="BG27" s="244"/>
      <c r="BH27" s="244"/>
      <c r="BI27" s="244"/>
      <c r="BJ27" s="244"/>
      <c r="BK27" s="244"/>
      <c r="BL27" s="244"/>
      <c r="BM27" s="244"/>
      <c r="BN27" s="245"/>
    </row>
    <row r="28" spans="2:66" x14ac:dyDescent="0.25">
      <c r="B28" t="s">
        <v>10</v>
      </c>
      <c r="AW28" s="243">
        <f>'Financial Planning Tool'!D35</f>
        <v>0</v>
      </c>
      <c r="AX28" s="244"/>
      <c r="AY28" s="244"/>
      <c r="AZ28" s="244"/>
      <c r="BA28" s="244"/>
      <c r="BB28" s="244"/>
      <c r="BC28" s="244"/>
      <c r="BD28" s="244"/>
      <c r="BE28" s="245"/>
      <c r="BF28" s="244">
        <f>'Financial Planning Tool'!E35</f>
        <v>0</v>
      </c>
      <c r="BG28" s="244"/>
      <c r="BH28" s="244"/>
      <c r="BI28" s="244"/>
      <c r="BJ28" s="244"/>
      <c r="BK28" s="244"/>
      <c r="BL28" s="244"/>
      <c r="BM28" s="244"/>
      <c r="BN28" s="245"/>
    </row>
    <row r="30" spans="2:66" x14ac:dyDescent="0.25">
      <c r="B30" t="s">
        <v>149</v>
      </c>
    </row>
    <row r="31" spans="2:66" x14ac:dyDescent="0.25">
      <c r="B31" t="s">
        <v>150</v>
      </c>
    </row>
    <row r="32" spans="2:66" x14ac:dyDescent="0.25">
      <c r="B32" t="s">
        <v>151</v>
      </c>
    </row>
    <row r="34" spans="2:66" x14ac:dyDescent="0.25">
      <c r="B34" s="3" t="s">
        <v>11</v>
      </c>
      <c r="AC34" s="14"/>
      <c r="AD34" s="14"/>
      <c r="AE34" s="14"/>
      <c r="AF34" s="14"/>
      <c r="AG34" s="14"/>
      <c r="AH34" s="14"/>
      <c r="AI34" s="14"/>
      <c r="AJ34" s="14"/>
      <c r="AK34" s="14"/>
      <c r="AL34" s="14"/>
      <c r="AM34" s="14"/>
      <c r="AN34" s="14"/>
      <c r="AO34" s="14"/>
      <c r="AP34" s="14"/>
      <c r="AQ34" s="14"/>
      <c r="AR34" s="14"/>
      <c r="AS34" s="14"/>
      <c r="AT34" s="14"/>
    </row>
    <row r="35" spans="2:66" x14ac:dyDescent="0.25">
      <c r="B35" s="247" t="s">
        <v>96</v>
      </c>
      <c r="C35" s="247"/>
      <c r="D35" s="247"/>
      <c r="E35" s="247"/>
      <c r="F35" s="247"/>
      <c r="G35" s="247"/>
      <c r="H35" s="247"/>
      <c r="I35" s="247"/>
      <c r="J35" s="247"/>
      <c r="K35" s="247"/>
      <c r="L35" s="247"/>
      <c r="M35" s="247"/>
      <c r="N35" s="247"/>
      <c r="O35" s="247" t="s">
        <v>23</v>
      </c>
      <c r="P35" s="247"/>
      <c r="Q35" s="247"/>
      <c r="R35" s="247"/>
      <c r="S35" s="247"/>
      <c r="T35" s="247"/>
      <c r="U35" s="247"/>
      <c r="V35" s="247"/>
      <c r="W35" s="247" t="s">
        <v>152</v>
      </c>
      <c r="X35" s="247"/>
      <c r="Y35" s="247"/>
      <c r="Z35" s="247"/>
      <c r="AA35" s="247"/>
      <c r="AB35" s="247"/>
      <c r="AC35" s="247"/>
      <c r="AD35" s="247"/>
      <c r="AE35" s="247"/>
      <c r="AF35" s="247"/>
      <c r="AG35" s="247" t="s">
        <v>153</v>
      </c>
      <c r="AH35" s="247"/>
      <c r="AI35" s="247"/>
      <c r="AJ35" s="247"/>
      <c r="AK35" s="247"/>
      <c r="AL35" s="247"/>
      <c r="AM35" s="247"/>
      <c r="AN35" s="247"/>
      <c r="AO35" s="247"/>
      <c r="AP35" s="248"/>
      <c r="AQ35" s="247" t="s">
        <v>98</v>
      </c>
      <c r="AR35" s="247"/>
      <c r="AS35" s="247"/>
      <c r="AT35" s="247"/>
      <c r="AU35" s="247"/>
      <c r="AV35" s="247"/>
      <c r="AW35" s="247"/>
      <c r="AX35" s="247"/>
      <c r="AY35" s="249" t="s">
        <v>30</v>
      </c>
      <c r="AZ35" s="247"/>
      <c r="BA35" s="247"/>
      <c r="BB35" s="247"/>
      <c r="BC35" s="247"/>
      <c r="BD35" s="247"/>
      <c r="BE35" s="247"/>
      <c r="BF35" s="247"/>
      <c r="BG35" s="247" t="s">
        <v>104</v>
      </c>
      <c r="BH35" s="247"/>
      <c r="BI35" s="247"/>
      <c r="BJ35" s="247"/>
      <c r="BK35" s="247"/>
      <c r="BL35" s="247"/>
      <c r="BM35" s="247"/>
      <c r="BN35" s="247"/>
    </row>
    <row r="36" spans="2:66" x14ac:dyDescent="0.25">
      <c r="B36" s="173" t="str">
        <f ca="1">'Financial Planning Tool'!EY11</f>
        <v>Liberty RA</v>
      </c>
      <c r="C36" s="250"/>
      <c r="D36" s="250"/>
      <c r="E36" s="250"/>
      <c r="F36" s="250"/>
      <c r="G36" s="250"/>
      <c r="H36" s="250"/>
      <c r="I36" s="250"/>
      <c r="J36" s="250"/>
      <c r="K36" s="250"/>
      <c r="L36" s="250"/>
      <c r="M36" s="250"/>
      <c r="N36" s="250"/>
      <c r="O36" s="173" t="str">
        <f ca="1">'Financial Planning Tool'!EZ11</f>
        <v>Once-off</v>
      </c>
      <c r="P36" s="250"/>
      <c r="Q36" s="250"/>
      <c r="R36" s="250"/>
      <c r="S36" s="250"/>
      <c r="T36" s="250"/>
      <c r="U36" s="250"/>
      <c r="V36" s="174"/>
      <c r="W36" s="251">
        <f ca="1">'Financial Planning Tool'!FA11</f>
        <v>35000</v>
      </c>
      <c r="X36" s="252"/>
      <c r="Y36" s="252"/>
      <c r="Z36" s="252"/>
      <c r="AA36" s="252"/>
      <c r="AB36" s="252"/>
      <c r="AC36" s="252"/>
      <c r="AD36" s="252"/>
      <c r="AE36" s="252"/>
      <c r="AF36" s="253"/>
      <c r="AG36" s="251">
        <f ca="1">'Financial Planning Tool'!FB11</f>
        <v>35000</v>
      </c>
      <c r="AH36" s="252"/>
      <c r="AI36" s="252"/>
      <c r="AJ36" s="252"/>
      <c r="AK36" s="252"/>
      <c r="AL36" s="252"/>
      <c r="AM36" s="252"/>
      <c r="AN36" s="252"/>
      <c r="AO36" s="252"/>
      <c r="AP36" s="253"/>
      <c r="AQ36" s="260">
        <f ca="1">'Financial Planning Tool'!FC11</f>
        <v>45627</v>
      </c>
      <c r="AR36" s="261"/>
      <c r="AS36" s="261"/>
      <c r="AT36" s="261"/>
      <c r="AU36" s="261"/>
      <c r="AV36" s="261"/>
      <c r="AW36" s="261"/>
      <c r="AX36" s="262"/>
      <c r="AY36" s="257" t="str">
        <f ca="1">'Financial Planning Tool'!FD11</f>
        <v>Once-off</v>
      </c>
      <c r="AZ36" s="258"/>
      <c r="BA36" s="258"/>
      <c r="BB36" s="258"/>
      <c r="BC36" s="258"/>
      <c r="BD36" s="258"/>
      <c r="BE36" s="258"/>
      <c r="BF36" s="259"/>
      <c r="BG36" s="254" t="str">
        <f ca="1">IFERROR(ROUND('Financial Planning Tool'!FE11,2),'Financial Planning Tool'!FE11)</f>
        <v>Once-off</v>
      </c>
      <c r="BH36" s="255"/>
      <c r="BI36" s="255"/>
      <c r="BJ36" s="255"/>
      <c r="BK36" s="255"/>
      <c r="BL36" s="255"/>
      <c r="BM36" s="255"/>
      <c r="BN36" s="256"/>
    </row>
    <row r="37" spans="2:66" x14ac:dyDescent="0.25">
      <c r="B37" s="160" t="str">
        <f ca="1">'Financial Planning Tool'!EY12</f>
        <v>Sanlam RA</v>
      </c>
      <c r="C37" s="263"/>
      <c r="D37" s="263"/>
      <c r="E37" s="263"/>
      <c r="F37" s="263"/>
      <c r="G37" s="263"/>
      <c r="H37" s="263"/>
      <c r="I37" s="263"/>
      <c r="J37" s="263"/>
      <c r="K37" s="263"/>
      <c r="L37" s="263"/>
      <c r="M37" s="263"/>
      <c r="N37" s="263"/>
      <c r="O37" s="160" t="str">
        <f ca="1">'Financial Planning Tool'!EZ12</f>
        <v>Once-off</v>
      </c>
      <c r="P37" s="263"/>
      <c r="Q37" s="263"/>
      <c r="R37" s="263"/>
      <c r="S37" s="263"/>
      <c r="T37" s="263"/>
      <c r="U37" s="263"/>
      <c r="V37" s="161"/>
      <c r="W37" s="264">
        <f ca="1">'Financial Planning Tool'!FA12</f>
        <v>75000</v>
      </c>
      <c r="X37" s="265"/>
      <c r="Y37" s="265"/>
      <c r="Z37" s="265"/>
      <c r="AA37" s="265"/>
      <c r="AB37" s="265"/>
      <c r="AC37" s="265"/>
      <c r="AD37" s="265"/>
      <c r="AE37" s="265"/>
      <c r="AF37" s="266"/>
      <c r="AG37" s="264">
        <f ca="1">'Financial Planning Tool'!FB12</f>
        <v>75000</v>
      </c>
      <c r="AH37" s="265"/>
      <c r="AI37" s="265"/>
      <c r="AJ37" s="265"/>
      <c r="AK37" s="265"/>
      <c r="AL37" s="265"/>
      <c r="AM37" s="265"/>
      <c r="AN37" s="265"/>
      <c r="AO37" s="265"/>
      <c r="AP37" s="266"/>
      <c r="AQ37" s="260">
        <f ca="1">'Financial Planning Tool'!FC12</f>
        <v>45627</v>
      </c>
      <c r="AR37" s="261"/>
      <c r="AS37" s="261"/>
      <c r="AT37" s="261"/>
      <c r="AU37" s="261"/>
      <c r="AV37" s="261"/>
      <c r="AW37" s="261"/>
      <c r="AX37" s="262"/>
      <c r="AY37" s="260" t="str">
        <f ca="1">'Financial Planning Tool'!FD12</f>
        <v>Once-off</v>
      </c>
      <c r="AZ37" s="261"/>
      <c r="BA37" s="261"/>
      <c r="BB37" s="261"/>
      <c r="BC37" s="261"/>
      <c r="BD37" s="261"/>
      <c r="BE37" s="261"/>
      <c r="BF37" s="262"/>
      <c r="BG37" s="267" t="str">
        <f ca="1">IFERROR(ROUND('Financial Planning Tool'!FE12,2),'Financial Planning Tool'!FE12)</f>
        <v>Once-off</v>
      </c>
      <c r="BH37" s="268"/>
      <c r="BI37" s="268"/>
      <c r="BJ37" s="268"/>
      <c r="BK37" s="268"/>
      <c r="BL37" s="268"/>
      <c r="BM37" s="268"/>
      <c r="BN37" s="269"/>
    </row>
    <row r="38" spans="2:66" x14ac:dyDescent="0.25">
      <c r="B38" s="160" t="str">
        <f ca="1">'Financial Planning Tool'!EY13</f>
        <v>Liberty Corporate</v>
      </c>
      <c r="C38" s="263"/>
      <c r="D38" s="263"/>
      <c r="E38" s="263"/>
      <c r="F38" s="263"/>
      <c r="G38" s="263"/>
      <c r="H38" s="263"/>
      <c r="I38" s="263"/>
      <c r="J38" s="263"/>
      <c r="K38" s="263"/>
      <c r="L38" s="263"/>
      <c r="M38" s="263"/>
      <c r="N38" s="263"/>
      <c r="O38" s="160" t="str">
        <f ca="1">'Financial Planning Tool'!EZ13</f>
        <v>Once-off</v>
      </c>
      <c r="P38" s="263"/>
      <c r="Q38" s="263"/>
      <c r="R38" s="263"/>
      <c r="S38" s="263"/>
      <c r="T38" s="263"/>
      <c r="U38" s="263"/>
      <c r="V38" s="161"/>
      <c r="W38" s="264">
        <f ca="1">'Financial Planning Tool'!FA13</f>
        <v>500000</v>
      </c>
      <c r="X38" s="265"/>
      <c r="Y38" s="265"/>
      <c r="Z38" s="265"/>
      <c r="AA38" s="265"/>
      <c r="AB38" s="265"/>
      <c r="AC38" s="265"/>
      <c r="AD38" s="265"/>
      <c r="AE38" s="265"/>
      <c r="AF38" s="266"/>
      <c r="AG38" s="264">
        <f ca="1">'Financial Planning Tool'!FB13</f>
        <v>500000</v>
      </c>
      <c r="AH38" s="265"/>
      <c r="AI38" s="265"/>
      <c r="AJ38" s="265"/>
      <c r="AK38" s="265"/>
      <c r="AL38" s="265"/>
      <c r="AM38" s="265"/>
      <c r="AN38" s="265"/>
      <c r="AO38" s="265"/>
      <c r="AP38" s="266"/>
      <c r="AQ38" s="260">
        <f ca="1">'Financial Planning Tool'!FC13</f>
        <v>45627</v>
      </c>
      <c r="AR38" s="261"/>
      <c r="AS38" s="261"/>
      <c r="AT38" s="261"/>
      <c r="AU38" s="261"/>
      <c r="AV38" s="261"/>
      <c r="AW38" s="261"/>
      <c r="AX38" s="262"/>
      <c r="AY38" s="260" t="str">
        <f ca="1">'Financial Planning Tool'!FD13</f>
        <v>Once-off</v>
      </c>
      <c r="AZ38" s="261"/>
      <c r="BA38" s="261"/>
      <c r="BB38" s="261"/>
      <c r="BC38" s="261"/>
      <c r="BD38" s="261"/>
      <c r="BE38" s="261"/>
      <c r="BF38" s="262"/>
      <c r="BG38" s="267" t="str">
        <f ca="1">IFERROR(ROUND('Financial Planning Tool'!FE13,2),'Financial Planning Tool'!FE13)</f>
        <v>Once-off</v>
      </c>
      <c r="BH38" s="268"/>
      <c r="BI38" s="268"/>
      <c r="BJ38" s="268"/>
      <c r="BK38" s="268"/>
      <c r="BL38" s="268"/>
      <c r="BM38" s="268"/>
      <c r="BN38" s="269"/>
    </row>
    <row r="39" spans="2:66" x14ac:dyDescent="0.25">
      <c r="B39" s="160" t="str">
        <f ca="1">'Financial Planning Tool'!EY14</f>
        <v>Liberty RA</v>
      </c>
      <c r="C39" s="263"/>
      <c r="D39" s="263"/>
      <c r="E39" s="263"/>
      <c r="F39" s="263"/>
      <c r="G39" s="263"/>
      <c r="H39" s="263"/>
      <c r="I39" s="263"/>
      <c r="J39" s="263"/>
      <c r="K39" s="263"/>
      <c r="L39" s="263"/>
      <c r="M39" s="263"/>
      <c r="N39" s="263"/>
      <c r="O39" s="160" t="str">
        <f ca="1">'Financial Planning Tool'!EZ14</f>
        <v>Monthly</v>
      </c>
      <c r="P39" s="263"/>
      <c r="Q39" s="263"/>
      <c r="R39" s="263"/>
      <c r="S39" s="263"/>
      <c r="T39" s="263"/>
      <c r="U39" s="263"/>
      <c r="V39" s="161"/>
      <c r="W39" s="264">
        <f ca="1">'Financial Planning Tool'!FA14</f>
        <v>500</v>
      </c>
      <c r="X39" s="265"/>
      <c r="Y39" s="265"/>
      <c r="Z39" s="265"/>
      <c r="AA39" s="265"/>
      <c r="AB39" s="265"/>
      <c r="AC39" s="265"/>
      <c r="AD39" s="265"/>
      <c r="AE39" s="265"/>
      <c r="AF39" s="266"/>
      <c r="AG39" s="264">
        <f ca="1">'Financial Planning Tool'!FB14</f>
        <v>500</v>
      </c>
      <c r="AH39" s="265"/>
      <c r="AI39" s="265"/>
      <c r="AJ39" s="265"/>
      <c r="AK39" s="265"/>
      <c r="AL39" s="265"/>
      <c r="AM39" s="265"/>
      <c r="AN39" s="265"/>
      <c r="AO39" s="265"/>
      <c r="AP39" s="266"/>
      <c r="AQ39" s="260">
        <f ca="1">'Financial Planning Tool'!FC14</f>
        <v>45627</v>
      </c>
      <c r="AR39" s="261"/>
      <c r="AS39" s="261"/>
      <c r="AT39" s="261"/>
      <c r="AU39" s="261"/>
      <c r="AV39" s="261"/>
      <c r="AW39" s="261"/>
      <c r="AX39" s="262"/>
      <c r="AY39" s="260">
        <f ca="1">'Financial Planning Tool'!FD14</f>
        <v>49614</v>
      </c>
      <c r="AZ39" s="261"/>
      <c r="BA39" s="261"/>
      <c r="BB39" s="261"/>
      <c r="BC39" s="261"/>
      <c r="BD39" s="261"/>
      <c r="BE39" s="261"/>
      <c r="BF39" s="262"/>
      <c r="BG39" s="267">
        <f ca="1">IFERROR(ROUND('Financial Planning Tool'!FE14,2),'Financial Planning Tool'!FE14)</f>
        <v>4</v>
      </c>
      <c r="BH39" s="268"/>
      <c r="BI39" s="268"/>
      <c r="BJ39" s="268"/>
      <c r="BK39" s="268"/>
      <c r="BL39" s="268"/>
      <c r="BM39" s="268"/>
      <c r="BN39" s="269"/>
    </row>
    <row r="40" spans="2:66" x14ac:dyDescent="0.25">
      <c r="B40" s="160" t="str">
        <f ca="1">'Financial Planning Tool'!EY15</f>
        <v>Sanlam RA</v>
      </c>
      <c r="C40" s="263"/>
      <c r="D40" s="263"/>
      <c r="E40" s="263"/>
      <c r="F40" s="263"/>
      <c r="G40" s="263"/>
      <c r="H40" s="263"/>
      <c r="I40" s="263"/>
      <c r="J40" s="263"/>
      <c r="K40" s="263"/>
      <c r="L40" s="263"/>
      <c r="M40" s="263"/>
      <c r="N40" s="263"/>
      <c r="O40" s="160" t="str">
        <f ca="1">'Financial Planning Tool'!EZ15</f>
        <v>Monthly</v>
      </c>
      <c r="P40" s="263"/>
      <c r="Q40" s="263"/>
      <c r="R40" s="263"/>
      <c r="S40" s="263"/>
      <c r="T40" s="263"/>
      <c r="U40" s="263"/>
      <c r="V40" s="161"/>
      <c r="W40" s="264">
        <f ca="1">'Financial Planning Tool'!FA15</f>
        <v>1000</v>
      </c>
      <c r="X40" s="265"/>
      <c r="Y40" s="265"/>
      <c r="Z40" s="265"/>
      <c r="AA40" s="265"/>
      <c r="AB40" s="265"/>
      <c r="AC40" s="265"/>
      <c r="AD40" s="265"/>
      <c r="AE40" s="265"/>
      <c r="AF40" s="266"/>
      <c r="AG40" s="264">
        <f ca="1">'Financial Planning Tool'!FB15</f>
        <v>1000</v>
      </c>
      <c r="AH40" s="265"/>
      <c r="AI40" s="265"/>
      <c r="AJ40" s="265"/>
      <c r="AK40" s="265"/>
      <c r="AL40" s="265"/>
      <c r="AM40" s="265"/>
      <c r="AN40" s="265"/>
      <c r="AO40" s="265"/>
      <c r="AP40" s="266"/>
      <c r="AQ40" s="260">
        <f ca="1">'Financial Planning Tool'!FC15</f>
        <v>45627</v>
      </c>
      <c r="AR40" s="261"/>
      <c r="AS40" s="261"/>
      <c r="AT40" s="261"/>
      <c r="AU40" s="261"/>
      <c r="AV40" s="261"/>
      <c r="AW40" s="261"/>
      <c r="AX40" s="262"/>
      <c r="AY40" s="260">
        <f ca="1">'Financial Planning Tool'!FD15</f>
        <v>49614</v>
      </c>
      <c r="AZ40" s="261"/>
      <c r="BA40" s="261"/>
      <c r="BB40" s="261"/>
      <c r="BC40" s="261"/>
      <c r="BD40" s="261"/>
      <c r="BE40" s="261"/>
      <c r="BF40" s="262"/>
      <c r="BG40" s="267">
        <f ca="1">IFERROR(ROUND('Financial Planning Tool'!FE15,2),'Financial Planning Tool'!FE15)</f>
        <v>4</v>
      </c>
      <c r="BH40" s="268"/>
      <c r="BI40" s="268"/>
      <c r="BJ40" s="268"/>
      <c r="BK40" s="268"/>
      <c r="BL40" s="268"/>
      <c r="BM40" s="268"/>
      <c r="BN40" s="269"/>
    </row>
    <row r="41" spans="2:66" x14ac:dyDescent="0.25">
      <c r="B41" s="160" t="str">
        <f ca="1">'Financial Planning Tool'!EY16</f>
        <v>Liberty Corporate Employer/Employee</v>
      </c>
      <c r="C41" s="263"/>
      <c r="D41" s="263"/>
      <c r="E41" s="263"/>
      <c r="F41" s="263"/>
      <c r="G41" s="263"/>
      <c r="H41" s="263"/>
      <c r="I41" s="263"/>
      <c r="J41" s="263"/>
      <c r="K41" s="263"/>
      <c r="L41" s="263"/>
      <c r="M41" s="263"/>
      <c r="N41" s="263"/>
      <c r="O41" s="160" t="str">
        <f ca="1">'Financial Planning Tool'!EZ16</f>
        <v>Monthly</v>
      </c>
      <c r="P41" s="263"/>
      <c r="Q41" s="263"/>
      <c r="R41" s="263"/>
      <c r="S41" s="263"/>
      <c r="T41" s="263"/>
      <c r="U41" s="263"/>
      <c r="V41" s="161"/>
      <c r="W41" s="264">
        <f ca="1">'Financial Planning Tool'!FA16</f>
        <v>3000</v>
      </c>
      <c r="X41" s="265"/>
      <c r="Y41" s="265"/>
      <c r="Z41" s="265"/>
      <c r="AA41" s="265"/>
      <c r="AB41" s="265"/>
      <c r="AC41" s="265"/>
      <c r="AD41" s="265"/>
      <c r="AE41" s="265"/>
      <c r="AF41" s="266"/>
      <c r="AG41" s="264">
        <f ca="1">'Financial Planning Tool'!FB16</f>
        <v>3000</v>
      </c>
      <c r="AH41" s="265"/>
      <c r="AI41" s="265"/>
      <c r="AJ41" s="265"/>
      <c r="AK41" s="265"/>
      <c r="AL41" s="265"/>
      <c r="AM41" s="265"/>
      <c r="AN41" s="265"/>
      <c r="AO41" s="265"/>
      <c r="AP41" s="266"/>
      <c r="AQ41" s="260">
        <f ca="1">'Financial Planning Tool'!FC16</f>
        <v>45627</v>
      </c>
      <c r="AR41" s="261"/>
      <c r="AS41" s="261"/>
      <c r="AT41" s="261"/>
      <c r="AU41" s="261"/>
      <c r="AV41" s="261"/>
      <c r="AW41" s="261"/>
      <c r="AX41" s="262"/>
      <c r="AY41" s="260">
        <f ca="1">'Financial Planning Tool'!FD16</f>
        <v>49614</v>
      </c>
      <c r="AZ41" s="261"/>
      <c r="BA41" s="261"/>
      <c r="BB41" s="261"/>
      <c r="BC41" s="261"/>
      <c r="BD41" s="261"/>
      <c r="BE41" s="261"/>
      <c r="BF41" s="262"/>
      <c r="BG41" s="267">
        <f ca="1">IFERROR(ROUND('Financial Planning Tool'!FE16,2),'Financial Planning Tool'!FE16)</f>
        <v>4</v>
      </c>
      <c r="BH41" s="268"/>
      <c r="BI41" s="268"/>
      <c r="BJ41" s="268"/>
      <c r="BK41" s="268"/>
      <c r="BL41" s="268"/>
      <c r="BM41" s="268"/>
      <c r="BN41" s="269"/>
    </row>
    <row r="42" spans="2:66" x14ac:dyDescent="0.25">
      <c r="B42" s="160" t="str">
        <f ca="1">'Financial Planning Tool'!EY17</f>
        <v>Annuity payment 1</v>
      </c>
      <c r="C42" s="263"/>
      <c r="D42" s="263"/>
      <c r="E42" s="263"/>
      <c r="F42" s="263"/>
      <c r="G42" s="263"/>
      <c r="H42" s="263"/>
      <c r="I42" s="263"/>
      <c r="J42" s="263"/>
      <c r="K42" s="263"/>
      <c r="L42" s="263"/>
      <c r="M42" s="263"/>
      <c r="N42" s="263"/>
      <c r="O42" s="160" t="str">
        <f ca="1">'Financial Planning Tool'!EZ17</f>
        <v>Monthly</v>
      </c>
      <c r="P42" s="263"/>
      <c r="Q42" s="263"/>
      <c r="R42" s="263"/>
      <c r="S42" s="263"/>
      <c r="T42" s="263"/>
      <c r="U42" s="263"/>
      <c r="V42" s="161"/>
      <c r="W42" s="264">
        <f ca="1">'Financial Planning Tool'!FA17</f>
        <v>35000</v>
      </c>
      <c r="X42" s="265"/>
      <c r="Y42" s="265"/>
      <c r="Z42" s="265"/>
      <c r="AA42" s="265"/>
      <c r="AB42" s="265"/>
      <c r="AC42" s="265"/>
      <c r="AD42" s="265"/>
      <c r="AE42" s="265"/>
      <c r="AF42" s="266"/>
      <c r="AG42" s="264">
        <f ca="1">'Financial Planning Tool'!FB17</f>
        <v>22809.762167523953</v>
      </c>
      <c r="AH42" s="265"/>
      <c r="AI42" s="265"/>
      <c r="AJ42" s="265"/>
      <c r="AK42" s="265"/>
      <c r="AL42" s="265"/>
      <c r="AM42" s="265"/>
      <c r="AN42" s="265"/>
      <c r="AO42" s="265"/>
      <c r="AP42" s="266"/>
      <c r="AQ42" s="260">
        <f ca="1">'Financial Planning Tool'!FC17</f>
        <v>49614</v>
      </c>
      <c r="AR42" s="261"/>
      <c r="AS42" s="261"/>
      <c r="AT42" s="261"/>
      <c r="AU42" s="261"/>
      <c r="AV42" s="261"/>
      <c r="AW42" s="261"/>
      <c r="AX42" s="262"/>
      <c r="AY42" s="260">
        <f ca="1">'Financial Planning Tool'!FD17</f>
        <v>82121</v>
      </c>
      <c r="AZ42" s="261"/>
      <c r="BA42" s="261"/>
      <c r="BB42" s="261"/>
      <c r="BC42" s="261"/>
      <c r="BD42" s="261"/>
      <c r="BE42" s="261"/>
      <c r="BF42" s="262"/>
      <c r="BG42" s="267">
        <f ca="1">IFERROR(ROUND('Financial Planning Tool'!FE17,2),'Financial Planning Tool'!FE17)</f>
        <v>4</v>
      </c>
      <c r="BH42" s="268"/>
      <c r="BI42" s="268"/>
      <c r="BJ42" s="268"/>
      <c r="BK42" s="268"/>
      <c r="BL42" s="268"/>
      <c r="BM42" s="268"/>
      <c r="BN42" s="269"/>
    </row>
    <row r="43" spans="2:66" x14ac:dyDescent="0.25">
      <c r="B43" s="160" t="str">
        <f ca="1">'Financial Planning Tool'!EY18</f>
        <v/>
      </c>
      <c r="C43" s="263"/>
      <c r="D43" s="263"/>
      <c r="E43" s="263"/>
      <c r="F43" s="263"/>
      <c r="G43" s="263"/>
      <c r="H43" s="263"/>
      <c r="I43" s="263"/>
      <c r="J43" s="263"/>
      <c r="K43" s="263"/>
      <c r="L43" s="263"/>
      <c r="M43" s="263"/>
      <c r="N43" s="263"/>
      <c r="O43" s="160" t="str">
        <f ca="1">'Financial Planning Tool'!EZ18</f>
        <v/>
      </c>
      <c r="P43" s="263"/>
      <c r="Q43" s="263"/>
      <c r="R43" s="263"/>
      <c r="S43" s="263"/>
      <c r="T43" s="263"/>
      <c r="U43" s="263"/>
      <c r="V43" s="161"/>
      <c r="W43" s="264" t="str">
        <f ca="1">'Financial Planning Tool'!FA18</f>
        <v/>
      </c>
      <c r="X43" s="265"/>
      <c r="Y43" s="265"/>
      <c r="Z43" s="265"/>
      <c r="AA43" s="265"/>
      <c r="AB43" s="265"/>
      <c r="AC43" s="265"/>
      <c r="AD43" s="265"/>
      <c r="AE43" s="265"/>
      <c r="AF43" s="266"/>
      <c r="AG43" s="264" t="str">
        <f ca="1">'Financial Planning Tool'!FB18</f>
        <v/>
      </c>
      <c r="AH43" s="265"/>
      <c r="AI43" s="265"/>
      <c r="AJ43" s="265"/>
      <c r="AK43" s="265"/>
      <c r="AL43" s="265"/>
      <c r="AM43" s="265"/>
      <c r="AN43" s="265"/>
      <c r="AO43" s="265"/>
      <c r="AP43" s="266"/>
      <c r="AQ43" s="260" t="str">
        <f ca="1">'Financial Planning Tool'!FC18</f>
        <v/>
      </c>
      <c r="AR43" s="261"/>
      <c r="AS43" s="261"/>
      <c r="AT43" s="261"/>
      <c r="AU43" s="261"/>
      <c r="AV43" s="261"/>
      <c r="AW43" s="261"/>
      <c r="AX43" s="262"/>
      <c r="AY43" s="260" t="str">
        <f ca="1">'Financial Planning Tool'!FD18</f>
        <v/>
      </c>
      <c r="AZ43" s="261"/>
      <c r="BA43" s="261"/>
      <c r="BB43" s="261"/>
      <c r="BC43" s="261"/>
      <c r="BD43" s="261"/>
      <c r="BE43" s="261"/>
      <c r="BF43" s="262"/>
      <c r="BG43" s="267" t="str">
        <f ca="1">IFERROR(ROUND('Financial Planning Tool'!FE18,2),'Financial Planning Tool'!FE18)</f>
        <v/>
      </c>
      <c r="BH43" s="268"/>
      <c r="BI43" s="268"/>
      <c r="BJ43" s="268"/>
      <c r="BK43" s="268"/>
      <c r="BL43" s="268"/>
      <c r="BM43" s="268"/>
      <c r="BN43" s="269"/>
    </row>
    <row r="44" spans="2:66" x14ac:dyDescent="0.25">
      <c r="B44" s="160" t="str">
        <f ca="1">'Financial Planning Tool'!EY19</f>
        <v/>
      </c>
      <c r="C44" s="263"/>
      <c r="D44" s="263"/>
      <c r="E44" s="263"/>
      <c r="F44" s="263"/>
      <c r="G44" s="263"/>
      <c r="H44" s="263"/>
      <c r="I44" s="263"/>
      <c r="J44" s="263"/>
      <c r="K44" s="263"/>
      <c r="L44" s="263"/>
      <c r="M44" s="263"/>
      <c r="N44" s="263"/>
      <c r="O44" s="160" t="str">
        <f ca="1">'Financial Planning Tool'!EZ19</f>
        <v/>
      </c>
      <c r="P44" s="263"/>
      <c r="Q44" s="263"/>
      <c r="R44" s="263"/>
      <c r="S44" s="263"/>
      <c r="T44" s="263"/>
      <c r="U44" s="263"/>
      <c r="V44" s="161"/>
      <c r="W44" s="264" t="str">
        <f ca="1">'Financial Planning Tool'!FA19</f>
        <v/>
      </c>
      <c r="X44" s="265"/>
      <c r="Y44" s="265"/>
      <c r="Z44" s="265"/>
      <c r="AA44" s="265"/>
      <c r="AB44" s="265"/>
      <c r="AC44" s="265"/>
      <c r="AD44" s="265"/>
      <c r="AE44" s="265"/>
      <c r="AF44" s="266"/>
      <c r="AG44" s="264" t="str">
        <f ca="1">'Financial Planning Tool'!FB19</f>
        <v/>
      </c>
      <c r="AH44" s="265"/>
      <c r="AI44" s="265"/>
      <c r="AJ44" s="265"/>
      <c r="AK44" s="265"/>
      <c r="AL44" s="265"/>
      <c r="AM44" s="265"/>
      <c r="AN44" s="265"/>
      <c r="AO44" s="265"/>
      <c r="AP44" s="266"/>
      <c r="AQ44" s="260" t="str">
        <f ca="1">'Financial Planning Tool'!FC19</f>
        <v/>
      </c>
      <c r="AR44" s="261"/>
      <c r="AS44" s="261"/>
      <c r="AT44" s="261"/>
      <c r="AU44" s="261"/>
      <c r="AV44" s="261"/>
      <c r="AW44" s="261"/>
      <c r="AX44" s="262"/>
      <c r="AY44" s="260" t="str">
        <f ca="1">'Financial Planning Tool'!FD19</f>
        <v/>
      </c>
      <c r="AZ44" s="261"/>
      <c r="BA44" s="261"/>
      <c r="BB44" s="261"/>
      <c r="BC44" s="261"/>
      <c r="BD44" s="261"/>
      <c r="BE44" s="261"/>
      <c r="BF44" s="262"/>
      <c r="BG44" s="267" t="str">
        <f ca="1">IFERROR(ROUND('Financial Planning Tool'!FE19,2),'Financial Planning Tool'!FE19)</f>
        <v/>
      </c>
      <c r="BH44" s="268"/>
      <c r="BI44" s="268"/>
      <c r="BJ44" s="268"/>
      <c r="BK44" s="268"/>
      <c r="BL44" s="268"/>
      <c r="BM44" s="268"/>
      <c r="BN44" s="269"/>
    </row>
    <row r="45" spans="2:66" x14ac:dyDescent="0.25">
      <c r="B45" s="160" t="str">
        <f ca="1">'Financial Planning Tool'!EY20</f>
        <v/>
      </c>
      <c r="C45" s="263"/>
      <c r="D45" s="263"/>
      <c r="E45" s="263"/>
      <c r="F45" s="263"/>
      <c r="G45" s="263"/>
      <c r="H45" s="263"/>
      <c r="I45" s="263"/>
      <c r="J45" s="263"/>
      <c r="K45" s="263"/>
      <c r="L45" s="263"/>
      <c r="M45" s="263"/>
      <c r="N45" s="263"/>
      <c r="O45" s="160" t="str">
        <f ca="1">'Financial Planning Tool'!EZ20</f>
        <v/>
      </c>
      <c r="P45" s="263"/>
      <c r="Q45" s="263"/>
      <c r="R45" s="263"/>
      <c r="S45" s="263"/>
      <c r="T45" s="263"/>
      <c r="U45" s="263"/>
      <c r="V45" s="161"/>
      <c r="W45" s="264" t="str">
        <f ca="1">'Financial Planning Tool'!FA20</f>
        <v/>
      </c>
      <c r="X45" s="265"/>
      <c r="Y45" s="265"/>
      <c r="Z45" s="265"/>
      <c r="AA45" s="265"/>
      <c r="AB45" s="265"/>
      <c r="AC45" s="265"/>
      <c r="AD45" s="265"/>
      <c r="AE45" s="265"/>
      <c r="AF45" s="266"/>
      <c r="AG45" s="264" t="str">
        <f ca="1">'Financial Planning Tool'!FB20</f>
        <v/>
      </c>
      <c r="AH45" s="265"/>
      <c r="AI45" s="265"/>
      <c r="AJ45" s="265"/>
      <c r="AK45" s="265"/>
      <c r="AL45" s="265"/>
      <c r="AM45" s="265"/>
      <c r="AN45" s="265"/>
      <c r="AO45" s="265"/>
      <c r="AP45" s="266"/>
      <c r="AQ45" s="260" t="str">
        <f ca="1">'Financial Planning Tool'!FC20</f>
        <v/>
      </c>
      <c r="AR45" s="261"/>
      <c r="AS45" s="261"/>
      <c r="AT45" s="261"/>
      <c r="AU45" s="261"/>
      <c r="AV45" s="261"/>
      <c r="AW45" s="261"/>
      <c r="AX45" s="262"/>
      <c r="AY45" s="260" t="str">
        <f ca="1">'Financial Planning Tool'!FD20</f>
        <v/>
      </c>
      <c r="AZ45" s="261"/>
      <c r="BA45" s="261"/>
      <c r="BB45" s="261"/>
      <c r="BC45" s="261"/>
      <c r="BD45" s="261"/>
      <c r="BE45" s="261"/>
      <c r="BF45" s="262"/>
      <c r="BG45" s="267" t="str">
        <f ca="1">IFERROR(ROUND('Financial Planning Tool'!FE20,2),'Financial Planning Tool'!FE20)</f>
        <v/>
      </c>
      <c r="BH45" s="268"/>
      <c r="BI45" s="268"/>
      <c r="BJ45" s="268"/>
      <c r="BK45" s="268"/>
      <c r="BL45" s="268"/>
      <c r="BM45" s="268"/>
      <c r="BN45" s="269"/>
    </row>
    <row r="46" spans="2:66" x14ac:dyDescent="0.25">
      <c r="B46" s="160" t="str">
        <f ca="1">'Financial Planning Tool'!EY21</f>
        <v/>
      </c>
      <c r="C46" s="263"/>
      <c r="D46" s="263"/>
      <c r="E46" s="263"/>
      <c r="F46" s="263"/>
      <c r="G46" s="263"/>
      <c r="H46" s="263"/>
      <c r="I46" s="263"/>
      <c r="J46" s="263"/>
      <c r="K46" s="263"/>
      <c r="L46" s="263"/>
      <c r="M46" s="263"/>
      <c r="N46" s="263"/>
      <c r="O46" s="160" t="str">
        <f ca="1">'Financial Planning Tool'!EZ21</f>
        <v/>
      </c>
      <c r="P46" s="263"/>
      <c r="Q46" s="263"/>
      <c r="R46" s="263"/>
      <c r="S46" s="263"/>
      <c r="T46" s="263"/>
      <c r="U46" s="263"/>
      <c r="V46" s="161"/>
      <c r="W46" s="264" t="str">
        <f ca="1">'Financial Planning Tool'!FA21</f>
        <v/>
      </c>
      <c r="X46" s="265"/>
      <c r="Y46" s="265"/>
      <c r="Z46" s="265"/>
      <c r="AA46" s="265"/>
      <c r="AB46" s="265"/>
      <c r="AC46" s="265"/>
      <c r="AD46" s="265"/>
      <c r="AE46" s="265"/>
      <c r="AF46" s="266"/>
      <c r="AG46" s="264" t="str">
        <f ca="1">'Financial Planning Tool'!FB21</f>
        <v/>
      </c>
      <c r="AH46" s="265"/>
      <c r="AI46" s="265"/>
      <c r="AJ46" s="265"/>
      <c r="AK46" s="265"/>
      <c r="AL46" s="265"/>
      <c r="AM46" s="265"/>
      <c r="AN46" s="265"/>
      <c r="AO46" s="265"/>
      <c r="AP46" s="266"/>
      <c r="AQ46" s="260" t="str">
        <f ca="1">'Financial Planning Tool'!FC21</f>
        <v/>
      </c>
      <c r="AR46" s="261"/>
      <c r="AS46" s="261"/>
      <c r="AT46" s="261"/>
      <c r="AU46" s="261"/>
      <c r="AV46" s="261"/>
      <c r="AW46" s="261"/>
      <c r="AX46" s="262"/>
      <c r="AY46" s="260" t="str">
        <f ca="1">'Financial Planning Tool'!FD21</f>
        <v/>
      </c>
      <c r="AZ46" s="261"/>
      <c r="BA46" s="261"/>
      <c r="BB46" s="261"/>
      <c r="BC46" s="261"/>
      <c r="BD46" s="261"/>
      <c r="BE46" s="261"/>
      <c r="BF46" s="262"/>
      <c r="BG46" s="267" t="str">
        <f ca="1">IFERROR(ROUND('Financial Planning Tool'!FE21,2),'Financial Planning Tool'!FE21)</f>
        <v/>
      </c>
      <c r="BH46" s="268"/>
      <c r="BI46" s="268"/>
      <c r="BJ46" s="268"/>
      <c r="BK46" s="268"/>
      <c r="BL46" s="268"/>
      <c r="BM46" s="268"/>
      <c r="BN46" s="269"/>
    </row>
    <row r="47" spans="2:66" x14ac:dyDescent="0.25">
      <c r="B47" s="160" t="str">
        <f ca="1">'Financial Planning Tool'!EY22</f>
        <v/>
      </c>
      <c r="C47" s="263"/>
      <c r="D47" s="263"/>
      <c r="E47" s="263"/>
      <c r="F47" s="263"/>
      <c r="G47" s="263"/>
      <c r="H47" s="263"/>
      <c r="I47" s="263"/>
      <c r="J47" s="263"/>
      <c r="K47" s="263"/>
      <c r="L47" s="263"/>
      <c r="M47" s="263"/>
      <c r="N47" s="263"/>
      <c r="O47" s="160" t="str">
        <f ca="1">'Financial Planning Tool'!EZ22</f>
        <v/>
      </c>
      <c r="P47" s="263"/>
      <c r="Q47" s="263"/>
      <c r="R47" s="263"/>
      <c r="S47" s="263"/>
      <c r="T47" s="263"/>
      <c r="U47" s="263"/>
      <c r="V47" s="161"/>
      <c r="W47" s="264" t="str">
        <f ca="1">'Financial Planning Tool'!FA22</f>
        <v/>
      </c>
      <c r="X47" s="265"/>
      <c r="Y47" s="265"/>
      <c r="Z47" s="265"/>
      <c r="AA47" s="265"/>
      <c r="AB47" s="265"/>
      <c r="AC47" s="265"/>
      <c r="AD47" s="265"/>
      <c r="AE47" s="265"/>
      <c r="AF47" s="266"/>
      <c r="AG47" s="264" t="str">
        <f ca="1">'Financial Planning Tool'!FB22</f>
        <v/>
      </c>
      <c r="AH47" s="265"/>
      <c r="AI47" s="265"/>
      <c r="AJ47" s="265"/>
      <c r="AK47" s="265"/>
      <c r="AL47" s="265"/>
      <c r="AM47" s="265"/>
      <c r="AN47" s="265"/>
      <c r="AO47" s="265"/>
      <c r="AP47" s="266"/>
      <c r="AQ47" s="260" t="str">
        <f ca="1">'Financial Planning Tool'!FC22</f>
        <v/>
      </c>
      <c r="AR47" s="261"/>
      <c r="AS47" s="261"/>
      <c r="AT47" s="261"/>
      <c r="AU47" s="261"/>
      <c r="AV47" s="261"/>
      <c r="AW47" s="261"/>
      <c r="AX47" s="262"/>
      <c r="AY47" s="260" t="str">
        <f ca="1">'Financial Planning Tool'!FD22</f>
        <v/>
      </c>
      <c r="AZ47" s="261"/>
      <c r="BA47" s="261"/>
      <c r="BB47" s="261"/>
      <c r="BC47" s="261"/>
      <c r="BD47" s="261"/>
      <c r="BE47" s="261"/>
      <c r="BF47" s="262"/>
      <c r="BG47" s="267" t="str">
        <f ca="1">IFERROR(ROUND('Financial Planning Tool'!FE22,2),'Financial Planning Tool'!FE22)</f>
        <v/>
      </c>
      <c r="BH47" s="268"/>
      <c r="BI47" s="268"/>
      <c r="BJ47" s="268"/>
      <c r="BK47" s="268"/>
      <c r="BL47" s="268"/>
      <c r="BM47" s="268"/>
      <c r="BN47" s="269"/>
    </row>
    <row r="48" spans="2:66" x14ac:dyDescent="0.25">
      <c r="B48" s="160" t="str">
        <f ca="1">'Financial Planning Tool'!EY23</f>
        <v/>
      </c>
      <c r="C48" s="263"/>
      <c r="D48" s="263"/>
      <c r="E48" s="263"/>
      <c r="F48" s="263"/>
      <c r="G48" s="263"/>
      <c r="H48" s="263"/>
      <c r="I48" s="263"/>
      <c r="J48" s="263"/>
      <c r="K48" s="263"/>
      <c r="L48" s="263"/>
      <c r="M48" s="263"/>
      <c r="N48" s="263"/>
      <c r="O48" s="160" t="str">
        <f ca="1">'Financial Planning Tool'!EZ23</f>
        <v/>
      </c>
      <c r="P48" s="263"/>
      <c r="Q48" s="263"/>
      <c r="R48" s="263"/>
      <c r="S48" s="263"/>
      <c r="T48" s="263"/>
      <c r="U48" s="263"/>
      <c r="V48" s="161"/>
      <c r="W48" s="264" t="str">
        <f ca="1">'Financial Planning Tool'!FA23</f>
        <v/>
      </c>
      <c r="X48" s="265"/>
      <c r="Y48" s="265"/>
      <c r="Z48" s="265"/>
      <c r="AA48" s="265"/>
      <c r="AB48" s="265"/>
      <c r="AC48" s="265"/>
      <c r="AD48" s="265"/>
      <c r="AE48" s="265"/>
      <c r="AF48" s="266"/>
      <c r="AG48" s="264" t="str">
        <f ca="1">'Financial Planning Tool'!FB23</f>
        <v/>
      </c>
      <c r="AH48" s="265"/>
      <c r="AI48" s="265"/>
      <c r="AJ48" s="265"/>
      <c r="AK48" s="265"/>
      <c r="AL48" s="265"/>
      <c r="AM48" s="265"/>
      <c r="AN48" s="265"/>
      <c r="AO48" s="265"/>
      <c r="AP48" s="266"/>
      <c r="AQ48" s="260" t="str">
        <f ca="1">'Financial Planning Tool'!FC23</f>
        <v/>
      </c>
      <c r="AR48" s="261"/>
      <c r="AS48" s="261"/>
      <c r="AT48" s="261"/>
      <c r="AU48" s="261"/>
      <c r="AV48" s="261"/>
      <c r="AW48" s="261"/>
      <c r="AX48" s="262"/>
      <c r="AY48" s="260" t="str">
        <f ca="1">'Financial Planning Tool'!FD23</f>
        <v/>
      </c>
      <c r="AZ48" s="261"/>
      <c r="BA48" s="261"/>
      <c r="BB48" s="261"/>
      <c r="BC48" s="261"/>
      <c r="BD48" s="261"/>
      <c r="BE48" s="261"/>
      <c r="BF48" s="262"/>
      <c r="BG48" s="267" t="str">
        <f ca="1">IFERROR(ROUND('Financial Planning Tool'!FE23,2),'Financial Planning Tool'!FE23)</f>
        <v/>
      </c>
      <c r="BH48" s="268"/>
      <c r="BI48" s="268"/>
      <c r="BJ48" s="268"/>
      <c r="BK48" s="268"/>
      <c r="BL48" s="268"/>
      <c r="BM48" s="268"/>
      <c r="BN48" s="269"/>
    </row>
    <row r="49" spans="2:66" x14ac:dyDescent="0.25">
      <c r="B49" s="160" t="str">
        <f ca="1">'Financial Planning Tool'!EY24</f>
        <v/>
      </c>
      <c r="C49" s="263"/>
      <c r="D49" s="263"/>
      <c r="E49" s="263"/>
      <c r="F49" s="263"/>
      <c r="G49" s="263"/>
      <c r="H49" s="263"/>
      <c r="I49" s="263"/>
      <c r="J49" s="263"/>
      <c r="K49" s="263"/>
      <c r="L49" s="263"/>
      <c r="M49" s="263"/>
      <c r="N49" s="263"/>
      <c r="O49" s="160" t="str">
        <f ca="1">'Financial Planning Tool'!EZ24</f>
        <v/>
      </c>
      <c r="P49" s="263"/>
      <c r="Q49" s="263"/>
      <c r="R49" s="263"/>
      <c r="S49" s="263"/>
      <c r="T49" s="263"/>
      <c r="U49" s="263"/>
      <c r="V49" s="161"/>
      <c r="W49" s="264" t="str">
        <f ca="1">'Financial Planning Tool'!FA24</f>
        <v/>
      </c>
      <c r="X49" s="265"/>
      <c r="Y49" s="265"/>
      <c r="Z49" s="265"/>
      <c r="AA49" s="265"/>
      <c r="AB49" s="265"/>
      <c r="AC49" s="265"/>
      <c r="AD49" s="265"/>
      <c r="AE49" s="265"/>
      <c r="AF49" s="266"/>
      <c r="AG49" s="264" t="str">
        <f ca="1">'Financial Planning Tool'!FB24</f>
        <v/>
      </c>
      <c r="AH49" s="265"/>
      <c r="AI49" s="265"/>
      <c r="AJ49" s="265"/>
      <c r="AK49" s="265"/>
      <c r="AL49" s="265"/>
      <c r="AM49" s="265"/>
      <c r="AN49" s="265"/>
      <c r="AO49" s="265"/>
      <c r="AP49" s="266"/>
      <c r="AQ49" s="260" t="str">
        <f ca="1">'Financial Planning Tool'!FC24</f>
        <v/>
      </c>
      <c r="AR49" s="261"/>
      <c r="AS49" s="261"/>
      <c r="AT49" s="261"/>
      <c r="AU49" s="261"/>
      <c r="AV49" s="261"/>
      <c r="AW49" s="261"/>
      <c r="AX49" s="262"/>
      <c r="AY49" s="260" t="str">
        <f ca="1">'Financial Planning Tool'!FD24</f>
        <v/>
      </c>
      <c r="AZ49" s="261"/>
      <c r="BA49" s="261"/>
      <c r="BB49" s="261"/>
      <c r="BC49" s="261"/>
      <c r="BD49" s="261"/>
      <c r="BE49" s="261"/>
      <c r="BF49" s="262"/>
      <c r="BG49" s="267" t="str">
        <f ca="1">IFERROR(ROUND('Financial Planning Tool'!FE24,2),'Financial Planning Tool'!FE24)</f>
        <v/>
      </c>
      <c r="BH49" s="268"/>
      <c r="BI49" s="268"/>
      <c r="BJ49" s="268"/>
      <c r="BK49" s="268"/>
      <c r="BL49" s="268"/>
      <c r="BM49" s="268"/>
      <c r="BN49" s="269"/>
    </row>
    <row r="50" spans="2:66" x14ac:dyDescent="0.25">
      <c r="B50" s="160" t="str">
        <f ca="1">'Financial Planning Tool'!EY25</f>
        <v/>
      </c>
      <c r="C50" s="263"/>
      <c r="D50" s="263"/>
      <c r="E50" s="263"/>
      <c r="F50" s="263"/>
      <c r="G50" s="263"/>
      <c r="H50" s="263"/>
      <c r="I50" s="263"/>
      <c r="J50" s="263"/>
      <c r="K50" s="263"/>
      <c r="L50" s="263"/>
      <c r="M50" s="263"/>
      <c r="N50" s="263"/>
      <c r="O50" s="160" t="str">
        <f ca="1">'Financial Planning Tool'!EZ25</f>
        <v/>
      </c>
      <c r="P50" s="263"/>
      <c r="Q50" s="263"/>
      <c r="R50" s="263"/>
      <c r="S50" s="263"/>
      <c r="T50" s="263"/>
      <c r="U50" s="263"/>
      <c r="V50" s="161"/>
      <c r="W50" s="264" t="str">
        <f ca="1">'Financial Planning Tool'!FA25</f>
        <v/>
      </c>
      <c r="X50" s="265"/>
      <c r="Y50" s="265"/>
      <c r="Z50" s="265"/>
      <c r="AA50" s="265"/>
      <c r="AB50" s="265"/>
      <c r="AC50" s="265"/>
      <c r="AD50" s="265"/>
      <c r="AE50" s="265"/>
      <c r="AF50" s="266"/>
      <c r="AG50" s="264" t="str">
        <f ca="1">'Financial Planning Tool'!FB25</f>
        <v/>
      </c>
      <c r="AH50" s="265"/>
      <c r="AI50" s="265"/>
      <c r="AJ50" s="265"/>
      <c r="AK50" s="265"/>
      <c r="AL50" s="265"/>
      <c r="AM50" s="265"/>
      <c r="AN50" s="265"/>
      <c r="AO50" s="265"/>
      <c r="AP50" s="266"/>
      <c r="AQ50" s="260" t="str">
        <f ca="1">'Financial Planning Tool'!FC25</f>
        <v/>
      </c>
      <c r="AR50" s="261"/>
      <c r="AS50" s="261"/>
      <c r="AT50" s="261"/>
      <c r="AU50" s="261"/>
      <c r="AV50" s="261"/>
      <c r="AW50" s="261"/>
      <c r="AX50" s="262"/>
      <c r="AY50" s="260" t="str">
        <f ca="1">'Financial Planning Tool'!FD25</f>
        <v/>
      </c>
      <c r="AZ50" s="261"/>
      <c r="BA50" s="261"/>
      <c r="BB50" s="261"/>
      <c r="BC50" s="261"/>
      <c r="BD50" s="261"/>
      <c r="BE50" s="261"/>
      <c r="BF50" s="262"/>
      <c r="BG50" s="267" t="str">
        <f ca="1">IFERROR(ROUND('Financial Planning Tool'!FE25,2),'Financial Planning Tool'!FE25)</f>
        <v/>
      </c>
      <c r="BH50" s="268"/>
      <c r="BI50" s="268"/>
      <c r="BJ50" s="268"/>
      <c r="BK50" s="268"/>
      <c r="BL50" s="268"/>
      <c r="BM50" s="268"/>
      <c r="BN50" s="269"/>
    </row>
    <row r="51" spans="2:66" x14ac:dyDescent="0.25">
      <c r="B51" s="160" t="str">
        <f ca="1">'Financial Planning Tool'!EY26</f>
        <v/>
      </c>
      <c r="C51" s="263"/>
      <c r="D51" s="263"/>
      <c r="E51" s="263"/>
      <c r="F51" s="263"/>
      <c r="G51" s="263"/>
      <c r="H51" s="263"/>
      <c r="I51" s="263"/>
      <c r="J51" s="263"/>
      <c r="K51" s="263"/>
      <c r="L51" s="263"/>
      <c r="M51" s="263"/>
      <c r="N51" s="263"/>
      <c r="O51" s="160" t="str">
        <f ca="1">'Financial Planning Tool'!EZ26</f>
        <v/>
      </c>
      <c r="P51" s="263"/>
      <c r="Q51" s="263"/>
      <c r="R51" s="263"/>
      <c r="S51" s="263"/>
      <c r="T51" s="263"/>
      <c r="U51" s="263"/>
      <c r="V51" s="161"/>
      <c r="W51" s="264" t="str">
        <f ca="1">'Financial Planning Tool'!FA26</f>
        <v/>
      </c>
      <c r="X51" s="265"/>
      <c r="Y51" s="265"/>
      <c r="Z51" s="265"/>
      <c r="AA51" s="265"/>
      <c r="AB51" s="265"/>
      <c r="AC51" s="265"/>
      <c r="AD51" s="265"/>
      <c r="AE51" s="265"/>
      <c r="AF51" s="266"/>
      <c r="AG51" s="264" t="str">
        <f ca="1">'Financial Planning Tool'!FB26</f>
        <v/>
      </c>
      <c r="AH51" s="265"/>
      <c r="AI51" s="265"/>
      <c r="AJ51" s="265"/>
      <c r="AK51" s="265"/>
      <c r="AL51" s="265"/>
      <c r="AM51" s="265"/>
      <c r="AN51" s="265"/>
      <c r="AO51" s="265"/>
      <c r="AP51" s="266"/>
      <c r="AQ51" s="260" t="str">
        <f ca="1">'Financial Planning Tool'!FC26</f>
        <v/>
      </c>
      <c r="AR51" s="261"/>
      <c r="AS51" s="261"/>
      <c r="AT51" s="261"/>
      <c r="AU51" s="261"/>
      <c r="AV51" s="261"/>
      <c r="AW51" s="261"/>
      <c r="AX51" s="262"/>
      <c r="AY51" s="260" t="str">
        <f ca="1">'Financial Planning Tool'!FD26</f>
        <v/>
      </c>
      <c r="AZ51" s="261"/>
      <c r="BA51" s="261"/>
      <c r="BB51" s="261"/>
      <c r="BC51" s="261"/>
      <c r="BD51" s="261"/>
      <c r="BE51" s="261"/>
      <c r="BF51" s="262"/>
      <c r="BG51" s="267" t="str">
        <f ca="1">IFERROR(ROUND('Financial Planning Tool'!FE26,2),'Financial Planning Tool'!FE26)</f>
        <v/>
      </c>
      <c r="BH51" s="268"/>
      <c r="BI51" s="268"/>
      <c r="BJ51" s="268"/>
      <c r="BK51" s="268"/>
      <c r="BL51" s="268"/>
      <c r="BM51" s="268"/>
      <c r="BN51" s="269"/>
    </row>
    <row r="52" spans="2:66" x14ac:dyDescent="0.25">
      <c r="B52" s="160" t="str">
        <f ca="1">'Financial Planning Tool'!EY27</f>
        <v/>
      </c>
      <c r="C52" s="263"/>
      <c r="D52" s="263"/>
      <c r="E52" s="263"/>
      <c r="F52" s="263"/>
      <c r="G52" s="263"/>
      <c r="H52" s="263"/>
      <c r="I52" s="263"/>
      <c r="J52" s="263"/>
      <c r="K52" s="263"/>
      <c r="L52" s="263"/>
      <c r="M52" s="263"/>
      <c r="N52" s="263"/>
      <c r="O52" s="160" t="str">
        <f ca="1">'Financial Planning Tool'!EZ27</f>
        <v/>
      </c>
      <c r="P52" s="263"/>
      <c r="Q52" s="263"/>
      <c r="R52" s="263"/>
      <c r="S52" s="263"/>
      <c r="T52" s="263"/>
      <c r="U52" s="263"/>
      <c r="V52" s="161"/>
      <c r="W52" s="264" t="str">
        <f ca="1">'Financial Planning Tool'!FA27</f>
        <v/>
      </c>
      <c r="X52" s="265"/>
      <c r="Y52" s="265"/>
      <c r="Z52" s="265"/>
      <c r="AA52" s="265"/>
      <c r="AB52" s="265"/>
      <c r="AC52" s="265"/>
      <c r="AD52" s="265"/>
      <c r="AE52" s="265"/>
      <c r="AF52" s="266"/>
      <c r="AG52" s="264" t="str">
        <f ca="1">'Financial Planning Tool'!FB27</f>
        <v/>
      </c>
      <c r="AH52" s="265"/>
      <c r="AI52" s="265"/>
      <c r="AJ52" s="265"/>
      <c r="AK52" s="265"/>
      <c r="AL52" s="265"/>
      <c r="AM52" s="265"/>
      <c r="AN52" s="265"/>
      <c r="AO52" s="265"/>
      <c r="AP52" s="266"/>
      <c r="AQ52" s="260" t="str">
        <f ca="1">'Financial Planning Tool'!FC27</f>
        <v/>
      </c>
      <c r="AR52" s="261"/>
      <c r="AS52" s="261"/>
      <c r="AT52" s="261"/>
      <c r="AU52" s="261"/>
      <c r="AV52" s="261"/>
      <c r="AW52" s="261"/>
      <c r="AX52" s="262"/>
      <c r="AY52" s="260" t="str">
        <f ca="1">'Financial Planning Tool'!FD27</f>
        <v/>
      </c>
      <c r="AZ52" s="261"/>
      <c r="BA52" s="261"/>
      <c r="BB52" s="261"/>
      <c r="BC52" s="261"/>
      <c r="BD52" s="261"/>
      <c r="BE52" s="261"/>
      <c r="BF52" s="262"/>
      <c r="BG52" s="267" t="str">
        <f ca="1">IFERROR(ROUND('Financial Planning Tool'!FE27,2),'Financial Planning Tool'!FE27)</f>
        <v/>
      </c>
      <c r="BH52" s="268"/>
      <c r="BI52" s="268"/>
      <c r="BJ52" s="268"/>
      <c r="BK52" s="268"/>
      <c r="BL52" s="268"/>
      <c r="BM52" s="268"/>
      <c r="BN52" s="269"/>
    </row>
    <row r="53" spans="2:66" x14ac:dyDescent="0.25">
      <c r="B53" s="160" t="str">
        <f ca="1">'Financial Planning Tool'!EY28</f>
        <v/>
      </c>
      <c r="C53" s="263"/>
      <c r="D53" s="263"/>
      <c r="E53" s="263"/>
      <c r="F53" s="263"/>
      <c r="G53" s="263"/>
      <c r="H53" s="263"/>
      <c r="I53" s="263"/>
      <c r="J53" s="263"/>
      <c r="K53" s="263"/>
      <c r="L53" s="263"/>
      <c r="M53" s="263"/>
      <c r="N53" s="263"/>
      <c r="O53" s="160" t="str">
        <f ca="1">'Financial Planning Tool'!EZ28</f>
        <v/>
      </c>
      <c r="P53" s="263"/>
      <c r="Q53" s="263"/>
      <c r="R53" s="263"/>
      <c r="S53" s="263"/>
      <c r="T53" s="263"/>
      <c r="U53" s="263"/>
      <c r="V53" s="161"/>
      <c r="W53" s="264" t="str">
        <f ca="1">'Financial Planning Tool'!FA28</f>
        <v/>
      </c>
      <c r="X53" s="265"/>
      <c r="Y53" s="265"/>
      <c r="Z53" s="265"/>
      <c r="AA53" s="265"/>
      <c r="AB53" s="265"/>
      <c r="AC53" s="265"/>
      <c r="AD53" s="265"/>
      <c r="AE53" s="265"/>
      <c r="AF53" s="266"/>
      <c r="AG53" s="264" t="str">
        <f ca="1">'Financial Planning Tool'!FB28</f>
        <v/>
      </c>
      <c r="AH53" s="265"/>
      <c r="AI53" s="265"/>
      <c r="AJ53" s="265"/>
      <c r="AK53" s="265"/>
      <c r="AL53" s="265"/>
      <c r="AM53" s="265"/>
      <c r="AN53" s="265"/>
      <c r="AO53" s="265"/>
      <c r="AP53" s="266"/>
      <c r="AQ53" s="260" t="str">
        <f ca="1">'Financial Planning Tool'!FC28</f>
        <v/>
      </c>
      <c r="AR53" s="261"/>
      <c r="AS53" s="261"/>
      <c r="AT53" s="261"/>
      <c r="AU53" s="261"/>
      <c r="AV53" s="261"/>
      <c r="AW53" s="261"/>
      <c r="AX53" s="262"/>
      <c r="AY53" s="260" t="str">
        <f ca="1">'Financial Planning Tool'!FD28</f>
        <v/>
      </c>
      <c r="AZ53" s="261"/>
      <c r="BA53" s="261"/>
      <c r="BB53" s="261"/>
      <c r="BC53" s="261"/>
      <c r="BD53" s="261"/>
      <c r="BE53" s="261"/>
      <c r="BF53" s="262"/>
      <c r="BG53" s="267" t="str">
        <f ca="1">IFERROR(ROUND('Financial Planning Tool'!FE28,2),'Financial Planning Tool'!FE28)</f>
        <v/>
      </c>
      <c r="BH53" s="268"/>
      <c r="BI53" s="268"/>
      <c r="BJ53" s="268"/>
      <c r="BK53" s="268"/>
      <c r="BL53" s="268"/>
      <c r="BM53" s="268"/>
      <c r="BN53" s="269"/>
    </row>
    <row r="54" spans="2:66" x14ac:dyDescent="0.25">
      <c r="B54" s="160" t="str">
        <f ca="1">'Financial Planning Tool'!EY29</f>
        <v/>
      </c>
      <c r="C54" s="263"/>
      <c r="D54" s="263"/>
      <c r="E54" s="263"/>
      <c r="F54" s="263"/>
      <c r="G54" s="263"/>
      <c r="H54" s="263"/>
      <c r="I54" s="263"/>
      <c r="J54" s="263"/>
      <c r="K54" s="263"/>
      <c r="L54" s="263"/>
      <c r="M54" s="263"/>
      <c r="N54" s="263"/>
      <c r="O54" s="160" t="str">
        <f ca="1">'Financial Planning Tool'!EZ29</f>
        <v/>
      </c>
      <c r="P54" s="263"/>
      <c r="Q54" s="263"/>
      <c r="R54" s="263"/>
      <c r="S54" s="263"/>
      <c r="T54" s="263"/>
      <c r="U54" s="263"/>
      <c r="V54" s="161"/>
      <c r="W54" s="264" t="str">
        <f ca="1">'Financial Planning Tool'!FA29</f>
        <v/>
      </c>
      <c r="X54" s="265"/>
      <c r="Y54" s="265"/>
      <c r="Z54" s="265"/>
      <c r="AA54" s="265"/>
      <c r="AB54" s="265"/>
      <c r="AC54" s="265"/>
      <c r="AD54" s="265"/>
      <c r="AE54" s="265"/>
      <c r="AF54" s="266"/>
      <c r="AG54" s="264" t="str">
        <f ca="1">'Financial Planning Tool'!FB29</f>
        <v/>
      </c>
      <c r="AH54" s="265"/>
      <c r="AI54" s="265"/>
      <c r="AJ54" s="265"/>
      <c r="AK54" s="265"/>
      <c r="AL54" s="265"/>
      <c r="AM54" s="265"/>
      <c r="AN54" s="265"/>
      <c r="AO54" s="265"/>
      <c r="AP54" s="266"/>
      <c r="AQ54" s="260" t="str">
        <f ca="1">'Financial Planning Tool'!FC29</f>
        <v/>
      </c>
      <c r="AR54" s="261"/>
      <c r="AS54" s="261"/>
      <c r="AT54" s="261"/>
      <c r="AU54" s="261"/>
      <c r="AV54" s="261"/>
      <c r="AW54" s="261"/>
      <c r="AX54" s="262"/>
      <c r="AY54" s="260" t="str">
        <f ca="1">'Financial Planning Tool'!FD29</f>
        <v/>
      </c>
      <c r="AZ54" s="261"/>
      <c r="BA54" s="261"/>
      <c r="BB54" s="261"/>
      <c r="BC54" s="261"/>
      <c r="BD54" s="261"/>
      <c r="BE54" s="261"/>
      <c r="BF54" s="262"/>
      <c r="BG54" s="267" t="str">
        <f ca="1">IFERROR(ROUND('Financial Planning Tool'!FE29,2),'Financial Planning Tool'!FE29)</f>
        <v/>
      </c>
      <c r="BH54" s="268"/>
      <c r="BI54" s="268"/>
      <c r="BJ54" s="268"/>
      <c r="BK54" s="268"/>
      <c r="BL54" s="268"/>
      <c r="BM54" s="268"/>
      <c r="BN54" s="269"/>
    </row>
    <row r="55" spans="2:66" x14ac:dyDescent="0.25">
      <c r="B55" s="160" t="str">
        <f ca="1">'Financial Planning Tool'!EY30</f>
        <v/>
      </c>
      <c r="C55" s="263"/>
      <c r="D55" s="263"/>
      <c r="E55" s="263"/>
      <c r="F55" s="263"/>
      <c r="G55" s="263"/>
      <c r="H55" s="263"/>
      <c r="I55" s="263"/>
      <c r="J55" s="263"/>
      <c r="K55" s="263"/>
      <c r="L55" s="263"/>
      <c r="M55" s="263"/>
      <c r="N55" s="263"/>
      <c r="O55" s="160" t="str">
        <f ca="1">'Financial Planning Tool'!EZ30</f>
        <v/>
      </c>
      <c r="P55" s="263"/>
      <c r="Q55" s="263"/>
      <c r="R55" s="263"/>
      <c r="S55" s="263"/>
      <c r="T55" s="263"/>
      <c r="U55" s="263"/>
      <c r="V55" s="161"/>
      <c r="W55" s="264" t="str">
        <f ca="1">'Financial Planning Tool'!FA30</f>
        <v/>
      </c>
      <c r="X55" s="265"/>
      <c r="Y55" s="265"/>
      <c r="Z55" s="265"/>
      <c r="AA55" s="265"/>
      <c r="AB55" s="265"/>
      <c r="AC55" s="265"/>
      <c r="AD55" s="265"/>
      <c r="AE55" s="265"/>
      <c r="AF55" s="266"/>
      <c r="AG55" s="264" t="str">
        <f ca="1">'Financial Planning Tool'!FB30</f>
        <v/>
      </c>
      <c r="AH55" s="265"/>
      <c r="AI55" s="265"/>
      <c r="AJ55" s="265"/>
      <c r="AK55" s="265"/>
      <c r="AL55" s="265"/>
      <c r="AM55" s="265"/>
      <c r="AN55" s="265"/>
      <c r="AO55" s="265"/>
      <c r="AP55" s="266"/>
      <c r="AQ55" s="260" t="str">
        <f ca="1">'Financial Planning Tool'!FC30</f>
        <v/>
      </c>
      <c r="AR55" s="261"/>
      <c r="AS55" s="261"/>
      <c r="AT55" s="261"/>
      <c r="AU55" s="261"/>
      <c r="AV55" s="261"/>
      <c r="AW55" s="261"/>
      <c r="AX55" s="262"/>
      <c r="AY55" s="260" t="str">
        <f ca="1">'Financial Planning Tool'!FD30</f>
        <v/>
      </c>
      <c r="AZ55" s="261"/>
      <c r="BA55" s="261"/>
      <c r="BB55" s="261"/>
      <c r="BC55" s="261"/>
      <c r="BD55" s="261"/>
      <c r="BE55" s="261"/>
      <c r="BF55" s="262"/>
      <c r="BG55" s="267" t="str">
        <f ca="1">IFERROR(ROUND('Financial Planning Tool'!FE30,2),'Financial Planning Tool'!FE30)</f>
        <v/>
      </c>
      <c r="BH55" s="268"/>
      <c r="BI55" s="268"/>
      <c r="BJ55" s="268"/>
      <c r="BK55" s="268"/>
      <c r="BL55" s="268"/>
      <c r="BM55" s="268"/>
      <c r="BN55" s="269"/>
    </row>
    <row r="56" spans="2:66" x14ac:dyDescent="0.25">
      <c r="B56" s="160" t="str">
        <f ca="1">'Financial Planning Tool'!EY31</f>
        <v/>
      </c>
      <c r="C56" s="263"/>
      <c r="D56" s="263"/>
      <c r="E56" s="263"/>
      <c r="F56" s="263"/>
      <c r="G56" s="263"/>
      <c r="H56" s="263"/>
      <c r="I56" s="263"/>
      <c r="J56" s="263"/>
      <c r="K56" s="263"/>
      <c r="L56" s="263"/>
      <c r="M56" s="263"/>
      <c r="N56" s="263"/>
      <c r="O56" s="160" t="str">
        <f ca="1">'Financial Planning Tool'!EZ31</f>
        <v/>
      </c>
      <c r="P56" s="263"/>
      <c r="Q56" s="263"/>
      <c r="R56" s="263"/>
      <c r="S56" s="263"/>
      <c r="T56" s="263"/>
      <c r="U56" s="263"/>
      <c r="V56" s="161"/>
      <c r="W56" s="264" t="str">
        <f ca="1">'Financial Planning Tool'!FA31</f>
        <v/>
      </c>
      <c r="X56" s="265"/>
      <c r="Y56" s="265"/>
      <c r="Z56" s="265"/>
      <c r="AA56" s="265"/>
      <c r="AB56" s="265"/>
      <c r="AC56" s="265"/>
      <c r="AD56" s="265"/>
      <c r="AE56" s="265"/>
      <c r="AF56" s="266"/>
      <c r="AG56" s="264" t="str">
        <f ca="1">'Financial Planning Tool'!FB31</f>
        <v/>
      </c>
      <c r="AH56" s="265"/>
      <c r="AI56" s="265"/>
      <c r="AJ56" s="265"/>
      <c r="AK56" s="265"/>
      <c r="AL56" s="265"/>
      <c r="AM56" s="265"/>
      <c r="AN56" s="265"/>
      <c r="AO56" s="265"/>
      <c r="AP56" s="266"/>
      <c r="AQ56" s="260" t="str">
        <f ca="1">'Financial Planning Tool'!FC31</f>
        <v/>
      </c>
      <c r="AR56" s="261"/>
      <c r="AS56" s="261"/>
      <c r="AT56" s="261"/>
      <c r="AU56" s="261"/>
      <c r="AV56" s="261"/>
      <c r="AW56" s="261"/>
      <c r="AX56" s="262"/>
      <c r="AY56" s="260" t="str">
        <f ca="1">'Financial Planning Tool'!FD31</f>
        <v/>
      </c>
      <c r="AZ56" s="261"/>
      <c r="BA56" s="261"/>
      <c r="BB56" s="261"/>
      <c r="BC56" s="261"/>
      <c r="BD56" s="261"/>
      <c r="BE56" s="261"/>
      <c r="BF56" s="262"/>
      <c r="BG56" s="267" t="str">
        <f ca="1">IFERROR(ROUND('Financial Planning Tool'!FE31,2),'Financial Planning Tool'!FE31)</f>
        <v/>
      </c>
      <c r="BH56" s="268"/>
      <c r="BI56" s="268"/>
      <c r="BJ56" s="268"/>
      <c r="BK56" s="268"/>
      <c r="BL56" s="268"/>
      <c r="BM56" s="268"/>
      <c r="BN56" s="269"/>
    </row>
    <row r="57" spans="2:66" x14ac:dyDescent="0.25">
      <c r="B57" s="160" t="str">
        <f ca="1">'Financial Planning Tool'!EY32</f>
        <v/>
      </c>
      <c r="C57" s="263"/>
      <c r="D57" s="263"/>
      <c r="E57" s="263"/>
      <c r="F57" s="263"/>
      <c r="G57" s="263"/>
      <c r="H57" s="263"/>
      <c r="I57" s="263"/>
      <c r="J57" s="263"/>
      <c r="K57" s="263"/>
      <c r="L57" s="263"/>
      <c r="M57" s="263"/>
      <c r="N57" s="263"/>
      <c r="O57" s="160" t="str">
        <f ca="1">'Financial Planning Tool'!EZ32</f>
        <v/>
      </c>
      <c r="P57" s="263"/>
      <c r="Q57" s="263"/>
      <c r="R57" s="263"/>
      <c r="S57" s="263"/>
      <c r="T57" s="263"/>
      <c r="U57" s="263"/>
      <c r="V57" s="161"/>
      <c r="W57" s="264" t="str">
        <f ca="1">'Financial Planning Tool'!FA32</f>
        <v/>
      </c>
      <c r="X57" s="265"/>
      <c r="Y57" s="265"/>
      <c r="Z57" s="265"/>
      <c r="AA57" s="265"/>
      <c r="AB57" s="265"/>
      <c r="AC57" s="265"/>
      <c r="AD57" s="265"/>
      <c r="AE57" s="265"/>
      <c r="AF57" s="266"/>
      <c r="AG57" s="264" t="str">
        <f ca="1">'Financial Planning Tool'!FB32</f>
        <v/>
      </c>
      <c r="AH57" s="265"/>
      <c r="AI57" s="265"/>
      <c r="AJ57" s="265"/>
      <c r="AK57" s="265"/>
      <c r="AL57" s="265"/>
      <c r="AM57" s="265"/>
      <c r="AN57" s="265"/>
      <c r="AO57" s="265"/>
      <c r="AP57" s="266"/>
      <c r="AQ57" s="260" t="str">
        <f ca="1">'Financial Planning Tool'!FC32</f>
        <v/>
      </c>
      <c r="AR57" s="261"/>
      <c r="AS57" s="261"/>
      <c r="AT57" s="261"/>
      <c r="AU57" s="261"/>
      <c r="AV57" s="261"/>
      <c r="AW57" s="261"/>
      <c r="AX57" s="262"/>
      <c r="AY57" s="260" t="str">
        <f ca="1">'Financial Planning Tool'!FD32</f>
        <v/>
      </c>
      <c r="AZ57" s="261"/>
      <c r="BA57" s="261"/>
      <c r="BB57" s="261"/>
      <c r="BC57" s="261"/>
      <c r="BD57" s="261"/>
      <c r="BE57" s="261"/>
      <c r="BF57" s="262"/>
      <c r="BG57" s="267" t="str">
        <f ca="1">IFERROR(ROUND('Financial Planning Tool'!FE32,2),'Financial Planning Tool'!FE32)</f>
        <v/>
      </c>
      <c r="BH57" s="268"/>
      <c r="BI57" s="268"/>
      <c r="BJ57" s="268"/>
      <c r="BK57" s="268"/>
      <c r="BL57" s="268"/>
      <c r="BM57" s="268"/>
      <c r="BN57" s="269"/>
    </row>
    <row r="58" spans="2:66" x14ac:dyDescent="0.25">
      <c r="B58" s="160" t="str">
        <f ca="1">'Financial Planning Tool'!EY33</f>
        <v/>
      </c>
      <c r="C58" s="263"/>
      <c r="D58" s="263"/>
      <c r="E58" s="263"/>
      <c r="F58" s="263"/>
      <c r="G58" s="263"/>
      <c r="H58" s="263"/>
      <c r="I58" s="263"/>
      <c r="J58" s="263"/>
      <c r="K58" s="263"/>
      <c r="L58" s="263"/>
      <c r="M58" s="263"/>
      <c r="N58" s="263"/>
      <c r="O58" s="160" t="str">
        <f ca="1">'Financial Planning Tool'!EZ33</f>
        <v/>
      </c>
      <c r="P58" s="263"/>
      <c r="Q58" s="263"/>
      <c r="R58" s="263"/>
      <c r="S58" s="263"/>
      <c r="T58" s="263"/>
      <c r="U58" s="263"/>
      <c r="V58" s="161"/>
      <c r="W58" s="264" t="str">
        <f ca="1">'Financial Planning Tool'!FA33</f>
        <v/>
      </c>
      <c r="X58" s="265"/>
      <c r="Y58" s="265"/>
      <c r="Z58" s="265"/>
      <c r="AA58" s="265"/>
      <c r="AB58" s="265"/>
      <c r="AC58" s="265"/>
      <c r="AD58" s="265"/>
      <c r="AE58" s="265"/>
      <c r="AF58" s="266"/>
      <c r="AG58" s="264" t="str">
        <f ca="1">'Financial Planning Tool'!FB33</f>
        <v/>
      </c>
      <c r="AH58" s="265"/>
      <c r="AI58" s="265"/>
      <c r="AJ58" s="265"/>
      <c r="AK58" s="265"/>
      <c r="AL58" s="265"/>
      <c r="AM58" s="265"/>
      <c r="AN58" s="265"/>
      <c r="AO58" s="265"/>
      <c r="AP58" s="266"/>
      <c r="AQ58" s="260" t="str">
        <f ca="1">'Financial Planning Tool'!FC33</f>
        <v/>
      </c>
      <c r="AR58" s="261"/>
      <c r="AS58" s="261"/>
      <c r="AT58" s="261"/>
      <c r="AU58" s="261"/>
      <c r="AV58" s="261"/>
      <c r="AW58" s="261"/>
      <c r="AX58" s="262"/>
      <c r="AY58" s="260" t="str">
        <f ca="1">'Financial Planning Tool'!FD33</f>
        <v/>
      </c>
      <c r="AZ58" s="261"/>
      <c r="BA58" s="261"/>
      <c r="BB58" s="261"/>
      <c r="BC58" s="261"/>
      <c r="BD58" s="261"/>
      <c r="BE58" s="261"/>
      <c r="BF58" s="262"/>
      <c r="BG58" s="267" t="str">
        <f ca="1">IFERROR(ROUND('Financial Planning Tool'!FE33,2),'Financial Planning Tool'!FE33)</f>
        <v/>
      </c>
      <c r="BH58" s="268"/>
      <c r="BI58" s="268"/>
      <c r="BJ58" s="268"/>
      <c r="BK58" s="268"/>
      <c r="BL58" s="268"/>
      <c r="BM58" s="268"/>
      <c r="BN58" s="269"/>
    </row>
    <row r="59" spans="2:66" x14ac:dyDescent="0.25">
      <c r="B59" s="160" t="str">
        <f ca="1">'Financial Planning Tool'!EY34</f>
        <v/>
      </c>
      <c r="C59" s="263"/>
      <c r="D59" s="263"/>
      <c r="E59" s="263"/>
      <c r="F59" s="263"/>
      <c r="G59" s="263"/>
      <c r="H59" s="263"/>
      <c r="I59" s="263"/>
      <c r="J59" s="263"/>
      <c r="K59" s="263"/>
      <c r="L59" s="263"/>
      <c r="M59" s="263"/>
      <c r="N59" s="263"/>
      <c r="O59" s="160" t="str">
        <f ca="1">'Financial Planning Tool'!EZ34</f>
        <v/>
      </c>
      <c r="P59" s="263"/>
      <c r="Q59" s="263"/>
      <c r="R59" s="263"/>
      <c r="S59" s="263"/>
      <c r="T59" s="263"/>
      <c r="U59" s="263"/>
      <c r="V59" s="161"/>
      <c r="W59" s="264" t="str">
        <f ca="1">'Financial Planning Tool'!FA34</f>
        <v/>
      </c>
      <c r="X59" s="265"/>
      <c r="Y59" s="265"/>
      <c r="Z59" s="265"/>
      <c r="AA59" s="265"/>
      <c r="AB59" s="265"/>
      <c r="AC59" s="265"/>
      <c r="AD59" s="265"/>
      <c r="AE59" s="265"/>
      <c r="AF59" s="266"/>
      <c r="AG59" s="264" t="str">
        <f ca="1">'Financial Planning Tool'!FB34</f>
        <v/>
      </c>
      <c r="AH59" s="265"/>
      <c r="AI59" s="265"/>
      <c r="AJ59" s="265"/>
      <c r="AK59" s="265"/>
      <c r="AL59" s="265"/>
      <c r="AM59" s="265"/>
      <c r="AN59" s="265"/>
      <c r="AO59" s="265"/>
      <c r="AP59" s="266"/>
      <c r="AQ59" s="260" t="str">
        <f ca="1">'Financial Planning Tool'!FC34</f>
        <v/>
      </c>
      <c r="AR59" s="261"/>
      <c r="AS59" s="261"/>
      <c r="AT59" s="261"/>
      <c r="AU59" s="261"/>
      <c r="AV59" s="261"/>
      <c r="AW59" s="261"/>
      <c r="AX59" s="262"/>
      <c r="AY59" s="260" t="str">
        <f ca="1">'Financial Planning Tool'!FD34</f>
        <v/>
      </c>
      <c r="AZ59" s="261"/>
      <c r="BA59" s="261"/>
      <c r="BB59" s="261"/>
      <c r="BC59" s="261"/>
      <c r="BD59" s="261"/>
      <c r="BE59" s="261"/>
      <c r="BF59" s="262"/>
      <c r="BG59" s="267" t="str">
        <f ca="1">IFERROR(ROUND('Financial Planning Tool'!FE34,2),'Financial Planning Tool'!FE34)</f>
        <v/>
      </c>
      <c r="BH59" s="268"/>
      <c r="BI59" s="268"/>
      <c r="BJ59" s="268"/>
      <c r="BK59" s="268"/>
      <c r="BL59" s="268"/>
      <c r="BM59" s="268"/>
      <c r="BN59" s="269"/>
    </row>
    <row r="60" spans="2:66" x14ac:dyDescent="0.25">
      <c r="B60" s="160" t="str">
        <f ca="1">'Financial Planning Tool'!EY35</f>
        <v/>
      </c>
      <c r="C60" s="263"/>
      <c r="D60" s="263"/>
      <c r="E60" s="263"/>
      <c r="F60" s="263"/>
      <c r="G60" s="263"/>
      <c r="H60" s="263"/>
      <c r="I60" s="263"/>
      <c r="J60" s="263"/>
      <c r="K60" s="263"/>
      <c r="L60" s="263"/>
      <c r="M60" s="263"/>
      <c r="N60" s="263"/>
      <c r="O60" s="160" t="str">
        <f ca="1">'Financial Planning Tool'!EZ35</f>
        <v/>
      </c>
      <c r="P60" s="263"/>
      <c r="Q60" s="263"/>
      <c r="R60" s="263"/>
      <c r="S60" s="263"/>
      <c r="T60" s="263"/>
      <c r="U60" s="263"/>
      <c r="V60" s="161"/>
      <c r="W60" s="264" t="str">
        <f ca="1">'Financial Planning Tool'!FA35</f>
        <v/>
      </c>
      <c r="X60" s="265"/>
      <c r="Y60" s="265"/>
      <c r="Z60" s="265"/>
      <c r="AA60" s="265"/>
      <c r="AB60" s="265"/>
      <c r="AC60" s="265"/>
      <c r="AD60" s="265"/>
      <c r="AE60" s="265"/>
      <c r="AF60" s="266"/>
      <c r="AG60" s="264" t="str">
        <f ca="1">'Financial Planning Tool'!FB35</f>
        <v/>
      </c>
      <c r="AH60" s="265"/>
      <c r="AI60" s="265"/>
      <c r="AJ60" s="265"/>
      <c r="AK60" s="265"/>
      <c r="AL60" s="265"/>
      <c r="AM60" s="265"/>
      <c r="AN60" s="265"/>
      <c r="AO60" s="265"/>
      <c r="AP60" s="266"/>
      <c r="AQ60" s="260" t="str">
        <f ca="1">'Financial Planning Tool'!FC35</f>
        <v/>
      </c>
      <c r="AR60" s="261"/>
      <c r="AS60" s="261"/>
      <c r="AT60" s="261"/>
      <c r="AU60" s="261"/>
      <c r="AV60" s="261"/>
      <c r="AW60" s="261"/>
      <c r="AX60" s="262"/>
      <c r="AY60" s="260" t="str">
        <f ca="1">'Financial Planning Tool'!FD35</f>
        <v/>
      </c>
      <c r="AZ60" s="261"/>
      <c r="BA60" s="261"/>
      <c r="BB60" s="261"/>
      <c r="BC60" s="261"/>
      <c r="BD60" s="261"/>
      <c r="BE60" s="261"/>
      <c r="BF60" s="262"/>
      <c r="BG60" s="267" t="str">
        <f ca="1">IFERROR(ROUND('Financial Planning Tool'!FE35,2),'Financial Planning Tool'!FE35)</f>
        <v/>
      </c>
      <c r="BH60" s="268"/>
      <c r="BI60" s="268"/>
      <c r="BJ60" s="268"/>
      <c r="BK60" s="268"/>
      <c r="BL60" s="268"/>
      <c r="BM60" s="268"/>
      <c r="BN60" s="269"/>
    </row>
    <row r="61" spans="2:66" x14ac:dyDescent="0.25">
      <c r="B61" s="160" t="str">
        <f ca="1">'Financial Planning Tool'!EY36</f>
        <v/>
      </c>
      <c r="C61" s="263"/>
      <c r="D61" s="263"/>
      <c r="E61" s="263"/>
      <c r="F61" s="263"/>
      <c r="G61" s="263"/>
      <c r="H61" s="263"/>
      <c r="I61" s="263"/>
      <c r="J61" s="263"/>
      <c r="K61" s="263"/>
      <c r="L61" s="263"/>
      <c r="M61" s="263"/>
      <c r="N61" s="263"/>
      <c r="O61" s="160" t="str">
        <f ca="1">'Financial Planning Tool'!EZ36</f>
        <v/>
      </c>
      <c r="P61" s="263"/>
      <c r="Q61" s="263"/>
      <c r="R61" s="263"/>
      <c r="S61" s="263"/>
      <c r="T61" s="263"/>
      <c r="U61" s="263"/>
      <c r="V61" s="161"/>
      <c r="W61" s="264" t="str">
        <f ca="1">'Financial Planning Tool'!FA36</f>
        <v/>
      </c>
      <c r="X61" s="265"/>
      <c r="Y61" s="265"/>
      <c r="Z61" s="265"/>
      <c r="AA61" s="265"/>
      <c r="AB61" s="265"/>
      <c r="AC61" s="265"/>
      <c r="AD61" s="265"/>
      <c r="AE61" s="265"/>
      <c r="AF61" s="266"/>
      <c r="AG61" s="264" t="str">
        <f ca="1">'Financial Planning Tool'!FB36</f>
        <v/>
      </c>
      <c r="AH61" s="265"/>
      <c r="AI61" s="265"/>
      <c r="AJ61" s="265"/>
      <c r="AK61" s="265"/>
      <c r="AL61" s="265"/>
      <c r="AM61" s="265"/>
      <c r="AN61" s="265"/>
      <c r="AO61" s="265"/>
      <c r="AP61" s="266"/>
      <c r="AQ61" s="260" t="str">
        <f ca="1">'Financial Planning Tool'!FC36</f>
        <v/>
      </c>
      <c r="AR61" s="261"/>
      <c r="AS61" s="261"/>
      <c r="AT61" s="261"/>
      <c r="AU61" s="261"/>
      <c r="AV61" s="261"/>
      <c r="AW61" s="261"/>
      <c r="AX61" s="262"/>
      <c r="AY61" s="260" t="str">
        <f ca="1">'Financial Planning Tool'!FD36</f>
        <v/>
      </c>
      <c r="AZ61" s="261"/>
      <c r="BA61" s="261"/>
      <c r="BB61" s="261"/>
      <c r="BC61" s="261"/>
      <c r="BD61" s="261"/>
      <c r="BE61" s="261"/>
      <c r="BF61" s="262"/>
      <c r="BG61" s="267" t="str">
        <f ca="1">IFERROR(ROUND('Financial Planning Tool'!FE36,2),'Financial Planning Tool'!FE36)</f>
        <v/>
      </c>
      <c r="BH61" s="268"/>
      <c r="BI61" s="268"/>
      <c r="BJ61" s="268"/>
      <c r="BK61" s="268"/>
      <c r="BL61" s="268"/>
      <c r="BM61" s="268"/>
      <c r="BN61" s="269"/>
    </row>
    <row r="62" spans="2:66" x14ac:dyDescent="0.25">
      <c r="B62" s="160" t="str">
        <f ca="1">'Financial Planning Tool'!EY37</f>
        <v/>
      </c>
      <c r="C62" s="263"/>
      <c r="D62" s="263"/>
      <c r="E62" s="263"/>
      <c r="F62" s="263"/>
      <c r="G62" s="263"/>
      <c r="H62" s="263"/>
      <c r="I62" s="263"/>
      <c r="J62" s="263"/>
      <c r="K62" s="263"/>
      <c r="L62" s="263"/>
      <c r="M62" s="263"/>
      <c r="N62" s="263"/>
      <c r="O62" s="160" t="str">
        <f ca="1">'Financial Planning Tool'!EZ37</f>
        <v/>
      </c>
      <c r="P62" s="263"/>
      <c r="Q62" s="263"/>
      <c r="R62" s="263"/>
      <c r="S62" s="263"/>
      <c r="T62" s="263"/>
      <c r="U62" s="263"/>
      <c r="V62" s="161"/>
      <c r="W62" s="264" t="str">
        <f ca="1">'Financial Planning Tool'!FA37</f>
        <v/>
      </c>
      <c r="X62" s="265"/>
      <c r="Y62" s="265"/>
      <c r="Z62" s="265"/>
      <c r="AA62" s="265"/>
      <c r="AB62" s="265"/>
      <c r="AC62" s="265"/>
      <c r="AD62" s="265"/>
      <c r="AE62" s="265"/>
      <c r="AF62" s="266"/>
      <c r="AG62" s="264" t="str">
        <f ca="1">'Financial Planning Tool'!FB37</f>
        <v/>
      </c>
      <c r="AH62" s="265"/>
      <c r="AI62" s="265"/>
      <c r="AJ62" s="265"/>
      <c r="AK62" s="265"/>
      <c r="AL62" s="265"/>
      <c r="AM62" s="265"/>
      <c r="AN62" s="265"/>
      <c r="AO62" s="265"/>
      <c r="AP62" s="266"/>
      <c r="AQ62" s="260" t="str">
        <f ca="1">'Financial Planning Tool'!FC37</f>
        <v/>
      </c>
      <c r="AR62" s="261"/>
      <c r="AS62" s="261"/>
      <c r="AT62" s="261"/>
      <c r="AU62" s="261"/>
      <c r="AV62" s="261"/>
      <c r="AW62" s="261"/>
      <c r="AX62" s="262"/>
      <c r="AY62" s="260" t="str">
        <f ca="1">'Financial Planning Tool'!FD37</f>
        <v/>
      </c>
      <c r="AZ62" s="261"/>
      <c r="BA62" s="261"/>
      <c r="BB62" s="261"/>
      <c r="BC62" s="261"/>
      <c r="BD62" s="261"/>
      <c r="BE62" s="261"/>
      <c r="BF62" s="262"/>
      <c r="BG62" s="267" t="str">
        <f ca="1">IFERROR(ROUND('Financial Planning Tool'!FE37,2),'Financial Planning Tool'!FE37)</f>
        <v/>
      </c>
      <c r="BH62" s="268"/>
      <c r="BI62" s="268"/>
      <c r="BJ62" s="268"/>
      <c r="BK62" s="268"/>
      <c r="BL62" s="268"/>
      <c r="BM62" s="268"/>
      <c r="BN62" s="269"/>
    </row>
    <row r="63" spans="2:66" x14ac:dyDescent="0.25">
      <c r="B63" s="160" t="str">
        <f ca="1">'Financial Planning Tool'!EY38</f>
        <v/>
      </c>
      <c r="C63" s="263"/>
      <c r="D63" s="263"/>
      <c r="E63" s="263"/>
      <c r="F63" s="263"/>
      <c r="G63" s="263"/>
      <c r="H63" s="263"/>
      <c r="I63" s="263"/>
      <c r="J63" s="263"/>
      <c r="K63" s="263"/>
      <c r="L63" s="263"/>
      <c r="M63" s="263"/>
      <c r="N63" s="263"/>
      <c r="O63" s="160" t="str">
        <f ca="1">'Financial Planning Tool'!EZ38</f>
        <v/>
      </c>
      <c r="P63" s="263"/>
      <c r="Q63" s="263"/>
      <c r="R63" s="263"/>
      <c r="S63" s="263"/>
      <c r="T63" s="263"/>
      <c r="U63" s="263"/>
      <c r="V63" s="161"/>
      <c r="W63" s="264" t="str">
        <f ca="1">'Financial Planning Tool'!FA38</f>
        <v/>
      </c>
      <c r="X63" s="265"/>
      <c r="Y63" s="265"/>
      <c r="Z63" s="265"/>
      <c r="AA63" s="265"/>
      <c r="AB63" s="265"/>
      <c r="AC63" s="265"/>
      <c r="AD63" s="265"/>
      <c r="AE63" s="265"/>
      <c r="AF63" s="266"/>
      <c r="AG63" s="264" t="str">
        <f ca="1">'Financial Planning Tool'!FB38</f>
        <v/>
      </c>
      <c r="AH63" s="265"/>
      <c r="AI63" s="265"/>
      <c r="AJ63" s="265"/>
      <c r="AK63" s="265"/>
      <c r="AL63" s="265"/>
      <c r="AM63" s="265"/>
      <c r="AN63" s="265"/>
      <c r="AO63" s="265"/>
      <c r="AP63" s="266"/>
      <c r="AQ63" s="260" t="str">
        <f ca="1">'Financial Planning Tool'!FC38</f>
        <v/>
      </c>
      <c r="AR63" s="261"/>
      <c r="AS63" s="261"/>
      <c r="AT63" s="261"/>
      <c r="AU63" s="261"/>
      <c r="AV63" s="261"/>
      <c r="AW63" s="261"/>
      <c r="AX63" s="262"/>
      <c r="AY63" s="260" t="str">
        <f ca="1">'Financial Planning Tool'!FD38</f>
        <v/>
      </c>
      <c r="AZ63" s="261"/>
      <c r="BA63" s="261"/>
      <c r="BB63" s="261"/>
      <c r="BC63" s="261"/>
      <c r="BD63" s="261"/>
      <c r="BE63" s="261"/>
      <c r="BF63" s="262"/>
      <c r="BG63" s="267" t="str">
        <f ca="1">IFERROR(ROUND('Financial Planning Tool'!FE38,2),'Financial Planning Tool'!FE38)</f>
        <v/>
      </c>
      <c r="BH63" s="268"/>
      <c r="BI63" s="268"/>
      <c r="BJ63" s="268"/>
      <c r="BK63" s="268"/>
      <c r="BL63" s="268"/>
      <c r="BM63" s="268"/>
      <c r="BN63" s="269"/>
    </row>
    <row r="64" spans="2:66" x14ac:dyDescent="0.25">
      <c r="B64" s="160" t="str">
        <f ca="1">'Financial Planning Tool'!EY39</f>
        <v/>
      </c>
      <c r="C64" s="263"/>
      <c r="D64" s="263"/>
      <c r="E64" s="263"/>
      <c r="F64" s="263"/>
      <c r="G64" s="263"/>
      <c r="H64" s="263"/>
      <c r="I64" s="263"/>
      <c r="J64" s="263"/>
      <c r="K64" s="263"/>
      <c r="L64" s="263"/>
      <c r="M64" s="263"/>
      <c r="N64" s="263"/>
      <c r="O64" s="160" t="str">
        <f ca="1">'Financial Planning Tool'!EZ39</f>
        <v/>
      </c>
      <c r="P64" s="263"/>
      <c r="Q64" s="263"/>
      <c r="R64" s="263"/>
      <c r="S64" s="263"/>
      <c r="T64" s="263"/>
      <c r="U64" s="263"/>
      <c r="V64" s="161"/>
      <c r="W64" s="264" t="str">
        <f ca="1">'Financial Planning Tool'!FA39</f>
        <v/>
      </c>
      <c r="X64" s="265"/>
      <c r="Y64" s="265"/>
      <c r="Z64" s="265"/>
      <c r="AA64" s="265"/>
      <c r="AB64" s="265"/>
      <c r="AC64" s="265"/>
      <c r="AD64" s="265"/>
      <c r="AE64" s="265"/>
      <c r="AF64" s="266"/>
      <c r="AG64" s="264" t="str">
        <f ca="1">'Financial Planning Tool'!FB39</f>
        <v/>
      </c>
      <c r="AH64" s="265"/>
      <c r="AI64" s="265"/>
      <c r="AJ64" s="265"/>
      <c r="AK64" s="265"/>
      <c r="AL64" s="265"/>
      <c r="AM64" s="265"/>
      <c r="AN64" s="265"/>
      <c r="AO64" s="265"/>
      <c r="AP64" s="266"/>
      <c r="AQ64" s="260" t="str">
        <f ca="1">'Financial Planning Tool'!FC39</f>
        <v/>
      </c>
      <c r="AR64" s="261"/>
      <c r="AS64" s="261"/>
      <c r="AT64" s="261"/>
      <c r="AU64" s="261"/>
      <c r="AV64" s="261"/>
      <c r="AW64" s="261"/>
      <c r="AX64" s="262"/>
      <c r="AY64" s="260" t="str">
        <f ca="1">'Financial Planning Tool'!FD39</f>
        <v/>
      </c>
      <c r="AZ64" s="261"/>
      <c r="BA64" s="261"/>
      <c r="BB64" s="261"/>
      <c r="BC64" s="261"/>
      <c r="BD64" s="261"/>
      <c r="BE64" s="261"/>
      <c r="BF64" s="262"/>
      <c r="BG64" s="267" t="str">
        <f ca="1">IFERROR(ROUND('Financial Planning Tool'!FE39,2),'Financial Planning Tool'!FE39)</f>
        <v/>
      </c>
      <c r="BH64" s="268"/>
      <c r="BI64" s="268"/>
      <c r="BJ64" s="268"/>
      <c r="BK64" s="268"/>
      <c r="BL64" s="268"/>
      <c r="BM64" s="268"/>
      <c r="BN64" s="269"/>
    </row>
    <row r="65" spans="2:66" x14ac:dyDescent="0.25">
      <c r="B65" s="160" t="str">
        <f ca="1">'Financial Planning Tool'!EY40</f>
        <v/>
      </c>
      <c r="C65" s="263"/>
      <c r="D65" s="263"/>
      <c r="E65" s="263"/>
      <c r="F65" s="263"/>
      <c r="G65" s="263"/>
      <c r="H65" s="263"/>
      <c r="I65" s="263"/>
      <c r="J65" s="263"/>
      <c r="K65" s="263"/>
      <c r="L65" s="263"/>
      <c r="M65" s="263"/>
      <c r="N65" s="263"/>
      <c r="O65" s="160" t="str">
        <f ca="1">'Financial Planning Tool'!EZ40</f>
        <v/>
      </c>
      <c r="P65" s="263"/>
      <c r="Q65" s="263"/>
      <c r="R65" s="263"/>
      <c r="S65" s="263"/>
      <c r="T65" s="263"/>
      <c r="U65" s="263"/>
      <c r="V65" s="161"/>
      <c r="W65" s="264" t="str">
        <f ca="1">'Financial Planning Tool'!FA40</f>
        <v/>
      </c>
      <c r="X65" s="265"/>
      <c r="Y65" s="265"/>
      <c r="Z65" s="265"/>
      <c r="AA65" s="265"/>
      <c r="AB65" s="265"/>
      <c r="AC65" s="265"/>
      <c r="AD65" s="265"/>
      <c r="AE65" s="265"/>
      <c r="AF65" s="266"/>
      <c r="AG65" s="264" t="str">
        <f ca="1">'Financial Planning Tool'!FB40</f>
        <v/>
      </c>
      <c r="AH65" s="265"/>
      <c r="AI65" s="265"/>
      <c r="AJ65" s="265"/>
      <c r="AK65" s="265"/>
      <c r="AL65" s="265"/>
      <c r="AM65" s="265"/>
      <c r="AN65" s="265"/>
      <c r="AO65" s="265"/>
      <c r="AP65" s="266"/>
      <c r="AQ65" s="260" t="str">
        <f ca="1">'Financial Planning Tool'!FC40</f>
        <v/>
      </c>
      <c r="AR65" s="261"/>
      <c r="AS65" s="261"/>
      <c r="AT65" s="261"/>
      <c r="AU65" s="261"/>
      <c r="AV65" s="261"/>
      <c r="AW65" s="261"/>
      <c r="AX65" s="262"/>
      <c r="AY65" s="260" t="str">
        <f ca="1">'Financial Planning Tool'!FD40</f>
        <v/>
      </c>
      <c r="AZ65" s="261"/>
      <c r="BA65" s="261"/>
      <c r="BB65" s="261"/>
      <c r="BC65" s="261"/>
      <c r="BD65" s="261"/>
      <c r="BE65" s="261"/>
      <c r="BF65" s="262"/>
      <c r="BG65" s="267" t="str">
        <f ca="1">IFERROR(ROUND('Financial Planning Tool'!FE40,2),'Financial Planning Tool'!FE40)</f>
        <v/>
      </c>
      <c r="BH65" s="268"/>
      <c r="BI65" s="268"/>
      <c r="BJ65" s="268"/>
      <c r="BK65" s="268"/>
      <c r="BL65" s="268"/>
      <c r="BM65" s="268"/>
      <c r="BN65" s="269"/>
    </row>
    <row r="66" spans="2:66" x14ac:dyDescent="0.25">
      <c r="B66" s="160" t="str">
        <f ca="1">'Financial Planning Tool'!EY41</f>
        <v/>
      </c>
      <c r="C66" s="263"/>
      <c r="D66" s="263"/>
      <c r="E66" s="263"/>
      <c r="F66" s="263"/>
      <c r="G66" s="263"/>
      <c r="H66" s="263"/>
      <c r="I66" s="263"/>
      <c r="J66" s="263"/>
      <c r="K66" s="263"/>
      <c r="L66" s="263"/>
      <c r="M66" s="263"/>
      <c r="N66" s="263"/>
      <c r="O66" s="160" t="str">
        <f ca="1">'Financial Planning Tool'!EZ41</f>
        <v/>
      </c>
      <c r="P66" s="263"/>
      <c r="Q66" s="263"/>
      <c r="R66" s="263"/>
      <c r="S66" s="263"/>
      <c r="T66" s="263"/>
      <c r="U66" s="263"/>
      <c r="V66" s="161"/>
      <c r="W66" s="264" t="str">
        <f ca="1">'Financial Planning Tool'!FA41</f>
        <v/>
      </c>
      <c r="X66" s="265"/>
      <c r="Y66" s="265"/>
      <c r="Z66" s="265"/>
      <c r="AA66" s="265"/>
      <c r="AB66" s="265"/>
      <c r="AC66" s="265"/>
      <c r="AD66" s="265"/>
      <c r="AE66" s="265"/>
      <c r="AF66" s="266"/>
      <c r="AG66" s="264" t="str">
        <f ca="1">'Financial Planning Tool'!FB41</f>
        <v/>
      </c>
      <c r="AH66" s="265"/>
      <c r="AI66" s="265"/>
      <c r="AJ66" s="265"/>
      <c r="AK66" s="265"/>
      <c r="AL66" s="265"/>
      <c r="AM66" s="265"/>
      <c r="AN66" s="265"/>
      <c r="AO66" s="265"/>
      <c r="AP66" s="266"/>
      <c r="AQ66" s="260" t="str">
        <f ca="1">'Financial Planning Tool'!FC41</f>
        <v/>
      </c>
      <c r="AR66" s="261"/>
      <c r="AS66" s="261"/>
      <c r="AT66" s="261"/>
      <c r="AU66" s="261"/>
      <c r="AV66" s="261"/>
      <c r="AW66" s="261"/>
      <c r="AX66" s="262"/>
      <c r="AY66" s="260" t="str">
        <f ca="1">'Financial Planning Tool'!FD41</f>
        <v/>
      </c>
      <c r="AZ66" s="261"/>
      <c r="BA66" s="261"/>
      <c r="BB66" s="261"/>
      <c r="BC66" s="261"/>
      <c r="BD66" s="261"/>
      <c r="BE66" s="261"/>
      <c r="BF66" s="262"/>
      <c r="BG66" s="267" t="str">
        <f ca="1">IFERROR(ROUND('Financial Planning Tool'!FE41,2),'Financial Planning Tool'!FE41)</f>
        <v/>
      </c>
      <c r="BH66" s="268"/>
      <c r="BI66" s="268"/>
      <c r="BJ66" s="268"/>
      <c r="BK66" s="268"/>
      <c r="BL66" s="268"/>
      <c r="BM66" s="268"/>
      <c r="BN66" s="269"/>
    </row>
    <row r="67" spans="2:66" x14ac:dyDescent="0.25">
      <c r="B67" s="160" t="str">
        <f ca="1">'Financial Planning Tool'!EY42</f>
        <v/>
      </c>
      <c r="C67" s="263"/>
      <c r="D67" s="263"/>
      <c r="E67" s="263"/>
      <c r="F67" s="263"/>
      <c r="G67" s="263"/>
      <c r="H67" s="263"/>
      <c r="I67" s="263"/>
      <c r="J67" s="263"/>
      <c r="K67" s="263"/>
      <c r="L67" s="263"/>
      <c r="M67" s="263"/>
      <c r="N67" s="263"/>
      <c r="O67" s="160" t="str">
        <f ca="1">'Financial Planning Tool'!EZ42</f>
        <v/>
      </c>
      <c r="P67" s="263"/>
      <c r="Q67" s="263"/>
      <c r="R67" s="263"/>
      <c r="S67" s="263"/>
      <c r="T67" s="263"/>
      <c r="U67" s="263"/>
      <c r="V67" s="161"/>
      <c r="W67" s="264" t="str">
        <f ca="1">'Financial Planning Tool'!FA42</f>
        <v/>
      </c>
      <c r="X67" s="265"/>
      <c r="Y67" s="265"/>
      <c r="Z67" s="265"/>
      <c r="AA67" s="265"/>
      <c r="AB67" s="265"/>
      <c r="AC67" s="265"/>
      <c r="AD67" s="265"/>
      <c r="AE67" s="265"/>
      <c r="AF67" s="266"/>
      <c r="AG67" s="264" t="str">
        <f ca="1">'Financial Planning Tool'!FB42</f>
        <v/>
      </c>
      <c r="AH67" s="265"/>
      <c r="AI67" s="265"/>
      <c r="AJ67" s="265"/>
      <c r="AK67" s="265"/>
      <c r="AL67" s="265"/>
      <c r="AM67" s="265"/>
      <c r="AN67" s="265"/>
      <c r="AO67" s="265"/>
      <c r="AP67" s="266"/>
      <c r="AQ67" s="260" t="str">
        <f ca="1">'Financial Planning Tool'!FC42</f>
        <v/>
      </c>
      <c r="AR67" s="261"/>
      <c r="AS67" s="261"/>
      <c r="AT67" s="261"/>
      <c r="AU67" s="261"/>
      <c r="AV67" s="261"/>
      <c r="AW67" s="261"/>
      <c r="AX67" s="262"/>
      <c r="AY67" s="260" t="str">
        <f ca="1">'Financial Planning Tool'!FD42</f>
        <v/>
      </c>
      <c r="AZ67" s="261"/>
      <c r="BA67" s="261"/>
      <c r="BB67" s="261"/>
      <c r="BC67" s="261"/>
      <c r="BD67" s="261"/>
      <c r="BE67" s="261"/>
      <c r="BF67" s="262"/>
      <c r="BG67" s="267" t="str">
        <f ca="1">IFERROR(ROUND('Financial Planning Tool'!FE42,2),'Financial Planning Tool'!FE42)</f>
        <v/>
      </c>
      <c r="BH67" s="268"/>
      <c r="BI67" s="268"/>
      <c r="BJ67" s="268"/>
      <c r="BK67" s="268"/>
      <c r="BL67" s="268"/>
      <c r="BM67" s="268"/>
      <c r="BN67" s="269"/>
    </row>
    <row r="68" spans="2:66" x14ac:dyDescent="0.25">
      <c r="B68" s="160" t="str">
        <f ca="1">'Financial Planning Tool'!EY43</f>
        <v/>
      </c>
      <c r="C68" s="263"/>
      <c r="D68" s="263"/>
      <c r="E68" s="263"/>
      <c r="F68" s="263"/>
      <c r="G68" s="263"/>
      <c r="H68" s="263"/>
      <c r="I68" s="263"/>
      <c r="J68" s="263"/>
      <c r="K68" s="263"/>
      <c r="L68" s="263"/>
      <c r="M68" s="263"/>
      <c r="N68" s="263"/>
      <c r="O68" s="160" t="str">
        <f ca="1">'Financial Planning Tool'!EZ43</f>
        <v/>
      </c>
      <c r="P68" s="263"/>
      <c r="Q68" s="263"/>
      <c r="R68" s="263"/>
      <c r="S68" s="263"/>
      <c r="T68" s="263"/>
      <c r="U68" s="263"/>
      <c r="V68" s="161"/>
      <c r="W68" s="264" t="str">
        <f ca="1">'Financial Planning Tool'!FA43</f>
        <v/>
      </c>
      <c r="X68" s="265"/>
      <c r="Y68" s="265"/>
      <c r="Z68" s="265"/>
      <c r="AA68" s="265"/>
      <c r="AB68" s="265"/>
      <c r="AC68" s="265"/>
      <c r="AD68" s="265"/>
      <c r="AE68" s="265"/>
      <c r="AF68" s="266"/>
      <c r="AG68" s="264" t="str">
        <f ca="1">'Financial Planning Tool'!FB43</f>
        <v/>
      </c>
      <c r="AH68" s="265"/>
      <c r="AI68" s="265"/>
      <c r="AJ68" s="265"/>
      <c r="AK68" s="265"/>
      <c r="AL68" s="265"/>
      <c r="AM68" s="265"/>
      <c r="AN68" s="265"/>
      <c r="AO68" s="265"/>
      <c r="AP68" s="266"/>
      <c r="AQ68" s="260" t="str">
        <f ca="1">'Financial Planning Tool'!FC43</f>
        <v/>
      </c>
      <c r="AR68" s="261"/>
      <c r="AS68" s="261"/>
      <c r="AT68" s="261"/>
      <c r="AU68" s="261"/>
      <c r="AV68" s="261"/>
      <c r="AW68" s="261"/>
      <c r="AX68" s="262"/>
      <c r="AY68" s="260" t="str">
        <f ca="1">'Financial Planning Tool'!FD43</f>
        <v/>
      </c>
      <c r="AZ68" s="261"/>
      <c r="BA68" s="261"/>
      <c r="BB68" s="261"/>
      <c r="BC68" s="261"/>
      <c r="BD68" s="261"/>
      <c r="BE68" s="261"/>
      <c r="BF68" s="262"/>
      <c r="BG68" s="267" t="str">
        <f ca="1">IFERROR(ROUND('Financial Planning Tool'!FE43,2),'Financial Planning Tool'!FE43)</f>
        <v/>
      </c>
      <c r="BH68" s="268"/>
      <c r="BI68" s="268"/>
      <c r="BJ68" s="268"/>
      <c r="BK68" s="268"/>
      <c r="BL68" s="268"/>
      <c r="BM68" s="268"/>
      <c r="BN68" s="269"/>
    </row>
    <row r="69" spans="2:66" x14ac:dyDescent="0.25">
      <c r="B69" s="160" t="str">
        <f ca="1">'Financial Planning Tool'!EY44</f>
        <v/>
      </c>
      <c r="C69" s="263"/>
      <c r="D69" s="263"/>
      <c r="E69" s="263"/>
      <c r="F69" s="263"/>
      <c r="G69" s="263"/>
      <c r="H69" s="263"/>
      <c r="I69" s="263"/>
      <c r="J69" s="263"/>
      <c r="K69" s="263"/>
      <c r="L69" s="263"/>
      <c r="M69" s="263"/>
      <c r="N69" s="263"/>
      <c r="O69" s="160" t="str">
        <f ca="1">'Financial Planning Tool'!EZ44</f>
        <v/>
      </c>
      <c r="P69" s="263"/>
      <c r="Q69" s="263"/>
      <c r="R69" s="263"/>
      <c r="S69" s="263"/>
      <c r="T69" s="263"/>
      <c r="U69" s="263"/>
      <c r="V69" s="161"/>
      <c r="W69" s="264" t="str">
        <f ca="1">'Financial Planning Tool'!FA44</f>
        <v/>
      </c>
      <c r="X69" s="265"/>
      <c r="Y69" s="265"/>
      <c r="Z69" s="265"/>
      <c r="AA69" s="265"/>
      <c r="AB69" s="265"/>
      <c r="AC69" s="265"/>
      <c r="AD69" s="265"/>
      <c r="AE69" s="265"/>
      <c r="AF69" s="266"/>
      <c r="AG69" s="264" t="str">
        <f ca="1">'Financial Planning Tool'!FB44</f>
        <v/>
      </c>
      <c r="AH69" s="265"/>
      <c r="AI69" s="265"/>
      <c r="AJ69" s="265"/>
      <c r="AK69" s="265"/>
      <c r="AL69" s="265"/>
      <c r="AM69" s="265"/>
      <c r="AN69" s="265"/>
      <c r="AO69" s="265"/>
      <c r="AP69" s="266"/>
      <c r="AQ69" s="260" t="str">
        <f ca="1">'Financial Planning Tool'!FC44</f>
        <v/>
      </c>
      <c r="AR69" s="261"/>
      <c r="AS69" s="261"/>
      <c r="AT69" s="261"/>
      <c r="AU69" s="261"/>
      <c r="AV69" s="261"/>
      <c r="AW69" s="261"/>
      <c r="AX69" s="262"/>
      <c r="AY69" s="260" t="str">
        <f ca="1">'Financial Planning Tool'!FD44</f>
        <v/>
      </c>
      <c r="AZ69" s="261"/>
      <c r="BA69" s="261"/>
      <c r="BB69" s="261"/>
      <c r="BC69" s="261"/>
      <c r="BD69" s="261"/>
      <c r="BE69" s="261"/>
      <c r="BF69" s="262"/>
      <c r="BG69" s="267" t="str">
        <f ca="1">IFERROR(ROUND('Financial Planning Tool'!FE44,2),'Financial Planning Tool'!FE44)</f>
        <v/>
      </c>
      <c r="BH69" s="268"/>
      <c r="BI69" s="268"/>
      <c r="BJ69" s="268"/>
      <c r="BK69" s="268"/>
      <c r="BL69" s="268"/>
      <c r="BM69" s="268"/>
      <c r="BN69" s="269"/>
    </row>
    <row r="70" spans="2:66" x14ac:dyDescent="0.25">
      <c r="B70" s="160" t="str">
        <f ca="1">'Financial Planning Tool'!EY45</f>
        <v/>
      </c>
      <c r="C70" s="263"/>
      <c r="D70" s="263"/>
      <c r="E70" s="263"/>
      <c r="F70" s="263"/>
      <c r="G70" s="263"/>
      <c r="H70" s="263"/>
      <c r="I70" s="263"/>
      <c r="J70" s="263"/>
      <c r="K70" s="263"/>
      <c r="L70" s="263"/>
      <c r="M70" s="263"/>
      <c r="N70" s="263"/>
      <c r="O70" s="160" t="str">
        <f ca="1">'Financial Planning Tool'!EZ45</f>
        <v/>
      </c>
      <c r="P70" s="263"/>
      <c r="Q70" s="263"/>
      <c r="R70" s="263"/>
      <c r="S70" s="263"/>
      <c r="T70" s="263"/>
      <c r="U70" s="263"/>
      <c r="V70" s="161"/>
      <c r="W70" s="264" t="str">
        <f ca="1">'Financial Planning Tool'!FA45</f>
        <v/>
      </c>
      <c r="X70" s="265"/>
      <c r="Y70" s="265"/>
      <c r="Z70" s="265"/>
      <c r="AA70" s="265"/>
      <c r="AB70" s="265"/>
      <c r="AC70" s="265"/>
      <c r="AD70" s="265"/>
      <c r="AE70" s="265"/>
      <c r="AF70" s="266"/>
      <c r="AG70" s="264" t="str">
        <f ca="1">'Financial Planning Tool'!FB45</f>
        <v/>
      </c>
      <c r="AH70" s="265"/>
      <c r="AI70" s="265"/>
      <c r="AJ70" s="265"/>
      <c r="AK70" s="265"/>
      <c r="AL70" s="265"/>
      <c r="AM70" s="265"/>
      <c r="AN70" s="265"/>
      <c r="AO70" s="265"/>
      <c r="AP70" s="266"/>
      <c r="AQ70" s="260" t="str">
        <f ca="1">'Financial Planning Tool'!FC45</f>
        <v/>
      </c>
      <c r="AR70" s="261"/>
      <c r="AS70" s="261"/>
      <c r="AT70" s="261"/>
      <c r="AU70" s="261"/>
      <c r="AV70" s="261"/>
      <c r="AW70" s="261"/>
      <c r="AX70" s="262"/>
      <c r="AY70" s="260" t="str">
        <f ca="1">'Financial Planning Tool'!FD45</f>
        <v/>
      </c>
      <c r="AZ70" s="261"/>
      <c r="BA70" s="261"/>
      <c r="BB70" s="261"/>
      <c r="BC70" s="261"/>
      <c r="BD70" s="261"/>
      <c r="BE70" s="261"/>
      <c r="BF70" s="262"/>
      <c r="BG70" s="267" t="str">
        <f ca="1">IFERROR(ROUND('Financial Planning Tool'!FE45,2),'Financial Planning Tool'!FE45)</f>
        <v/>
      </c>
      <c r="BH70" s="268"/>
      <c r="BI70" s="268"/>
      <c r="BJ70" s="268"/>
      <c r="BK70" s="268"/>
      <c r="BL70" s="268"/>
      <c r="BM70" s="268"/>
      <c r="BN70" s="269"/>
    </row>
    <row r="71" spans="2:66" x14ac:dyDescent="0.25">
      <c r="B71" s="160" t="str">
        <f ca="1">'Financial Planning Tool'!EY46</f>
        <v/>
      </c>
      <c r="C71" s="263"/>
      <c r="D71" s="263"/>
      <c r="E71" s="263"/>
      <c r="F71" s="263"/>
      <c r="G71" s="263"/>
      <c r="H71" s="263"/>
      <c r="I71" s="263"/>
      <c r="J71" s="263"/>
      <c r="K71" s="263"/>
      <c r="L71" s="263"/>
      <c r="M71" s="263"/>
      <c r="N71" s="263"/>
      <c r="O71" s="160" t="str">
        <f ca="1">'Financial Planning Tool'!EZ46</f>
        <v/>
      </c>
      <c r="P71" s="263"/>
      <c r="Q71" s="263"/>
      <c r="R71" s="263"/>
      <c r="S71" s="263"/>
      <c r="T71" s="263"/>
      <c r="U71" s="263"/>
      <c r="V71" s="161"/>
      <c r="W71" s="264" t="str">
        <f ca="1">'Financial Planning Tool'!FA46</f>
        <v/>
      </c>
      <c r="X71" s="265"/>
      <c r="Y71" s="265"/>
      <c r="Z71" s="265"/>
      <c r="AA71" s="265"/>
      <c r="AB71" s="265"/>
      <c r="AC71" s="265"/>
      <c r="AD71" s="265"/>
      <c r="AE71" s="265"/>
      <c r="AF71" s="266"/>
      <c r="AG71" s="264" t="str">
        <f ca="1">'Financial Planning Tool'!FB46</f>
        <v/>
      </c>
      <c r="AH71" s="265"/>
      <c r="AI71" s="265"/>
      <c r="AJ71" s="265"/>
      <c r="AK71" s="265"/>
      <c r="AL71" s="265"/>
      <c r="AM71" s="265"/>
      <c r="AN71" s="265"/>
      <c r="AO71" s="265"/>
      <c r="AP71" s="266"/>
      <c r="AQ71" s="260" t="str">
        <f ca="1">'Financial Planning Tool'!FC46</f>
        <v/>
      </c>
      <c r="AR71" s="261"/>
      <c r="AS71" s="261"/>
      <c r="AT71" s="261"/>
      <c r="AU71" s="261"/>
      <c r="AV71" s="261"/>
      <c r="AW71" s="261"/>
      <c r="AX71" s="262"/>
      <c r="AY71" s="260" t="str">
        <f ca="1">'Financial Planning Tool'!FD46</f>
        <v/>
      </c>
      <c r="AZ71" s="261"/>
      <c r="BA71" s="261"/>
      <c r="BB71" s="261"/>
      <c r="BC71" s="261"/>
      <c r="BD71" s="261"/>
      <c r="BE71" s="261"/>
      <c r="BF71" s="262"/>
      <c r="BG71" s="267" t="str">
        <f ca="1">IFERROR(ROUND('Financial Planning Tool'!FE46,2),'Financial Planning Tool'!FE46)</f>
        <v/>
      </c>
      <c r="BH71" s="268"/>
      <c r="BI71" s="268"/>
      <c r="BJ71" s="268"/>
      <c r="BK71" s="268"/>
      <c r="BL71" s="268"/>
      <c r="BM71" s="268"/>
      <c r="BN71" s="269"/>
    </row>
    <row r="72" spans="2:66" x14ac:dyDescent="0.25">
      <c r="B72" s="160" t="str">
        <f ca="1">'Financial Planning Tool'!EY47</f>
        <v/>
      </c>
      <c r="C72" s="263"/>
      <c r="D72" s="263"/>
      <c r="E72" s="263"/>
      <c r="F72" s="263"/>
      <c r="G72" s="263"/>
      <c r="H72" s="263"/>
      <c r="I72" s="263"/>
      <c r="J72" s="263"/>
      <c r="K72" s="263"/>
      <c r="L72" s="263"/>
      <c r="M72" s="263"/>
      <c r="N72" s="263"/>
      <c r="O72" s="160" t="str">
        <f ca="1">'Financial Planning Tool'!EZ47</f>
        <v/>
      </c>
      <c r="P72" s="263"/>
      <c r="Q72" s="263"/>
      <c r="R72" s="263"/>
      <c r="S72" s="263"/>
      <c r="T72" s="263"/>
      <c r="U72" s="263"/>
      <c r="V72" s="161"/>
      <c r="W72" s="264" t="str">
        <f ca="1">'Financial Planning Tool'!FA47</f>
        <v/>
      </c>
      <c r="X72" s="265"/>
      <c r="Y72" s="265"/>
      <c r="Z72" s="265"/>
      <c r="AA72" s="265"/>
      <c r="AB72" s="265"/>
      <c r="AC72" s="265"/>
      <c r="AD72" s="265"/>
      <c r="AE72" s="265"/>
      <c r="AF72" s="266"/>
      <c r="AG72" s="264" t="str">
        <f ca="1">'Financial Planning Tool'!FB47</f>
        <v/>
      </c>
      <c r="AH72" s="265"/>
      <c r="AI72" s="265"/>
      <c r="AJ72" s="265"/>
      <c r="AK72" s="265"/>
      <c r="AL72" s="265"/>
      <c r="AM72" s="265"/>
      <c r="AN72" s="265"/>
      <c r="AO72" s="265"/>
      <c r="AP72" s="266"/>
      <c r="AQ72" s="260" t="str">
        <f ca="1">'Financial Planning Tool'!FC47</f>
        <v/>
      </c>
      <c r="AR72" s="261"/>
      <c r="AS72" s="261"/>
      <c r="AT72" s="261"/>
      <c r="AU72" s="261"/>
      <c r="AV72" s="261"/>
      <c r="AW72" s="261"/>
      <c r="AX72" s="262"/>
      <c r="AY72" s="260" t="str">
        <f ca="1">'Financial Planning Tool'!FD47</f>
        <v/>
      </c>
      <c r="AZ72" s="261"/>
      <c r="BA72" s="261"/>
      <c r="BB72" s="261"/>
      <c r="BC72" s="261"/>
      <c r="BD72" s="261"/>
      <c r="BE72" s="261"/>
      <c r="BF72" s="262"/>
      <c r="BG72" s="267" t="str">
        <f ca="1">IFERROR(ROUND('Financial Planning Tool'!FE47,2),'Financial Planning Tool'!FE47)</f>
        <v/>
      </c>
      <c r="BH72" s="268"/>
      <c r="BI72" s="268"/>
      <c r="BJ72" s="268"/>
      <c r="BK72" s="268"/>
      <c r="BL72" s="268"/>
      <c r="BM72" s="268"/>
      <c r="BN72" s="269"/>
    </row>
    <row r="73" spans="2:66" x14ac:dyDescent="0.25">
      <c r="B73" s="160" t="str">
        <f ca="1">'Financial Planning Tool'!EY48</f>
        <v/>
      </c>
      <c r="C73" s="263"/>
      <c r="D73" s="263"/>
      <c r="E73" s="263"/>
      <c r="F73" s="263"/>
      <c r="G73" s="263"/>
      <c r="H73" s="263"/>
      <c r="I73" s="263"/>
      <c r="J73" s="263"/>
      <c r="K73" s="263"/>
      <c r="L73" s="263"/>
      <c r="M73" s="263"/>
      <c r="N73" s="263"/>
      <c r="O73" s="160" t="str">
        <f ca="1">'Financial Planning Tool'!EZ48</f>
        <v/>
      </c>
      <c r="P73" s="263"/>
      <c r="Q73" s="263"/>
      <c r="R73" s="263"/>
      <c r="S73" s="263"/>
      <c r="T73" s="263"/>
      <c r="U73" s="263"/>
      <c r="V73" s="161"/>
      <c r="W73" s="264" t="str">
        <f ca="1">'Financial Planning Tool'!FA48</f>
        <v/>
      </c>
      <c r="X73" s="265"/>
      <c r="Y73" s="265"/>
      <c r="Z73" s="265"/>
      <c r="AA73" s="265"/>
      <c r="AB73" s="265"/>
      <c r="AC73" s="265"/>
      <c r="AD73" s="265"/>
      <c r="AE73" s="265"/>
      <c r="AF73" s="266"/>
      <c r="AG73" s="264" t="str">
        <f ca="1">'Financial Planning Tool'!FB48</f>
        <v/>
      </c>
      <c r="AH73" s="265"/>
      <c r="AI73" s="265"/>
      <c r="AJ73" s="265"/>
      <c r="AK73" s="265"/>
      <c r="AL73" s="265"/>
      <c r="AM73" s="265"/>
      <c r="AN73" s="265"/>
      <c r="AO73" s="265"/>
      <c r="AP73" s="266"/>
      <c r="AQ73" s="260" t="str">
        <f ca="1">'Financial Planning Tool'!FC48</f>
        <v/>
      </c>
      <c r="AR73" s="261"/>
      <c r="AS73" s="261"/>
      <c r="AT73" s="261"/>
      <c r="AU73" s="261"/>
      <c r="AV73" s="261"/>
      <c r="AW73" s="261"/>
      <c r="AX73" s="262"/>
      <c r="AY73" s="260" t="str">
        <f ca="1">'Financial Planning Tool'!FD48</f>
        <v/>
      </c>
      <c r="AZ73" s="261"/>
      <c r="BA73" s="261"/>
      <c r="BB73" s="261"/>
      <c r="BC73" s="261"/>
      <c r="BD73" s="261"/>
      <c r="BE73" s="261"/>
      <c r="BF73" s="262"/>
      <c r="BG73" s="267" t="str">
        <f ca="1">IFERROR(ROUND('Financial Planning Tool'!FE48,2),'Financial Planning Tool'!FE48)</f>
        <v/>
      </c>
      <c r="BH73" s="268"/>
      <c r="BI73" s="268"/>
      <c r="BJ73" s="268"/>
      <c r="BK73" s="268"/>
      <c r="BL73" s="268"/>
      <c r="BM73" s="268"/>
      <c r="BN73" s="269"/>
    </row>
    <row r="74" spans="2:66" x14ac:dyDescent="0.25">
      <c r="B74" s="160" t="str">
        <f ca="1">'Financial Planning Tool'!EY49</f>
        <v/>
      </c>
      <c r="C74" s="263"/>
      <c r="D74" s="263"/>
      <c r="E74" s="263"/>
      <c r="F74" s="263"/>
      <c r="G74" s="263"/>
      <c r="H74" s="263"/>
      <c r="I74" s="263"/>
      <c r="J74" s="263"/>
      <c r="K74" s="263"/>
      <c r="L74" s="263"/>
      <c r="M74" s="263"/>
      <c r="N74" s="263"/>
      <c r="O74" s="160" t="str">
        <f ca="1">'Financial Planning Tool'!EZ49</f>
        <v/>
      </c>
      <c r="P74" s="263"/>
      <c r="Q74" s="263"/>
      <c r="R74" s="263"/>
      <c r="S74" s="263"/>
      <c r="T74" s="263"/>
      <c r="U74" s="263"/>
      <c r="V74" s="161"/>
      <c r="W74" s="264" t="str">
        <f ca="1">'Financial Planning Tool'!FA49</f>
        <v/>
      </c>
      <c r="X74" s="265"/>
      <c r="Y74" s="265"/>
      <c r="Z74" s="265"/>
      <c r="AA74" s="265"/>
      <c r="AB74" s="265"/>
      <c r="AC74" s="265"/>
      <c r="AD74" s="265"/>
      <c r="AE74" s="265"/>
      <c r="AF74" s="266"/>
      <c r="AG74" s="264" t="str">
        <f ca="1">'Financial Planning Tool'!FB49</f>
        <v/>
      </c>
      <c r="AH74" s="265"/>
      <c r="AI74" s="265"/>
      <c r="AJ74" s="265"/>
      <c r="AK74" s="265"/>
      <c r="AL74" s="265"/>
      <c r="AM74" s="265"/>
      <c r="AN74" s="265"/>
      <c r="AO74" s="265"/>
      <c r="AP74" s="266"/>
      <c r="AQ74" s="260" t="str">
        <f ca="1">'Financial Planning Tool'!FC49</f>
        <v/>
      </c>
      <c r="AR74" s="261"/>
      <c r="AS74" s="261"/>
      <c r="AT74" s="261"/>
      <c r="AU74" s="261"/>
      <c r="AV74" s="261"/>
      <c r="AW74" s="261"/>
      <c r="AX74" s="262"/>
      <c r="AY74" s="260" t="str">
        <f ca="1">'Financial Planning Tool'!FD49</f>
        <v/>
      </c>
      <c r="AZ74" s="261"/>
      <c r="BA74" s="261"/>
      <c r="BB74" s="261"/>
      <c r="BC74" s="261"/>
      <c r="BD74" s="261"/>
      <c r="BE74" s="261"/>
      <c r="BF74" s="262"/>
      <c r="BG74" s="267" t="str">
        <f ca="1">IFERROR(ROUND('Financial Planning Tool'!FE49,2),'Financial Planning Tool'!FE49)</f>
        <v/>
      </c>
      <c r="BH74" s="268"/>
      <c r="BI74" s="268"/>
      <c r="BJ74" s="268"/>
      <c r="BK74" s="268"/>
      <c r="BL74" s="268"/>
      <c r="BM74" s="268"/>
      <c r="BN74" s="269"/>
    </row>
    <row r="75" spans="2:66" x14ac:dyDescent="0.25">
      <c r="B75" s="160" t="str">
        <f ca="1">'Financial Planning Tool'!EY50</f>
        <v/>
      </c>
      <c r="C75" s="263"/>
      <c r="D75" s="263"/>
      <c r="E75" s="263"/>
      <c r="F75" s="263"/>
      <c r="G75" s="263"/>
      <c r="H75" s="263"/>
      <c r="I75" s="263"/>
      <c r="J75" s="263"/>
      <c r="K75" s="263"/>
      <c r="L75" s="263"/>
      <c r="M75" s="263"/>
      <c r="N75" s="263"/>
      <c r="O75" s="160" t="str">
        <f ca="1">'Financial Planning Tool'!EZ50</f>
        <v/>
      </c>
      <c r="P75" s="263"/>
      <c r="Q75" s="263"/>
      <c r="R75" s="263"/>
      <c r="S75" s="263"/>
      <c r="T75" s="263"/>
      <c r="U75" s="263"/>
      <c r="V75" s="161"/>
      <c r="W75" s="264" t="str">
        <f ca="1">'Financial Planning Tool'!FA50</f>
        <v/>
      </c>
      <c r="X75" s="265"/>
      <c r="Y75" s="265"/>
      <c r="Z75" s="265"/>
      <c r="AA75" s="265"/>
      <c r="AB75" s="265"/>
      <c r="AC75" s="265"/>
      <c r="AD75" s="265"/>
      <c r="AE75" s="265"/>
      <c r="AF75" s="266"/>
      <c r="AG75" s="264" t="str">
        <f ca="1">'Financial Planning Tool'!FB50</f>
        <v/>
      </c>
      <c r="AH75" s="265"/>
      <c r="AI75" s="265"/>
      <c r="AJ75" s="265"/>
      <c r="AK75" s="265"/>
      <c r="AL75" s="265"/>
      <c r="AM75" s="265"/>
      <c r="AN75" s="265"/>
      <c r="AO75" s="265"/>
      <c r="AP75" s="266"/>
      <c r="AQ75" s="260" t="str">
        <f ca="1">'Financial Planning Tool'!FC50</f>
        <v/>
      </c>
      <c r="AR75" s="261"/>
      <c r="AS75" s="261"/>
      <c r="AT75" s="261"/>
      <c r="AU75" s="261"/>
      <c r="AV75" s="261"/>
      <c r="AW75" s="261"/>
      <c r="AX75" s="262"/>
      <c r="AY75" s="260" t="str">
        <f ca="1">'Financial Planning Tool'!FD50</f>
        <v/>
      </c>
      <c r="AZ75" s="261"/>
      <c r="BA75" s="261"/>
      <c r="BB75" s="261"/>
      <c r="BC75" s="261"/>
      <c r="BD75" s="261"/>
      <c r="BE75" s="261"/>
      <c r="BF75" s="262"/>
      <c r="BG75" s="267" t="str">
        <f ca="1">IFERROR(ROUND('Financial Planning Tool'!FE50,2),'Financial Planning Tool'!FE50)</f>
        <v/>
      </c>
      <c r="BH75" s="268"/>
      <c r="BI75" s="268"/>
      <c r="BJ75" s="268"/>
      <c r="BK75" s="268"/>
      <c r="BL75" s="268"/>
      <c r="BM75" s="268"/>
      <c r="BN75" s="269"/>
    </row>
    <row r="76" spans="2:66" x14ac:dyDescent="0.25">
      <c r="B76" s="160" t="str">
        <f ca="1">'Financial Planning Tool'!EY51</f>
        <v/>
      </c>
      <c r="C76" s="263"/>
      <c r="D76" s="263"/>
      <c r="E76" s="263"/>
      <c r="F76" s="263"/>
      <c r="G76" s="263"/>
      <c r="H76" s="263"/>
      <c r="I76" s="263"/>
      <c r="J76" s="263"/>
      <c r="K76" s="263"/>
      <c r="L76" s="263"/>
      <c r="M76" s="263"/>
      <c r="N76" s="263"/>
      <c r="O76" s="160" t="str">
        <f ca="1">'Financial Planning Tool'!EZ51</f>
        <v/>
      </c>
      <c r="P76" s="263"/>
      <c r="Q76" s="263"/>
      <c r="R76" s="263"/>
      <c r="S76" s="263"/>
      <c r="T76" s="263"/>
      <c r="U76" s="263"/>
      <c r="V76" s="161"/>
      <c r="W76" s="264" t="str">
        <f ca="1">'Financial Planning Tool'!FA51</f>
        <v/>
      </c>
      <c r="X76" s="265"/>
      <c r="Y76" s="265"/>
      <c r="Z76" s="265"/>
      <c r="AA76" s="265"/>
      <c r="AB76" s="265"/>
      <c r="AC76" s="265"/>
      <c r="AD76" s="265"/>
      <c r="AE76" s="265"/>
      <c r="AF76" s="266"/>
      <c r="AG76" s="264" t="str">
        <f ca="1">'Financial Planning Tool'!FB51</f>
        <v/>
      </c>
      <c r="AH76" s="265"/>
      <c r="AI76" s="265"/>
      <c r="AJ76" s="265"/>
      <c r="AK76" s="265"/>
      <c r="AL76" s="265"/>
      <c r="AM76" s="265"/>
      <c r="AN76" s="265"/>
      <c r="AO76" s="265"/>
      <c r="AP76" s="266"/>
      <c r="AQ76" s="260" t="str">
        <f ca="1">'Financial Planning Tool'!FC51</f>
        <v/>
      </c>
      <c r="AR76" s="261"/>
      <c r="AS76" s="261"/>
      <c r="AT76" s="261"/>
      <c r="AU76" s="261"/>
      <c r="AV76" s="261"/>
      <c r="AW76" s="261"/>
      <c r="AX76" s="262"/>
      <c r="AY76" s="260" t="str">
        <f ca="1">'Financial Planning Tool'!FD51</f>
        <v/>
      </c>
      <c r="AZ76" s="261"/>
      <c r="BA76" s="261"/>
      <c r="BB76" s="261"/>
      <c r="BC76" s="261"/>
      <c r="BD76" s="261"/>
      <c r="BE76" s="261"/>
      <c r="BF76" s="262"/>
      <c r="BG76" s="267" t="str">
        <f ca="1">IFERROR(ROUND('Financial Planning Tool'!FE51,2),'Financial Planning Tool'!FE51)</f>
        <v/>
      </c>
      <c r="BH76" s="268"/>
      <c r="BI76" s="268"/>
      <c r="BJ76" s="268"/>
      <c r="BK76" s="268"/>
      <c r="BL76" s="268"/>
      <c r="BM76" s="268"/>
      <c r="BN76" s="269"/>
    </row>
    <row r="77" spans="2:66" x14ac:dyDescent="0.25">
      <c r="B77" s="160" t="str">
        <f ca="1">'Financial Planning Tool'!EY52</f>
        <v/>
      </c>
      <c r="C77" s="263"/>
      <c r="D77" s="263"/>
      <c r="E77" s="263"/>
      <c r="F77" s="263"/>
      <c r="G77" s="263"/>
      <c r="H77" s="263"/>
      <c r="I77" s="263"/>
      <c r="J77" s="263"/>
      <c r="K77" s="263"/>
      <c r="L77" s="263"/>
      <c r="M77" s="263"/>
      <c r="N77" s="263"/>
      <c r="O77" s="160" t="str">
        <f ca="1">'Financial Planning Tool'!EZ52</f>
        <v/>
      </c>
      <c r="P77" s="263"/>
      <c r="Q77" s="263"/>
      <c r="R77" s="263"/>
      <c r="S77" s="263"/>
      <c r="T77" s="263"/>
      <c r="U77" s="263"/>
      <c r="V77" s="161"/>
      <c r="W77" s="264" t="str">
        <f ca="1">'Financial Planning Tool'!FA52</f>
        <v/>
      </c>
      <c r="X77" s="265"/>
      <c r="Y77" s="265"/>
      <c r="Z77" s="265"/>
      <c r="AA77" s="265"/>
      <c r="AB77" s="265"/>
      <c r="AC77" s="265"/>
      <c r="AD77" s="265"/>
      <c r="AE77" s="265"/>
      <c r="AF77" s="266"/>
      <c r="AG77" s="264" t="str">
        <f ca="1">'Financial Planning Tool'!FB52</f>
        <v/>
      </c>
      <c r="AH77" s="265"/>
      <c r="AI77" s="265"/>
      <c r="AJ77" s="265"/>
      <c r="AK77" s="265"/>
      <c r="AL77" s="265"/>
      <c r="AM77" s="265"/>
      <c r="AN77" s="265"/>
      <c r="AO77" s="265"/>
      <c r="AP77" s="266"/>
      <c r="AQ77" s="260" t="str">
        <f ca="1">'Financial Planning Tool'!FC52</f>
        <v/>
      </c>
      <c r="AR77" s="261"/>
      <c r="AS77" s="261"/>
      <c r="AT77" s="261"/>
      <c r="AU77" s="261"/>
      <c r="AV77" s="261"/>
      <c r="AW77" s="261"/>
      <c r="AX77" s="262"/>
      <c r="AY77" s="260" t="str">
        <f ca="1">'Financial Planning Tool'!FD52</f>
        <v/>
      </c>
      <c r="AZ77" s="261"/>
      <c r="BA77" s="261"/>
      <c r="BB77" s="261"/>
      <c r="BC77" s="261"/>
      <c r="BD77" s="261"/>
      <c r="BE77" s="261"/>
      <c r="BF77" s="262"/>
      <c r="BG77" s="267" t="str">
        <f ca="1">IFERROR(ROUND('Financial Planning Tool'!FE52,2),'Financial Planning Tool'!FE52)</f>
        <v/>
      </c>
      <c r="BH77" s="268"/>
      <c r="BI77" s="268"/>
      <c r="BJ77" s="268"/>
      <c r="BK77" s="268"/>
      <c r="BL77" s="268"/>
      <c r="BM77" s="268"/>
      <c r="BN77" s="269"/>
    </row>
    <row r="78" spans="2:66" x14ac:dyDescent="0.25">
      <c r="B78" s="160" t="str">
        <f ca="1">'Financial Planning Tool'!EY53</f>
        <v/>
      </c>
      <c r="C78" s="263"/>
      <c r="D78" s="263"/>
      <c r="E78" s="263"/>
      <c r="F78" s="263"/>
      <c r="G78" s="263"/>
      <c r="H78" s="263"/>
      <c r="I78" s="263"/>
      <c r="J78" s="263"/>
      <c r="K78" s="263"/>
      <c r="L78" s="263"/>
      <c r="M78" s="263"/>
      <c r="N78" s="263"/>
      <c r="O78" s="160" t="str">
        <f ca="1">'Financial Planning Tool'!EZ53</f>
        <v/>
      </c>
      <c r="P78" s="263"/>
      <c r="Q78" s="263"/>
      <c r="R78" s="263"/>
      <c r="S78" s="263"/>
      <c r="T78" s="263"/>
      <c r="U78" s="263"/>
      <c r="V78" s="161"/>
      <c r="W78" s="264" t="str">
        <f ca="1">'Financial Planning Tool'!FA53</f>
        <v/>
      </c>
      <c r="X78" s="265"/>
      <c r="Y78" s="265"/>
      <c r="Z78" s="265"/>
      <c r="AA78" s="265"/>
      <c r="AB78" s="265"/>
      <c r="AC78" s="265"/>
      <c r="AD78" s="265"/>
      <c r="AE78" s="265"/>
      <c r="AF78" s="266"/>
      <c r="AG78" s="264" t="str">
        <f ca="1">'Financial Planning Tool'!FB53</f>
        <v/>
      </c>
      <c r="AH78" s="265"/>
      <c r="AI78" s="265"/>
      <c r="AJ78" s="265"/>
      <c r="AK78" s="265"/>
      <c r="AL78" s="265"/>
      <c r="AM78" s="265"/>
      <c r="AN78" s="265"/>
      <c r="AO78" s="265"/>
      <c r="AP78" s="266"/>
      <c r="AQ78" s="260" t="str">
        <f ca="1">'Financial Planning Tool'!FC53</f>
        <v/>
      </c>
      <c r="AR78" s="261"/>
      <c r="AS78" s="261"/>
      <c r="AT78" s="261"/>
      <c r="AU78" s="261"/>
      <c r="AV78" s="261"/>
      <c r="AW78" s="261"/>
      <c r="AX78" s="262"/>
      <c r="AY78" s="260" t="str">
        <f ca="1">'Financial Planning Tool'!FD53</f>
        <v/>
      </c>
      <c r="AZ78" s="261"/>
      <c r="BA78" s="261"/>
      <c r="BB78" s="261"/>
      <c r="BC78" s="261"/>
      <c r="BD78" s="261"/>
      <c r="BE78" s="261"/>
      <c r="BF78" s="262"/>
      <c r="BG78" s="267" t="str">
        <f ca="1">IFERROR(ROUND('Financial Planning Tool'!FE53,2),'Financial Planning Tool'!FE53)</f>
        <v/>
      </c>
      <c r="BH78" s="268"/>
      <c r="BI78" s="268"/>
      <c r="BJ78" s="268"/>
      <c r="BK78" s="268"/>
      <c r="BL78" s="268"/>
      <c r="BM78" s="268"/>
      <c r="BN78" s="269"/>
    </row>
    <row r="79" spans="2:66" x14ac:dyDescent="0.25">
      <c r="B79" s="160" t="str">
        <f ca="1">'Financial Planning Tool'!EY54</f>
        <v/>
      </c>
      <c r="C79" s="263"/>
      <c r="D79" s="263"/>
      <c r="E79" s="263"/>
      <c r="F79" s="263"/>
      <c r="G79" s="263"/>
      <c r="H79" s="263"/>
      <c r="I79" s="263"/>
      <c r="J79" s="263"/>
      <c r="K79" s="263"/>
      <c r="L79" s="263"/>
      <c r="M79" s="263"/>
      <c r="N79" s="263"/>
      <c r="O79" s="160" t="str">
        <f ca="1">'Financial Planning Tool'!EZ54</f>
        <v/>
      </c>
      <c r="P79" s="263"/>
      <c r="Q79" s="263"/>
      <c r="R79" s="263"/>
      <c r="S79" s="263"/>
      <c r="T79" s="263"/>
      <c r="U79" s="263"/>
      <c r="V79" s="161"/>
      <c r="W79" s="264" t="str">
        <f ca="1">'Financial Planning Tool'!FA54</f>
        <v/>
      </c>
      <c r="X79" s="265"/>
      <c r="Y79" s="265"/>
      <c r="Z79" s="265"/>
      <c r="AA79" s="265"/>
      <c r="AB79" s="265"/>
      <c r="AC79" s="265"/>
      <c r="AD79" s="265"/>
      <c r="AE79" s="265"/>
      <c r="AF79" s="266"/>
      <c r="AG79" s="264" t="str">
        <f ca="1">'Financial Planning Tool'!FB54</f>
        <v/>
      </c>
      <c r="AH79" s="265"/>
      <c r="AI79" s="265"/>
      <c r="AJ79" s="265"/>
      <c r="AK79" s="265"/>
      <c r="AL79" s="265"/>
      <c r="AM79" s="265"/>
      <c r="AN79" s="265"/>
      <c r="AO79" s="265"/>
      <c r="AP79" s="266"/>
      <c r="AQ79" s="260" t="str">
        <f ca="1">'Financial Planning Tool'!FC54</f>
        <v/>
      </c>
      <c r="AR79" s="261"/>
      <c r="AS79" s="261"/>
      <c r="AT79" s="261"/>
      <c r="AU79" s="261"/>
      <c r="AV79" s="261"/>
      <c r="AW79" s="261"/>
      <c r="AX79" s="262"/>
      <c r="AY79" s="260" t="str">
        <f ca="1">'Financial Planning Tool'!FD54</f>
        <v/>
      </c>
      <c r="AZ79" s="261"/>
      <c r="BA79" s="261"/>
      <c r="BB79" s="261"/>
      <c r="BC79" s="261"/>
      <c r="BD79" s="261"/>
      <c r="BE79" s="261"/>
      <c r="BF79" s="262"/>
      <c r="BG79" s="267" t="str">
        <f ca="1">IFERROR(ROUND('Financial Planning Tool'!FE54,2),'Financial Planning Tool'!FE54)</f>
        <v/>
      </c>
      <c r="BH79" s="268"/>
      <c r="BI79" s="268"/>
      <c r="BJ79" s="268"/>
      <c r="BK79" s="268"/>
      <c r="BL79" s="268"/>
      <c r="BM79" s="268"/>
      <c r="BN79" s="269"/>
    </row>
    <row r="80" spans="2:66" x14ac:dyDescent="0.25">
      <c r="B80" s="160" t="str">
        <f ca="1">'Financial Planning Tool'!EY55</f>
        <v/>
      </c>
      <c r="C80" s="263"/>
      <c r="D80" s="263"/>
      <c r="E80" s="263"/>
      <c r="F80" s="263"/>
      <c r="G80" s="263"/>
      <c r="H80" s="263"/>
      <c r="I80" s="263"/>
      <c r="J80" s="263"/>
      <c r="K80" s="263"/>
      <c r="L80" s="263"/>
      <c r="M80" s="263"/>
      <c r="N80" s="263"/>
      <c r="O80" s="160" t="str">
        <f ca="1">'Financial Planning Tool'!EZ55</f>
        <v/>
      </c>
      <c r="P80" s="263"/>
      <c r="Q80" s="263"/>
      <c r="R80" s="263"/>
      <c r="S80" s="263"/>
      <c r="T80" s="263"/>
      <c r="U80" s="263"/>
      <c r="V80" s="161"/>
      <c r="W80" s="264" t="str">
        <f ca="1">'Financial Planning Tool'!FA55</f>
        <v/>
      </c>
      <c r="X80" s="265"/>
      <c r="Y80" s="265"/>
      <c r="Z80" s="265"/>
      <c r="AA80" s="265"/>
      <c r="AB80" s="265"/>
      <c r="AC80" s="265"/>
      <c r="AD80" s="265"/>
      <c r="AE80" s="265"/>
      <c r="AF80" s="266"/>
      <c r="AG80" s="264" t="str">
        <f ca="1">'Financial Planning Tool'!FB55</f>
        <v/>
      </c>
      <c r="AH80" s="265"/>
      <c r="AI80" s="265"/>
      <c r="AJ80" s="265"/>
      <c r="AK80" s="265"/>
      <c r="AL80" s="265"/>
      <c r="AM80" s="265"/>
      <c r="AN80" s="265"/>
      <c r="AO80" s="265"/>
      <c r="AP80" s="266"/>
      <c r="AQ80" s="260" t="str">
        <f ca="1">'Financial Planning Tool'!FC55</f>
        <v/>
      </c>
      <c r="AR80" s="261"/>
      <c r="AS80" s="261"/>
      <c r="AT80" s="261"/>
      <c r="AU80" s="261"/>
      <c r="AV80" s="261"/>
      <c r="AW80" s="261"/>
      <c r="AX80" s="262"/>
      <c r="AY80" s="260" t="str">
        <f ca="1">'Financial Planning Tool'!FD55</f>
        <v/>
      </c>
      <c r="AZ80" s="261"/>
      <c r="BA80" s="261"/>
      <c r="BB80" s="261"/>
      <c r="BC80" s="261"/>
      <c r="BD80" s="261"/>
      <c r="BE80" s="261"/>
      <c r="BF80" s="262"/>
      <c r="BG80" s="267" t="str">
        <f ca="1">IFERROR(ROUND('Financial Planning Tool'!FE55,2),'Financial Planning Tool'!FE55)</f>
        <v/>
      </c>
      <c r="BH80" s="268"/>
      <c r="BI80" s="268"/>
      <c r="BJ80" s="268"/>
      <c r="BK80" s="268"/>
      <c r="BL80" s="268"/>
      <c r="BM80" s="268"/>
      <c r="BN80" s="269"/>
    </row>
    <row r="81" spans="2:66" x14ac:dyDescent="0.25">
      <c r="B81" s="160" t="str">
        <f ca="1">'Financial Planning Tool'!EY56</f>
        <v/>
      </c>
      <c r="C81" s="263"/>
      <c r="D81" s="263"/>
      <c r="E81" s="263"/>
      <c r="F81" s="263"/>
      <c r="G81" s="263"/>
      <c r="H81" s="263"/>
      <c r="I81" s="263"/>
      <c r="J81" s="263"/>
      <c r="K81" s="263"/>
      <c r="L81" s="263"/>
      <c r="M81" s="263"/>
      <c r="N81" s="263"/>
      <c r="O81" s="160" t="str">
        <f ca="1">'Financial Planning Tool'!EZ56</f>
        <v/>
      </c>
      <c r="P81" s="263"/>
      <c r="Q81" s="263"/>
      <c r="R81" s="263"/>
      <c r="S81" s="263"/>
      <c r="T81" s="263"/>
      <c r="U81" s="263"/>
      <c r="V81" s="161"/>
      <c r="W81" s="264" t="str">
        <f ca="1">'Financial Planning Tool'!FA56</f>
        <v/>
      </c>
      <c r="X81" s="265"/>
      <c r="Y81" s="265"/>
      <c r="Z81" s="265"/>
      <c r="AA81" s="265"/>
      <c r="AB81" s="265"/>
      <c r="AC81" s="265"/>
      <c r="AD81" s="265"/>
      <c r="AE81" s="265"/>
      <c r="AF81" s="266"/>
      <c r="AG81" s="264" t="str">
        <f ca="1">'Financial Planning Tool'!FB56</f>
        <v/>
      </c>
      <c r="AH81" s="265"/>
      <c r="AI81" s="265"/>
      <c r="AJ81" s="265"/>
      <c r="AK81" s="265"/>
      <c r="AL81" s="265"/>
      <c r="AM81" s="265"/>
      <c r="AN81" s="265"/>
      <c r="AO81" s="265"/>
      <c r="AP81" s="266"/>
      <c r="AQ81" s="260" t="str">
        <f ca="1">'Financial Planning Tool'!FC56</f>
        <v/>
      </c>
      <c r="AR81" s="261"/>
      <c r="AS81" s="261"/>
      <c r="AT81" s="261"/>
      <c r="AU81" s="261"/>
      <c r="AV81" s="261"/>
      <c r="AW81" s="261"/>
      <c r="AX81" s="262"/>
      <c r="AY81" s="260" t="str">
        <f ca="1">'Financial Planning Tool'!FD56</f>
        <v/>
      </c>
      <c r="AZ81" s="261"/>
      <c r="BA81" s="261"/>
      <c r="BB81" s="261"/>
      <c r="BC81" s="261"/>
      <c r="BD81" s="261"/>
      <c r="BE81" s="261"/>
      <c r="BF81" s="262"/>
      <c r="BG81" s="267" t="str">
        <f ca="1">IFERROR(ROUND('Financial Planning Tool'!FE56,2),'Financial Planning Tool'!FE56)</f>
        <v/>
      </c>
      <c r="BH81" s="268"/>
      <c r="BI81" s="268"/>
      <c r="BJ81" s="268"/>
      <c r="BK81" s="268"/>
      <c r="BL81" s="268"/>
      <c r="BM81" s="268"/>
      <c r="BN81" s="269"/>
    </row>
    <row r="82" spans="2:66" x14ac:dyDescent="0.25">
      <c r="B82" s="160" t="str">
        <f ca="1">'Financial Planning Tool'!EY57</f>
        <v/>
      </c>
      <c r="C82" s="263"/>
      <c r="D82" s="263"/>
      <c r="E82" s="263"/>
      <c r="F82" s="263"/>
      <c r="G82" s="263"/>
      <c r="H82" s="263"/>
      <c r="I82" s="263"/>
      <c r="J82" s="263"/>
      <c r="K82" s="263"/>
      <c r="L82" s="263"/>
      <c r="M82" s="263"/>
      <c r="N82" s="263"/>
      <c r="O82" s="160" t="str">
        <f ca="1">'Financial Planning Tool'!EZ57</f>
        <v/>
      </c>
      <c r="P82" s="263"/>
      <c r="Q82" s="263"/>
      <c r="R82" s="263"/>
      <c r="S82" s="263"/>
      <c r="T82" s="263"/>
      <c r="U82" s="263"/>
      <c r="V82" s="161"/>
      <c r="W82" s="264" t="str">
        <f ca="1">'Financial Planning Tool'!FA57</f>
        <v/>
      </c>
      <c r="X82" s="265"/>
      <c r="Y82" s="265"/>
      <c r="Z82" s="265"/>
      <c r="AA82" s="265"/>
      <c r="AB82" s="265"/>
      <c r="AC82" s="265"/>
      <c r="AD82" s="265"/>
      <c r="AE82" s="265"/>
      <c r="AF82" s="266"/>
      <c r="AG82" s="264" t="str">
        <f ca="1">'Financial Planning Tool'!FB57</f>
        <v/>
      </c>
      <c r="AH82" s="265"/>
      <c r="AI82" s="265"/>
      <c r="AJ82" s="265"/>
      <c r="AK82" s="265"/>
      <c r="AL82" s="265"/>
      <c r="AM82" s="265"/>
      <c r="AN82" s="265"/>
      <c r="AO82" s="265"/>
      <c r="AP82" s="266"/>
      <c r="AQ82" s="260" t="str">
        <f ca="1">'Financial Planning Tool'!FC57</f>
        <v/>
      </c>
      <c r="AR82" s="261"/>
      <c r="AS82" s="261"/>
      <c r="AT82" s="261"/>
      <c r="AU82" s="261"/>
      <c r="AV82" s="261"/>
      <c r="AW82" s="261"/>
      <c r="AX82" s="262"/>
      <c r="AY82" s="260" t="str">
        <f ca="1">'Financial Planning Tool'!FD57</f>
        <v/>
      </c>
      <c r="AZ82" s="261"/>
      <c r="BA82" s="261"/>
      <c r="BB82" s="261"/>
      <c r="BC82" s="261"/>
      <c r="BD82" s="261"/>
      <c r="BE82" s="261"/>
      <c r="BF82" s="262"/>
      <c r="BG82" s="267" t="str">
        <f ca="1">IFERROR(ROUND('Financial Planning Tool'!FE57,2),'Financial Planning Tool'!FE57)</f>
        <v/>
      </c>
      <c r="BH82" s="268"/>
      <c r="BI82" s="268"/>
      <c r="BJ82" s="268"/>
      <c r="BK82" s="268"/>
      <c r="BL82" s="268"/>
      <c r="BM82" s="268"/>
      <c r="BN82" s="269"/>
    </row>
    <row r="83" spans="2:66" x14ac:dyDescent="0.25">
      <c r="B83" s="160" t="str">
        <f ca="1">'Financial Planning Tool'!EY58</f>
        <v/>
      </c>
      <c r="C83" s="263"/>
      <c r="D83" s="263"/>
      <c r="E83" s="263"/>
      <c r="F83" s="263"/>
      <c r="G83" s="263"/>
      <c r="H83" s="263"/>
      <c r="I83" s="263"/>
      <c r="J83" s="263"/>
      <c r="K83" s="263"/>
      <c r="L83" s="263"/>
      <c r="M83" s="263"/>
      <c r="N83" s="263"/>
      <c r="O83" s="160" t="str">
        <f ca="1">'Financial Planning Tool'!EZ58</f>
        <v/>
      </c>
      <c r="P83" s="263"/>
      <c r="Q83" s="263"/>
      <c r="R83" s="263"/>
      <c r="S83" s="263"/>
      <c r="T83" s="263"/>
      <c r="U83" s="263"/>
      <c r="V83" s="161"/>
      <c r="W83" s="264" t="str">
        <f ca="1">'Financial Planning Tool'!FA58</f>
        <v/>
      </c>
      <c r="X83" s="265"/>
      <c r="Y83" s="265"/>
      <c r="Z83" s="265"/>
      <c r="AA83" s="265"/>
      <c r="AB83" s="265"/>
      <c r="AC83" s="265"/>
      <c r="AD83" s="265"/>
      <c r="AE83" s="265"/>
      <c r="AF83" s="266"/>
      <c r="AG83" s="264" t="str">
        <f ca="1">'Financial Planning Tool'!FB58</f>
        <v/>
      </c>
      <c r="AH83" s="265"/>
      <c r="AI83" s="265"/>
      <c r="AJ83" s="265"/>
      <c r="AK83" s="265"/>
      <c r="AL83" s="265"/>
      <c r="AM83" s="265"/>
      <c r="AN83" s="265"/>
      <c r="AO83" s="265"/>
      <c r="AP83" s="266"/>
      <c r="AQ83" s="260" t="str">
        <f ca="1">'Financial Planning Tool'!FC58</f>
        <v/>
      </c>
      <c r="AR83" s="261"/>
      <c r="AS83" s="261"/>
      <c r="AT83" s="261"/>
      <c r="AU83" s="261"/>
      <c r="AV83" s="261"/>
      <c r="AW83" s="261"/>
      <c r="AX83" s="262"/>
      <c r="AY83" s="260" t="str">
        <f ca="1">'Financial Planning Tool'!FD58</f>
        <v/>
      </c>
      <c r="AZ83" s="261"/>
      <c r="BA83" s="261"/>
      <c r="BB83" s="261"/>
      <c r="BC83" s="261"/>
      <c r="BD83" s="261"/>
      <c r="BE83" s="261"/>
      <c r="BF83" s="262"/>
      <c r="BG83" s="267" t="str">
        <f ca="1">IFERROR(ROUND('Financial Planning Tool'!FE58,2),'Financial Planning Tool'!FE58)</f>
        <v/>
      </c>
      <c r="BH83" s="268"/>
      <c r="BI83" s="268"/>
      <c r="BJ83" s="268"/>
      <c r="BK83" s="268"/>
      <c r="BL83" s="268"/>
      <c r="BM83" s="268"/>
      <c r="BN83" s="269"/>
    </row>
    <row r="84" spans="2:66" x14ac:dyDescent="0.25">
      <c r="B84" s="160" t="str">
        <f ca="1">'Financial Planning Tool'!EY59</f>
        <v/>
      </c>
      <c r="C84" s="263"/>
      <c r="D84" s="263"/>
      <c r="E84" s="263"/>
      <c r="F84" s="263"/>
      <c r="G84" s="263"/>
      <c r="H84" s="263"/>
      <c r="I84" s="263"/>
      <c r="J84" s="263"/>
      <c r="K84" s="263"/>
      <c r="L84" s="263"/>
      <c r="M84" s="263"/>
      <c r="N84" s="263"/>
      <c r="O84" s="160" t="str">
        <f ca="1">'Financial Planning Tool'!EZ59</f>
        <v/>
      </c>
      <c r="P84" s="263"/>
      <c r="Q84" s="263"/>
      <c r="R84" s="263"/>
      <c r="S84" s="263"/>
      <c r="T84" s="263"/>
      <c r="U84" s="263"/>
      <c r="V84" s="161"/>
      <c r="W84" s="264" t="str">
        <f ca="1">'Financial Planning Tool'!FA59</f>
        <v/>
      </c>
      <c r="X84" s="265"/>
      <c r="Y84" s="265"/>
      <c r="Z84" s="265"/>
      <c r="AA84" s="265"/>
      <c r="AB84" s="265"/>
      <c r="AC84" s="265"/>
      <c r="AD84" s="265"/>
      <c r="AE84" s="265"/>
      <c r="AF84" s="266"/>
      <c r="AG84" s="264" t="str">
        <f ca="1">'Financial Planning Tool'!FB59</f>
        <v/>
      </c>
      <c r="AH84" s="265"/>
      <c r="AI84" s="265"/>
      <c r="AJ84" s="265"/>
      <c r="AK84" s="265"/>
      <c r="AL84" s="265"/>
      <c r="AM84" s="265"/>
      <c r="AN84" s="265"/>
      <c r="AO84" s="265"/>
      <c r="AP84" s="266"/>
      <c r="AQ84" s="260" t="str">
        <f ca="1">'Financial Planning Tool'!FC59</f>
        <v/>
      </c>
      <c r="AR84" s="261"/>
      <c r="AS84" s="261"/>
      <c r="AT84" s="261"/>
      <c r="AU84" s="261"/>
      <c r="AV84" s="261"/>
      <c r="AW84" s="261"/>
      <c r="AX84" s="262"/>
      <c r="AY84" s="260" t="str">
        <f ca="1">'Financial Planning Tool'!FD59</f>
        <v/>
      </c>
      <c r="AZ84" s="261"/>
      <c r="BA84" s="261"/>
      <c r="BB84" s="261"/>
      <c r="BC84" s="261"/>
      <c r="BD84" s="261"/>
      <c r="BE84" s="261"/>
      <c r="BF84" s="262"/>
      <c r="BG84" s="267" t="str">
        <f ca="1">IFERROR(ROUND('Financial Planning Tool'!FE59,2),'Financial Planning Tool'!FE59)</f>
        <v/>
      </c>
      <c r="BH84" s="268"/>
      <c r="BI84" s="268"/>
      <c r="BJ84" s="268"/>
      <c r="BK84" s="268"/>
      <c r="BL84" s="268"/>
      <c r="BM84" s="268"/>
      <c r="BN84" s="269"/>
    </row>
    <row r="85" spans="2:66" x14ac:dyDescent="0.25">
      <c r="B85" s="160" t="str">
        <f ca="1">'Financial Planning Tool'!EY60</f>
        <v/>
      </c>
      <c r="C85" s="263"/>
      <c r="D85" s="263"/>
      <c r="E85" s="263"/>
      <c r="F85" s="263"/>
      <c r="G85" s="263"/>
      <c r="H85" s="263"/>
      <c r="I85" s="263"/>
      <c r="J85" s="263"/>
      <c r="K85" s="263"/>
      <c r="L85" s="263"/>
      <c r="M85" s="263"/>
      <c r="N85" s="263"/>
      <c r="O85" s="160" t="str">
        <f ca="1">'Financial Planning Tool'!EZ60</f>
        <v/>
      </c>
      <c r="P85" s="263"/>
      <c r="Q85" s="263"/>
      <c r="R85" s="263"/>
      <c r="S85" s="263"/>
      <c r="T85" s="263"/>
      <c r="U85" s="263"/>
      <c r="V85" s="161"/>
      <c r="W85" s="264" t="str">
        <f ca="1">'Financial Planning Tool'!FA60</f>
        <v/>
      </c>
      <c r="X85" s="265"/>
      <c r="Y85" s="265"/>
      <c r="Z85" s="265"/>
      <c r="AA85" s="265"/>
      <c r="AB85" s="265"/>
      <c r="AC85" s="265"/>
      <c r="AD85" s="265"/>
      <c r="AE85" s="265"/>
      <c r="AF85" s="266"/>
      <c r="AG85" s="264" t="str">
        <f ca="1">'Financial Planning Tool'!FB60</f>
        <v/>
      </c>
      <c r="AH85" s="265"/>
      <c r="AI85" s="265"/>
      <c r="AJ85" s="265"/>
      <c r="AK85" s="265"/>
      <c r="AL85" s="265"/>
      <c r="AM85" s="265"/>
      <c r="AN85" s="265"/>
      <c r="AO85" s="265"/>
      <c r="AP85" s="266"/>
      <c r="AQ85" s="260" t="str">
        <f ca="1">'Financial Planning Tool'!FC60</f>
        <v/>
      </c>
      <c r="AR85" s="261"/>
      <c r="AS85" s="261"/>
      <c r="AT85" s="261"/>
      <c r="AU85" s="261"/>
      <c r="AV85" s="261"/>
      <c r="AW85" s="261"/>
      <c r="AX85" s="262"/>
      <c r="AY85" s="260" t="str">
        <f ca="1">'Financial Planning Tool'!FD60</f>
        <v/>
      </c>
      <c r="AZ85" s="261"/>
      <c r="BA85" s="261"/>
      <c r="BB85" s="261"/>
      <c r="BC85" s="261"/>
      <c r="BD85" s="261"/>
      <c r="BE85" s="261"/>
      <c r="BF85" s="262"/>
      <c r="BG85" s="267" t="str">
        <f ca="1">IFERROR(ROUND('Financial Planning Tool'!FE60,2),'Financial Planning Tool'!FE60)</f>
        <v/>
      </c>
      <c r="BH85" s="268"/>
      <c r="BI85" s="268"/>
      <c r="BJ85" s="268"/>
      <c r="BK85" s="268"/>
      <c r="BL85" s="268"/>
      <c r="BM85" s="268"/>
      <c r="BN85" s="269"/>
    </row>
    <row r="86" spans="2:66" x14ac:dyDescent="0.25">
      <c r="B86" s="160" t="str">
        <f ca="1">'Financial Planning Tool'!EY61</f>
        <v/>
      </c>
      <c r="C86" s="263"/>
      <c r="D86" s="263"/>
      <c r="E86" s="263"/>
      <c r="F86" s="263"/>
      <c r="G86" s="263"/>
      <c r="H86" s="263"/>
      <c r="I86" s="263"/>
      <c r="J86" s="263"/>
      <c r="K86" s="263"/>
      <c r="L86" s="263"/>
      <c r="M86" s="263"/>
      <c r="N86" s="263"/>
      <c r="O86" s="160" t="str">
        <f ca="1">'Financial Planning Tool'!EZ61</f>
        <v/>
      </c>
      <c r="P86" s="263"/>
      <c r="Q86" s="263"/>
      <c r="R86" s="263"/>
      <c r="S86" s="263"/>
      <c r="T86" s="263"/>
      <c r="U86" s="263"/>
      <c r="V86" s="161"/>
      <c r="W86" s="264" t="str">
        <f ca="1">'Financial Planning Tool'!FA61</f>
        <v/>
      </c>
      <c r="X86" s="265"/>
      <c r="Y86" s="265"/>
      <c r="Z86" s="265"/>
      <c r="AA86" s="265"/>
      <c r="AB86" s="265"/>
      <c r="AC86" s="265"/>
      <c r="AD86" s="265"/>
      <c r="AE86" s="265"/>
      <c r="AF86" s="266"/>
      <c r="AG86" s="264" t="str">
        <f ca="1">'Financial Planning Tool'!FB61</f>
        <v/>
      </c>
      <c r="AH86" s="265"/>
      <c r="AI86" s="265"/>
      <c r="AJ86" s="265"/>
      <c r="AK86" s="265"/>
      <c r="AL86" s="265"/>
      <c r="AM86" s="265"/>
      <c r="AN86" s="265"/>
      <c r="AO86" s="265"/>
      <c r="AP86" s="266"/>
      <c r="AQ86" s="260" t="str">
        <f ca="1">'Financial Planning Tool'!FC61</f>
        <v/>
      </c>
      <c r="AR86" s="261"/>
      <c r="AS86" s="261"/>
      <c r="AT86" s="261"/>
      <c r="AU86" s="261"/>
      <c r="AV86" s="261"/>
      <c r="AW86" s="261"/>
      <c r="AX86" s="262"/>
      <c r="AY86" s="260" t="str">
        <f ca="1">'Financial Planning Tool'!FD61</f>
        <v/>
      </c>
      <c r="AZ86" s="261"/>
      <c r="BA86" s="261"/>
      <c r="BB86" s="261"/>
      <c r="BC86" s="261"/>
      <c r="BD86" s="261"/>
      <c r="BE86" s="261"/>
      <c r="BF86" s="262"/>
      <c r="BG86" s="267" t="str">
        <f ca="1">IFERROR(ROUND('Financial Planning Tool'!FE61,2),'Financial Planning Tool'!FE61)</f>
        <v/>
      </c>
      <c r="BH86" s="268"/>
      <c r="BI86" s="268"/>
      <c r="BJ86" s="268"/>
      <c r="BK86" s="268"/>
      <c r="BL86" s="268"/>
      <c r="BM86" s="268"/>
      <c r="BN86" s="269"/>
    </row>
    <row r="87" spans="2:66" x14ac:dyDescent="0.25">
      <c r="B87" s="160" t="str">
        <f ca="1">'Financial Planning Tool'!EY62</f>
        <v/>
      </c>
      <c r="C87" s="263"/>
      <c r="D87" s="263"/>
      <c r="E87" s="263"/>
      <c r="F87" s="263"/>
      <c r="G87" s="263"/>
      <c r="H87" s="263"/>
      <c r="I87" s="263"/>
      <c r="J87" s="263"/>
      <c r="K87" s="263"/>
      <c r="L87" s="263"/>
      <c r="M87" s="263"/>
      <c r="N87" s="263"/>
      <c r="O87" s="160" t="str">
        <f ca="1">'Financial Planning Tool'!EZ62</f>
        <v/>
      </c>
      <c r="P87" s="263"/>
      <c r="Q87" s="263"/>
      <c r="R87" s="263"/>
      <c r="S87" s="263"/>
      <c r="T87" s="263"/>
      <c r="U87" s="263"/>
      <c r="V87" s="161"/>
      <c r="W87" s="264" t="str">
        <f ca="1">'Financial Planning Tool'!FA62</f>
        <v/>
      </c>
      <c r="X87" s="265"/>
      <c r="Y87" s="265"/>
      <c r="Z87" s="265"/>
      <c r="AA87" s="265"/>
      <c r="AB87" s="265"/>
      <c r="AC87" s="265"/>
      <c r="AD87" s="265"/>
      <c r="AE87" s="265"/>
      <c r="AF87" s="266"/>
      <c r="AG87" s="264" t="str">
        <f ca="1">'Financial Planning Tool'!FB62</f>
        <v/>
      </c>
      <c r="AH87" s="265"/>
      <c r="AI87" s="265"/>
      <c r="AJ87" s="265"/>
      <c r="AK87" s="265"/>
      <c r="AL87" s="265"/>
      <c r="AM87" s="265"/>
      <c r="AN87" s="265"/>
      <c r="AO87" s="265"/>
      <c r="AP87" s="266"/>
      <c r="AQ87" s="260" t="str">
        <f ca="1">'Financial Planning Tool'!FC62</f>
        <v/>
      </c>
      <c r="AR87" s="261"/>
      <c r="AS87" s="261"/>
      <c r="AT87" s="261"/>
      <c r="AU87" s="261"/>
      <c r="AV87" s="261"/>
      <c r="AW87" s="261"/>
      <c r="AX87" s="262"/>
      <c r="AY87" s="260" t="str">
        <f ca="1">'Financial Planning Tool'!FD62</f>
        <v/>
      </c>
      <c r="AZ87" s="261"/>
      <c r="BA87" s="261"/>
      <c r="BB87" s="261"/>
      <c r="BC87" s="261"/>
      <c r="BD87" s="261"/>
      <c r="BE87" s="261"/>
      <c r="BF87" s="262"/>
      <c r="BG87" s="267" t="str">
        <f ca="1">IFERROR(ROUND('Financial Planning Tool'!FE62,2),'Financial Planning Tool'!FE62)</f>
        <v/>
      </c>
      <c r="BH87" s="268"/>
      <c r="BI87" s="268"/>
      <c r="BJ87" s="268"/>
      <c r="BK87" s="268"/>
      <c r="BL87" s="268"/>
      <c r="BM87" s="268"/>
      <c r="BN87" s="269"/>
    </row>
    <row r="88" spans="2:66" x14ac:dyDescent="0.25">
      <c r="B88" s="160" t="str">
        <f ca="1">'Financial Planning Tool'!EY63</f>
        <v/>
      </c>
      <c r="C88" s="263"/>
      <c r="D88" s="263"/>
      <c r="E88" s="263"/>
      <c r="F88" s="263"/>
      <c r="G88" s="263"/>
      <c r="H88" s="263"/>
      <c r="I88" s="263"/>
      <c r="J88" s="263"/>
      <c r="K88" s="263"/>
      <c r="L88" s="263"/>
      <c r="M88" s="263"/>
      <c r="N88" s="263"/>
      <c r="O88" s="160" t="str">
        <f ca="1">'Financial Planning Tool'!EZ63</f>
        <v/>
      </c>
      <c r="P88" s="263"/>
      <c r="Q88" s="263"/>
      <c r="R88" s="263"/>
      <c r="S88" s="263"/>
      <c r="T88" s="263"/>
      <c r="U88" s="263"/>
      <c r="V88" s="161"/>
      <c r="W88" s="264" t="str">
        <f ca="1">'Financial Planning Tool'!FA63</f>
        <v/>
      </c>
      <c r="X88" s="265"/>
      <c r="Y88" s="265"/>
      <c r="Z88" s="265"/>
      <c r="AA88" s="265"/>
      <c r="AB88" s="265"/>
      <c r="AC88" s="265"/>
      <c r="AD88" s="265"/>
      <c r="AE88" s="265"/>
      <c r="AF88" s="266"/>
      <c r="AG88" s="264" t="str">
        <f ca="1">'Financial Planning Tool'!FB63</f>
        <v/>
      </c>
      <c r="AH88" s="265"/>
      <c r="AI88" s="265"/>
      <c r="AJ88" s="265"/>
      <c r="AK88" s="265"/>
      <c r="AL88" s="265"/>
      <c r="AM88" s="265"/>
      <c r="AN88" s="265"/>
      <c r="AO88" s="265"/>
      <c r="AP88" s="266"/>
      <c r="AQ88" s="260" t="str">
        <f ca="1">'Financial Planning Tool'!FC63</f>
        <v/>
      </c>
      <c r="AR88" s="261"/>
      <c r="AS88" s="261"/>
      <c r="AT88" s="261"/>
      <c r="AU88" s="261"/>
      <c r="AV88" s="261"/>
      <c r="AW88" s="261"/>
      <c r="AX88" s="262"/>
      <c r="AY88" s="260" t="str">
        <f ca="1">'Financial Planning Tool'!FD63</f>
        <v/>
      </c>
      <c r="AZ88" s="261"/>
      <c r="BA88" s="261"/>
      <c r="BB88" s="261"/>
      <c r="BC88" s="261"/>
      <c r="BD88" s="261"/>
      <c r="BE88" s="261"/>
      <c r="BF88" s="262"/>
      <c r="BG88" s="267" t="str">
        <f ca="1">IFERROR(ROUND('Financial Planning Tool'!FE63,2),'Financial Planning Tool'!FE63)</f>
        <v/>
      </c>
      <c r="BH88" s="268"/>
      <c r="BI88" s="268"/>
      <c r="BJ88" s="268"/>
      <c r="BK88" s="268"/>
      <c r="BL88" s="268"/>
      <c r="BM88" s="268"/>
      <c r="BN88" s="269"/>
    </row>
    <row r="89" spans="2:66" x14ac:dyDescent="0.25">
      <c r="B89" s="160" t="str">
        <f ca="1">'Financial Planning Tool'!EY64</f>
        <v/>
      </c>
      <c r="C89" s="263"/>
      <c r="D89" s="263"/>
      <c r="E89" s="263"/>
      <c r="F89" s="263"/>
      <c r="G89" s="263"/>
      <c r="H89" s="263"/>
      <c r="I89" s="263"/>
      <c r="J89" s="263"/>
      <c r="K89" s="263"/>
      <c r="L89" s="263"/>
      <c r="M89" s="263"/>
      <c r="N89" s="263"/>
      <c r="O89" s="160" t="str">
        <f ca="1">'Financial Planning Tool'!EZ64</f>
        <v/>
      </c>
      <c r="P89" s="263"/>
      <c r="Q89" s="263"/>
      <c r="R89" s="263"/>
      <c r="S89" s="263"/>
      <c r="T89" s="263"/>
      <c r="U89" s="263"/>
      <c r="V89" s="161"/>
      <c r="W89" s="264" t="str">
        <f ca="1">'Financial Planning Tool'!FA64</f>
        <v/>
      </c>
      <c r="X89" s="265"/>
      <c r="Y89" s="265"/>
      <c r="Z89" s="265"/>
      <c r="AA89" s="265"/>
      <c r="AB89" s="265"/>
      <c r="AC89" s="265"/>
      <c r="AD89" s="265"/>
      <c r="AE89" s="265"/>
      <c r="AF89" s="266"/>
      <c r="AG89" s="264" t="str">
        <f ca="1">'Financial Planning Tool'!FB64</f>
        <v/>
      </c>
      <c r="AH89" s="265"/>
      <c r="AI89" s="265"/>
      <c r="AJ89" s="265"/>
      <c r="AK89" s="265"/>
      <c r="AL89" s="265"/>
      <c r="AM89" s="265"/>
      <c r="AN89" s="265"/>
      <c r="AO89" s="265"/>
      <c r="AP89" s="266"/>
      <c r="AQ89" s="260" t="str">
        <f ca="1">'Financial Planning Tool'!FC64</f>
        <v/>
      </c>
      <c r="AR89" s="261"/>
      <c r="AS89" s="261"/>
      <c r="AT89" s="261"/>
      <c r="AU89" s="261"/>
      <c r="AV89" s="261"/>
      <c r="AW89" s="261"/>
      <c r="AX89" s="262"/>
      <c r="AY89" s="260" t="str">
        <f ca="1">'Financial Planning Tool'!FD64</f>
        <v/>
      </c>
      <c r="AZ89" s="261"/>
      <c r="BA89" s="261"/>
      <c r="BB89" s="261"/>
      <c r="BC89" s="261"/>
      <c r="BD89" s="261"/>
      <c r="BE89" s="261"/>
      <c r="BF89" s="262"/>
      <c r="BG89" s="267" t="str">
        <f ca="1">IFERROR(ROUND('Financial Planning Tool'!FE64,2),'Financial Planning Tool'!FE64)</f>
        <v/>
      </c>
      <c r="BH89" s="268"/>
      <c r="BI89" s="268"/>
      <c r="BJ89" s="268"/>
      <c r="BK89" s="268"/>
      <c r="BL89" s="268"/>
      <c r="BM89" s="268"/>
      <c r="BN89" s="269"/>
    </row>
    <row r="90" spans="2:66" x14ac:dyDescent="0.25">
      <c r="B90" s="160" t="str">
        <f ca="1">'Financial Planning Tool'!EY65</f>
        <v/>
      </c>
      <c r="C90" s="263"/>
      <c r="D90" s="263"/>
      <c r="E90" s="263"/>
      <c r="F90" s="263"/>
      <c r="G90" s="263"/>
      <c r="H90" s="263"/>
      <c r="I90" s="263"/>
      <c r="J90" s="263"/>
      <c r="K90" s="263"/>
      <c r="L90" s="263"/>
      <c r="M90" s="263"/>
      <c r="N90" s="263"/>
      <c r="O90" s="160" t="str">
        <f ca="1">'Financial Planning Tool'!EZ65</f>
        <v/>
      </c>
      <c r="P90" s="263"/>
      <c r="Q90" s="263"/>
      <c r="R90" s="263"/>
      <c r="S90" s="263"/>
      <c r="T90" s="263"/>
      <c r="U90" s="263"/>
      <c r="V90" s="161"/>
      <c r="W90" s="264" t="str">
        <f ca="1">'Financial Planning Tool'!FA65</f>
        <v/>
      </c>
      <c r="X90" s="265"/>
      <c r="Y90" s="265"/>
      <c r="Z90" s="265"/>
      <c r="AA90" s="265"/>
      <c r="AB90" s="265"/>
      <c r="AC90" s="265"/>
      <c r="AD90" s="265"/>
      <c r="AE90" s="265"/>
      <c r="AF90" s="266"/>
      <c r="AG90" s="264" t="str">
        <f ca="1">'Financial Planning Tool'!FB65</f>
        <v/>
      </c>
      <c r="AH90" s="265"/>
      <c r="AI90" s="265"/>
      <c r="AJ90" s="265"/>
      <c r="AK90" s="265"/>
      <c r="AL90" s="265"/>
      <c r="AM90" s="265"/>
      <c r="AN90" s="265"/>
      <c r="AO90" s="265"/>
      <c r="AP90" s="266"/>
      <c r="AQ90" s="260" t="str">
        <f ca="1">'Financial Planning Tool'!FC65</f>
        <v/>
      </c>
      <c r="AR90" s="261"/>
      <c r="AS90" s="261"/>
      <c r="AT90" s="261"/>
      <c r="AU90" s="261"/>
      <c r="AV90" s="261"/>
      <c r="AW90" s="261"/>
      <c r="AX90" s="262"/>
      <c r="AY90" s="260" t="str">
        <f ca="1">'Financial Planning Tool'!FD65</f>
        <v/>
      </c>
      <c r="AZ90" s="261"/>
      <c r="BA90" s="261"/>
      <c r="BB90" s="261"/>
      <c r="BC90" s="261"/>
      <c r="BD90" s="261"/>
      <c r="BE90" s="261"/>
      <c r="BF90" s="262"/>
      <c r="BG90" s="267" t="str">
        <f ca="1">IFERROR(ROUND('Financial Planning Tool'!FE65,2),'Financial Planning Tool'!FE65)</f>
        <v/>
      </c>
      <c r="BH90" s="268"/>
      <c r="BI90" s="268"/>
      <c r="BJ90" s="268"/>
      <c r="BK90" s="268"/>
      <c r="BL90" s="268"/>
      <c r="BM90" s="268"/>
      <c r="BN90" s="269"/>
    </row>
    <row r="91" spans="2:66" x14ac:dyDescent="0.25">
      <c r="B91" s="160" t="str">
        <f ca="1">'Financial Planning Tool'!EY66</f>
        <v/>
      </c>
      <c r="C91" s="263"/>
      <c r="D91" s="263"/>
      <c r="E91" s="263"/>
      <c r="F91" s="263"/>
      <c r="G91" s="263"/>
      <c r="H91" s="263"/>
      <c r="I91" s="263"/>
      <c r="J91" s="263"/>
      <c r="K91" s="263"/>
      <c r="L91" s="263"/>
      <c r="M91" s="263"/>
      <c r="N91" s="263"/>
      <c r="O91" s="160" t="str">
        <f ca="1">'Financial Planning Tool'!EZ66</f>
        <v/>
      </c>
      <c r="P91" s="263"/>
      <c r="Q91" s="263"/>
      <c r="R91" s="263"/>
      <c r="S91" s="263"/>
      <c r="T91" s="263"/>
      <c r="U91" s="263"/>
      <c r="V91" s="161"/>
      <c r="W91" s="264" t="str">
        <f ca="1">'Financial Planning Tool'!FA66</f>
        <v/>
      </c>
      <c r="X91" s="265"/>
      <c r="Y91" s="265"/>
      <c r="Z91" s="265"/>
      <c r="AA91" s="265"/>
      <c r="AB91" s="265"/>
      <c r="AC91" s="265"/>
      <c r="AD91" s="265"/>
      <c r="AE91" s="265"/>
      <c r="AF91" s="266"/>
      <c r="AG91" s="264" t="str">
        <f ca="1">'Financial Planning Tool'!FB66</f>
        <v/>
      </c>
      <c r="AH91" s="265"/>
      <c r="AI91" s="265"/>
      <c r="AJ91" s="265"/>
      <c r="AK91" s="265"/>
      <c r="AL91" s="265"/>
      <c r="AM91" s="265"/>
      <c r="AN91" s="265"/>
      <c r="AO91" s="265"/>
      <c r="AP91" s="266"/>
      <c r="AQ91" s="260" t="str">
        <f ca="1">'Financial Planning Tool'!FC66</f>
        <v/>
      </c>
      <c r="AR91" s="261"/>
      <c r="AS91" s="261"/>
      <c r="AT91" s="261"/>
      <c r="AU91" s="261"/>
      <c r="AV91" s="261"/>
      <c r="AW91" s="261"/>
      <c r="AX91" s="262"/>
      <c r="AY91" s="260" t="str">
        <f ca="1">'Financial Planning Tool'!FD66</f>
        <v/>
      </c>
      <c r="AZ91" s="261"/>
      <c r="BA91" s="261"/>
      <c r="BB91" s="261"/>
      <c r="BC91" s="261"/>
      <c r="BD91" s="261"/>
      <c r="BE91" s="261"/>
      <c r="BF91" s="262"/>
      <c r="BG91" s="267" t="str">
        <f ca="1">IFERROR(ROUND('Financial Planning Tool'!FE66,2),'Financial Planning Tool'!FE66)</f>
        <v/>
      </c>
      <c r="BH91" s="268"/>
      <c r="BI91" s="268"/>
      <c r="BJ91" s="268"/>
      <c r="BK91" s="268"/>
      <c r="BL91" s="268"/>
      <c r="BM91" s="268"/>
      <c r="BN91" s="269"/>
    </row>
    <row r="92" spans="2:66" x14ac:dyDescent="0.25">
      <c r="B92" s="160" t="str">
        <f ca="1">'Financial Planning Tool'!EY67</f>
        <v/>
      </c>
      <c r="C92" s="263"/>
      <c r="D92" s="263"/>
      <c r="E92" s="263"/>
      <c r="F92" s="263"/>
      <c r="G92" s="263"/>
      <c r="H92" s="263"/>
      <c r="I92" s="263"/>
      <c r="J92" s="263"/>
      <c r="K92" s="263"/>
      <c r="L92" s="263"/>
      <c r="M92" s="263"/>
      <c r="N92" s="263"/>
      <c r="O92" s="160" t="str">
        <f ca="1">'Financial Planning Tool'!EZ67</f>
        <v/>
      </c>
      <c r="P92" s="263"/>
      <c r="Q92" s="263"/>
      <c r="R92" s="263"/>
      <c r="S92" s="263"/>
      <c r="T92" s="263"/>
      <c r="U92" s="263"/>
      <c r="V92" s="161"/>
      <c r="W92" s="264" t="str">
        <f ca="1">'Financial Planning Tool'!FA67</f>
        <v/>
      </c>
      <c r="X92" s="265"/>
      <c r="Y92" s="265"/>
      <c r="Z92" s="265"/>
      <c r="AA92" s="265"/>
      <c r="AB92" s="265"/>
      <c r="AC92" s="265"/>
      <c r="AD92" s="265"/>
      <c r="AE92" s="265"/>
      <c r="AF92" s="266"/>
      <c r="AG92" s="264" t="str">
        <f ca="1">'Financial Planning Tool'!FB67</f>
        <v/>
      </c>
      <c r="AH92" s="265"/>
      <c r="AI92" s="265"/>
      <c r="AJ92" s="265"/>
      <c r="AK92" s="265"/>
      <c r="AL92" s="265"/>
      <c r="AM92" s="265"/>
      <c r="AN92" s="265"/>
      <c r="AO92" s="265"/>
      <c r="AP92" s="266"/>
      <c r="AQ92" s="260" t="str">
        <f ca="1">'Financial Planning Tool'!FC67</f>
        <v/>
      </c>
      <c r="AR92" s="261"/>
      <c r="AS92" s="261"/>
      <c r="AT92" s="261"/>
      <c r="AU92" s="261"/>
      <c r="AV92" s="261"/>
      <c r="AW92" s="261"/>
      <c r="AX92" s="262"/>
      <c r="AY92" s="260" t="str">
        <f ca="1">'Financial Planning Tool'!FD67</f>
        <v/>
      </c>
      <c r="AZ92" s="261"/>
      <c r="BA92" s="261"/>
      <c r="BB92" s="261"/>
      <c r="BC92" s="261"/>
      <c r="BD92" s="261"/>
      <c r="BE92" s="261"/>
      <c r="BF92" s="262"/>
      <c r="BG92" s="267" t="str">
        <f ca="1">IFERROR(ROUND('Financial Planning Tool'!FE67,2),'Financial Planning Tool'!FE67)</f>
        <v/>
      </c>
      <c r="BH92" s="268"/>
      <c r="BI92" s="268"/>
      <c r="BJ92" s="268"/>
      <c r="BK92" s="268"/>
      <c r="BL92" s="268"/>
      <c r="BM92" s="268"/>
      <c r="BN92" s="269"/>
    </row>
    <row r="93" spans="2:66" x14ac:dyDescent="0.25">
      <c r="B93" s="160" t="str">
        <f ca="1">'Financial Planning Tool'!EY68</f>
        <v/>
      </c>
      <c r="C93" s="263"/>
      <c r="D93" s="263"/>
      <c r="E93" s="263"/>
      <c r="F93" s="263"/>
      <c r="G93" s="263"/>
      <c r="H93" s="263"/>
      <c r="I93" s="263"/>
      <c r="J93" s="263"/>
      <c r="K93" s="263"/>
      <c r="L93" s="263"/>
      <c r="M93" s="263"/>
      <c r="N93" s="263"/>
      <c r="O93" s="160" t="str">
        <f ca="1">'Financial Planning Tool'!EZ68</f>
        <v/>
      </c>
      <c r="P93" s="263"/>
      <c r="Q93" s="263"/>
      <c r="R93" s="263"/>
      <c r="S93" s="263"/>
      <c r="T93" s="263"/>
      <c r="U93" s="263"/>
      <c r="V93" s="161"/>
      <c r="W93" s="264" t="str">
        <f ca="1">'Financial Planning Tool'!FA68</f>
        <v/>
      </c>
      <c r="X93" s="265"/>
      <c r="Y93" s="265"/>
      <c r="Z93" s="265"/>
      <c r="AA93" s="265"/>
      <c r="AB93" s="265"/>
      <c r="AC93" s="265"/>
      <c r="AD93" s="265"/>
      <c r="AE93" s="265"/>
      <c r="AF93" s="266"/>
      <c r="AG93" s="264" t="str">
        <f ca="1">'Financial Planning Tool'!FB68</f>
        <v/>
      </c>
      <c r="AH93" s="265"/>
      <c r="AI93" s="265"/>
      <c r="AJ93" s="265"/>
      <c r="AK93" s="265"/>
      <c r="AL93" s="265"/>
      <c r="AM93" s="265"/>
      <c r="AN93" s="265"/>
      <c r="AO93" s="265"/>
      <c r="AP93" s="266"/>
      <c r="AQ93" s="260" t="str">
        <f ca="1">'Financial Planning Tool'!FC68</f>
        <v/>
      </c>
      <c r="AR93" s="261"/>
      <c r="AS93" s="261"/>
      <c r="AT93" s="261"/>
      <c r="AU93" s="261"/>
      <c r="AV93" s="261"/>
      <c r="AW93" s="261"/>
      <c r="AX93" s="262"/>
      <c r="AY93" s="260" t="str">
        <f ca="1">'Financial Planning Tool'!FD68</f>
        <v/>
      </c>
      <c r="AZ93" s="261"/>
      <c r="BA93" s="261"/>
      <c r="BB93" s="261"/>
      <c r="BC93" s="261"/>
      <c r="BD93" s="261"/>
      <c r="BE93" s="261"/>
      <c r="BF93" s="262"/>
      <c r="BG93" s="267" t="str">
        <f ca="1">IFERROR(ROUND('Financial Planning Tool'!FE68,2),'Financial Planning Tool'!FE68)</f>
        <v/>
      </c>
      <c r="BH93" s="268"/>
      <c r="BI93" s="268"/>
      <c r="BJ93" s="268"/>
      <c r="BK93" s="268"/>
      <c r="BL93" s="268"/>
      <c r="BM93" s="268"/>
      <c r="BN93" s="269"/>
    </row>
    <row r="94" spans="2:66" x14ac:dyDescent="0.25">
      <c r="B94" s="160" t="str">
        <f ca="1">'Financial Planning Tool'!EY69</f>
        <v/>
      </c>
      <c r="C94" s="263"/>
      <c r="D94" s="263"/>
      <c r="E94" s="263"/>
      <c r="F94" s="263"/>
      <c r="G94" s="263"/>
      <c r="H94" s="263"/>
      <c r="I94" s="263"/>
      <c r="J94" s="263"/>
      <c r="K94" s="263"/>
      <c r="L94" s="263"/>
      <c r="M94" s="263"/>
      <c r="N94" s="263"/>
      <c r="O94" s="160" t="str">
        <f ca="1">'Financial Planning Tool'!EZ69</f>
        <v/>
      </c>
      <c r="P94" s="263"/>
      <c r="Q94" s="263"/>
      <c r="R94" s="263"/>
      <c r="S94" s="263"/>
      <c r="T94" s="263"/>
      <c r="U94" s="263"/>
      <c r="V94" s="161"/>
      <c r="W94" s="264" t="str">
        <f ca="1">'Financial Planning Tool'!FA69</f>
        <v/>
      </c>
      <c r="X94" s="265"/>
      <c r="Y94" s="265"/>
      <c r="Z94" s="265"/>
      <c r="AA94" s="265"/>
      <c r="AB94" s="265"/>
      <c r="AC94" s="265"/>
      <c r="AD94" s="265"/>
      <c r="AE94" s="265"/>
      <c r="AF94" s="266"/>
      <c r="AG94" s="264" t="str">
        <f ca="1">'Financial Planning Tool'!FB69</f>
        <v/>
      </c>
      <c r="AH94" s="265"/>
      <c r="AI94" s="265"/>
      <c r="AJ94" s="265"/>
      <c r="AK94" s="265"/>
      <c r="AL94" s="265"/>
      <c r="AM94" s="265"/>
      <c r="AN94" s="265"/>
      <c r="AO94" s="265"/>
      <c r="AP94" s="266"/>
      <c r="AQ94" s="260" t="str">
        <f ca="1">'Financial Planning Tool'!FC69</f>
        <v/>
      </c>
      <c r="AR94" s="261"/>
      <c r="AS94" s="261"/>
      <c r="AT94" s="261"/>
      <c r="AU94" s="261"/>
      <c r="AV94" s="261"/>
      <c r="AW94" s="261"/>
      <c r="AX94" s="262"/>
      <c r="AY94" s="260" t="str">
        <f ca="1">'Financial Planning Tool'!FD69</f>
        <v/>
      </c>
      <c r="AZ94" s="261"/>
      <c r="BA94" s="261"/>
      <c r="BB94" s="261"/>
      <c r="BC94" s="261"/>
      <c r="BD94" s="261"/>
      <c r="BE94" s="261"/>
      <c r="BF94" s="262"/>
      <c r="BG94" s="267" t="str">
        <f ca="1">IFERROR(ROUND('Financial Planning Tool'!FE69,2),'Financial Planning Tool'!FE69)</f>
        <v/>
      </c>
      <c r="BH94" s="268"/>
      <c r="BI94" s="268"/>
      <c r="BJ94" s="268"/>
      <c r="BK94" s="268"/>
      <c r="BL94" s="268"/>
      <c r="BM94" s="268"/>
      <c r="BN94" s="269"/>
    </row>
    <row r="95" spans="2:66" x14ac:dyDescent="0.25">
      <c r="B95" s="160" t="str">
        <f ca="1">'Financial Planning Tool'!EY70</f>
        <v/>
      </c>
      <c r="C95" s="263"/>
      <c r="D95" s="263"/>
      <c r="E95" s="263"/>
      <c r="F95" s="263"/>
      <c r="G95" s="263"/>
      <c r="H95" s="263"/>
      <c r="I95" s="263"/>
      <c r="J95" s="263"/>
      <c r="K95" s="263"/>
      <c r="L95" s="263"/>
      <c r="M95" s="263"/>
      <c r="N95" s="263"/>
      <c r="O95" s="160" t="str">
        <f ca="1">'Financial Planning Tool'!EZ70</f>
        <v/>
      </c>
      <c r="P95" s="263"/>
      <c r="Q95" s="263"/>
      <c r="R95" s="263"/>
      <c r="S95" s="263"/>
      <c r="T95" s="263"/>
      <c r="U95" s="263"/>
      <c r="V95" s="161"/>
      <c r="W95" s="264" t="str">
        <f ca="1">'Financial Planning Tool'!FA70</f>
        <v/>
      </c>
      <c r="X95" s="265"/>
      <c r="Y95" s="265"/>
      <c r="Z95" s="265"/>
      <c r="AA95" s="265"/>
      <c r="AB95" s="265"/>
      <c r="AC95" s="265"/>
      <c r="AD95" s="265"/>
      <c r="AE95" s="265"/>
      <c r="AF95" s="266"/>
      <c r="AG95" s="264" t="str">
        <f ca="1">'Financial Planning Tool'!FB70</f>
        <v/>
      </c>
      <c r="AH95" s="265"/>
      <c r="AI95" s="265"/>
      <c r="AJ95" s="265"/>
      <c r="AK95" s="265"/>
      <c r="AL95" s="265"/>
      <c r="AM95" s="265"/>
      <c r="AN95" s="265"/>
      <c r="AO95" s="265"/>
      <c r="AP95" s="266"/>
      <c r="AQ95" s="260" t="str">
        <f ca="1">'Financial Planning Tool'!FC70</f>
        <v/>
      </c>
      <c r="AR95" s="261"/>
      <c r="AS95" s="261"/>
      <c r="AT95" s="261"/>
      <c r="AU95" s="261"/>
      <c r="AV95" s="261"/>
      <c r="AW95" s="261"/>
      <c r="AX95" s="262"/>
      <c r="AY95" s="260" t="str">
        <f ca="1">'Financial Planning Tool'!FD70</f>
        <v/>
      </c>
      <c r="AZ95" s="261"/>
      <c r="BA95" s="261"/>
      <c r="BB95" s="261"/>
      <c r="BC95" s="261"/>
      <c r="BD95" s="261"/>
      <c r="BE95" s="261"/>
      <c r="BF95" s="262"/>
      <c r="BG95" s="267" t="str">
        <f ca="1">IFERROR(ROUND('Financial Planning Tool'!FE70,2),'Financial Planning Tool'!FE70)</f>
        <v/>
      </c>
      <c r="BH95" s="268"/>
      <c r="BI95" s="268"/>
      <c r="BJ95" s="268"/>
      <c r="BK95" s="268"/>
      <c r="BL95" s="268"/>
      <c r="BM95" s="268"/>
      <c r="BN95" s="269"/>
    </row>
    <row r="96" spans="2:66" x14ac:dyDescent="0.25">
      <c r="B96" s="160" t="str">
        <f ca="1">'Financial Planning Tool'!EY71</f>
        <v/>
      </c>
      <c r="C96" s="263"/>
      <c r="D96" s="263"/>
      <c r="E96" s="263"/>
      <c r="F96" s="263"/>
      <c r="G96" s="263"/>
      <c r="H96" s="263"/>
      <c r="I96" s="263"/>
      <c r="J96" s="263"/>
      <c r="K96" s="263"/>
      <c r="L96" s="263"/>
      <c r="M96" s="263"/>
      <c r="N96" s="263"/>
      <c r="O96" s="160" t="str">
        <f ca="1">'Financial Planning Tool'!EZ71</f>
        <v/>
      </c>
      <c r="P96" s="263"/>
      <c r="Q96" s="263"/>
      <c r="R96" s="263"/>
      <c r="S96" s="263"/>
      <c r="T96" s="263"/>
      <c r="U96" s="263"/>
      <c r="V96" s="161"/>
      <c r="W96" s="264" t="str">
        <f ca="1">'Financial Planning Tool'!FA71</f>
        <v/>
      </c>
      <c r="X96" s="265"/>
      <c r="Y96" s="265"/>
      <c r="Z96" s="265"/>
      <c r="AA96" s="265"/>
      <c r="AB96" s="265"/>
      <c r="AC96" s="265"/>
      <c r="AD96" s="265"/>
      <c r="AE96" s="265"/>
      <c r="AF96" s="266"/>
      <c r="AG96" s="264" t="str">
        <f ca="1">'Financial Planning Tool'!FB71</f>
        <v/>
      </c>
      <c r="AH96" s="265"/>
      <c r="AI96" s="265"/>
      <c r="AJ96" s="265"/>
      <c r="AK96" s="265"/>
      <c r="AL96" s="265"/>
      <c r="AM96" s="265"/>
      <c r="AN96" s="265"/>
      <c r="AO96" s="265"/>
      <c r="AP96" s="266"/>
      <c r="AQ96" s="260" t="str">
        <f ca="1">'Financial Planning Tool'!FC71</f>
        <v/>
      </c>
      <c r="AR96" s="261"/>
      <c r="AS96" s="261"/>
      <c r="AT96" s="261"/>
      <c r="AU96" s="261"/>
      <c r="AV96" s="261"/>
      <c r="AW96" s="261"/>
      <c r="AX96" s="262"/>
      <c r="AY96" s="260" t="str">
        <f ca="1">'Financial Planning Tool'!FD71</f>
        <v/>
      </c>
      <c r="AZ96" s="261"/>
      <c r="BA96" s="261"/>
      <c r="BB96" s="261"/>
      <c r="BC96" s="261"/>
      <c r="BD96" s="261"/>
      <c r="BE96" s="261"/>
      <c r="BF96" s="262"/>
      <c r="BG96" s="267" t="str">
        <f ca="1">IFERROR(ROUND('Financial Planning Tool'!FE71,2),'Financial Planning Tool'!FE71)</f>
        <v/>
      </c>
      <c r="BH96" s="268"/>
      <c r="BI96" s="268"/>
      <c r="BJ96" s="268"/>
      <c r="BK96" s="268"/>
      <c r="BL96" s="268"/>
      <c r="BM96" s="268"/>
      <c r="BN96" s="269"/>
    </row>
    <row r="97" spans="2:66" x14ac:dyDescent="0.25">
      <c r="B97" s="160" t="str">
        <f ca="1">'Financial Planning Tool'!EY72</f>
        <v/>
      </c>
      <c r="C97" s="263"/>
      <c r="D97" s="263"/>
      <c r="E97" s="263"/>
      <c r="F97" s="263"/>
      <c r="G97" s="263"/>
      <c r="H97" s="263"/>
      <c r="I97" s="263"/>
      <c r="J97" s="263"/>
      <c r="K97" s="263"/>
      <c r="L97" s="263"/>
      <c r="M97" s="263"/>
      <c r="N97" s="263"/>
      <c r="O97" s="160" t="str">
        <f ca="1">'Financial Planning Tool'!EZ72</f>
        <v/>
      </c>
      <c r="P97" s="263"/>
      <c r="Q97" s="263"/>
      <c r="R97" s="263"/>
      <c r="S97" s="263"/>
      <c r="T97" s="263"/>
      <c r="U97" s="263"/>
      <c r="V97" s="161"/>
      <c r="W97" s="264" t="str">
        <f ca="1">'Financial Planning Tool'!FA72</f>
        <v/>
      </c>
      <c r="X97" s="265"/>
      <c r="Y97" s="265"/>
      <c r="Z97" s="265"/>
      <c r="AA97" s="265"/>
      <c r="AB97" s="265"/>
      <c r="AC97" s="265"/>
      <c r="AD97" s="265"/>
      <c r="AE97" s="265"/>
      <c r="AF97" s="266"/>
      <c r="AG97" s="264" t="str">
        <f ca="1">'Financial Planning Tool'!FB72</f>
        <v/>
      </c>
      <c r="AH97" s="265"/>
      <c r="AI97" s="265"/>
      <c r="AJ97" s="265"/>
      <c r="AK97" s="265"/>
      <c r="AL97" s="265"/>
      <c r="AM97" s="265"/>
      <c r="AN97" s="265"/>
      <c r="AO97" s="265"/>
      <c r="AP97" s="266"/>
      <c r="AQ97" s="260" t="str">
        <f ca="1">'Financial Planning Tool'!FC72</f>
        <v/>
      </c>
      <c r="AR97" s="261"/>
      <c r="AS97" s="261"/>
      <c r="AT97" s="261"/>
      <c r="AU97" s="261"/>
      <c r="AV97" s="261"/>
      <c r="AW97" s="261"/>
      <c r="AX97" s="262"/>
      <c r="AY97" s="260" t="str">
        <f ca="1">'Financial Planning Tool'!FD72</f>
        <v/>
      </c>
      <c r="AZ97" s="261"/>
      <c r="BA97" s="261"/>
      <c r="BB97" s="261"/>
      <c r="BC97" s="261"/>
      <c r="BD97" s="261"/>
      <c r="BE97" s="261"/>
      <c r="BF97" s="262"/>
      <c r="BG97" s="267" t="str">
        <f ca="1">IFERROR(ROUND('Financial Planning Tool'!FE72,2),'Financial Planning Tool'!FE72)</f>
        <v/>
      </c>
      <c r="BH97" s="268"/>
      <c r="BI97" s="268"/>
      <c r="BJ97" s="268"/>
      <c r="BK97" s="268"/>
      <c r="BL97" s="268"/>
      <c r="BM97" s="268"/>
      <c r="BN97" s="269"/>
    </row>
    <row r="98" spans="2:66" x14ac:dyDescent="0.25">
      <c r="B98" s="160" t="str">
        <f ca="1">'Financial Planning Tool'!EY73</f>
        <v/>
      </c>
      <c r="C98" s="263"/>
      <c r="D98" s="263"/>
      <c r="E98" s="263"/>
      <c r="F98" s="263"/>
      <c r="G98" s="263"/>
      <c r="H98" s="263"/>
      <c r="I98" s="263"/>
      <c r="J98" s="263"/>
      <c r="K98" s="263"/>
      <c r="L98" s="263"/>
      <c r="M98" s="263"/>
      <c r="N98" s="263"/>
      <c r="O98" s="160" t="str">
        <f ca="1">'Financial Planning Tool'!EZ73</f>
        <v/>
      </c>
      <c r="P98" s="263"/>
      <c r="Q98" s="263"/>
      <c r="R98" s="263"/>
      <c r="S98" s="263"/>
      <c r="T98" s="263"/>
      <c r="U98" s="263"/>
      <c r="V98" s="161"/>
      <c r="W98" s="264" t="str">
        <f ca="1">'Financial Planning Tool'!FA73</f>
        <v/>
      </c>
      <c r="X98" s="265"/>
      <c r="Y98" s="265"/>
      <c r="Z98" s="265"/>
      <c r="AA98" s="265"/>
      <c r="AB98" s="265"/>
      <c r="AC98" s="265"/>
      <c r="AD98" s="265"/>
      <c r="AE98" s="265"/>
      <c r="AF98" s="266"/>
      <c r="AG98" s="264" t="str">
        <f ca="1">'Financial Planning Tool'!FB73</f>
        <v/>
      </c>
      <c r="AH98" s="265"/>
      <c r="AI98" s="265"/>
      <c r="AJ98" s="265"/>
      <c r="AK98" s="265"/>
      <c r="AL98" s="265"/>
      <c r="AM98" s="265"/>
      <c r="AN98" s="265"/>
      <c r="AO98" s="265"/>
      <c r="AP98" s="266"/>
      <c r="AQ98" s="260" t="str">
        <f ca="1">'Financial Planning Tool'!FC73</f>
        <v/>
      </c>
      <c r="AR98" s="261"/>
      <c r="AS98" s="261"/>
      <c r="AT98" s="261"/>
      <c r="AU98" s="261"/>
      <c r="AV98" s="261"/>
      <c r="AW98" s="261"/>
      <c r="AX98" s="262"/>
      <c r="AY98" s="260" t="str">
        <f ca="1">'Financial Planning Tool'!FD73</f>
        <v/>
      </c>
      <c r="AZ98" s="261"/>
      <c r="BA98" s="261"/>
      <c r="BB98" s="261"/>
      <c r="BC98" s="261"/>
      <c r="BD98" s="261"/>
      <c r="BE98" s="261"/>
      <c r="BF98" s="262"/>
      <c r="BG98" s="267" t="str">
        <f ca="1">IFERROR(ROUND('Financial Planning Tool'!FE73,2),'Financial Planning Tool'!FE73)</f>
        <v/>
      </c>
      <c r="BH98" s="268"/>
      <c r="BI98" s="268"/>
      <c r="BJ98" s="268"/>
      <c r="BK98" s="268"/>
      <c r="BL98" s="268"/>
      <c r="BM98" s="268"/>
      <c r="BN98" s="269"/>
    </row>
    <row r="99" spans="2:66" x14ac:dyDescent="0.25">
      <c r="B99" s="160" t="str">
        <f ca="1">'Financial Planning Tool'!EY74</f>
        <v/>
      </c>
      <c r="C99" s="263"/>
      <c r="D99" s="263"/>
      <c r="E99" s="263"/>
      <c r="F99" s="263"/>
      <c r="G99" s="263"/>
      <c r="H99" s="263"/>
      <c r="I99" s="263"/>
      <c r="J99" s="263"/>
      <c r="K99" s="263"/>
      <c r="L99" s="263"/>
      <c r="M99" s="263"/>
      <c r="N99" s="263"/>
      <c r="O99" s="160" t="str">
        <f ca="1">'Financial Planning Tool'!EZ74</f>
        <v/>
      </c>
      <c r="P99" s="263"/>
      <c r="Q99" s="263"/>
      <c r="R99" s="263"/>
      <c r="S99" s="263"/>
      <c r="T99" s="263"/>
      <c r="U99" s="263"/>
      <c r="V99" s="161"/>
      <c r="W99" s="264" t="str">
        <f ca="1">'Financial Planning Tool'!FA74</f>
        <v/>
      </c>
      <c r="X99" s="265"/>
      <c r="Y99" s="265"/>
      <c r="Z99" s="265"/>
      <c r="AA99" s="265"/>
      <c r="AB99" s="265"/>
      <c r="AC99" s="265"/>
      <c r="AD99" s="265"/>
      <c r="AE99" s="265"/>
      <c r="AF99" s="266"/>
      <c r="AG99" s="264" t="str">
        <f ca="1">'Financial Planning Tool'!FB74</f>
        <v/>
      </c>
      <c r="AH99" s="265"/>
      <c r="AI99" s="265"/>
      <c r="AJ99" s="265"/>
      <c r="AK99" s="265"/>
      <c r="AL99" s="265"/>
      <c r="AM99" s="265"/>
      <c r="AN99" s="265"/>
      <c r="AO99" s="265"/>
      <c r="AP99" s="266"/>
      <c r="AQ99" s="260" t="str">
        <f ca="1">'Financial Planning Tool'!FC74</f>
        <v/>
      </c>
      <c r="AR99" s="261"/>
      <c r="AS99" s="261"/>
      <c r="AT99" s="261"/>
      <c r="AU99" s="261"/>
      <c r="AV99" s="261"/>
      <c r="AW99" s="261"/>
      <c r="AX99" s="262"/>
      <c r="AY99" s="260" t="str">
        <f ca="1">'Financial Planning Tool'!FD74</f>
        <v/>
      </c>
      <c r="AZ99" s="261"/>
      <c r="BA99" s="261"/>
      <c r="BB99" s="261"/>
      <c r="BC99" s="261"/>
      <c r="BD99" s="261"/>
      <c r="BE99" s="261"/>
      <c r="BF99" s="262"/>
      <c r="BG99" s="267" t="str">
        <f ca="1">IFERROR(ROUND('Financial Planning Tool'!FE74,2),'Financial Planning Tool'!FE74)</f>
        <v/>
      </c>
      <c r="BH99" s="268"/>
      <c r="BI99" s="268"/>
      <c r="BJ99" s="268"/>
      <c r="BK99" s="268"/>
      <c r="BL99" s="268"/>
      <c r="BM99" s="268"/>
      <c r="BN99" s="269"/>
    </row>
    <row r="100" spans="2:66" x14ac:dyDescent="0.25">
      <c r="B100" s="160" t="str">
        <f ca="1">'Financial Planning Tool'!EY75</f>
        <v/>
      </c>
      <c r="C100" s="263"/>
      <c r="D100" s="263"/>
      <c r="E100" s="263"/>
      <c r="F100" s="263"/>
      <c r="G100" s="263"/>
      <c r="H100" s="263"/>
      <c r="I100" s="263"/>
      <c r="J100" s="263"/>
      <c r="K100" s="263"/>
      <c r="L100" s="263"/>
      <c r="M100" s="263"/>
      <c r="N100" s="263"/>
      <c r="O100" s="160" t="str">
        <f ca="1">'Financial Planning Tool'!EZ75</f>
        <v/>
      </c>
      <c r="P100" s="263"/>
      <c r="Q100" s="263"/>
      <c r="R100" s="263"/>
      <c r="S100" s="263"/>
      <c r="T100" s="263"/>
      <c r="U100" s="263"/>
      <c r="V100" s="161"/>
      <c r="W100" s="264" t="str">
        <f ca="1">'Financial Planning Tool'!FA75</f>
        <v/>
      </c>
      <c r="X100" s="265"/>
      <c r="Y100" s="265"/>
      <c r="Z100" s="265"/>
      <c r="AA100" s="265"/>
      <c r="AB100" s="265"/>
      <c r="AC100" s="265"/>
      <c r="AD100" s="265"/>
      <c r="AE100" s="265"/>
      <c r="AF100" s="266"/>
      <c r="AG100" s="264" t="str">
        <f ca="1">'Financial Planning Tool'!FB75</f>
        <v/>
      </c>
      <c r="AH100" s="265"/>
      <c r="AI100" s="265"/>
      <c r="AJ100" s="265"/>
      <c r="AK100" s="265"/>
      <c r="AL100" s="265"/>
      <c r="AM100" s="265"/>
      <c r="AN100" s="265"/>
      <c r="AO100" s="265"/>
      <c r="AP100" s="266"/>
      <c r="AQ100" s="260" t="str">
        <f ca="1">'Financial Planning Tool'!FC75</f>
        <v/>
      </c>
      <c r="AR100" s="261"/>
      <c r="AS100" s="261"/>
      <c r="AT100" s="261"/>
      <c r="AU100" s="261"/>
      <c r="AV100" s="261"/>
      <c r="AW100" s="261"/>
      <c r="AX100" s="262"/>
      <c r="AY100" s="260" t="str">
        <f ca="1">'Financial Planning Tool'!FD75</f>
        <v/>
      </c>
      <c r="AZ100" s="261"/>
      <c r="BA100" s="261"/>
      <c r="BB100" s="261"/>
      <c r="BC100" s="261"/>
      <c r="BD100" s="261"/>
      <c r="BE100" s="261"/>
      <c r="BF100" s="262"/>
      <c r="BG100" s="267" t="str">
        <f ca="1">IFERROR(ROUND('Financial Planning Tool'!FE75,2),'Financial Planning Tool'!FE75)</f>
        <v/>
      </c>
      <c r="BH100" s="268"/>
      <c r="BI100" s="268"/>
      <c r="BJ100" s="268"/>
      <c r="BK100" s="268"/>
      <c r="BL100" s="268"/>
      <c r="BM100" s="268"/>
      <c r="BN100" s="269"/>
    </row>
    <row r="101" spans="2:66" x14ac:dyDescent="0.25">
      <c r="B101" s="160" t="str">
        <f ca="1">'Financial Planning Tool'!EY76</f>
        <v/>
      </c>
      <c r="C101" s="263"/>
      <c r="D101" s="263"/>
      <c r="E101" s="263"/>
      <c r="F101" s="263"/>
      <c r="G101" s="263"/>
      <c r="H101" s="263"/>
      <c r="I101" s="263"/>
      <c r="J101" s="263"/>
      <c r="K101" s="263"/>
      <c r="L101" s="263"/>
      <c r="M101" s="263"/>
      <c r="N101" s="263"/>
      <c r="O101" s="160" t="str">
        <f ca="1">'Financial Planning Tool'!EZ76</f>
        <v/>
      </c>
      <c r="P101" s="263"/>
      <c r="Q101" s="263"/>
      <c r="R101" s="263"/>
      <c r="S101" s="263"/>
      <c r="T101" s="263"/>
      <c r="U101" s="263"/>
      <c r="V101" s="161"/>
      <c r="W101" s="264" t="str">
        <f ca="1">'Financial Planning Tool'!FA76</f>
        <v/>
      </c>
      <c r="X101" s="265"/>
      <c r="Y101" s="265"/>
      <c r="Z101" s="265"/>
      <c r="AA101" s="265"/>
      <c r="AB101" s="265"/>
      <c r="AC101" s="265"/>
      <c r="AD101" s="265"/>
      <c r="AE101" s="265"/>
      <c r="AF101" s="266"/>
      <c r="AG101" s="264" t="str">
        <f ca="1">'Financial Planning Tool'!FB76</f>
        <v/>
      </c>
      <c r="AH101" s="265"/>
      <c r="AI101" s="265"/>
      <c r="AJ101" s="265"/>
      <c r="AK101" s="265"/>
      <c r="AL101" s="265"/>
      <c r="AM101" s="265"/>
      <c r="AN101" s="265"/>
      <c r="AO101" s="265"/>
      <c r="AP101" s="266"/>
      <c r="AQ101" s="260" t="str">
        <f ca="1">'Financial Planning Tool'!FC76</f>
        <v/>
      </c>
      <c r="AR101" s="261"/>
      <c r="AS101" s="261"/>
      <c r="AT101" s="261"/>
      <c r="AU101" s="261"/>
      <c r="AV101" s="261"/>
      <c r="AW101" s="261"/>
      <c r="AX101" s="262"/>
      <c r="AY101" s="260" t="str">
        <f ca="1">'Financial Planning Tool'!FD76</f>
        <v/>
      </c>
      <c r="AZ101" s="261"/>
      <c r="BA101" s="261"/>
      <c r="BB101" s="261"/>
      <c r="BC101" s="261"/>
      <c r="BD101" s="261"/>
      <c r="BE101" s="261"/>
      <c r="BF101" s="262"/>
      <c r="BG101" s="267" t="str">
        <f ca="1">IFERROR(ROUND('Financial Planning Tool'!FE76,2),'Financial Planning Tool'!FE76)</f>
        <v/>
      </c>
      <c r="BH101" s="268"/>
      <c r="BI101" s="268"/>
      <c r="BJ101" s="268"/>
      <c r="BK101" s="268"/>
      <c r="BL101" s="268"/>
      <c r="BM101" s="268"/>
      <c r="BN101" s="269"/>
    </row>
    <row r="102" spans="2:66" x14ac:dyDescent="0.25">
      <c r="B102" s="160" t="str">
        <f ca="1">'Financial Planning Tool'!EY77</f>
        <v/>
      </c>
      <c r="C102" s="263"/>
      <c r="D102" s="263"/>
      <c r="E102" s="263"/>
      <c r="F102" s="263"/>
      <c r="G102" s="263"/>
      <c r="H102" s="263"/>
      <c r="I102" s="263"/>
      <c r="J102" s="263"/>
      <c r="K102" s="263"/>
      <c r="L102" s="263"/>
      <c r="M102" s="263"/>
      <c r="N102" s="263"/>
      <c r="O102" s="160" t="str">
        <f ca="1">'Financial Planning Tool'!EZ77</f>
        <v/>
      </c>
      <c r="P102" s="263"/>
      <c r="Q102" s="263"/>
      <c r="R102" s="263"/>
      <c r="S102" s="263"/>
      <c r="T102" s="263"/>
      <c r="U102" s="263"/>
      <c r="V102" s="161"/>
      <c r="W102" s="264" t="str">
        <f ca="1">'Financial Planning Tool'!FA77</f>
        <v/>
      </c>
      <c r="X102" s="265"/>
      <c r="Y102" s="265"/>
      <c r="Z102" s="265"/>
      <c r="AA102" s="265"/>
      <c r="AB102" s="265"/>
      <c r="AC102" s="265"/>
      <c r="AD102" s="265"/>
      <c r="AE102" s="265"/>
      <c r="AF102" s="266"/>
      <c r="AG102" s="264" t="str">
        <f ca="1">'Financial Planning Tool'!FB77</f>
        <v/>
      </c>
      <c r="AH102" s="265"/>
      <c r="AI102" s="265"/>
      <c r="AJ102" s="265"/>
      <c r="AK102" s="265"/>
      <c r="AL102" s="265"/>
      <c r="AM102" s="265"/>
      <c r="AN102" s="265"/>
      <c r="AO102" s="265"/>
      <c r="AP102" s="266"/>
      <c r="AQ102" s="260" t="str">
        <f ca="1">'Financial Planning Tool'!FC77</f>
        <v/>
      </c>
      <c r="AR102" s="261"/>
      <c r="AS102" s="261"/>
      <c r="AT102" s="261"/>
      <c r="AU102" s="261"/>
      <c r="AV102" s="261"/>
      <c r="AW102" s="261"/>
      <c r="AX102" s="262"/>
      <c r="AY102" s="260" t="str">
        <f ca="1">'Financial Planning Tool'!FD77</f>
        <v/>
      </c>
      <c r="AZ102" s="261"/>
      <c r="BA102" s="261"/>
      <c r="BB102" s="261"/>
      <c r="BC102" s="261"/>
      <c r="BD102" s="261"/>
      <c r="BE102" s="261"/>
      <c r="BF102" s="262"/>
      <c r="BG102" s="267" t="str">
        <f ca="1">IFERROR(ROUND('Financial Planning Tool'!FE77,2),'Financial Planning Tool'!FE77)</f>
        <v/>
      </c>
      <c r="BH102" s="268"/>
      <c r="BI102" s="268"/>
      <c r="BJ102" s="268"/>
      <c r="BK102" s="268"/>
      <c r="BL102" s="268"/>
      <c r="BM102" s="268"/>
      <c r="BN102" s="269"/>
    </row>
    <row r="103" spans="2:66" x14ac:dyDescent="0.25">
      <c r="B103" s="160" t="str">
        <f ca="1">'Financial Planning Tool'!EY78</f>
        <v/>
      </c>
      <c r="C103" s="263"/>
      <c r="D103" s="263"/>
      <c r="E103" s="263"/>
      <c r="F103" s="263"/>
      <c r="G103" s="263"/>
      <c r="H103" s="263"/>
      <c r="I103" s="263"/>
      <c r="J103" s="263"/>
      <c r="K103" s="263"/>
      <c r="L103" s="263"/>
      <c r="M103" s="263"/>
      <c r="N103" s="263"/>
      <c r="O103" s="160" t="str">
        <f ca="1">'Financial Planning Tool'!EZ78</f>
        <v/>
      </c>
      <c r="P103" s="263"/>
      <c r="Q103" s="263"/>
      <c r="R103" s="263"/>
      <c r="S103" s="263"/>
      <c r="T103" s="263"/>
      <c r="U103" s="263"/>
      <c r="V103" s="161"/>
      <c r="W103" s="264" t="str">
        <f ca="1">'Financial Planning Tool'!FA78</f>
        <v/>
      </c>
      <c r="X103" s="265"/>
      <c r="Y103" s="265"/>
      <c r="Z103" s="265"/>
      <c r="AA103" s="265"/>
      <c r="AB103" s="265"/>
      <c r="AC103" s="265"/>
      <c r="AD103" s="265"/>
      <c r="AE103" s="265"/>
      <c r="AF103" s="266"/>
      <c r="AG103" s="264" t="str">
        <f ca="1">'Financial Planning Tool'!FB78</f>
        <v/>
      </c>
      <c r="AH103" s="265"/>
      <c r="AI103" s="265"/>
      <c r="AJ103" s="265"/>
      <c r="AK103" s="265"/>
      <c r="AL103" s="265"/>
      <c r="AM103" s="265"/>
      <c r="AN103" s="265"/>
      <c r="AO103" s="265"/>
      <c r="AP103" s="266"/>
      <c r="AQ103" s="260" t="str">
        <f ca="1">'Financial Planning Tool'!FC78</f>
        <v/>
      </c>
      <c r="AR103" s="261"/>
      <c r="AS103" s="261"/>
      <c r="AT103" s="261"/>
      <c r="AU103" s="261"/>
      <c r="AV103" s="261"/>
      <c r="AW103" s="261"/>
      <c r="AX103" s="262"/>
      <c r="AY103" s="260" t="str">
        <f ca="1">'Financial Planning Tool'!FD78</f>
        <v/>
      </c>
      <c r="AZ103" s="261"/>
      <c r="BA103" s="261"/>
      <c r="BB103" s="261"/>
      <c r="BC103" s="261"/>
      <c r="BD103" s="261"/>
      <c r="BE103" s="261"/>
      <c r="BF103" s="262"/>
      <c r="BG103" s="267" t="str">
        <f ca="1">IFERROR(ROUND('Financial Planning Tool'!FE78,2),'Financial Planning Tool'!FE78)</f>
        <v/>
      </c>
      <c r="BH103" s="268"/>
      <c r="BI103" s="268"/>
      <c r="BJ103" s="268"/>
      <c r="BK103" s="268"/>
      <c r="BL103" s="268"/>
      <c r="BM103" s="268"/>
      <c r="BN103" s="269"/>
    </row>
    <row r="104" spans="2:66" x14ac:dyDescent="0.25">
      <c r="B104" s="160" t="str">
        <f ca="1">'Financial Planning Tool'!EY79</f>
        <v/>
      </c>
      <c r="C104" s="263"/>
      <c r="D104" s="263"/>
      <c r="E104" s="263"/>
      <c r="F104" s="263"/>
      <c r="G104" s="263"/>
      <c r="H104" s="263"/>
      <c r="I104" s="263"/>
      <c r="J104" s="263"/>
      <c r="K104" s="263"/>
      <c r="L104" s="263"/>
      <c r="M104" s="263"/>
      <c r="N104" s="263"/>
      <c r="O104" s="160" t="str">
        <f ca="1">'Financial Planning Tool'!EZ79</f>
        <v/>
      </c>
      <c r="P104" s="263"/>
      <c r="Q104" s="263"/>
      <c r="R104" s="263"/>
      <c r="S104" s="263"/>
      <c r="T104" s="263"/>
      <c r="U104" s="263"/>
      <c r="V104" s="161"/>
      <c r="W104" s="264" t="str">
        <f ca="1">'Financial Planning Tool'!FA79</f>
        <v/>
      </c>
      <c r="X104" s="265"/>
      <c r="Y104" s="265"/>
      <c r="Z104" s="265"/>
      <c r="AA104" s="265"/>
      <c r="AB104" s="265"/>
      <c r="AC104" s="265"/>
      <c r="AD104" s="265"/>
      <c r="AE104" s="265"/>
      <c r="AF104" s="266"/>
      <c r="AG104" s="264" t="str">
        <f ca="1">'Financial Planning Tool'!FB79</f>
        <v/>
      </c>
      <c r="AH104" s="265"/>
      <c r="AI104" s="265"/>
      <c r="AJ104" s="265"/>
      <c r="AK104" s="265"/>
      <c r="AL104" s="265"/>
      <c r="AM104" s="265"/>
      <c r="AN104" s="265"/>
      <c r="AO104" s="265"/>
      <c r="AP104" s="266"/>
      <c r="AQ104" s="260" t="str">
        <f ca="1">'Financial Planning Tool'!FC79</f>
        <v/>
      </c>
      <c r="AR104" s="261"/>
      <c r="AS104" s="261"/>
      <c r="AT104" s="261"/>
      <c r="AU104" s="261"/>
      <c r="AV104" s="261"/>
      <c r="AW104" s="261"/>
      <c r="AX104" s="262"/>
      <c r="AY104" s="260" t="str">
        <f ca="1">'Financial Planning Tool'!FD79</f>
        <v/>
      </c>
      <c r="AZ104" s="261"/>
      <c r="BA104" s="261"/>
      <c r="BB104" s="261"/>
      <c r="BC104" s="261"/>
      <c r="BD104" s="261"/>
      <c r="BE104" s="261"/>
      <c r="BF104" s="262"/>
      <c r="BG104" s="267" t="str">
        <f ca="1">IFERROR(ROUND('Financial Planning Tool'!FE79,2),'Financial Planning Tool'!FE79)</f>
        <v/>
      </c>
      <c r="BH104" s="268"/>
      <c r="BI104" s="268"/>
      <c r="BJ104" s="268"/>
      <c r="BK104" s="268"/>
      <c r="BL104" s="268"/>
      <c r="BM104" s="268"/>
      <c r="BN104" s="269"/>
    </row>
    <row r="105" spans="2:66" x14ac:dyDescent="0.25">
      <c r="B105" s="160" t="str">
        <f ca="1">'Financial Planning Tool'!EY80</f>
        <v/>
      </c>
      <c r="C105" s="263"/>
      <c r="D105" s="263"/>
      <c r="E105" s="263"/>
      <c r="F105" s="263"/>
      <c r="G105" s="263"/>
      <c r="H105" s="263"/>
      <c r="I105" s="263"/>
      <c r="J105" s="263"/>
      <c r="K105" s="263"/>
      <c r="L105" s="263"/>
      <c r="M105" s="263"/>
      <c r="N105" s="263"/>
      <c r="O105" s="160" t="str">
        <f ca="1">'Financial Planning Tool'!EZ80</f>
        <v/>
      </c>
      <c r="P105" s="263"/>
      <c r="Q105" s="263"/>
      <c r="R105" s="263"/>
      <c r="S105" s="263"/>
      <c r="T105" s="263"/>
      <c r="U105" s="263"/>
      <c r="V105" s="161"/>
      <c r="W105" s="264" t="str">
        <f ca="1">'Financial Planning Tool'!FA80</f>
        <v/>
      </c>
      <c r="X105" s="265"/>
      <c r="Y105" s="265"/>
      <c r="Z105" s="265"/>
      <c r="AA105" s="265"/>
      <c r="AB105" s="265"/>
      <c r="AC105" s="265"/>
      <c r="AD105" s="265"/>
      <c r="AE105" s="265"/>
      <c r="AF105" s="266"/>
      <c r="AG105" s="264" t="str">
        <f ca="1">'Financial Planning Tool'!FB80</f>
        <v/>
      </c>
      <c r="AH105" s="265"/>
      <c r="AI105" s="265"/>
      <c r="AJ105" s="265"/>
      <c r="AK105" s="265"/>
      <c r="AL105" s="265"/>
      <c r="AM105" s="265"/>
      <c r="AN105" s="265"/>
      <c r="AO105" s="265"/>
      <c r="AP105" s="266"/>
      <c r="AQ105" s="260" t="str">
        <f ca="1">'Financial Planning Tool'!FC80</f>
        <v/>
      </c>
      <c r="AR105" s="261"/>
      <c r="AS105" s="261"/>
      <c r="AT105" s="261"/>
      <c r="AU105" s="261"/>
      <c r="AV105" s="261"/>
      <c r="AW105" s="261"/>
      <c r="AX105" s="262"/>
      <c r="AY105" s="260" t="str">
        <f ca="1">'Financial Planning Tool'!FD80</f>
        <v/>
      </c>
      <c r="AZ105" s="261"/>
      <c r="BA105" s="261"/>
      <c r="BB105" s="261"/>
      <c r="BC105" s="261"/>
      <c r="BD105" s="261"/>
      <c r="BE105" s="261"/>
      <c r="BF105" s="262"/>
      <c r="BG105" s="267" t="str">
        <f ca="1">IFERROR(ROUND('Financial Planning Tool'!FE80,2),'Financial Planning Tool'!FE80)</f>
        <v/>
      </c>
      <c r="BH105" s="268"/>
      <c r="BI105" s="268"/>
      <c r="BJ105" s="268"/>
      <c r="BK105" s="268"/>
      <c r="BL105" s="268"/>
      <c r="BM105" s="268"/>
      <c r="BN105" s="269"/>
    </row>
    <row r="106" spans="2:66" x14ac:dyDescent="0.25">
      <c r="B106" s="160" t="str">
        <f ca="1">'Financial Planning Tool'!EY81</f>
        <v/>
      </c>
      <c r="C106" s="263"/>
      <c r="D106" s="263"/>
      <c r="E106" s="263"/>
      <c r="F106" s="263"/>
      <c r="G106" s="263"/>
      <c r="H106" s="263"/>
      <c r="I106" s="263"/>
      <c r="J106" s="263"/>
      <c r="K106" s="263"/>
      <c r="L106" s="263"/>
      <c r="M106" s="263"/>
      <c r="N106" s="263"/>
      <c r="O106" s="160" t="str">
        <f ca="1">'Financial Planning Tool'!EZ81</f>
        <v/>
      </c>
      <c r="P106" s="263"/>
      <c r="Q106" s="263"/>
      <c r="R106" s="263"/>
      <c r="S106" s="263"/>
      <c r="T106" s="263"/>
      <c r="U106" s="263"/>
      <c r="V106" s="161"/>
      <c r="W106" s="264" t="str">
        <f ca="1">'Financial Planning Tool'!FA81</f>
        <v/>
      </c>
      <c r="X106" s="265"/>
      <c r="Y106" s="265"/>
      <c r="Z106" s="265"/>
      <c r="AA106" s="265"/>
      <c r="AB106" s="265"/>
      <c r="AC106" s="265"/>
      <c r="AD106" s="265"/>
      <c r="AE106" s="265"/>
      <c r="AF106" s="266"/>
      <c r="AG106" s="264" t="str">
        <f ca="1">'Financial Planning Tool'!FB81</f>
        <v/>
      </c>
      <c r="AH106" s="265"/>
      <c r="AI106" s="265"/>
      <c r="AJ106" s="265"/>
      <c r="AK106" s="265"/>
      <c r="AL106" s="265"/>
      <c r="AM106" s="265"/>
      <c r="AN106" s="265"/>
      <c r="AO106" s="265"/>
      <c r="AP106" s="266"/>
      <c r="AQ106" s="260" t="str">
        <f ca="1">'Financial Planning Tool'!FC81</f>
        <v/>
      </c>
      <c r="AR106" s="261"/>
      <c r="AS106" s="261"/>
      <c r="AT106" s="261"/>
      <c r="AU106" s="261"/>
      <c r="AV106" s="261"/>
      <c r="AW106" s="261"/>
      <c r="AX106" s="262"/>
      <c r="AY106" s="260" t="str">
        <f ca="1">'Financial Planning Tool'!FD81</f>
        <v/>
      </c>
      <c r="AZ106" s="261"/>
      <c r="BA106" s="261"/>
      <c r="BB106" s="261"/>
      <c r="BC106" s="261"/>
      <c r="BD106" s="261"/>
      <c r="BE106" s="261"/>
      <c r="BF106" s="262"/>
      <c r="BG106" s="267" t="str">
        <f ca="1">IFERROR(ROUND('Financial Planning Tool'!FE81,2),'Financial Planning Tool'!FE81)</f>
        <v/>
      </c>
      <c r="BH106" s="268"/>
      <c r="BI106" s="268"/>
      <c r="BJ106" s="268"/>
      <c r="BK106" s="268"/>
      <c r="BL106" s="268"/>
      <c r="BM106" s="268"/>
      <c r="BN106" s="269"/>
    </row>
    <row r="107" spans="2:66" x14ac:dyDescent="0.25">
      <c r="B107" s="160" t="str">
        <f ca="1">'Financial Planning Tool'!EY82</f>
        <v/>
      </c>
      <c r="C107" s="263"/>
      <c r="D107" s="263"/>
      <c r="E107" s="263"/>
      <c r="F107" s="263"/>
      <c r="G107" s="263"/>
      <c r="H107" s="263"/>
      <c r="I107" s="263"/>
      <c r="J107" s="263"/>
      <c r="K107" s="263"/>
      <c r="L107" s="263"/>
      <c r="M107" s="263"/>
      <c r="N107" s="263"/>
      <c r="O107" s="160" t="str">
        <f ca="1">'Financial Planning Tool'!EZ82</f>
        <v/>
      </c>
      <c r="P107" s="263"/>
      <c r="Q107" s="263"/>
      <c r="R107" s="263"/>
      <c r="S107" s="263"/>
      <c r="T107" s="263"/>
      <c r="U107" s="263"/>
      <c r="V107" s="161"/>
      <c r="W107" s="264" t="str">
        <f ca="1">'Financial Planning Tool'!FA82</f>
        <v/>
      </c>
      <c r="X107" s="265"/>
      <c r="Y107" s="265"/>
      <c r="Z107" s="265"/>
      <c r="AA107" s="265"/>
      <c r="AB107" s="265"/>
      <c r="AC107" s="265"/>
      <c r="AD107" s="265"/>
      <c r="AE107" s="265"/>
      <c r="AF107" s="266"/>
      <c r="AG107" s="264" t="str">
        <f ca="1">'Financial Planning Tool'!FB82</f>
        <v/>
      </c>
      <c r="AH107" s="265"/>
      <c r="AI107" s="265"/>
      <c r="AJ107" s="265"/>
      <c r="AK107" s="265"/>
      <c r="AL107" s="265"/>
      <c r="AM107" s="265"/>
      <c r="AN107" s="265"/>
      <c r="AO107" s="265"/>
      <c r="AP107" s="266"/>
      <c r="AQ107" s="260" t="str">
        <f ca="1">'Financial Planning Tool'!FC82</f>
        <v/>
      </c>
      <c r="AR107" s="261"/>
      <c r="AS107" s="261"/>
      <c r="AT107" s="261"/>
      <c r="AU107" s="261"/>
      <c r="AV107" s="261"/>
      <c r="AW107" s="261"/>
      <c r="AX107" s="262"/>
      <c r="AY107" s="260" t="str">
        <f ca="1">'Financial Planning Tool'!FD82</f>
        <v/>
      </c>
      <c r="AZ107" s="261"/>
      <c r="BA107" s="261"/>
      <c r="BB107" s="261"/>
      <c r="BC107" s="261"/>
      <c r="BD107" s="261"/>
      <c r="BE107" s="261"/>
      <c r="BF107" s="262"/>
      <c r="BG107" s="267" t="str">
        <f ca="1">IFERROR(ROUND('Financial Planning Tool'!FE82,2),'Financial Planning Tool'!FE82)</f>
        <v/>
      </c>
      <c r="BH107" s="268"/>
      <c r="BI107" s="268"/>
      <c r="BJ107" s="268"/>
      <c r="BK107" s="268"/>
      <c r="BL107" s="268"/>
      <c r="BM107" s="268"/>
      <c r="BN107" s="269"/>
    </row>
    <row r="108" spans="2:66" x14ac:dyDescent="0.25">
      <c r="B108" s="160" t="str">
        <f ca="1">'Financial Planning Tool'!EY83</f>
        <v/>
      </c>
      <c r="C108" s="263"/>
      <c r="D108" s="263"/>
      <c r="E108" s="263"/>
      <c r="F108" s="263"/>
      <c r="G108" s="263"/>
      <c r="H108" s="263"/>
      <c r="I108" s="263"/>
      <c r="J108" s="263"/>
      <c r="K108" s="263"/>
      <c r="L108" s="263"/>
      <c r="M108" s="263"/>
      <c r="N108" s="263"/>
      <c r="O108" s="160" t="str">
        <f ca="1">'Financial Planning Tool'!EZ83</f>
        <v/>
      </c>
      <c r="P108" s="263"/>
      <c r="Q108" s="263"/>
      <c r="R108" s="263"/>
      <c r="S108" s="263"/>
      <c r="T108" s="263"/>
      <c r="U108" s="263"/>
      <c r="V108" s="161"/>
      <c r="W108" s="264" t="str">
        <f ca="1">'Financial Planning Tool'!FA83</f>
        <v/>
      </c>
      <c r="X108" s="265"/>
      <c r="Y108" s="265"/>
      <c r="Z108" s="265"/>
      <c r="AA108" s="265"/>
      <c r="AB108" s="265"/>
      <c r="AC108" s="265"/>
      <c r="AD108" s="265"/>
      <c r="AE108" s="265"/>
      <c r="AF108" s="266"/>
      <c r="AG108" s="264" t="str">
        <f ca="1">'Financial Planning Tool'!FB83</f>
        <v/>
      </c>
      <c r="AH108" s="265"/>
      <c r="AI108" s="265"/>
      <c r="AJ108" s="265"/>
      <c r="AK108" s="265"/>
      <c r="AL108" s="265"/>
      <c r="AM108" s="265"/>
      <c r="AN108" s="265"/>
      <c r="AO108" s="265"/>
      <c r="AP108" s="266"/>
      <c r="AQ108" s="260" t="str">
        <f ca="1">'Financial Planning Tool'!FC83</f>
        <v/>
      </c>
      <c r="AR108" s="261"/>
      <c r="AS108" s="261"/>
      <c r="AT108" s="261"/>
      <c r="AU108" s="261"/>
      <c r="AV108" s="261"/>
      <c r="AW108" s="261"/>
      <c r="AX108" s="262"/>
      <c r="AY108" s="260" t="str">
        <f ca="1">'Financial Planning Tool'!FD83</f>
        <v/>
      </c>
      <c r="AZ108" s="261"/>
      <c r="BA108" s="261"/>
      <c r="BB108" s="261"/>
      <c r="BC108" s="261"/>
      <c r="BD108" s="261"/>
      <c r="BE108" s="261"/>
      <c r="BF108" s="262"/>
      <c r="BG108" s="267" t="str">
        <f ca="1">IFERROR(ROUND('Financial Planning Tool'!FE83,2),'Financial Planning Tool'!FE83)</f>
        <v/>
      </c>
      <c r="BH108" s="268"/>
      <c r="BI108" s="268"/>
      <c r="BJ108" s="268"/>
      <c r="BK108" s="268"/>
      <c r="BL108" s="268"/>
      <c r="BM108" s="268"/>
      <c r="BN108" s="269"/>
    </row>
    <row r="109" spans="2:66" x14ac:dyDescent="0.25">
      <c r="B109" s="160" t="str">
        <f ca="1">'Financial Planning Tool'!EY84</f>
        <v/>
      </c>
      <c r="C109" s="263"/>
      <c r="D109" s="263"/>
      <c r="E109" s="263"/>
      <c r="F109" s="263"/>
      <c r="G109" s="263"/>
      <c r="H109" s="263"/>
      <c r="I109" s="263"/>
      <c r="J109" s="263"/>
      <c r="K109" s="263"/>
      <c r="L109" s="263"/>
      <c r="M109" s="263"/>
      <c r="N109" s="263"/>
      <c r="O109" s="160" t="str">
        <f ca="1">'Financial Planning Tool'!EZ84</f>
        <v/>
      </c>
      <c r="P109" s="263"/>
      <c r="Q109" s="263"/>
      <c r="R109" s="263"/>
      <c r="S109" s="263"/>
      <c r="T109" s="263"/>
      <c r="U109" s="263"/>
      <c r="V109" s="161"/>
      <c r="W109" s="264" t="str">
        <f ca="1">'Financial Planning Tool'!FA84</f>
        <v/>
      </c>
      <c r="X109" s="265"/>
      <c r="Y109" s="265"/>
      <c r="Z109" s="265"/>
      <c r="AA109" s="265"/>
      <c r="AB109" s="265"/>
      <c r="AC109" s="265"/>
      <c r="AD109" s="265"/>
      <c r="AE109" s="265"/>
      <c r="AF109" s="266"/>
      <c r="AG109" s="264" t="str">
        <f ca="1">'Financial Planning Tool'!FB84</f>
        <v/>
      </c>
      <c r="AH109" s="265"/>
      <c r="AI109" s="265"/>
      <c r="AJ109" s="265"/>
      <c r="AK109" s="265"/>
      <c r="AL109" s="265"/>
      <c r="AM109" s="265"/>
      <c r="AN109" s="265"/>
      <c r="AO109" s="265"/>
      <c r="AP109" s="266"/>
      <c r="AQ109" s="260" t="str">
        <f ca="1">'Financial Planning Tool'!FC84</f>
        <v/>
      </c>
      <c r="AR109" s="261"/>
      <c r="AS109" s="261"/>
      <c r="AT109" s="261"/>
      <c r="AU109" s="261"/>
      <c r="AV109" s="261"/>
      <c r="AW109" s="261"/>
      <c r="AX109" s="262"/>
      <c r="AY109" s="260" t="str">
        <f ca="1">'Financial Planning Tool'!FD84</f>
        <v/>
      </c>
      <c r="AZ109" s="261"/>
      <c r="BA109" s="261"/>
      <c r="BB109" s="261"/>
      <c r="BC109" s="261"/>
      <c r="BD109" s="261"/>
      <c r="BE109" s="261"/>
      <c r="BF109" s="262"/>
      <c r="BG109" s="267" t="str">
        <f ca="1">IFERROR(ROUND('Financial Planning Tool'!FE84,2),'Financial Planning Tool'!FE84)</f>
        <v/>
      </c>
      <c r="BH109" s="268"/>
      <c r="BI109" s="268"/>
      <c r="BJ109" s="268"/>
      <c r="BK109" s="268"/>
      <c r="BL109" s="268"/>
      <c r="BM109" s="268"/>
      <c r="BN109" s="269"/>
    </row>
    <row r="110" spans="2:66" x14ac:dyDescent="0.25">
      <c r="B110" s="160" t="str">
        <f ca="1">'Financial Planning Tool'!EY85</f>
        <v/>
      </c>
      <c r="C110" s="263"/>
      <c r="D110" s="263"/>
      <c r="E110" s="263"/>
      <c r="F110" s="263"/>
      <c r="G110" s="263"/>
      <c r="H110" s="263"/>
      <c r="I110" s="263"/>
      <c r="J110" s="263"/>
      <c r="K110" s="263"/>
      <c r="L110" s="263"/>
      <c r="M110" s="263"/>
      <c r="N110" s="263"/>
      <c r="O110" s="160" t="str">
        <f ca="1">'Financial Planning Tool'!EZ85</f>
        <v/>
      </c>
      <c r="P110" s="263"/>
      <c r="Q110" s="263"/>
      <c r="R110" s="263"/>
      <c r="S110" s="263"/>
      <c r="T110" s="263"/>
      <c r="U110" s="263"/>
      <c r="V110" s="161"/>
      <c r="W110" s="264" t="str">
        <f ca="1">'Financial Planning Tool'!FA85</f>
        <v/>
      </c>
      <c r="X110" s="265"/>
      <c r="Y110" s="265"/>
      <c r="Z110" s="265"/>
      <c r="AA110" s="265"/>
      <c r="AB110" s="265"/>
      <c r="AC110" s="265"/>
      <c r="AD110" s="265"/>
      <c r="AE110" s="265"/>
      <c r="AF110" s="266"/>
      <c r="AG110" s="264" t="str">
        <f ca="1">'Financial Planning Tool'!FB85</f>
        <v/>
      </c>
      <c r="AH110" s="265"/>
      <c r="AI110" s="265"/>
      <c r="AJ110" s="265"/>
      <c r="AK110" s="265"/>
      <c r="AL110" s="265"/>
      <c r="AM110" s="265"/>
      <c r="AN110" s="265"/>
      <c r="AO110" s="265"/>
      <c r="AP110" s="266"/>
      <c r="AQ110" s="260" t="str">
        <f ca="1">'Financial Planning Tool'!FC85</f>
        <v/>
      </c>
      <c r="AR110" s="261"/>
      <c r="AS110" s="261"/>
      <c r="AT110" s="261"/>
      <c r="AU110" s="261"/>
      <c r="AV110" s="261"/>
      <c r="AW110" s="261"/>
      <c r="AX110" s="262"/>
      <c r="AY110" s="260" t="str">
        <f ca="1">'Financial Planning Tool'!FD85</f>
        <v/>
      </c>
      <c r="AZ110" s="261"/>
      <c r="BA110" s="261"/>
      <c r="BB110" s="261"/>
      <c r="BC110" s="261"/>
      <c r="BD110" s="261"/>
      <c r="BE110" s="261"/>
      <c r="BF110" s="262"/>
      <c r="BG110" s="267" t="str">
        <f ca="1">IFERROR(ROUND('Financial Planning Tool'!FE85,2),'Financial Planning Tool'!FE85)</f>
        <v/>
      </c>
      <c r="BH110" s="268"/>
      <c r="BI110" s="268"/>
      <c r="BJ110" s="268"/>
      <c r="BK110" s="268"/>
      <c r="BL110" s="268"/>
      <c r="BM110" s="268"/>
      <c r="BN110" s="269"/>
    </row>
    <row r="111" spans="2:66" x14ac:dyDescent="0.25">
      <c r="B111" s="160" t="str">
        <f ca="1">'Financial Planning Tool'!EY86</f>
        <v/>
      </c>
      <c r="C111" s="263"/>
      <c r="D111" s="263"/>
      <c r="E111" s="263"/>
      <c r="F111" s="263"/>
      <c r="G111" s="263"/>
      <c r="H111" s="263"/>
      <c r="I111" s="263"/>
      <c r="J111" s="263"/>
      <c r="K111" s="263"/>
      <c r="L111" s="263"/>
      <c r="M111" s="263"/>
      <c r="N111" s="263"/>
      <c r="O111" s="160" t="str">
        <f ca="1">'Financial Planning Tool'!EZ86</f>
        <v/>
      </c>
      <c r="P111" s="263"/>
      <c r="Q111" s="263"/>
      <c r="R111" s="263"/>
      <c r="S111" s="263"/>
      <c r="T111" s="263"/>
      <c r="U111" s="263"/>
      <c r="V111" s="161"/>
      <c r="W111" s="264" t="str">
        <f ca="1">'Financial Planning Tool'!FA86</f>
        <v/>
      </c>
      <c r="X111" s="265"/>
      <c r="Y111" s="265"/>
      <c r="Z111" s="265"/>
      <c r="AA111" s="265"/>
      <c r="AB111" s="265"/>
      <c r="AC111" s="265"/>
      <c r="AD111" s="265"/>
      <c r="AE111" s="265"/>
      <c r="AF111" s="266"/>
      <c r="AG111" s="264" t="str">
        <f ca="1">'Financial Planning Tool'!FB86</f>
        <v/>
      </c>
      <c r="AH111" s="265"/>
      <c r="AI111" s="265"/>
      <c r="AJ111" s="265"/>
      <c r="AK111" s="265"/>
      <c r="AL111" s="265"/>
      <c r="AM111" s="265"/>
      <c r="AN111" s="265"/>
      <c r="AO111" s="265"/>
      <c r="AP111" s="266"/>
      <c r="AQ111" s="260" t="str">
        <f ca="1">'Financial Planning Tool'!FC86</f>
        <v/>
      </c>
      <c r="AR111" s="261"/>
      <c r="AS111" s="261"/>
      <c r="AT111" s="261"/>
      <c r="AU111" s="261"/>
      <c r="AV111" s="261"/>
      <c r="AW111" s="261"/>
      <c r="AX111" s="262"/>
      <c r="AY111" s="260" t="str">
        <f ca="1">'Financial Planning Tool'!FD86</f>
        <v/>
      </c>
      <c r="AZ111" s="261"/>
      <c r="BA111" s="261"/>
      <c r="BB111" s="261"/>
      <c r="BC111" s="261"/>
      <c r="BD111" s="261"/>
      <c r="BE111" s="261"/>
      <c r="BF111" s="262"/>
      <c r="BG111" s="267" t="str">
        <f ca="1">IFERROR(ROUND('Financial Planning Tool'!FE86,2),'Financial Planning Tool'!FE86)</f>
        <v/>
      </c>
      <c r="BH111" s="268"/>
      <c r="BI111" s="268"/>
      <c r="BJ111" s="268"/>
      <c r="BK111" s="268"/>
      <c r="BL111" s="268"/>
      <c r="BM111" s="268"/>
      <c r="BN111" s="269"/>
    </row>
    <row r="112" spans="2:66" x14ac:dyDescent="0.25">
      <c r="B112" s="160" t="str">
        <f ca="1">'Financial Planning Tool'!EY87</f>
        <v/>
      </c>
      <c r="C112" s="263"/>
      <c r="D112" s="263"/>
      <c r="E112" s="263"/>
      <c r="F112" s="263"/>
      <c r="G112" s="263"/>
      <c r="H112" s="263"/>
      <c r="I112" s="263"/>
      <c r="J112" s="263"/>
      <c r="K112" s="263"/>
      <c r="L112" s="263"/>
      <c r="M112" s="263"/>
      <c r="N112" s="263"/>
      <c r="O112" s="160" t="str">
        <f ca="1">'Financial Planning Tool'!EZ87</f>
        <v/>
      </c>
      <c r="P112" s="263"/>
      <c r="Q112" s="263"/>
      <c r="R112" s="263"/>
      <c r="S112" s="263"/>
      <c r="T112" s="263"/>
      <c r="U112" s="263"/>
      <c r="V112" s="161"/>
      <c r="W112" s="264" t="str">
        <f ca="1">'Financial Planning Tool'!FA87</f>
        <v/>
      </c>
      <c r="X112" s="265"/>
      <c r="Y112" s="265"/>
      <c r="Z112" s="265"/>
      <c r="AA112" s="265"/>
      <c r="AB112" s="265"/>
      <c r="AC112" s="265"/>
      <c r="AD112" s="265"/>
      <c r="AE112" s="265"/>
      <c r="AF112" s="266"/>
      <c r="AG112" s="264" t="str">
        <f ca="1">'Financial Planning Tool'!FB87</f>
        <v/>
      </c>
      <c r="AH112" s="265"/>
      <c r="AI112" s="265"/>
      <c r="AJ112" s="265"/>
      <c r="AK112" s="265"/>
      <c r="AL112" s="265"/>
      <c r="AM112" s="265"/>
      <c r="AN112" s="265"/>
      <c r="AO112" s="265"/>
      <c r="AP112" s="266"/>
      <c r="AQ112" s="260" t="str">
        <f ca="1">'Financial Planning Tool'!FC87</f>
        <v/>
      </c>
      <c r="AR112" s="261"/>
      <c r="AS112" s="261"/>
      <c r="AT112" s="261"/>
      <c r="AU112" s="261"/>
      <c r="AV112" s="261"/>
      <c r="AW112" s="261"/>
      <c r="AX112" s="262"/>
      <c r="AY112" s="260" t="str">
        <f ca="1">'Financial Planning Tool'!FD87</f>
        <v/>
      </c>
      <c r="AZ112" s="261"/>
      <c r="BA112" s="261"/>
      <c r="BB112" s="261"/>
      <c r="BC112" s="261"/>
      <c r="BD112" s="261"/>
      <c r="BE112" s="261"/>
      <c r="BF112" s="262"/>
      <c r="BG112" s="267" t="str">
        <f ca="1">IFERROR(ROUND('Financial Planning Tool'!FE87,2),'Financial Planning Tool'!FE87)</f>
        <v/>
      </c>
      <c r="BH112" s="268"/>
      <c r="BI112" s="268"/>
      <c r="BJ112" s="268"/>
      <c r="BK112" s="268"/>
      <c r="BL112" s="268"/>
      <c r="BM112" s="268"/>
      <c r="BN112" s="269"/>
    </row>
    <row r="113" spans="2:66" x14ac:dyDescent="0.25">
      <c r="B113" s="160" t="str">
        <f ca="1">'Financial Planning Tool'!EY88</f>
        <v/>
      </c>
      <c r="C113" s="263"/>
      <c r="D113" s="263"/>
      <c r="E113" s="263"/>
      <c r="F113" s="263"/>
      <c r="G113" s="263"/>
      <c r="H113" s="263"/>
      <c r="I113" s="263"/>
      <c r="J113" s="263"/>
      <c r="K113" s="263"/>
      <c r="L113" s="263"/>
      <c r="M113" s="263"/>
      <c r="N113" s="263"/>
      <c r="O113" s="160" t="str">
        <f ca="1">'Financial Planning Tool'!EZ88</f>
        <v/>
      </c>
      <c r="P113" s="263"/>
      <c r="Q113" s="263"/>
      <c r="R113" s="263"/>
      <c r="S113" s="263"/>
      <c r="T113" s="263"/>
      <c r="U113" s="263"/>
      <c r="V113" s="161"/>
      <c r="W113" s="264" t="str">
        <f ca="1">'Financial Planning Tool'!FA88</f>
        <v/>
      </c>
      <c r="X113" s="265"/>
      <c r="Y113" s="265"/>
      <c r="Z113" s="265"/>
      <c r="AA113" s="265"/>
      <c r="AB113" s="265"/>
      <c r="AC113" s="265"/>
      <c r="AD113" s="265"/>
      <c r="AE113" s="265"/>
      <c r="AF113" s="266"/>
      <c r="AG113" s="264" t="str">
        <f ca="1">'Financial Planning Tool'!FB88</f>
        <v/>
      </c>
      <c r="AH113" s="265"/>
      <c r="AI113" s="265"/>
      <c r="AJ113" s="265"/>
      <c r="AK113" s="265"/>
      <c r="AL113" s="265"/>
      <c r="AM113" s="265"/>
      <c r="AN113" s="265"/>
      <c r="AO113" s="265"/>
      <c r="AP113" s="266"/>
      <c r="AQ113" s="260" t="str">
        <f ca="1">'Financial Planning Tool'!FC88</f>
        <v/>
      </c>
      <c r="AR113" s="261"/>
      <c r="AS113" s="261"/>
      <c r="AT113" s="261"/>
      <c r="AU113" s="261"/>
      <c r="AV113" s="261"/>
      <c r="AW113" s="261"/>
      <c r="AX113" s="262"/>
      <c r="AY113" s="260" t="str">
        <f ca="1">'Financial Planning Tool'!FD88</f>
        <v/>
      </c>
      <c r="AZ113" s="261"/>
      <c r="BA113" s="261"/>
      <c r="BB113" s="261"/>
      <c r="BC113" s="261"/>
      <c r="BD113" s="261"/>
      <c r="BE113" s="261"/>
      <c r="BF113" s="262"/>
      <c r="BG113" s="267" t="str">
        <f ca="1">IFERROR(ROUND('Financial Planning Tool'!FE88,2),'Financial Planning Tool'!FE88)</f>
        <v/>
      </c>
      <c r="BH113" s="268"/>
      <c r="BI113" s="268"/>
      <c r="BJ113" s="268"/>
      <c r="BK113" s="268"/>
      <c r="BL113" s="268"/>
      <c r="BM113" s="268"/>
      <c r="BN113" s="269"/>
    </row>
    <row r="114" spans="2:66" x14ac:dyDescent="0.25">
      <c r="B114" s="160" t="str">
        <f ca="1">'Financial Planning Tool'!EY89</f>
        <v/>
      </c>
      <c r="C114" s="263"/>
      <c r="D114" s="263"/>
      <c r="E114" s="263"/>
      <c r="F114" s="263"/>
      <c r="G114" s="263"/>
      <c r="H114" s="263"/>
      <c r="I114" s="263"/>
      <c r="J114" s="263"/>
      <c r="K114" s="263"/>
      <c r="L114" s="263"/>
      <c r="M114" s="263"/>
      <c r="N114" s="263"/>
      <c r="O114" s="160" t="str">
        <f ca="1">'Financial Planning Tool'!EZ89</f>
        <v/>
      </c>
      <c r="P114" s="263"/>
      <c r="Q114" s="263"/>
      <c r="R114" s="263"/>
      <c r="S114" s="263"/>
      <c r="T114" s="263"/>
      <c r="U114" s="263"/>
      <c r="V114" s="161"/>
      <c r="W114" s="264" t="str">
        <f ca="1">'Financial Planning Tool'!FA89</f>
        <v/>
      </c>
      <c r="X114" s="265"/>
      <c r="Y114" s="265"/>
      <c r="Z114" s="265"/>
      <c r="AA114" s="265"/>
      <c r="AB114" s="265"/>
      <c r="AC114" s="265"/>
      <c r="AD114" s="265"/>
      <c r="AE114" s="265"/>
      <c r="AF114" s="266"/>
      <c r="AG114" s="264" t="str">
        <f ca="1">'Financial Planning Tool'!FB89</f>
        <v/>
      </c>
      <c r="AH114" s="265"/>
      <c r="AI114" s="265"/>
      <c r="AJ114" s="265"/>
      <c r="AK114" s="265"/>
      <c r="AL114" s="265"/>
      <c r="AM114" s="265"/>
      <c r="AN114" s="265"/>
      <c r="AO114" s="265"/>
      <c r="AP114" s="266"/>
      <c r="AQ114" s="260" t="str">
        <f ca="1">'Financial Planning Tool'!FC89</f>
        <v/>
      </c>
      <c r="AR114" s="261"/>
      <c r="AS114" s="261"/>
      <c r="AT114" s="261"/>
      <c r="AU114" s="261"/>
      <c r="AV114" s="261"/>
      <c r="AW114" s="261"/>
      <c r="AX114" s="262"/>
      <c r="AY114" s="260" t="str">
        <f ca="1">'Financial Planning Tool'!FD89</f>
        <v/>
      </c>
      <c r="AZ114" s="261"/>
      <c r="BA114" s="261"/>
      <c r="BB114" s="261"/>
      <c r="BC114" s="261"/>
      <c r="BD114" s="261"/>
      <c r="BE114" s="261"/>
      <c r="BF114" s="262"/>
      <c r="BG114" s="267" t="str">
        <f ca="1">IFERROR(ROUND('Financial Planning Tool'!FE89,2),'Financial Planning Tool'!FE89)</f>
        <v/>
      </c>
      <c r="BH114" s="268"/>
      <c r="BI114" s="268"/>
      <c r="BJ114" s="268"/>
      <c r="BK114" s="268"/>
      <c r="BL114" s="268"/>
      <c r="BM114" s="268"/>
      <c r="BN114" s="269"/>
    </row>
    <row r="115" spans="2:66" x14ac:dyDescent="0.25">
      <c r="B115" s="160" t="str">
        <f ca="1">'Financial Planning Tool'!EY90</f>
        <v/>
      </c>
      <c r="C115" s="263"/>
      <c r="D115" s="263"/>
      <c r="E115" s="263"/>
      <c r="F115" s="263"/>
      <c r="G115" s="263"/>
      <c r="H115" s="263"/>
      <c r="I115" s="263"/>
      <c r="J115" s="263"/>
      <c r="K115" s="263"/>
      <c r="L115" s="263"/>
      <c r="M115" s="263"/>
      <c r="N115" s="263"/>
      <c r="O115" s="160" t="str">
        <f ca="1">'Financial Planning Tool'!EZ90</f>
        <v/>
      </c>
      <c r="P115" s="263"/>
      <c r="Q115" s="263"/>
      <c r="R115" s="263"/>
      <c r="S115" s="263"/>
      <c r="T115" s="263"/>
      <c r="U115" s="263"/>
      <c r="V115" s="161"/>
      <c r="W115" s="264" t="str">
        <f ca="1">'Financial Planning Tool'!FA90</f>
        <v/>
      </c>
      <c r="X115" s="265"/>
      <c r="Y115" s="265"/>
      <c r="Z115" s="265"/>
      <c r="AA115" s="265"/>
      <c r="AB115" s="265"/>
      <c r="AC115" s="265"/>
      <c r="AD115" s="265"/>
      <c r="AE115" s="265"/>
      <c r="AF115" s="266"/>
      <c r="AG115" s="264" t="str">
        <f ca="1">'Financial Planning Tool'!FB90</f>
        <v/>
      </c>
      <c r="AH115" s="265"/>
      <c r="AI115" s="265"/>
      <c r="AJ115" s="265"/>
      <c r="AK115" s="265"/>
      <c r="AL115" s="265"/>
      <c r="AM115" s="265"/>
      <c r="AN115" s="265"/>
      <c r="AO115" s="265"/>
      <c r="AP115" s="266"/>
      <c r="AQ115" s="260" t="str">
        <f ca="1">'Financial Planning Tool'!FC90</f>
        <v/>
      </c>
      <c r="AR115" s="261"/>
      <c r="AS115" s="261"/>
      <c r="AT115" s="261"/>
      <c r="AU115" s="261"/>
      <c r="AV115" s="261"/>
      <c r="AW115" s="261"/>
      <c r="AX115" s="262"/>
      <c r="AY115" s="260" t="str">
        <f ca="1">'Financial Planning Tool'!FD90</f>
        <v/>
      </c>
      <c r="AZ115" s="261"/>
      <c r="BA115" s="261"/>
      <c r="BB115" s="261"/>
      <c r="BC115" s="261"/>
      <c r="BD115" s="261"/>
      <c r="BE115" s="261"/>
      <c r="BF115" s="262"/>
      <c r="BG115" s="267" t="str">
        <f ca="1">IFERROR(ROUND('Financial Planning Tool'!FE90,2),'Financial Planning Tool'!FE90)</f>
        <v/>
      </c>
      <c r="BH115" s="268"/>
      <c r="BI115" s="268"/>
      <c r="BJ115" s="268"/>
      <c r="BK115" s="268"/>
      <c r="BL115" s="268"/>
      <c r="BM115" s="268"/>
      <c r="BN115" s="269"/>
    </row>
    <row r="116" spans="2:66" x14ac:dyDescent="0.25">
      <c r="B116" s="160" t="str">
        <f ca="1">'Financial Planning Tool'!EY91</f>
        <v/>
      </c>
      <c r="C116" s="263"/>
      <c r="D116" s="263"/>
      <c r="E116" s="263"/>
      <c r="F116" s="263"/>
      <c r="G116" s="263"/>
      <c r="H116" s="263"/>
      <c r="I116" s="263"/>
      <c r="J116" s="263"/>
      <c r="K116" s="263"/>
      <c r="L116" s="263"/>
      <c r="M116" s="263"/>
      <c r="N116" s="263"/>
      <c r="O116" s="160" t="str">
        <f ca="1">'Financial Planning Tool'!EZ91</f>
        <v/>
      </c>
      <c r="P116" s="263"/>
      <c r="Q116" s="263"/>
      <c r="R116" s="263"/>
      <c r="S116" s="263"/>
      <c r="T116" s="263"/>
      <c r="U116" s="263"/>
      <c r="V116" s="161"/>
      <c r="W116" s="264" t="str">
        <f ca="1">'Financial Planning Tool'!FA91</f>
        <v/>
      </c>
      <c r="X116" s="265"/>
      <c r="Y116" s="265"/>
      <c r="Z116" s="265"/>
      <c r="AA116" s="265"/>
      <c r="AB116" s="265"/>
      <c r="AC116" s="265"/>
      <c r="AD116" s="265"/>
      <c r="AE116" s="265"/>
      <c r="AF116" s="266"/>
      <c r="AG116" s="264" t="str">
        <f ca="1">'Financial Planning Tool'!FB91</f>
        <v/>
      </c>
      <c r="AH116" s="265"/>
      <c r="AI116" s="265"/>
      <c r="AJ116" s="265"/>
      <c r="AK116" s="265"/>
      <c r="AL116" s="265"/>
      <c r="AM116" s="265"/>
      <c r="AN116" s="265"/>
      <c r="AO116" s="265"/>
      <c r="AP116" s="266"/>
      <c r="AQ116" s="260" t="str">
        <f ca="1">'Financial Planning Tool'!FC91</f>
        <v/>
      </c>
      <c r="AR116" s="261"/>
      <c r="AS116" s="261"/>
      <c r="AT116" s="261"/>
      <c r="AU116" s="261"/>
      <c r="AV116" s="261"/>
      <c r="AW116" s="261"/>
      <c r="AX116" s="262"/>
      <c r="AY116" s="260" t="str">
        <f ca="1">'Financial Planning Tool'!FD91</f>
        <v/>
      </c>
      <c r="AZ116" s="261"/>
      <c r="BA116" s="261"/>
      <c r="BB116" s="261"/>
      <c r="BC116" s="261"/>
      <c r="BD116" s="261"/>
      <c r="BE116" s="261"/>
      <c r="BF116" s="262"/>
      <c r="BG116" s="267" t="str">
        <f ca="1">IFERROR(ROUND('Financial Planning Tool'!FE91,2),'Financial Planning Tool'!FE91)</f>
        <v/>
      </c>
      <c r="BH116" s="268"/>
      <c r="BI116" s="268"/>
      <c r="BJ116" s="268"/>
      <c r="BK116" s="268"/>
      <c r="BL116" s="268"/>
      <c r="BM116" s="268"/>
      <c r="BN116" s="269"/>
    </row>
    <row r="117" spans="2:66" x14ac:dyDescent="0.25">
      <c r="B117" s="160" t="str">
        <f ca="1">'Financial Planning Tool'!EY92</f>
        <v/>
      </c>
      <c r="C117" s="263"/>
      <c r="D117" s="263"/>
      <c r="E117" s="263"/>
      <c r="F117" s="263"/>
      <c r="G117" s="263"/>
      <c r="H117" s="263"/>
      <c r="I117" s="263"/>
      <c r="J117" s="263"/>
      <c r="K117" s="263"/>
      <c r="L117" s="263"/>
      <c r="M117" s="263"/>
      <c r="N117" s="263"/>
      <c r="O117" s="160" t="str">
        <f ca="1">'Financial Planning Tool'!EZ92</f>
        <v/>
      </c>
      <c r="P117" s="263"/>
      <c r="Q117" s="263"/>
      <c r="R117" s="263"/>
      <c r="S117" s="263"/>
      <c r="T117" s="263"/>
      <c r="U117" s="263"/>
      <c r="V117" s="161"/>
      <c r="W117" s="264" t="str">
        <f ca="1">'Financial Planning Tool'!FA92</f>
        <v/>
      </c>
      <c r="X117" s="265"/>
      <c r="Y117" s="265"/>
      <c r="Z117" s="265"/>
      <c r="AA117" s="265"/>
      <c r="AB117" s="265"/>
      <c r="AC117" s="265"/>
      <c r="AD117" s="265"/>
      <c r="AE117" s="265"/>
      <c r="AF117" s="266"/>
      <c r="AG117" s="264" t="str">
        <f ca="1">'Financial Planning Tool'!FB92</f>
        <v/>
      </c>
      <c r="AH117" s="265"/>
      <c r="AI117" s="265"/>
      <c r="AJ117" s="265"/>
      <c r="AK117" s="265"/>
      <c r="AL117" s="265"/>
      <c r="AM117" s="265"/>
      <c r="AN117" s="265"/>
      <c r="AO117" s="265"/>
      <c r="AP117" s="266"/>
      <c r="AQ117" s="260" t="str">
        <f ca="1">'Financial Planning Tool'!FC92</f>
        <v/>
      </c>
      <c r="AR117" s="261"/>
      <c r="AS117" s="261"/>
      <c r="AT117" s="261"/>
      <c r="AU117" s="261"/>
      <c r="AV117" s="261"/>
      <c r="AW117" s="261"/>
      <c r="AX117" s="262"/>
      <c r="AY117" s="260" t="str">
        <f ca="1">'Financial Planning Tool'!FD92</f>
        <v/>
      </c>
      <c r="AZ117" s="261"/>
      <c r="BA117" s="261"/>
      <c r="BB117" s="261"/>
      <c r="BC117" s="261"/>
      <c r="BD117" s="261"/>
      <c r="BE117" s="261"/>
      <c r="BF117" s="262"/>
      <c r="BG117" s="267" t="str">
        <f ca="1">IFERROR(ROUND('Financial Planning Tool'!FE92,2),'Financial Planning Tool'!FE92)</f>
        <v/>
      </c>
      <c r="BH117" s="268"/>
      <c r="BI117" s="268"/>
      <c r="BJ117" s="268"/>
      <c r="BK117" s="268"/>
      <c r="BL117" s="268"/>
      <c r="BM117" s="268"/>
      <c r="BN117" s="269"/>
    </row>
    <row r="118" spans="2:66" x14ac:dyDescent="0.25">
      <c r="B118" s="160" t="str">
        <f ca="1">'Financial Planning Tool'!EY93</f>
        <v/>
      </c>
      <c r="C118" s="263"/>
      <c r="D118" s="263"/>
      <c r="E118" s="263"/>
      <c r="F118" s="263"/>
      <c r="G118" s="263"/>
      <c r="H118" s="263"/>
      <c r="I118" s="263"/>
      <c r="J118" s="263"/>
      <c r="K118" s="263"/>
      <c r="L118" s="263"/>
      <c r="M118" s="263"/>
      <c r="N118" s="263"/>
      <c r="O118" s="160" t="str">
        <f ca="1">'Financial Planning Tool'!EZ93</f>
        <v/>
      </c>
      <c r="P118" s="263"/>
      <c r="Q118" s="263"/>
      <c r="R118" s="263"/>
      <c r="S118" s="263"/>
      <c r="T118" s="263"/>
      <c r="U118" s="263"/>
      <c r="V118" s="161"/>
      <c r="W118" s="264" t="str">
        <f ca="1">'Financial Planning Tool'!FA93</f>
        <v/>
      </c>
      <c r="X118" s="265"/>
      <c r="Y118" s="265"/>
      <c r="Z118" s="265"/>
      <c r="AA118" s="265"/>
      <c r="AB118" s="265"/>
      <c r="AC118" s="265"/>
      <c r="AD118" s="265"/>
      <c r="AE118" s="265"/>
      <c r="AF118" s="266"/>
      <c r="AG118" s="264" t="str">
        <f ca="1">'Financial Planning Tool'!FB93</f>
        <v/>
      </c>
      <c r="AH118" s="265"/>
      <c r="AI118" s="265"/>
      <c r="AJ118" s="265"/>
      <c r="AK118" s="265"/>
      <c r="AL118" s="265"/>
      <c r="AM118" s="265"/>
      <c r="AN118" s="265"/>
      <c r="AO118" s="265"/>
      <c r="AP118" s="266"/>
      <c r="AQ118" s="260" t="str">
        <f ca="1">'Financial Planning Tool'!FC93</f>
        <v/>
      </c>
      <c r="AR118" s="261"/>
      <c r="AS118" s="261"/>
      <c r="AT118" s="261"/>
      <c r="AU118" s="261"/>
      <c r="AV118" s="261"/>
      <c r="AW118" s="261"/>
      <c r="AX118" s="262"/>
      <c r="AY118" s="260" t="str">
        <f ca="1">'Financial Planning Tool'!FD93</f>
        <v/>
      </c>
      <c r="AZ118" s="261"/>
      <c r="BA118" s="261"/>
      <c r="BB118" s="261"/>
      <c r="BC118" s="261"/>
      <c r="BD118" s="261"/>
      <c r="BE118" s="261"/>
      <c r="BF118" s="262"/>
      <c r="BG118" s="267" t="str">
        <f ca="1">IFERROR(ROUND('Financial Planning Tool'!FE93,2),'Financial Planning Tool'!FE93)</f>
        <v/>
      </c>
      <c r="BH118" s="268"/>
      <c r="BI118" s="268"/>
      <c r="BJ118" s="268"/>
      <c r="BK118" s="268"/>
      <c r="BL118" s="268"/>
      <c r="BM118" s="268"/>
      <c r="BN118" s="269"/>
    </row>
    <row r="119" spans="2:66" x14ac:dyDescent="0.25">
      <c r="B119" s="160" t="str">
        <f ca="1">'Financial Planning Tool'!EY94</f>
        <v/>
      </c>
      <c r="C119" s="263"/>
      <c r="D119" s="263"/>
      <c r="E119" s="263"/>
      <c r="F119" s="263"/>
      <c r="G119" s="263"/>
      <c r="H119" s="263"/>
      <c r="I119" s="263"/>
      <c r="J119" s="263"/>
      <c r="K119" s="263"/>
      <c r="L119" s="263"/>
      <c r="M119" s="263"/>
      <c r="N119" s="263"/>
      <c r="O119" s="160" t="str">
        <f ca="1">'Financial Planning Tool'!EZ94</f>
        <v/>
      </c>
      <c r="P119" s="263"/>
      <c r="Q119" s="263"/>
      <c r="R119" s="263"/>
      <c r="S119" s="263"/>
      <c r="T119" s="263"/>
      <c r="U119" s="263"/>
      <c r="V119" s="161"/>
      <c r="W119" s="264" t="str">
        <f ca="1">'Financial Planning Tool'!FA94</f>
        <v/>
      </c>
      <c r="X119" s="265"/>
      <c r="Y119" s="265"/>
      <c r="Z119" s="265"/>
      <c r="AA119" s="265"/>
      <c r="AB119" s="265"/>
      <c r="AC119" s="265"/>
      <c r="AD119" s="265"/>
      <c r="AE119" s="265"/>
      <c r="AF119" s="266"/>
      <c r="AG119" s="264" t="str">
        <f ca="1">'Financial Planning Tool'!FB94</f>
        <v/>
      </c>
      <c r="AH119" s="265"/>
      <c r="AI119" s="265"/>
      <c r="AJ119" s="265"/>
      <c r="AK119" s="265"/>
      <c r="AL119" s="265"/>
      <c r="AM119" s="265"/>
      <c r="AN119" s="265"/>
      <c r="AO119" s="265"/>
      <c r="AP119" s="266"/>
      <c r="AQ119" s="260" t="str">
        <f ca="1">'Financial Planning Tool'!FC94</f>
        <v/>
      </c>
      <c r="AR119" s="261"/>
      <c r="AS119" s="261"/>
      <c r="AT119" s="261"/>
      <c r="AU119" s="261"/>
      <c r="AV119" s="261"/>
      <c r="AW119" s="261"/>
      <c r="AX119" s="262"/>
      <c r="AY119" s="260" t="str">
        <f ca="1">'Financial Planning Tool'!FD94</f>
        <v/>
      </c>
      <c r="AZ119" s="261"/>
      <c r="BA119" s="261"/>
      <c r="BB119" s="261"/>
      <c r="BC119" s="261"/>
      <c r="BD119" s="261"/>
      <c r="BE119" s="261"/>
      <c r="BF119" s="262"/>
      <c r="BG119" s="267" t="str">
        <f ca="1">IFERROR(ROUND('Financial Planning Tool'!FE94,2),'Financial Planning Tool'!FE94)</f>
        <v/>
      </c>
      <c r="BH119" s="268"/>
      <c r="BI119" s="268"/>
      <c r="BJ119" s="268"/>
      <c r="BK119" s="268"/>
      <c r="BL119" s="268"/>
      <c r="BM119" s="268"/>
      <c r="BN119" s="269"/>
    </row>
    <row r="120" spans="2:66" x14ac:dyDescent="0.25">
      <c r="B120" s="160" t="str">
        <f ca="1">'Financial Planning Tool'!EY95</f>
        <v/>
      </c>
      <c r="C120" s="263"/>
      <c r="D120" s="263"/>
      <c r="E120" s="263"/>
      <c r="F120" s="263"/>
      <c r="G120" s="263"/>
      <c r="H120" s="263"/>
      <c r="I120" s="263"/>
      <c r="J120" s="263"/>
      <c r="K120" s="263"/>
      <c r="L120" s="263"/>
      <c r="M120" s="263"/>
      <c r="N120" s="263"/>
      <c r="O120" s="160" t="str">
        <f ca="1">'Financial Planning Tool'!EZ95</f>
        <v/>
      </c>
      <c r="P120" s="263"/>
      <c r="Q120" s="263"/>
      <c r="R120" s="263"/>
      <c r="S120" s="263"/>
      <c r="T120" s="263"/>
      <c r="U120" s="263"/>
      <c r="V120" s="161"/>
      <c r="W120" s="264" t="str">
        <f ca="1">'Financial Planning Tool'!FA95</f>
        <v/>
      </c>
      <c r="X120" s="265"/>
      <c r="Y120" s="265"/>
      <c r="Z120" s="265"/>
      <c r="AA120" s="265"/>
      <c r="AB120" s="265"/>
      <c r="AC120" s="265"/>
      <c r="AD120" s="265"/>
      <c r="AE120" s="265"/>
      <c r="AF120" s="266"/>
      <c r="AG120" s="264" t="str">
        <f ca="1">'Financial Planning Tool'!FB95</f>
        <v/>
      </c>
      <c r="AH120" s="265"/>
      <c r="AI120" s="265"/>
      <c r="AJ120" s="265"/>
      <c r="AK120" s="265"/>
      <c r="AL120" s="265"/>
      <c r="AM120" s="265"/>
      <c r="AN120" s="265"/>
      <c r="AO120" s="265"/>
      <c r="AP120" s="266"/>
      <c r="AQ120" s="260" t="str">
        <f ca="1">'Financial Planning Tool'!FC95</f>
        <v/>
      </c>
      <c r="AR120" s="261"/>
      <c r="AS120" s="261"/>
      <c r="AT120" s="261"/>
      <c r="AU120" s="261"/>
      <c r="AV120" s="261"/>
      <c r="AW120" s="261"/>
      <c r="AX120" s="262"/>
      <c r="AY120" s="260" t="str">
        <f ca="1">'Financial Planning Tool'!FD95</f>
        <v/>
      </c>
      <c r="AZ120" s="261"/>
      <c r="BA120" s="261"/>
      <c r="BB120" s="261"/>
      <c r="BC120" s="261"/>
      <c r="BD120" s="261"/>
      <c r="BE120" s="261"/>
      <c r="BF120" s="262"/>
      <c r="BG120" s="267" t="str">
        <f ca="1">IFERROR(ROUND('Financial Planning Tool'!FE95,2),'Financial Planning Tool'!FE95)</f>
        <v/>
      </c>
      <c r="BH120" s="268"/>
      <c r="BI120" s="268"/>
      <c r="BJ120" s="268"/>
      <c r="BK120" s="268"/>
      <c r="BL120" s="268"/>
      <c r="BM120" s="268"/>
      <c r="BN120" s="269"/>
    </row>
    <row r="121" spans="2:66" x14ac:dyDescent="0.25">
      <c r="B121" s="160" t="str">
        <f ca="1">'Financial Planning Tool'!EY96</f>
        <v/>
      </c>
      <c r="C121" s="263"/>
      <c r="D121" s="263"/>
      <c r="E121" s="263"/>
      <c r="F121" s="263"/>
      <c r="G121" s="263"/>
      <c r="H121" s="263"/>
      <c r="I121" s="263"/>
      <c r="J121" s="263"/>
      <c r="K121" s="263"/>
      <c r="L121" s="263"/>
      <c r="M121" s="263"/>
      <c r="N121" s="263"/>
      <c r="O121" s="160" t="str">
        <f ca="1">'Financial Planning Tool'!EZ96</f>
        <v/>
      </c>
      <c r="P121" s="263"/>
      <c r="Q121" s="263"/>
      <c r="R121" s="263"/>
      <c r="S121" s="263"/>
      <c r="T121" s="263"/>
      <c r="U121" s="263"/>
      <c r="V121" s="161"/>
      <c r="W121" s="264" t="str">
        <f ca="1">'Financial Planning Tool'!FA96</f>
        <v/>
      </c>
      <c r="X121" s="265"/>
      <c r="Y121" s="265"/>
      <c r="Z121" s="265"/>
      <c r="AA121" s="265"/>
      <c r="AB121" s="265"/>
      <c r="AC121" s="265"/>
      <c r="AD121" s="265"/>
      <c r="AE121" s="265"/>
      <c r="AF121" s="266"/>
      <c r="AG121" s="264" t="str">
        <f ca="1">'Financial Planning Tool'!FB96</f>
        <v/>
      </c>
      <c r="AH121" s="265"/>
      <c r="AI121" s="265"/>
      <c r="AJ121" s="265"/>
      <c r="AK121" s="265"/>
      <c r="AL121" s="265"/>
      <c r="AM121" s="265"/>
      <c r="AN121" s="265"/>
      <c r="AO121" s="265"/>
      <c r="AP121" s="266"/>
      <c r="AQ121" s="260" t="str">
        <f ca="1">'Financial Planning Tool'!FC96</f>
        <v/>
      </c>
      <c r="AR121" s="261"/>
      <c r="AS121" s="261"/>
      <c r="AT121" s="261"/>
      <c r="AU121" s="261"/>
      <c r="AV121" s="261"/>
      <c r="AW121" s="261"/>
      <c r="AX121" s="262"/>
      <c r="AY121" s="260" t="str">
        <f ca="1">'Financial Planning Tool'!FD96</f>
        <v/>
      </c>
      <c r="AZ121" s="261"/>
      <c r="BA121" s="261"/>
      <c r="BB121" s="261"/>
      <c r="BC121" s="261"/>
      <c r="BD121" s="261"/>
      <c r="BE121" s="261"/>
      <c r="BF121" s="262"/>
      <c r="BG121" s="267" t="str">
        <f ca="1">IFERROR(ROUND('Financial Planning Tool'!FE96,2),'Financial Planning Tool'!FE96)</f>
        <v/>
      </c>
      <c r="BH121" s="268"/>
      <c r="BI121" s="268"/>
      <c r="BJ121" s="268"/>
      <c r="BK121" s="268"/>
      <c r="BL121" s="268"/>
      <c r="BM121" s="268"/>
      <c r="BN121" s="269"/>
    </row>
    <row r="122" spans="2:66" x14ac:dyDescent="0.25">
      <c r="B122" s="160" t="str">
        <f ca="1">'Financial Planning Tool'!EY97</f>
        <v/>
      </c>
      <c r="C122" s="263"/>
      <c r="D122" s="263"/>
      <c r="E122" s="263"/>
      <c r="F122" s="263"/>
      <c r="G122" s="263"/>
      <c r="H122" s="263"/>
      <c r="I122" s="263"/>
      <c r="J122" s="263"/>
      <c r="K122" s="263"/>
      <c r="L122" s="263"/>
      <c r="M122" s="263"/>
      <c r="N122" s="263"/>
      <c r="O122" s="160" t="str">
        <f ca="1">'Financial Planning Tool'!EZ97</f>
        <v/>
      </c>
      <c r="P122" s="263"/>
      <c r="Q122" s="263"/>
      <c r="R122" s="263"/>
      <c r="S122" s="263"/>
      <c r="T122" s="263"/>
      <c r="U122" s="263"/>
      <c r="V122" s="161"/>
      <c r="W122" s="264" t="str">
        <f ca="1">'Financial Planning Tool'!FA97</f>
        <v/>
      </c>
      <c r="X122" s="265"/>
      <c r="Y122" s="265"/>
      <c r="Z122" s="265"/>
      <c r="AA122" s="265"/>
      <c r="AB122" s="265"/>
      <c r="AC122" s="265"/>
      <c r="AD122" s="265"/>
      <c r="AE122" s="265"/>
      <c r="AF122" s="266"/>
      <c r="AG122" s="264" t="str">
        <f ca="1">'Financial Planning Tool'!FB97</f>
        <v/>
      </c>
      <c r="AH122" s="265"/>
      <c r="AI122" s="265"/>
      <c r="AJ122" s="265"/>
      <c r="AK122" s="265"/>
      <c r="AL122" s="265"/>
      <c r="AM122" s="265"/>
      <c r="AN122" s="265"/>
      <c r="AO122" s="265"/>
      <c r="AP122" s="266"/>
      <c r="AQ122" s="260" t="str">
        <f ca="1">'Financial Planning Tool'!FC97</f>
        <v/>
      </c>
      <c r="AR122" s="261"/>
      <c r="AS122" s="261"/>
      <c r="AT122" s="261"/>
      <c r="AU122" s="261"/>
      <c r="AV122" s="261"/>
      <c r="AW122" s="261"/>
      <c r="AX122" s="262"/>
      <c r="AY122" s="260" t="str">
        <f ca="1">'Financial Planning Tool'!FD97</f>
        <v/>
      </c>
      <c r="AZ122" s="261"/>
      <c r="BA122" s="261"/>
      <c r="BB122" s="261"/>
      <c r="BC122" s="261"/>
      <c r="BD122" s="261"/>
      <c r="BE122" s="261"/>
      <c r="BF122" s="262"/>
      <c r="BG122" s="267" t="str">
        <f ca="1">IFERROR(ROUND('Financial Planning Tool'!FE97,2),'Financial Planning Tool'!FE97)</f>
        <v/>
      </c>
      <c r="BH122" s="268"/>
      <c r="BI122" s="268"/>
      <c r="BJ122" s="268"/>
      <c r="BK122" s="268"/>
      <c r="BL122" s="268"/>
      <c r="BM122" s="268"/>
      <c r="BN122" s="269"/>
    </row>
    <row r="123" spans="2:66" x14ac:dyDescent="0.25">
      <c r="B123" s="160" t="str">
        <f ca="1">'Financial Planning Tool'!EY98</f>
        <v/>
      </c>
      <c r="C123" s="263"/>
      <c r="D123" s="263"/>
      <c r="E123" s="263"/>
      <c r="F123" s="263"/>
      <c r="G123" s="263"/>
      <c r="H123" s="263"/>
      <c r="I123" s="263"/>
      <c r="J123" s="263"/>
      <c r="K123" s="263"/>
      <c r="L123" s="263"/>
      <c r="M123" s="263"/>
      <c r="N123" s="263"/>
      <c r="O123" s="160" t="str">
        <f ca="1">'Financial Planning Tool'!EZ98</f>
        <v/>
      </c>
      <c r="P123" s="263"/>
      <c r="Q123" s="263"/>
      <c r="R123" s="263"/>
      <c r="S123" s="263"/>
      <c r="T123" s="263"/>
      <c r="U123" s="263"/>
      <c r="V123" s="161"/>
      <c r="W123" s="264" t="str">
        <f ca="1">'Financial Planning Tool'!FA98</f>
        <v/>
      </c>
      <c r="X123" s="265"/>
      <c r="Y123" s="265"/>
      <c r="Z123" s="265"/>
      <c r="AA123" s="265"/>
      <c r="AB123" s="265"/>
      <c r="AC123" s="265"/>
      <c r="AD123" s="265"/>
      <c r="AE123" s="265"/>
      <c r="AF123" s="266"/>
      <c r="AG123" s="264" t="str">
        <f ca="1">'Financial Planning Tool'!FB98</f>
        <v/>
      </c>
      <c r="AH123" s="265"/>
      <c r="AI123" s="265"/>
      <c r="AJ123" s="265"/>
      <c r="AK123" s="265"/>
      <c r="AL123" s="265"/>
      <c r="AM123" s="265"/>
      <c r="AN123" s="265"/>
      <c r="AO123" s="265"/>
      <c r="AP123" s="266"/>
      <c r="AQ123" s="260" t="str">
        <f ca="1">'Financial Planning Tool'!FC98</f>
        <v/>
      </c>
      <c r="AR123" s="261"/>
      <c r="AS123" s="261"/>
      <c r="AT123" s="261"/>
      <c r="AU123" s="261"/>
      <c r="AV123" s="261"/>
      <c r="AW123" s="261"/>
      <c r="AX123" s="262"/>
      <c r="AY123" s="260" t="str">
        <f ca="1">'Financial Planning Tool'!FD98</f>
        <v/>
      </c>
      <c r="AZ123" s="261"/>
      <c r="BA123" s="261"/>
      <c r="BB123" s="261"/>
      <c r="BC123" s="261"/>
      <c r="BD123" s="261"/>
      <c r="BE123" s="261"/>
      <c r="BF123" s="262"/>
      <c r="BG123" s="267" t="str">
        <f ca="1">IFERROR(ROUND('Financial Planning Tool'!FE98,2),'Financial Planning Tool'!FE98)</f>
        <v/>
      </c>
      <c r="BH123" s="268"/>
      <c r="BI123" s="268"/>
      <c r="BJ123" s="268"/>
      <c r="BK123" s="268"/>
      <c r="BL123" s="268"/>
      <c r="BM123" s="268"/>
      <c r="BN123" s="269"/>
    </row>
    <row r="124" spans="2:66" x14ac:dyDescent="0.25">
      <c r="B124" s="160" t="str">
        <f ca="1">'Financial Planning Tool'!EY99</f>
        <v/>
      </c>
      <c r="C124" s="263"/>
      <c r="D124" s="263"/>
      <c r="E124" s="263"/>
      <c r="F124" s="263"/>
      <c r="G124" s="263"/>
      <c r="H124" s="263"/>
      <c r="I124" s="263"/>
      <c r="J124" s="263"/>
      <c r="K124" s="263"/>
      <c r="L124" s="263"/>
      <c r="M124" s="263"/>
      <c r="N124" s="263"/>
      <c r="O124" s="160" t="str">
        <f ca="1">'Financial Planning Tool'!EZ99</f>
        <v/>
      </c>
      <c r="P124" s="263"/>
      <c r="Q124" s="263"/>
      <c r="R124" s="263"/>
      <c r="S124" s="263"/>
      <c r="T124" s="263"/>
      <c r="U124" s="263"/>
      <c r="V124" s="161"/>
      <c r="W124" s="264" t="str">
        <f ca="1">'Financial Planning Tool'!FA99</f>
        <v/>
      </c>
      <c r="X124" s="265"/>
      <c r="Y124" s="265"/>
      <c r="Z124" s="265"/>
      <c r="AA124" s="265"/>
      <c r="AB124" s="265"/>
      <c r="AC124" s="265"/>
      <c r="AD124" s="265"/>
      <c r="AE124" s="265"/>
      <c r="AF124" s="266"/>
      <c r="AG124" s="264" t="str">
        <f ca="1">'Financial Planning Tool'!FB99</f>
        <v/>
      </c>
      <c r="AH124" s="265"/>
      <c r="AI124" s="265"/>
      <c r="AJ124" s="265"/>
      <c r="AK124" s="265"/>
      <c r="AL124" s="265"/>
      <c r="AM124" s="265"/>
      <c r="AN124" s="265"/>
      <c r="AO124" s="265"/>
      <c r="AP124" s="266"/>
      <c r="AQ124" s="260" t="str">
        <f ca="1">'Financial Planning Tool'!FC99</f>
        <v/>
      </c>
      <c r="AR124" s="261"/>
      <c r="AS124" s="261"/>
      <c r="AT124" s="261"/>
      <c r="AU124" s="261"/>
      <c r="AV124" s="261"/>
      <c r="AW124" s="261"/>
      <c r="AX124" s="262"/>
      <c r="AY124" s="260" t="str">
        <f ca="1">'Financial Planning Tool'!FD99</f>
        <v/>
      </c>
      <c r="AZ124" s="261"/>
      <c r="BA124" s="261"/>
      <c r="BB124" s="261"/>
      <c r="BC124" s="261"/>
      <c r="BD124" s="261"/>
      <c r="BE124" s="261"/>
      <c r="BF124" s="262"/>
      <c r="BG124" s="267" t="str">
        <f ca="1">IFERROR(ROUND('Financial Planning Tool'!FE99,2),'Financial Planning Tool'!FE99)</f>
        <v/>
      </c>
      <c r="BH124" s="268"/>
      <c r="BI124" s="268"/>
      <c r="BJ124" s="268"/>
      <c r="BK124" s="268"/>
      <c r="BL124" s="268"/>
      <c r="BM124" s="268"/>
      <c r="BN124" s="269"/>
    </row>
    <row r="125" spans="2:66" x14ac:dyDescent="0.25">
      <c r="B125" s="160" t="str">
        <f ca="1">'Financial Planning Tool'!EY100</f>
        <v/>
      </c>
      <c r="C125" s="263"/>
      <c r="D125" s="263"/>
      <c r="E125" s="263"/>
      <c r="F125" s="263"/>
      <c r="G125" s="263"/>
      <c r="H125" s="263"/>
      <c r="I125" s="263"/>
      <c r="J125" s="263"/>
      <c r="K125" s="263"/>
      <c r="L125" s="263"/>
      <c r="M125" s="263"/>
      <c r="N125" s="263"/>
      <c r="O125" s="160" t="str">
        <f ca="1">'Financial Planning Tool'!EZ100</f>
        <v/>
      </c>
      <c r="P125" s="263"/>
      <c r="Q125" s="263"/>
      <c r="R125" s="263"/>
      <c r="S125" s="263"/>
      <c r="T125" s="263"/>
      <c r="U125" s="263"/>
      <c r="V125" s="161"/>
      <c r="W125" s="264" t="str">
        <f ca="1">'Financial Planning Tool'!FA100</f>
        <v/>
      </c>
      <c r="X125" s="265"/>
      <c r="Y125" s="265"/>
      <c r="Z125" s="265"/>
      <c r="AA125" s="265"/>
      <c r="AB125" s="265"/>
      <c r="AC125" s="265"/>
      <c r="AD125" s="265"/>
      <c r="AE125" s="265"/>
      <c r="AF125" s="266"/>
      <c r="AG125" s="264" t="str">
        <f ca="1">'Financial Planning Tool'!FB100</f>
        <v/>
      </c>
      <c r="AH125" s="265"/>
      <c r="AI125" s="265"/>
      <c r="AJ125" s="265"/>
      <c r="AK125" s="265"/>
      <c r="AL125" s="265"/>
      <c r="AM125" s="265"/>
      <c r="AN125" s="265"/>
      <c r="AO125" s="265"/>
      <c r="AP125" s="266"/>
      <c r="AQ125" s="260" t="str">
        <f ca="1">'Financial Planning Tool'!FC100</f>
        <v/>
      </c>
      <c r="AR125" s="261"/>
      <c r="AS125" s="261"/>
      <c r="AT125" s="261"/>
      <c r="AU125" s="261"/>
      <c r="AV125" s="261"/>
      <c r="AW125" s="261"/>
      <c r="AX125" s="262"/>
      <c r="AY125" s="260" t="str">
        <f ca="1">'Financial Planning Tool'!FD100</f>
        <v/>
      </c>
      <c r="AZ125" s="261"/>
      <c r="BA125" s="261"/>
      <c r="BB125" s="261"/>
      <c r="BC125" s="261"/>
      <c r="BD125" s="261"/>
      <c r="BE125" s="261"/>
      <c r="BF125" s="262"/>
      <c r="BG125" s="267" t="str">
        <f ca="1">IFERROR(ROUND('Financial Planning Tool'!FE100,2),'Financial Planning Tool'!FE100)</f>
        <v/>
      </c>
      <c r="BH125" s="268"/>
      <c r="BI125" s="268"/>
      <c r="BJ125" s="268"/>
      <c r="BK125" s="268"/>
      <c r="BL125" s="268"/>
      <c r="BM125" s="268"/>
      <c r="BN125" s="269"/>
    </row>
    <row r="126" spans="2:66" x14ac:dyDescent="0.25">
      <c r="B126" s="160" t="str">
        <f ca="1">'Financial Planning Tool'!EY101</f>
        <v/>
      </c>
      <c r="C126" s="263"/>
      <c r="D126" s="263"/>
      <c r="E126" s="263"/>
      <c r="F126" s="263"/>
      <c r="G126" s="263"/>
      <c r="H126" s="263"/>
      <c r="I126" s="263"/>
      <c r="J126" s="263"/>
      <c r="K126" s="263"/>
      <c r="L126" s="263"/>
      <c r="M126" s="263"/>
      <c r="N126" s="263"/>
      <c r="O126" s="160" t="str">
        <f ca="1">'Financial Planning Tool'!EZ101</f>
        <v/>
      </c>
      <c r="P126" s="263"/>
      <c r="Q126" s="263"/>
      <c r="R126" s="263"/>
      <c r="S126" s="263"/>
      <c r="T126" s="263"/>
      <c r="U126" s="263"/>
      <c r="V126" s="161"/>
      <c r="W126" s="264" t="str">
        <f ca="1">'Financial Planning Tool'!FA101</f>
        <v/>
      </c>
      <c r="X126" s="265"/>
      <c r="Y126" s="265"/>
      <c r="Z126" s="265"/>
      <c r="AA126" s="265"/>
      <c r="AB126" s="265"/>
      <c r="AC126" s="265"/>
      <c r="AD126" s="265"/>
      <c r="AE126" s="265"/>
      <c r="AF126" s="266"/>
      <c r="AG126" s="264" t="str">
        <f ca="1">'Financial Planning Tool'!FB101</f>
        <v/>
      </c>
      <c r="AH126" s="265"/>
      <c r="AI126" s="265"/>
      <c r="AJ126" s="265"/>
      <c r="AK126" s="265"/>
      <c r="AL126" s="265"/>
      <c r="AM126" s="265"/>
      <c r="AN126" s="265"/>
      <c r="AO126" s="265"/>
      <c r="AP126" s="266"/>
      <c r="AQ126" s="260" t="str">
        <f ca="1">'Financial Planning Tool'!FC101</f>
        <v/>
      </c>
      <c r="AR126" s="261"/>
      <c r="AS126" s="261"/>
      <c r="AT126" s="261"/>
      <c r="AU126" s="261"/>
      <c r="AV126" s="261"/>
      <c r="AW126" s="261"/>
      <c r="AX126" s="262"/>
      <c r="AY126" s="260" t="str">
        <f ca="1">'Financial Planning Tool'!FD101</f>
        <v/>
      </c>
      <c r="AZ126" s="261"/>
      <c r="BA126" s="261"/>
      <c r="BB126" s="261"/>
      <c r="BC126" s="261"/>
      <c r="BD126" s="261"/>
      <c r="BE126" s="261"/>
      <c r="BF126" s="262"/>
      <c r="BG126" s="267" t="str">
        <f ca="1">IFERROR(ROUND('Financial Planning Tool'!FE101,2),'Financial Planning Tool'!FE101)</f>
        <v/>
      </c>
      <c r="BH126" s="268"/>
      <c r="BI126" s="268"/>
      <c r="BJ126" s="268"/>
      <c r="BK126" s="268"/>
      <c r="BL126" s="268"/>
      <c r="BM126" s="268"/>
      <c r="BN126" s="269"/>
    </row>
    <row r="127" spans="2:66" x14ac:dyDescent="0.25">
      <c r="B127" s="160" t="str">
        <f ca="1">'Financial Planning Tool'!EY102</f>
        <v/>
      </c>
      <c r="C127" s="263"/>
      <c r="D127" s="263"/>
      <c r="E127" s="263"/>
      <c r="F127" s="263"/>
      <c r="G127" s="263"/>
      <c r="H127" s="263"/>
      <c r="I127" s="263"/>
      <c r="J127" s="263"/>
      <c r="K127" s="263"/>
      <c r="L127" s="263"/>
      <c r="M127" s="263"/>
      <c r="N127" s="263"/>
      <c r="O127" s="160" t="str">
        <f ca="1">'Financial Planning Tool'!EZ102</f>
        <v/>
      </c>
      <c r="P127" s="263"/>
      <c r="Q127" s="263"/>
      <c r="R127" s="263"/>
      <c r="S127" s="263"/>
      <c r="T127" s="263"/>
      <c r="U127" s="263"/>
      <c r="V127" s="161"/>
      <c r="W127" s="264" t="str">
        <f ca="1">'Financial Planning Tool'!FA102</f>
        <v/>
      </c>
      <c r="X127" s="265"/>
      <c r="Y127" s="265"/>
      <c r="Z127" s="265"/>
      <c r="AA127" s="265"/>
      <c r="AB127" s="265"/>
      <c r="AC127" s="265"/>
      <c r="AD127" s="265"/>
      <c r="AE127" s="265"/>
      <c r="AF127" s="266"/>
      <c r="AG127" s="264" t="str">
        <f ca="1">'Financial Planning Tool'!FB102</f>
        <v/>
      </c>
      <c r="AH127" s="265"/>
      <c r="AI127" s="265"/>
      <c r="AJ127" s="265"/>
      <c r="AK127" s="265"/>
      <c r="AL127" s="265"/>
      <c r="AM127" s="265"/>
      <c r="AN127" s="265"/>
      <c r="AO127" s="265"/>
      <c r="AP127" s="266"/>
      <c r="AQ127" s="260" t="str">
        <f ca="1">'Financial Planning Tool'!FC102</f>
        <v/>
      </c>
      <c r="AR127" s="261"/>
      <c r="AS127" s="261"/>
      <c r="AT127" s="261"/>
      <c r="AU127" s="261"/>
      <c r="AV127" s="261"/>
      <c r="AW127" s="261"/>
      <c r="AX127" s="262"/>
      <c r="AY127" s="260" t="str">
        <f ca="1">'Financial Planning Tool'!FD102</f>
        <v/>
      </c>
      <c r="AZ127" s="261"/>
      <c r="BA127" s="261"/>
      <c r="BB127" s="261"/>
      <c r="BC127" s="261"/>
      <c r="BD127" s="261"/>
      <c r="BE127" s="261"/>
      <c r="BF127" s="262"/>
      <c r="BG127" s="267" t="str">
        <f ca="1">IFERROR(ROUND('Financial Planning Tool'!FE102,2),'Financial Planning Tool'!FE102)</f>
        <v/>
      </c>
      <c r="BH127" s="268"/>
      <c r="BI127" s="268"/>
      <c r="BJ127" s="268"/>
      <c r="BK127" s="268"/>
      <c r="BL127" s="268"/>
      <c r="BM127" s="268"/>
      <c r="BN127" s="269"/>
    </row>
    <row r="128" spans="2:66" x14ac:dyDescent="0.25">
      <c r="B128" s="160" t="str">
        <f ca="1">'Financial Planning Tool'!EY103</f>
        <v/>
      </c>
      <c r="C128" s="263"/>
      <c r="D128" s="263"/>
      <c r="E128" s="263"/>
      <c r="F128" s="263"/>
      <c r="G128" s="263"/>
      <c r="H128" s="263"/>
      <c r="I128" s="263"/>
      <c r="J128" s="263"/>
      <c r="K128" s="263"/>
      <c r="L128" s="263"/>
      <c r="M128" s="263"/>
      <c r="N128" s="263"/>
      <c r="O128" s="160" t="str">
        <f ca="1">'Financial Planning Tool'!EZ103</f>
        <v/>
      </c>
      <c r="P128" s="263"/>
      <c r="Q128" s="263"/>
      <c r="R128" s="263"/>
      <c r="S128" s="263"/>
      <c r="T128" s="263"/>
      <c r="U128" s="263"/>
      <c r="V128" s="161"/>
      <c r="W128" s="264" t="str">
        <f ca="1">'Financial Planning Tool'!FA103</f>
        <v/>
      </c>
      <c r="X128" s="265"/>
      <c r="Y128" s="265"/>
      <c r="Z128" s="265"/>
      <c r="AA128" s="265"/>
      <c r="AB128" s="265"/>
      <c r="AC128" s="265"/>
      <c r="AD128" s="265"/>
      <c r="AE128" s="265"/>
      <c r="AF128" s="266"/>
      <c r="AG128" s="264" t="str">
        <f ca="1">'Financial Planning Tool'!FB103</f>
        <v/>
      </c>
      <c r="AH128" s="265"/>
      <c r="AI128" s="265"/>
      <c r="AJ128" s="265"/>
      <c r="AK128" s="265"/>
      <c r="AL128" s="265"/>
      <c r="AM128" s="265"/>
      <c r="AN128" s="265"/>
      <c r="AO128" s="265"/>
      <c r="AP128" s="266"/>
      <c r="AQ128" s="260" t="str">
        <f ca="1">'Financial Planning Tool'!FC103</f>
        <v/>
      </c>
      <c r="AR128" s="261"/>
      <c r="AS128" s="261"/>
      <c r="AT128" s="261"/>
      <c r="AU128" s="261"/>
      <c r="AV128" s="261"/>
      <c r="AW128" s="261"/>
      <c r="AX128" s="262"/>
      <c r="AY128" s="260" t="str">
        <f ca="1">'Financial Planning Tool'!FD103</f>
        <v/>
      </c>
      <c r="AZ128" s="261"/>
      <c r="BA128" s="261"/>
      <c r="BB128" s="261"/>
      <c r="BC128" s="261"/>
      <c r="BD128" s="261"/>
      <c r="BE128" s="261"/>
      <c r="BF128" s="262"/>
      <c r="BG128" s="267" t="str">
        <f ca="1">IFERROR(ROUND('Financial Planning Tool'!FE103,2),'Financial Planning Tool'!FE103)</f>
        <v/>
      </c>
      <c r="BH128" s="268"/>
      <c r="BI128" s="268"/>
      <c r="BJ128" s="268"/>
      <c r="BK128" s="268"/>
      <c r="BL128" s="268"/>
      <c r="BM128" s="268"/>
      <c r="BN128" s="269"/>
    </row>
    <row r="129" spans="2:66" x14ac:dyDescent="0.25">
      <c r="B129" s="160" t="str">
        <f ca="1">'Financial Planning Tool'!EY104</f>
        <v/>
      </c>
      <c r="C129" s="263"/>
      <c r="D129" s="263"/>
      <c r="E129" s="263"/>
      <c r="F129" s="263"/>
      <c r="G129" s="263"/>
      <c r="H129" s="263"/>
      <c r="I129" s="263"/>
      <c r="J129" s="263"/>
      <c r="K129" s="263"/>
      <c r="L129" s="263"/>
      <c r="M129" s="263"/>
      <c r="N129" s="263"/>
      <c r="O129" s="160" t="str">
        <f ca="1">'Financial Planning Tool'!EZ104</f>
        <v/>
      </c>
      <c r="P129" s="263"/>
      <c r="Q129" s="263"/>
      <c r="R129" s="263"/>
      <c r="S129" s="263"/>
      <c r="T129" s="263"/>
      <c r="U129" s="263"/>
      <c r="V129" s="161"/>
      <c r="W129" s="264" t="str">
        <f ca="1">'Financial Planning Tool'!FA104</f>
        <v/>
      </c>
      <c r="X129" s="265"/>
      <c r="Y129" s="265"/>
      <c r="Z129" s="265"/>
      <c r="AA129" s="265"/>
      <c r="AB129" s="265"/>
      <c r="AC129" s="265"/>
      <c r="AD129" s="265"/>
      <c r="AE129" s="265"/>
      <c r="AF129" s="266"/>
      <c r="AG129" s="264" t="str">
        <f ca="1">'Financial Planning Tool'!FB104</f>
        <v/>
      </c>
      <c r="AH129" s="265"/>
      <c r="AI129" s="265"/>
      <c r="AJ129" s="265"/>
      <c r="AK129" s="265"/>
      <c r="AL129" s="265"/>
      <c r="AM129" s="265"/>
      <c r="AN129" s="265"/>
      <c r="AO129" s="265"/>
      <c r="AP129" s="266"/>
      <c r="AQ129" s="260" t="str">
        <f ca="1">'Financial Planning Tool'!FC104</f>
        <v/>
      </c>
      <c r="AR129" s="261"/>
      <c r="AS129" s="261"/>
      <c r="AT129" s="261"/>
      <c r="AU129" s="261"/>
      <c r="AV129" s="261"/>
      <c r="AW129" s="261"/>
      <c r="AX129" s="262"/>
      <c r="AY129" s="260" t="str">
        <f ca="1">'Financial Planning Tool'!FD104</f>
        <v/>
      </c>
      <c r="AZ129" s="261"/>
      <c r="BA129" s="261"/>
      <c r="BB129" s="261"/>
      <c r="BC129" s="261"/>
      <c r="BD129" s="261"/>
      <c r="BE129" s="261"/>
      <c r="BF129" s="262"/>
      <c r="BG129" s="267" t="str">
        <f ca="1">IFERROR(ROUND('Financial Planning Tool'!FE104,2),'Financial Planning Tool'!FE104)</f>
        <v/>
      </c>
      <c r="BH129" s="268"/>
      <c r="BI129" s="268"/>
      <c r="BJ129" s="268"/>
      <c r="BK129" s="268"/>
      <c r="BL129" s="268"/>
      <c r="BM129" s="268"/>
      <c r="BN129" s="269"/>
    </row>
    <row r="130" spans="2:66" x14ac:dyDescent="0.25">
      <c r="B130" s="160" t="str">
        <f ca="1">'Financial Planning Tool'!EY105</f>
        <v/>
      </c>
      <c r="C130" s="263"/>
      <c r="D130" s="263"/>
      <c r="E130" s="263"/>
      <c r="F130" s="263"/>
      <c r="G130" s="263"/>
      <c r="H130" s="263"/>
      <c r="I130" s="263"/>
      <c r="J130" s="263"/>
      <c r="K130" s="263"/>
      <c r="L130" s="263"/>
      <c r="M130" s="263"/>
      <c r="N130" s="263"/>
      <c r="O130" s="160" t="str">
        <f ca="1">'Financial Planning Tool'!EZ105</f>
        <v/>
      </c>
      <c r="P130" s="263"/>
      <c r="Q130" s="263"/>
      <c r="R130" s="263"/>
      <c r="S130" s="263"/>
      <c r="T130" s="263"/>
      <c r="U130" s="263"/>
      <c r="V130" s="161"/>
      <c r="W130" s="264" t="str">
        <f ca="1">'Financial Planning Tool'!FA105</f>
        <v/>
      </c>
      <c r="X130" s="265"/>
      <c r="Y130" s="265"/>
      <c r="Z130" s="265"/>
      <c r="AA130" s="265"/>
      <c r="AB130" s="265"/>
      <c r="AC130" s="265"/>
      <c r="AD130" s="265"/>
      <c r="AE130" s="265"/>
      <c r="AF130" s="266"/>
      <c r="AG130" s="264" t="str">
        <f ca="1">'Financial Planning Tool'!FB105</f>
        <v/>
      </c>
      <c r="AH130" s="265"/>
      <c r="AI130" s="265"/>
      <c r="AJ130" s="265"/>
      <c r="AK130" s="265"/>
      <c r="AL130" s="265"/>
      <c r="AM130" s="265"/>
      <c r="AN130" s="265"/>
      <c r="AO130" s="265"/>
      <c r="AP130" s="266"/>
      <c r="AQ130" s="260" t="str">
        <f ca="1">'Financial Planning Tool'!FC105</f>
        <v/>
      </c>
      <c r="AR130" s="261"/>
      <c r="AS130" s="261"/>
      <c r="AT130" s="261"/>
      <c r="AU130" s="261"/>
      <c r="AV130" s="261"/>
      <c r="AW130" s="261"/>
      <c r="AX130" s="262"/>
      <c r="AY130" s="260" t="str">
        <f ca="1">'Financial Planning Tool'!FD105</f>
        <v/>
      </c>
      <c r="AZ130" s="261"/>
      <c r="BA130" s="261"/>
      <c r="BB130" s="261"/>
      <c r="BC130" s="261"/>
      <c r="BD130" s="261"/>
      <c r="BE130" s="261"/>
      <c r="BF130" s="262"/>
      <c r="BG130" s="267" t="str">
        <f ca="1">IFERROR(ROUND('Financial Planning Tool'!FE105,2),'Financial Planning Tool'!FE105)</f>
        <v/>
      </c>
      <c r="BH130" s="268"/>
      <c r="BI130" s="268"/>
      <c r="BJ130" s="268"/>
      <c r="BK130" s="268"/>
      <c r="BL130" s="268"/>
      <c r="BM130" s="268"/>
      <c r="BN130" s="269"/>
    </row>
    <row r="131" spans="2:66" x14ac:dyDescent="0.25">
      <c r="B131" s="160" t="str">
        <f ca="1">'Financial Planning Tool'!EY106</f>
        <v/>
      </c>
      <c r="C131" s="263"/>
      <c r="D131" s="263"/>
      <c r="E131" s="263"/>
      <c r="F131" s="263"/>
      <c r="G131" s="263"/>
      <c r="H131" s="263"/>
      <c r="I131" s="263"/>
      <c r="J131" s="263"/>
      <c r="K131" s="263"/>
      <c r="L131" s="263"/>
      <c r="M131" s="263"/>
      <c r="N131" s="263"/>
      <c r="O131" s="160" t="str">
        <f ca="1">'Financial Planning Tool'!EZ106</f>
        <v/>
      </c>
      <c r="P131" s="263"/>
      <c r="Q131" s="263"/>
      <c r="R131" s="263"/>
      <c r="S131" s="263"/>
      <c r="T131" s="263"/>
      <c r="U131" s="263"/>
      <c r="V131" s="161"/>
      <c r="W131" s="264" t="str">
        <f ca="1">'Financial Planning Tool'!FA106</f>
        <v/>
      </c>
      <c r="X131" s="265"/>
      <c r="Y131" s="265"/>
      <c r="Z131" s="265"/>
      <c r="AA131" s="265"/>
      <c r="AB131" s="265"/>
      <c r="AC131" s="265"/>
      <c r="AD131" s="265"/>
      <c r="AE131" s="265"/>
      <c r="AF131" s="266"/>
      <c r="AG131" s="264" t="str">
        <f ca="1">'Financial Planning Tool'!FB106</f>
        <v/>
      </c>
      <c r="AH131" s="265"/>
      <c r="AI131" s="265"/>
      <c r="AJ131" s="265"/>
      <c r="AK131" s="265"/>
      <c r="AL131" s="265"/>
      <c r="AM131" s="265"/>
      <c r="AN131" s="265"/>
      <c r="AO131" s="265"/>
      <c r="AP131" s="266"/>
      <c r="AQ131" s="260" t="str">
        <f ca="1">'Financial Planning Tool'!FC106</f>
        <v/>
      </c>
      <c r="AR131" s="261"/>
      <c r="AS131" s="261"/>
      <c r="AT131" s="261"/>
      <c r="AU131" s="261"/>
      <c r="AV131" s="261"/>
      <c r="AW131" s="261"/>
      <c r="AX131" s="262"/>
      <c r="AY131" s="260" t="str">
        <f ca="1">'Financial Planning Tool'!FD106</f>
        <v/>
      </c>
      <c r="AZ131" s="261"/>
      <c r="BA131" s="261"/>
      <c r="BB131" s="261"/>
      <c r="BC131" s="261"/>
      <c r="BD131" s="261"/>
      <c r="BE131" s="261"/>
      <c r="BF131" s="262"/>
      <c r="BG131" s="267" t="str">
        <f ca="1">IFERROR(ROUND('Financial Planning Tool'!FE106,2),'Financial Planning Tool'!FE106)</f>
        <v/>
      </c>
      <c r="BH131" s="268"/>
      <c r="BI131" s="268"/>
      <c r="BJ131" s="268"/>
      <c r="BK131" s="268"/>
      <c r="BL131" s="268"/>
      <c r="BM131" s="268"/>
      <c r="BN131" s="269"/>
    </row>
    <row r="132" spans="2:66" x14ac:dyDescent="0.25">
      <c r="B132" s="160" t="str">
        <f ca="1">'Financial Planning Tool'!EY107</f>
        <v/>
      </c>
      <c r="C132" s="263"/>
      <c r="D132" s="263"/>
      <c r="E132" s="263"/>
      <c r="F132" s="263"/>
      <c r="G132" s="263"/>
      <c r="H132" s="263"/>
      <c r="I132" s="263"/>
      <c r="J132" s="263"/>
      <c r="K132" s="263"/>
      <c r="L132" s="263"/>
      <c r="M132" s="263"/>
      <c r="N132" s="263"/>
      <c r="O132" s="160" t="str">
        <f ca="1">'Financial Planning Tool'!EZ107</f>
        <v/>
      </c>
      <c r="P132" s="263"/>
      <c r="Q132" s="263"/>
      <c r="R132" s="263"/>
      <c r="S132" s="263"/>
      <c r="T132" s="263"/>
      <c r="U132" s="263"/>
      <c r="V132" s="161"/>
      <c r="W132" s="264" t="str">
        <f ca="1">'Financial Planning Tool'!FA107</f>
        <v/>
      </c>
      <c r="X132" s="265"/>
      <c r="Y132" s="265"/>
      <c r="Z132" s="265"/>
      <c r="AA132" s="265"/>
      <c r="AB132" s="265"/>
      <c r="AC132" s="265"/>
      <c r="AD132" s="265"/>
      <c r="AE132" s="265"/>
      <c r="AF132" s="266"/>
      <c r="AG132" s="264" t="str">
        <f ca="1">'Financial Planning Tool'!FB107</f>
        <v/>
      </c>
      <c r="AH132" s="265"/>
      <c r="AI132" s="265"/>
      <c r="AJ132" s="265"/>
      <c r="AK132" s="265"/>
      <c r="AL132" s="265"/>
      <c r="AM132" s="265"/>
      <c r="AN132" s="265"/>
      <c r="AO132" s="265"/>
      <c r="AP132" s="266"/>
      <c r="AQ132" s="260" t="str">
        <f ca="1">'Financial Planning Tool'!FC107</f>
        <v/>
      </c>
      <c r="AR132" s="261"/>
      <c r="AS132" s="261"/>
      <c r="AT132" s="261"/>
      <c r="AU132" s="261"/>
      <c r="AV132" s="261"/>
      <c r="AW132" s="261"/>
      <c r="AX132" s="262"/>
      <c r="AY132" s="260" t="str">
        <f ca="1">'Financial Planning Tool'!FD107</f>
        <v/>
      </c>
      <c r="AZ132" s="261"/>
      <c r="BA132" s="261"/>
      <c r="BB132" s="261"/>
      <c r="BC132" s="261"/>
      <c r="BD132" s="261"/>
      <c r="BE132" s="261"/>
      <c r="BF132" s="262"/>
      <c r="BG132" s="267" t="str">
        <f ca="1">IFERROR(ROUND('Financial Planning Tool'!FE107,2),'Financial Planning Tool'!FE107)</f>
        <v/>
      </c>
      <c r="BH132" s="268"/>
      <c r="BI132" s="268"/>
      <c r="BJ132" s="268"/>
      <c r="BK132" s="268"/>
      <c r="BL132" s="268"/>
      <c r="BM132" s="268"/>
      <c r="BN132" s="269"/>
    </row>
    <row r="133" spans="2:66" x14ac:dyDescent="0.25">
      <c r="B133" s="160" t="str">
        <f ca="1">'Financial Planning Tool'!EY108</f>
        <v/>
      </c>
      <c r="C133" s="263"/>
      <c r="D133" s="263"/>
      <c r="E133" s="263"/>
      <c r="F133" s="263"/>
      <c r="G133" s="263"/>
      <c r="H133" s="263"/>
      <c r="I133" s="263"/>
      <c r="J133" s="263"/>
      <c r="K133" s="263"/>
      <c r="L133" s="263"/>
      <c r="M133" s="263"/>
      <c r="N133" s="263"/>
      <c r="O133" s="160" t="str">
        <f ca="1">'Financial Planning Tool'!EZ108</f>
        <v/>
      </c>
      <c r="P133" s="263"/>
      <c r="Q133" s="263"/>
      <c r="R133" s="263"/>
      <c r="S133" s="263"/>
      <c r="T133" s="263"/>
      <c r="U133" s="263"/>
      <c r="V133" s="161"/>
      <c r="W133" s="264" t="str">
        <f ca="1">'Financial Planning Tool'!FA108</f>
        <v/>
      </c>
      <c r="X133" s="265"/>
      <c r="Y133" s="265"/>
      <c r="Z133" s="265"/>
      <c r="AA133" s="265"/>
      <c r="AB133" s="265"/>
      <c r="AC133" s="265"/>
      <c r="AD133" s="265"/>
      <c r="AE133" s="265"/>
      <c r="AF133" s="266"/>
      <c r="AG133" s="264" t="str">
        <f ca="1">'Financial Planning Tool'!FB108</f>
        <v/>
      </c>
      <c r="AH133" s="265"/>
      <c r="AI133" s="265"/>
      <c r="AJ133" s="265"/>
      <c r="AK133" s="265"/>
      <c r="AL133" s="265"/>
      <c r="AM133" s="265"/>
      <c r="AN133" s="265"/>
      <c r="AO133" s="265"/>
      <c r="AP133" s="266"/>
      <c r="AQ133" s="260" t="str">
        <f ca="1">'Financial Planning Tool'!FC108</f>
        <v/>
      </c>
      <c r="AR133" s="261"/>
      <c r="AS133" s="261"/>
      <c r="AT133" s="261"/>
      <c r="AU133" s="261"/>
      <c r="AV133" s="261"/>
      <c r="AW133" s="261"/>
      <c r="AX133" s="262"/>
      <c r="AY133" s="260" t="str">
        <f ca="1">'Financial Planning Tool'!FD108</f>
        <v/>
      </c>
      <c r="AZ133" s="261"/>
      <c r="BA133" s="261"/>
      <c r="BB133" s="261"/>
      <c r="BC133" s="261"/>
      <c r="BD133" s="261"/>
      <c r="BE133" s="261"/>
      <c r="BF133" s="262"/>
      <c r="BG133" s="267" t="str">
        <f ca="1">IFERROR(ROUND('Financial Planning Tool'!FE108,2),'Financial Planning Tool'!FE108)</f>
        <v/>
      </c>
      <c r="BH133" s="268"/>
      <c r="BI133" s="268"/>
      <c r="BJ133" s="268"/>
      <c r="BK133" s="268"/>
      <c r="BL133" s="268"/>
      <c r="BM133" s="268"/>
      <c r="BN133" s="269"/>
    </row>
    <row r="134" spans="2:66" x14ac:dyDescent="0.25">
      <c r="B134" s="160" t="str">
        <f ca="1">'Financial Planning Tool'!EY109</f>
        <v/>
      </c>
      <c r="C134" s="263"/>
      <c r="D134" s="263"/>
      <c r="E134" s="263"/>
      <c r="F134" s="263"/>
      <c r="G134" s="263"/>
      <c r="H134" s="263"/>
      <c r="I134" s="263"/>
      <c r="J134" s="263"/>
      <c r="K134" s="263"/>
      <c r="L134" s="263"/>
      <c r="M134" s="263"/>
      <c r="N134" s="263"/>
      <c r="O134" s="160" t="str">
        <f ca="1">'Financial Planning Tool'!EZ109</f>
        <v/>
      </c>
      <c r="P134" s="263"/>
      <c r="Q134" s="263"/>
      <c r="R134" s="263"/>
      <c r="S134" s="263"/>
      <c r="T134" s="263"/>
      <c r="U134" s="263"/>
      <c r="V134" s="161"/>
      <c r="W134" s="264" t="str">
        <f ca="1">'Financial Planning Tool'!FA109</f>
        <v/>
      </c>
      <c r="X134" s="265"/>
      <c r="Y134" s="265"/>
      <c r="Z134" s="265"/>
      <c r="AA134" s="265"/>
      <c r="AB134" s="265"/>
      <c r="AC134" s="265"/>
      <c r="AD134" s="265"/>
      <c r="AE134" s="265"/>
      <c r="AF134" s="266"/>
      <c r="AG134" s="264" t="str">
        <f ca="1">'Financial Planning Tool'!FB109</f>
        <v/>
      </c>
      <c r="AH134" s="265"/>
      <c r="AI134" s="265"/>
      <c r="AJ134" s="265"/>
      <c r="AK134" s="265"/>
      <c r="AL134" s="265"/>
      <c r="AM134" s="265"/>
      <c r="AN134" s="265"/>
      <c r="AO134" s="265"/>
      <c r="AP134" s="266"/>
      <c r="AQ134" s="260" t="str">
        <f ca="1">'Financial Planning Tool'!FC109</f>
        <v/>
      </c>
      <c r="AR134" s="261"/>
      <c r="AS134" s="261"/>
      <c r="AT134" s="261"/>
      <c r="AU134" s="261"/>
      <c r="AV134" s="261"/>
      <c r="AW134" s="261"/>
      <c r="AX134" s="262"/>
      <c r="AY134" s="260" t="str">
        <f ca="1">'Financial Planning Tool'!FD109</f>
        <v/>
      </c>
      <c r="AZ134" s="261"/>
      <c r="BA134" s="261"/>
      <c r="BB134" s="261"/>
      <c r="BC134" s="261"/>
      <c r="BD134" s="261"/>
      <c r="BE134" s="261"/>
      <c r="BF134" s="262"/>
      <c r="BG134" s="267" t="str">
        <f ca="1">IFERROR(ROUND('Financial Planning Tool'!FE109,2),'Financial Planning Tool'!FE109)</f>
        <v/>
      </c>
      <c r="BH134" s="268"/>
      <c r="BI134" s="268"/>
      <c r="BJ134" s="268"/>
      <c r="BK134" s="268"/>
      <c r="BL134" s="268"/>
      <c r="BM134" s="268"/>
      <c r="BN134" s="269"/>
    </row>
    <row r="135" spans="2:66" x14ac:dyDescent="0.25">
      <c r="B135" s="160" t="str">
        <f ca="1">'Financial Planning Tool'!EY110</f>
        <v/>
      </c>
      <c r="C135" s="263"/>
      <c r="D135" s="263"/>
      <c r="E135" s="263"/>
      <c r="F135" s="263"/>
      <c r="G135" s="263"/>
      <c r="H135" s="263"/>
      <c r="I135" s="263"/>
      <c r="J135" s="263"/>
      <c r="K135" s="263"/>
      <c r="L135" s="263"/>
      <c r="M135" s="263"/>
      <c r="N135" s="263"/>
      <c r="O135" s="160" t="str">
        <f ca="1">'Financial Planning Tool'!EZ110</f>
        <v/>
      </c>
      <c r="P135" s="263"/>
      <c r="Q135" s="263"/>
      <c r="R135" s="263"/>
      <c r="S135" s="263"/>
      <c r="T135" s="263"/>
      <c r="U135" s="263"/>
      <c r="V135" s="161"/>
      <c r="W135" s="264" t="str">
        <f ca="1">'Financial Planning Tool'!FA110</f>
        <v/>
      </c>
      <c r="X135" s="265"/>
      <c r="Y135" s="265"/>
      <c r="Z135" s="265"/>
      <c r="AA135" s="265"/>
      <c r="AB135" s="265"/>
      <c r="AC135" s="265"/>
      <c r="AD135" s="265"/>
      <c r="AE135" s="265"/>
      <c r="AF135" s="266"/>
      <c r="AG135" s="264" t="str">
        <f ca="1">'Financial Planning Tool'!FB110</f>
        <v/>
      </c>
      <c r="AH135" s="265"/>
      <c r="AI135" s="265"/>
      <c r="AJ135" s="265"/>
      <c r="AK135" s="265"/>
      <c r="AL135" s="265"/>
      <c r="AM135" s="265"/>
      <c r="AN135" s="265"/>
      <c r="AO135" s="265"/>
      <c r="AP135" s="266"/>
      <c r="AQ135" s="260" t="str">
        <f ca="1">'Financial Planning Tool'!FC110</f>
        <v/>
      </c>
      <c r="AR135" s="261"/>
      <c r="AS135" s="261"/>
      <c r="AT135" s="261"/>
      <c r="AU135" s="261"/>
      <c r="AV135" s="261"/>
      <c r="AW135" s="261"/>
      <c r="AX135" s="262"/>
      <c r="AY135" s="260" t="str">
        <f ca="1">'Financial Planning Tool'!FD110</f>
        <v/>
      </c>
      <c r="AZ135" s="261"/>
      <c r="BA135" s="261"/>
      <c r="BB135" s="261"/>
      <c r="BC135" s="261"/>
      <c r="BD135" s="261"/>
      <c r="BE135" s="261"/>
      <c r="BF135" s="262"/>
      <c r="BG135" s="267" t="str">
        <f ca="1">IFERROR(ROUND('Financial Planning Tool'!FE110,2),'Financial Planning Tool'!FE110)</f>
        <v/>
      </c>
      <c r="BH135" s="268"/>
      <c r="BI135" s="268"/>
      <c r="BJ135" s="268"/>
      <c r="BK135" s="268"/>
      <c r="BL135" s="268"/>
      <c r="BM135" s="268"/>
      <c r="BN135" s="269"/>
    </row>
    <row r="136" spans="2:66" x14ac:dyDescent="0.25">
      <c r="B136" s="160" t="str">
        <f ca="1">'Financial Planning Tool'!EY111</f>
        <v/>
      </c>
      <c r="C136" s="263"/>
      <c r="D136" s="263"/>
      <c r="E136" s="263"/>
      <c r="F136" s="263"/>
      <c r="G136" s="263"/>
      <c r="H136" s="263"/>
      <c r="I136" s="263"/>
      <c r="J136" s="263"/>
      <c r="K136" s="263"/>
      <c r="L136" s="263"/>
      <c r="M136" s="263"/>
      <c r="N136" s="263"/>
      <c r="O136" s="160" t="str">
        <f ca="1">'Financial Planning Tool'!EZ111</f>
        <v/>
      </c>
      <c r="P136" s="263"/>
      <c r="Q136" s="263"/>
      <c r="R136" s="263"/>
      <c r="S136" s="263"/>
      <c r="T136" s="263"/>
      <c r="U136" s="263"/>
      <c r="V136" s="161"/>
      <c r="W136" s="264" t="str">
        <f ca="1">'Financial Planning Tool'!FA111</f>
        <v/>
      </c>
      <c r="X136" s="265"/>
      <c r="Y136" s="265"/>
      <c r="Z136" s="265"/>
      <c r="AA136" s="265"/>
      <c r="AB136" s="265"/>
      <c r="AC136" s="265"/>
      <c r="AD136" s="265"/>
      <c r="AE136" s="265"/>
      <c r="AF136" s="266"/>
      <c r="AG136" s="264" t="str">
        <f ca="1">'Financial Planning Tool'!FB111</f>
        <v/>
      </c>
      <c r="AH136" s="265"/>
      <c r="AI136" s="265"/>
      <c r="AJ136" s="265"/>
      <c r="AK136" s="265"/>
      <c r="AL136" s="265"/>
      <c r="AM136" s="265"/>
      <c r="AN136" s="265"/>
      <c r="AO136" s="265"/>
      <c r="AP136" s="266"/>
      <c r="AQ136" s="260" t="str">
        <f ca="1">'Financial Planning Tool'!FC111</f>
        <v/>
      </c>
      <c r="AR136" s="261"/>
      <c r="AS136" s="261"/>
      <c r="AT136" s="261"/>
      <c r="AU136" s="261"/>
      <c r="AV136" s="261"/>
      <c r="AW136" s="261"/>
      <c r="AX136" s="262"/>
      <c r="AY136" s="260" t="str">
        <f ca="1">'Financial Planning Tool'!FD111</f>
        <v/>
      </c>
      <c r="AZ136" s="261"/>
      <c r="BA136" s="261"/>
      <c r="BB136" s="261"/>
      <c r="BC136" s="261"/>
      <c r="BD136" s="261"/>
      <c r="BE136" s="261"/>
      <c r="BF136" s="262"/>
      <c r="BG136" s="267" t="str">
        <f ca="1">IFERROR(ROUND('Financial Planning Tool'!FE111,2),'Financial Planning Tool'!FE111)</f>
        <v/>
      </c>
      <c r="BH136" s="268"/>
      <c r="BI136" s="268"/>
      <c r="BJ136" s="268"/>
      <c r="BK136" s="268"/>
      <c r="BL136" s="268"/>
      <c r="BM136" s="268"/>
      <c r="BN136" s="269"/>
    </row>
    <row r="137" spans="2:66" x14ac:dyDescent="0.25">
      <c r="B137" s="160" t="str">
        <f ca="1">'Financial Planning Tool'!EY112</f>
        <v/>
      </c>
      <c r="C137" s="263"/>
      <c r="D137" s="263"/>
      <c r="E137" s="263"/>
      <c r="F137" s="263"/>
      <c r="G137" s="263"/>
      <c r="H137" s="263"/>
      <c r="I137" s="263"/>
      <c r="J137" s="263"/>
      <c r="K137" s="263"/>
      <c r="L137" s="263"/>
      <c r="M137" s="263"/>
      <c r="N137" s="263"/>
      <c r="O137" s="160" t="str">
        <f ca="1">'Financial Planning Tool'!EZ112</f>
        <v/>
      </c>
      <c r="P137" s="263"/>
      <c r="Q137" s="263"/>
      <c r="R137" s="263"/>
      <c r="S137" s="263"/>
      <c r="T137" s="263"/>
      <c r="U137" s="263"/>
      <c r="V137" s="161"/>
      <c r="W137" s="264" t="str">
        <f ca="1">'Financial Planning Tool'!FA112</f>
        <v/>
      </c>
      <c r="X137" s="265"/>
      <c r="Y137" s="265"/>
      <c r="Z137" s="265"/>
      <c r="AA137" s="265"/>
      <c r="AB137" s="265"/>
      <c r="AC137" s="265"/>
      <c r="AD137" s="265"/>
      <c r="AE137" s="265"/>
      <c r="AF137" s="266"/>
      <c r="AG137" s="264" t="str">
        <f ca="1">'Financial Planning Tool'!FB112</f>
        <v/>
      </c>
      <c r="AH137" s="265"/>
      <c r="AI137" s="265"/>
      <c r="AJ137" s="265"/>
      <c r="AK137" s="265"/>
      <c r="AL137" s="265"/>
      <c r="AM137" s="265"/>
      <c r="AN137" s="265"/>
      <c r="AO137" s="265"/>
      <c r="AP137" s="266"/>
      <c r="AQ137" s="260" t="str">
        <f ca="1">'Financial Planning Tool'!FC112</f>
        <v/>
      </c>
      <c r="AR137" s="261"/>
      <c r="AS137" s="261"/>
      <c r="AT137" s="261"/>
      <c r="AU137" s="261"/>
      <c r="AV137" s="261"/>
      <c r="AW137" s="261"/>
      <c r="AX137" s="262"/>
      <c r="AY137" s="260" t="str">
        <f ca="1">'Financial Planning Tool'!FD112</f>
        <v/>
      </c>
      <c r="AZ137" s="261"/>
      <c r="BA137" s="261"/>
      <c r="BB137" s="261"/>
      <c r="BC137" s="261"/>
      <c r="BD137" s="261"/>
      <c r="BE137" s="261"/>
      <c r="BF137" s="262"/>
      <c r="BG137" s="267" t="str">
        <f ca="1">IFERROR(ROUND('Financial Planning Tool'!FE112,2),'Financial Planning Tool'!FE112)</f>
        <v/>
      </c>
      <c r="BH137" s="268"/>
      <c r="BI137" s="268"/>
      <c r="BJ137" s="268"/>
      <c r="BK137" s="268"/>
      <c r="BL137" s="268"/>
      <c r="BM137" s="268"/>
      <c r="BN137" s="269"/>
    </row>
    <row r="138" spans="2:66" x14ac:dyDescent="0.25">
      <c r="B138" s="160" t="str">
        <f ca="1">'Financial Planning Tool'!EY113</f>
        <v/>
      </c>
      <c r="C138" s="263"/>
      <c r="D138" s="263"/>
      <c r="E138" s="263"/>
      <c r="F138" s="263"/>
      <c r="G138" s="263"/>
      <c r="H138" s="263"/>
      <c r="I138" s="263"/>
      <c r="J138" s="263"/>
      <c r="K138" s="263"/>
      <c r="L138" s="263"/>
      <c r="M138" s="263"/>
      <c r="N138" s="263"/>
      <c r="O138" s="160" t="str">
        <f ca="1">'Financial Planning Tool'!EZ113</f>
        <v/>
      </c>
      <c r="P138" s="263"/>
      <c r="Q138" s="263"/>
      <c r="R138" s="263"/>
      <c r="S138" s="263"/>
      <c r="T138" s="263"/>
      <c r="U138" s="263"/>
      <c r="V138" s="161"/>
      <c r="W138" s="264" t="str">
        <f ca="1">'Financial Planning Tool'!FA113</f>
        <v/>
      </c>
      <c r="X138" s="265"/>
      <c r="Y138" s="265"/>
      <c r="Z138" s="265"/>
      <c r="AA138" s="265"/>
      <c r="AB138" s="265"/>
      <c r="AC138" s="265"/>
      <c r="AD138" s="265"/>
      <c r="AE138" s="265"/>
      <c r="AF138" s="266"/>
      <c r="AG138" s="264" t="str">
        <f ca="1">'Financial Planning Tool'!FB113</f>
        <v/>
      </c>
      <c r="AH138" s="265"/>
      <c r="AI138" s="265"/>
      <c r="AJ138" s="265"/>
      <c r="AK138" s="265"/>
      <c r="AL138" s="265"/>
      <c r="AM138" s="265"/>
      <c r="AN138" s="265"/>
      <c r="AO138" s="265"/>
      <c r="AP138" s="266"/>
      <c r="AQ138" s="260" t="str">
        <f ca="1">'Financial Planning Tool'!FC113</f>
        <v/>
      </c>
      <c r="AR138" s="261"/>
      <c r="AS138" s="261"/>
      <c r="AT138" s="261"/>
      <c r="AU138" s="261"/>
      <c r="AV138" s="261"/>
      <c r="AW138" s="261"/>
      <c r="AX138" s="262"/>
      <c r="AY138" s="260" t="str">
        <f ca="1">'Financial Planning Tool'!FD113</f>
        <v/>
      </c>
      <c r="AZ138" s="261"/>
      <c r="BA138" s="261"/>
      <c r="BB138" s="261"/>
      <c r="BC138" s="261"/>
      <c r="BD138" s="261"/>
      <c r="BE138" s="261"/>
      <c r="BF138" s="262"/>
      <c r="BG138" s="267" t="str">
        <f ca="1">IFERROR(ROUND('Financial Planning Tool'!FE113,2),'Financial Planning Tool'!FE113)</f>
        <v/>
      </c>
      <c r="BH138" s="268"/>
      <c r="BI138" s="268"/>
      <c r="BJ138" s="268"/>
      <c r="BK138" s="268"/>
      <c r="BL138" s="268"/>
      <c r="BM138" s="268"/>
      <c r="BN138" s="269"/>
    </row>
    <row r="139" spans="2:66" x14ac:dyDescent="0.25">
      <c r="B139" s="160" t="str">
        <f ca="1">'Financial Planning Tool'!EY114</f>
        <v/>
      </c>
      <c r="C139" s="263"/>
      <c r="D139" s="263"/>
      <c r="E139" s="263"/>
      <c r="F139" s="263"/>
      <c r="G139" s="263"/>
      <c r="H139" s="263"/>
      <c r="I139" s="263"/>
      <c r="J139" s="263"/>
      <c r="K139" s="263"/>
      <c r="L139" s="263"/>
      <c r="M139" s="263"/>
      <c r="N139" s="263"/>
      <c r="O139" s="160" t="str">
        <f ca="1">'Financial Planning Tool'!EZ114</f>
        <v/>
      </c>
      <c r="P139" s="263"/>
      <c r="Q139" s="263"/>
      <c r="R139" s="263"/>
      <c r="S139" s="263"/>
      <c r="T139" s="263"/>
      <c r="U139" s="263"/>
      <c r="V139" s="161"/>
      <c r="W139" s="264" t="str">
        <f ca="1">'Financial Planning Tool'!FA114</f>
        <v/>
      </c>
      <c r="X139" s="265"/>
      <c r="Y139" s="265"/>
      <c r="Z139" s="265"/>
      <c r="AA139" s="265"/>
      <c r="AB139" s="265"/>
      <c r="AC139" s="265"/>
      <c r="AD139" s="265"/>
      <c r="AE139" s="265"/>
      <c r="AF139" s="266"/>
      <c r="AG139" s="264" t="str">
        <f ca="1">'Financial Planning Tool'!FB114</f>
        <v/>
      </c>
      <c r="AH139" s="265"/>
      <c r="AI139" s="265"/>
      <c r="AJ139" s="265"/>
      <c r="AK139" s="265"/>
      <c r="AL139" s="265"/>
      <c r="AM139" s="265"/>
      <c r="AN139" s="265"/>
      <c r="AO139" s="265"/>
      <c r="AP139" s="266"/>
      <c r="AQ139" s="260" t="str">
        <f ca="1">'Financial Planning Tool'!FC114</f>
        <v/>
      </c>
      <c r="AR139" s="261"/>
      <c r="AS139" s="261"/>
      <c r="AT139" s="261"/>
      <c r="AU139" s="261"/>
      <c r="AV139" s="261"/>
      <c r="AW139" s="261"/>
      <c r="AX139" s="262"/>
      <c r="AY139" s="260" t="str">
        <f ca="1">'Financial Planning Tool'!FD114</f>
        <v/>
      </c>
      <c r="AZ139" s="261"/>
      <c r="BA139" s="261"/>
      <c r="BB139" s="261"/>
      <c r="BC139" s="261"/>
      <c r="BD139" s="261"/>
      <c r="BE139" s="261"/>
      <c r="BF139" s="262"/>
      <c r="BG139" s="267" t="str">
        <f ca="1">IFERROR(ROUND('Financial Planning Tool'!FE114,2),'Financial Planning Tool'!FE114)</f>
        <v/>
      </c>
      <c r="BH139" s="268"/>
      <c r="BI139" s="268"/>
      <c r="BJ139" s="268"/>
      <c r="BK139" s="268"/>
      <c r="BL139" s="268"/>
      <c r="BM139" s="268"/>
      <c r="BN139" s="269"/>
    </row>
    <row r="140" spans="2:66" x14ac:dyDescent="0.25">
      <c r="B140" s="160" t="str">
        <f ca="1">'Financial Planning Tool'!EY115</f>
        <v/>
      </c>
      <c r="C140" s="263"/>
      <c r="D140" s="263"/>
      <c r="E140" s="263"/>
      <c r="F140" s="263"/>
      <c r="G140" s="263"/>
      <c r="H140" s="263"/>
      <c r="I140" s="263"/>
      <c r="J140" s="263"/>
      <c r="K140" s="263"/>
      <c r="L140" s="263"/>
      <c r="M140" s="263"/>
      <c r="N140" s="263"/>
      <c r="O140" s="160" t="str">
        <f ca="1">'Financial Planning Tool'!EZ115</f>
        <v/>
      </c>
      <c r="P140" s="263"/>
      <c r="Q140" s="263"/>
      <c r="R140" s="263"/>
      <c r="S140" s="263"/>
      <c r="T140" s="263"/>
      <c r="U140" s="263"/>
      <c r="V140" s="161"/>
      <c r="W140" s="264" t="str">
        <f ca="1">'Financial Planning Tool'!FA115</f>
        <v/>
      </c>
      <c r="X140" s="265"/>
      <c r="Y140" s="265"/>
      <c r="Z140" s="265"/>
      <c r="AA140" s="265"/>
      <c r="AB140" s="265"/>
      <c r="AC140" s="265"/>
      <c r="AD140" s="265"/>
      <c r="AE140" s="265"/>
      <c r="AF140" s="266"/>
      <c r="AG140" s="264" t="str">
        <f ca="1">'Financial Planning Tool'!FB115</f>
        <v/>
      </c>
      <c r="AH140" s="265"/>
      <c r="AI140" s="265"/>
      <c r="AJ140" s="265"/>
      <c r="AK140" s="265"/>
      <c r="AL140" s="265"/>
      <c r="AM140" s="265"/>
      <c r="AN140" s="265"/>
      <c r="AO140" s="265"/>
      <c r="AP140" s="266"/>
      <c r="AQ140" s="260" t="str">
        <f ca="1">'Financial Planning Tool'!FC115</f>
        <v/>
      </c>
      <c r="AR140" s="261"/>
      <c r="AS140" s="261"/>
      <c r="AT140" s="261"/>
      <c r="AU140" s="261"/>
      <c r="AV140" s="261"/>
      <c r="AW140" s="261"/>
      <c r="AX140" s="262"/>
      <c r="AY140" s="260" t="str">
        <f ca="1">'Financial Planning Tool'!FD115</f>
        <v/>
      </c>
      <c r="AZ140" s="261"/>
      <c r="BA140" s="261"/>
      <c r="BB140" s="261"/>
      <c r="BC140" s="261"/>
      <c r="BD140" s="261"/>
      <c r="BE140" s="261"/>
      <c r="BF140" s="262"/>
      <c r="BG140" s="267" t="str">
        <f ca="1">IFERROR(ROUND('Financial Planning Tool'!FE115,2),'Financial Planning Tool'!FE115)</f>
        <v/>
      </c>
      <c r="BH140" s="268"/>
      <c r="BI140" s="268"/>
      <c r="BJ140" s="268"/>
      <c r="BK140" s="268"/>
      <c r="BL140" s="268"/>
      <c r="BM140" s="268"/>
      <c r="BN140" s="269"/>
    </row>
    <row r="141" spans="2:66" x14ac:dyDescent="0.25">
      <c r="B141" s="160" t="str">
        <f ca="1">'Financial Planning Tool'!EY116</f>
        <v/>
      </c>
      <c r="C141" s="263"/>
      <c r="D141" s="263"/>
      <c r="E141" s="263"/>
      <c r="F141" s="263"/>
      <c r="G141" s="263"/>
      <c r="H141" s="263"/>
      <c r="I141" s="263"/>
      <c r="J141" s="263"/>
      <c r="K141" s="263"/>
      <c r="L141" s="263"/>
      <c r="M141" s="263"/>
      <c r="N141" s="263"/>
      <c r="O141" s="160" t="str">
        <f ca="1">'Financial Planning Tool'!EZ116</f>
        <v/>
      </c>
      <c r="P141" s="263"/>
      <c r="Q141" s="263"/>
      <c r="R141" s="263"/>
      <c r="S141" s="263"/>
      <c r="T141" s="263"/>
      <c r="U141" s="263"/>
      <c r="V141" s="161"/>
      <c r="W141" s="264" t="str">
        <f ca="1">'Financial Planning Tool'!FA116</f>
        <v/>
      </c>
      <c r="X141" s="265"/>
      <c r="Y141" s="265"/>
      <c r="Z141" s="265"/>
      <c r="AA141" s="265"/>
      <c r="AB141" s="265"/>
      <c r="AC141" s="265"/>
      <c r="AD141" s="265"/>
      <c r="AE141" s="265"/>
      <c r="AF141" s="266"/>
      <c r="AG141" s="264" t="str">
        <f ca="1">'Financial Planning Tool'!FB116</f>
        <v/>
      </c>
      <c r="AH141" s="265"/>
      <c r="AI141" s="265"/>
      <c r="AJ141" s="265"/>
      <c r="AK141" s="265"/>
      <c r="AL141" s="265"/>
      <c r="AM141" s="265"/>
      <c r="AN141" s="265"/>
      <c r="AO141" s="265"/>
      <c r="AP141" s="266"/>
      <c r="AQ141" s="260" t="str">
        <f ca="1">'Financial Planning Tool'!FC116</f>
        <v/>
      </c>
      <c r="AR141" s="261"/>
      <c r="AS141" s="261"/>
      <c r="AT141" s="261"/>
      <c r="AU141" s="261"/>
      <c r="AV141" s="261"/>
      <c r="AW141" s="261"/>
      <c r="AX141" s="262"/>
      <c r="AY141" s="260" t="str">
        <f ca="1">'Financial Planning Tool'!FD116</f>
        <v/>
      </c>
      <c r="AZ141" s="261"/>
      <c r="BA141" s="261"/>
      <c r="BB141" s="261"/>
      <c r="BC141" s="261"/>
      <c r="BD141" s="261"/>
      <c r="BE141" s="261"/>
      <c r="BF141" s="262"/>
      <c r="BG141" s="267" t="str">
        <f ca="1">IFERROR(ROUND('Financial Planning Tool'!FE116,2),'Financial Planning Tool'!FE116)</f>
        <v/>
      </c>
      <c r="BH141" s="268"/>
      <c r="BI141" s="268"/>
      <c r="BJ141" s="268"/>
      <c r="BK141" s="268"/>
      <c r="BL141" s="268"/>
      <c r="BM141" s="268"/>
      <c r="BN141" s="269"/>
    </row>
    <row r="142" spans="2:66" x14ac:dyDescent="0.25">
      <c r="B142" s="160" t="str">
        <f ca="1">'Financial Planning Tool'!EY117</f>
        <v/>
      </c>
      <c r="C142" s="263"/>
      <c r="D142" s="263"/>
      <c r="E142" s="263"/>
      <c r="F142" s="263"/>
      <c r="G142" s="263"/>
      <c r="H142" s="263"/>
      <c r="I142" s="263"/>
      <c r="J142" s="263"/>
      <c r="K142" s="263"/>
      <c r="L142" s="263"/>
      <c r="M142" s="263"/>
      <c r="N142" s="263"/>
      <c r="O142" s="160" t="str">
        <f ca="1">'Financial Planning Tool'!EZ117</f>
        <v/>
      </c>
      <c r="P142" s="263"/>
      <c r="Q142" s="263"/>
      <c r="R142" s="263"/>
      <c r="S142" s="263"/>
      <c r="T142" s="263"/>
      <c r="U142" s="263"/>
      <c r="V142" s="161"/>
      <c r="W142" s="264" t="str">
        <f ca="1">'Financial Planning Tool'!FA117</f>
        <v/>
      </c>
      <c r="X142" s="265"/>
      <c r="Y142" s="265"/>
      <c r="Z142" s="265"/>
      <c r="AA142" s="265"/>
      <c r="AB142" s="265"/>
      <c r="AC142" s="265"/>
      <c r="AD142" s="265"/>
      <c r="AE142" s="265"/>
      <c r="AF142" s="266"/>
      <c r="AG142" s="264" t="str">
        <f ca="1">'Financial Planning Tool'!FB117</f>
        <v/>
      </c>
      <c r="AH142" s="265"/>
      <c r="AI142" s="265"/>
      <c r="AJ142" s="265"/>
      <c r="AK142" s="265"/>
      <c r="AL142" s="265"/>
      <c r="AM142" s="265"/>
      <c r="AN142" s="265"/>
      <c r="AO142" s="265"/>
      <c r="AP142" s="266"/>
      <c r="AQ142" s="260" t="str">
        <f ca="1">'Financial Planning Tool'!FC117</f>
        <v/>
      </c>
      <c r="AR142" s="261"/>
      <c r="AS142" s="261"/>
      <c r="AT142" s="261"/>
      <c r="AU142" s="261"/>
      <c r="AV142" s="261"/>
      <c r="AW142" s="261"/>
      <c r="AX142" s="262"/>
      <c r="AY142" s="260" t="str">
        <f ca="1">'Financial Planning Tool'!FD117</f>
        <v/>
      </c>
      <c r="AZ142" s="261"/>
      <c r="BA142" s="261"/>
      <c r="BB142" s="261"/>
      <c r="BC142" s="261"/>
      <c r="BD142" s="261"/>
      <c r="BE142" s="261"/>
      <c r="BF142" s="262"/>
      <c r="BG142" s="267" t="str">
        <f ca="1">IFERROR(ROUND('Financial Planning Tool'!FE117,2),'Financial Planning Tool'!FE117)</f>
        <v/>
      </c>
      <c r="BH142" s="268"/>
      <c r="BI142" s="268"/>
      <c r="BJ142" s="268"/>
      <c r="BK142" s="268"/>
      <c r="BL142" s="268"/>
      <c r="BM142" s="268"/>
      <c r="BN142" s="269"/>
    </row>
    <row r="143" spans="2:66" x14ac:dyDescent="0.25">
      <c r="B143" s="160" t="str">
        <f ca="1">'Financial Planning Tool'!EY118</f>
        <v/>
      </c>
      <c r="C143" s="263"/>
      <c r="D143" s="263"/>
      <c r="E143" s="263"/>
      <c r="F143" s="263"/>
      <c r="G143" s="263"/>
      <c r="H143" s="263"/>
      <c r="I143" s="263"/>
      <c r="J143" s="263"/>
      <c r="K143" s="263"/>
      <c r="L143" s="263"/>
      <c r="M143" s="263"/>
      <c r="N143" s="263"/>
      <c r="O143" s="160" t="str">
        <f ca="1">'Financial Planning Tool'!EZ118</f>
        <v/>
      </c>
      <c r="P143" s="263"/>
      <c r="Q143" s="263"/>
      <c r="R143" s="263"/>
      <c r="S143" s="263"/>
      <c r="T143" s="263"/>
      <c r="U143" s="263"/>
      <c r="V143" s="161"/>
      <c r="W143" s="264" t="str">
        <f ca="1">'Financial Planning Tool'!FA118</f>
        <v/>
      </c>
      <c r="X143" s="265"/>
      <c r="Y143" s="265"/>
      <c r="Z143" s="265"/>
      <c r="AA143" s="265"/>
      <c r="AB143" s="265"/>
      <c r="AC143" s="265"/>
      <c r="AD143" s="265"/>
      <c r="AE143" s="265"/>
      <c r="AF143" s="266"/>
      <c r="AG143" s="264" t="str">
        <f ca="1">'Financial Planning Tool'!FB118</f>
        <v/>
      </c>
      <c r="AH143" s="265"/>
      <c r="AI143" s="265"/>
      <c r="AJ143" s="265"/>
      <c r="AK143" s="265"/>
      <c r="AL143" s="265"/>
      <c r="AM143" s="265"/>
      <c r="AN143" s="265"/>
      <c r="AO143" s="265"/>
      <c r="AP143" s="266"/>
      <c r="AQ143" s="260" t="str">
        <f ca="1">'Financial Planning Tool'!FC118</f>
        <v/>
      </c>
      <c r="AR143" s="261"/>
      <c r="AS143" s="261"/>
      <c r="AT143" s="261"/>
      <c r="AU143" s="261"/>
      <c r="AV143" s="261"/>
      <c r="AW143" s="261"/>
      <c r="AX143" s="262"/>
      <c r="AY143" s="260" t="str">
        <f ca="1">'Financial Planning Tool'!FD118</f>
        <v/>
      </c>
      <c r="AZ143" s="261"/>
      <c r="BA143" s="261"/>
      <c r="BB143" s="261"/>
      <c r="BC143" s="261"/>
      <c r="BD143" s="261"/>
      <c r="BE143" s="261"/>
      <c r="BF143" s="262"/>
      <c r="BG143" s="267" t="str">
        <f ca="1">IFERROR(ROUND('Financial Planning Tool'!FE118,2),'Financial Planning Tool'!FE118)</f>
        <v/>
      </c>
      <c r="BH143" s="268"/>
      <c r="BI143" s="268"/>
      <c r="BJ143" s="268"/>
      <c r="BK143" s="268"/>
      <c r="BL143" s="268"/>
      <c r="BM143" s="268"/>
      <c r="BN143" s="269"/>
    </row>
    <row r="144" spans="2:66" x14ac:dyDescent="0.25">
      <c r="B144" s="160" t="str">
        <f ca="1">'Financial Planning Tool'!EY119</f>
        <v/>
      </c>
      <c r="C144" s="263"/>
      <c r="D144" s="263"/>
      <c r="E144" s="263"/>
      <c r="F144" s="263"/>
      <c r="G144" s="263"/>
      <c r="H144" s="263"/>
      <c r="I144" s="263"/>
      <c r="J144" s="263"/>
      <c r="K144" s="263"/>
      <c r="L144" s="263"/>
      <c r="M144" s="263"/>
      <c r="N144" s="263"/>
      <c r="O144" s="160" t="str">
        <f ca="1">'Financial Planning Tool'!EZ119</f>
        <v/>
      </c>
      <c r="P144" s="263"/>
      <c r="Q144" s="263"/>
      <c r="R144" s="263"/>
      <c r="S144" s="263"/>
      <c r="T144" s="263"/>
      <c r="U144" s="263"/>
      <c r="V144" s="161"/>
      <c r="W144" s="264" t="str">
        <f ca="1">'Financial Planning Tool'!FA119</f>
        <v/>
      </c>
      <c r="X144" s="265"/>
      <c r="Y144" s="265"/>
      <c r="Z144" s="265"/>
      <c r="AA144" s="265"/>
      <c r="AB144" s="265"/>
      <c r="AC144" s="265"/>
      <c r="AD144" s="265"/>
      <c r="AE144" s="265"/>
      <c r="AF144" s="266"/>
      <c r="AG144" s="264" t="str">
        <f ca="1">'Financial Planning Tool'!FB119</f>
        <v/>
      </c>
      <c r="AH144" s="265"/>
      <c r="AI144" s="265"/>
      <c r="AJ144" s="265"/>
      <c r="AK144" s="265"/>
      <c r="AL144" s="265"/>
      <c r="AM144" s="265"/>
      <c r="AN144" s="265"/>
      <c r="AO144" s="265"/>
      <c r="AP144" s="266"/>
      <c r="AQ144" s="260" t="str">
        <f ca="1">'Financial Planning Tool'!FC119</f>
        <v/>
      </c>
      <c r="AR144" s="261"/>
      <c r="AS144" s="261"/>
      <c r="AT144" s="261"/>
      <c r="AU144" s="261"/>
      <c r="AV144" s="261"/>
      <c r="AW144" s="261"/>
      <c r="AX144" s="262"/>
      <c r="AY144" s="260" t="str">
        <f ca="1">'Financial Planning Tool'!FD119</f>
        <v/>
      </c>
      <c r="AZ144" s="261"/>
      <c r="BA144" s="261"/>
      <c r="BB144" s="261"/>
      <c r="BC144" s="261"/>
      <c r="BD144" s="261"/>
      <c r="BE144" s="261"/>
      <c r="BF144" s="262"/>
      <c r="BG144" s="267" t="str">
        <f ca="1">IFERROR(ROUND('Financial Planning Tool'!FE119,2),'Financial Planning Tool'!FE119)</f>
        <v/>
      </c>
      <c r="BH144" s="268"/>
      <c r="BI144" s="268"/>
      <c r="BJ144" s="268"/>
      <c r="BK144" s="268"/>
      <c r="BL144" s="268"/>
      <c r="BM144" s="268"/>
      <c r="BN144" s="269"/>
    </row>
    <row r="145" spans="2:66" x14ac:dyDescent="0.25">
      <c r="B145" s="160" t="str">
        <f ca="1">'Financial Planning Tool'!EY120</f>
        <v/>
      </c>
      <c r="C145" s="263"/>
      <c r="D145" s="263"/>
      <c r="E145" s="263"/>
      <c r="F145" s="263"/>
      <c r="G145" s="263"/>
      <c r="H145" s="263"/>
      <c r="I145" s="263"/>
      <c r="J145" s="263"/>
      <c r="K145" s="263"/>
      <c r="L145" s="263"/>
      <c r="M145" s="263"/>
      <c r="N145" s="263"/>
      <c r="O145" s="160" t="str">
        <f ca="1">'Financial Planning Tool'!EZ120</f>
        <v/>
      </c>
      <c r="P145" s="263"/>
      <c r="Q145" s="263"/>
      <c r="R145" s="263"/>
      <c r="S145" s="263"/>
      <c r="T145" s="263"/>
      <c r="U145" s="263"/>
      <c r="V145" s="161"/>
      <c r="W145" s="264" t="str">
        <f ca="1">'Financial Planning Tool'!FA120</f>
        <v/>
      </c>
      <c r="X145" s="265"/>
      <c r="Y145" s="265"/>
      <c r="Z145" s="265"/>
      <c r="AA145" s="265"/>
      <c r="AB145" s="265"/>
      <c r="AC145" s="265"/>
      <c r="AD145" s="265"/>
      <c r="AE145" s="265"/>
      <c r="AF145" s="266"/>
      <c r="AG145" s="264" t="str">
        <f ca="1">'Financial Planning Tool'!FB120</f>
        <v/>
      </c>
      <c r="AH145" s="265"/>
      <c r="AI145" s="265"/>
      <c r="AJ145" s="265"/>
      <c r="AK145" s="265"/>
      <c r="AL145" s="265"/>
      <c r="AM145" s="265"/>
      <c r="AN145" s="265"/>
      <c r="AO145" s="265"/>
      <c r="AP145" s="266"/>
      <c r="AQ145" s="260" t="str">
        <f ca="1">'Financial Planning Tool'!FC120</f>
        <v/>
      </c>
      <c r="AR145" s="261"/>
      <c r="AS145" s="261"/>
      <c r="AT145" s="261"/>
      <c r="AU145" s="261"/>
      <c r="AV145" s="261"/>
      <c r="AW145" s="261"/>
      <c r="AX145" s="262"/>
      <c r="AY145" s="260" t="str">
        <f ca="1">'Financial Planning Tool'!FD120</f>
        <v/>
      </c>
      <c r="AZ145" s="261"/>
      <c r="BA145" s="261"/>
      <c r="BB145" s="261"/>
      <c r="BC145" s="261"/>
      <c r="BD145" s="261"/>
      <c r="BE145" s="261"/>
      <c r="BF145" s="262"/>
      <c r="BG145" s="267" t="str">
        <f ca="1">IFERROR(ROUND('Financial Planning Tool'!FE120,2),'Financial Planning Tool'!FE120)</f>
        <v/>
      </c>
      <c r="BH145" s="268"/>
      <c r="BI145" s="268"/>
      <c r="BJ145" s="268"/>
      <c r="BK145" s="268"/>
      <c r="BL145" s="268"/>
      <c r="BM145" s="268"/>
      <c r="BN145" s="269"/>
    </row>
    <row r="146" spans="2:66" x14ac:dyDescent="0.25">
      <c r="B146" s="160" t="str">
        <f ca="1">'Financial Planning Tool'!EY121</f>
        <v/>
      </c>
      <c r="C146" s="263"/>
      <c r="D146" s="263"/>
      <c r="E146" s="263"/>
      <c r="F146" s="263"/>
      <c r="G146" s="263"/>
      <c r="H146" s="263"/>
      <c r="I146" s="263"/>
      <c r="J146" s="263"/>
      <c r="K146" s="263"/>
      <c r="L146" s="263"/>
      <c r="M146" s="263"/>
      <c r="N146" s="263"/>
      <c r="O146" s="160" t="str">
        <f ca="1">'Financial Planning Tool'!EZ121</f>
        <v/>
      </c>
      <c r="P146" s="263"/>
      <c r="Q146" s="263"/>
      <c r="R146" s="263"/>
      <c r="S146" s="263"/>
      <c r="T146" s="263"/>
      <c r="U146" s="263"/>
      <c r="V146" s="161"/>
      <c r="W146" s="264" t="str">
        <f ca="1">'Financial Planning Tool'!FA121</f>
        <v/>
      </c>
      <c r="X146" s="265"/>
      <c r="Y146" s="265"/>
      <c r="Z146" s="265"/>
      <c r="AA146" s="265"/>
      <c r="AB146" s="265"/>
      <c r="AC146" s="265"/>
      <c r="AD146" s="265"/>
      <c r="AE146" s="265"/>
      <c r="AF146" s="266"/>
      <c r="AG146" s="264" t="str">
        <f ca="1">'Financial Planning Tool'!FB121</f>
        <v/>
      </c>
      <c r="AH146" s="265"/>
      <c r="AI146" s="265"/>
      <c r="AJ146" s="265"/>
      <c r="AK146" s="265"/>
      <c r="AL146" s="265"/>
      <c r="AM146" s="265"/>
      <c r="AN146" s="265"/>
      <c r="AO146" s="265"/>
      <c r="AP146" s="266"/>
      <c r="AQ146" s="260" t="str">
        <f ca="1">'Financial Planning Tool'!FC121</f>
        <v/>
      </c>
      <c r="AR146" s="261"/>
      <c r="AS146" s="261"/>
      <c r="AT146" s="261"/>
      <c r="AU146" s="261"/>
      <c r="AV146" s="261"/>
      <c r="AW146" s="261"/>
      <c r="AX146" s="262"/>
      <c r="AY146" s="260" t="str">
        <f ca="1">'Financial Planning Tool'!FD121</f>
        <v/>
      </c>
      <c r="AZ146" s="261"/>
      <c r="BA146" s="261"/>
      <c r="BB146" s="261"/>
      <c r="BC146" s="261"/>
      <c r="BD146" s="261"/>
      <c r="BE146" s="261"/>
      <c r="BF146" s="262"/>
      <c r="BG146" s="267" t="str">
        <f ca="1">IFERROR(ROUND('Financial Planning Tool'!FE121,2),'Financial Planning Tool'!FE121)</f>
        <v/>
      </c>
      <c r="BH146" s="268"/>
      <c r="BI146" s="268"/>
      <c r="BJ146" s="268"/>
      <c r="BK146" s="268"/>
      <c r="BL146" s="268"/>
      <c r="BM146" s="268"/>
      <c r="BN146" s="269"/>
    </row>
    <row r="147" spans="2:66" x14ac:dyDescent="0.25">
      <c r="B147" s="160" t="str">
        <f ca="1">'Financial Planning Tool'!EY122</f>
        <v/>
      </c>
      <c r="C147" s="263"/>
      <c r="D147" s="263"/>
      <c r="E147" s="263"/>
      <c r="F147" s="263"/>
      <c r="G147" s="263"/>
      <c r="H147" s="263"/>
      <c r="I147" s="263"/>
      <c r="J147" s="263"/>
      <c r="K147" s="263"/>
      <c r="L147" s="263"/>
      <c r="M147" s="263"/>
      <c r="N147" s="263"/>
      <c r="O147" s="160" t="str">
        <f ca="1">'Financial Planning Tool'!EZ122</f>
        <v/>
      </c>
      <c r="P147" s="263"/>
      <c r="Q147" s="263"/>
      <c r="R147" s="263"/>
      <c r="S147" s="263"/>
      <c r="T147" s="263"/>
      <c r="U147" s="263"/>
      <c r="V147" s="161"/>
      <c r="W147" s="264" t="str">
        <f ca="1">'Financial Planning Tool'!FA122</f>
        <v/>
      </c>
      <c r="X147" s="265"/>
      <c r="Y147" s="265"/>
      <c r="Z147" s="265"/>
      <c r="AA147" s="265"/>
      <c r="AB147" s="265"/>
      <c r="AC147" s="265"/>
      <c r="AD147" s="265"/>
      <c r="AE147" s="265"/>
      <c r="AF147" s="266"/>
      <c r="AG147" s="264" t="str">
        <f ca="1">'Financial Planning Tool'!FB122</f>
        <v/>
      </c>
      <c r="AH147" s="265"/>
      <c r="AI147" s="265"/>
      <c r="AJ147" s="265"/>
      <c r="AK147" s="265"/>
      <c r="AL147" s="265"/>
      <c r="AM147" s="265"/>
      <c r="AN147" s="265"/>
      <c r="AO147" s="265"/>
      <c r="AP147" s="266"/>
      <c r="AQ147" s="260" t="str">
        <f ca="1">'Financial Planning Tool'!FC122</f>
        <v/>
      </c>
      <c r="AR147" s="261"/>
      <c r="AS147" s="261"/>
      <c r="AT147" s="261"/>
      <c r="AU147" s="261"/>
      <c r="AV147" s="261"/>
      <c r="AW147" s="261"/>
      <c r="AX147" s="262"/>
      <c r="AY147" s="260" t="str">
        <f ca="1">'Financial Planning Tool'!FD122</f>
        <v/>
      </c>
      <c r="AZ147" s="261"/>
      <c r="BA147" s="261"/>
      <c r="BB147" s="261"/>
      <c r="BC147" s="261"/>
      <c r="BD147" s="261"/>
      <c r="BE147" s="261"/>
      <c r="BF147" s="262"/>
      <c r="BG147" s="267" t="str">
        <f ca="1">IFERROR(ROUND('Financial Planning Tool'!FE122,2),'Financial Planning Tool'!FE122)</f>
        <v/>
      </c>
      <c r="BH147" s="268"/>
      <c r="BI147" s="268"/>
      <c r="BJ147" s="268"/>
      <c r="BK147" s="268"/>
      <c r="BL147" s="268"/>
      <c r="BM147" s="268"/>
      <c r="BN147" s="269"/>
    </row>
    <row r="148" spans="2:66" x14ac:dyDescent="0.25">
      <c r="B148" s="160" t="str">
        <f ca="1">'Financial Planning Tool'!EY123</f>
        <v/>
      </c>
      <c r="C148" s="263"/>
      <c r="D148" s="263"/>
      <c r="E148" s="263"/>
      <c r="F148" s="263"/>
      <c r="G148" s="263"/>
      <c r="H148" s="263"/>
      <c r="I148" s="263"/>
      <c r="J148" s="263"/>
      <c r="K148" s="263"/>
      <c r="L148" s="263"/>
      <c r="M148" s="263"/>
      <c r="N148" s="263"/>
      <c r="O148" s="160" t="str">
        <f ca="1">'Financial Planning Tool'!EZ123</f>
        <v/>
      </c>
      <c r="P148" s="263"/>
      <c r="Q148" s="263"/>
      <c r="R148" s="263"/>
      <c r="S148" s="263"/>
      <c r="T148" s="263"/>
      <c r="U148" s="263"/>
      <c r="V148" s="161"/>
      <c r="W148" s="264" t="str">
        <f ca="1">'Financial Planning Tool'!FA123</f>
        <v/>
      </c>
      <c r="X148" s="265"/>
      <c r="Y148" s="265"/>
      <c r="Z148" s="265"/>
      <c r="AA148" s="265"/>
      <c r="AB148" s="265"/>
      <c r="AC148" s="265"/>
      <c r="AD148" s="265"/>
      <c r="AE148" s="265"/>
      <c r="AF148" s="266"/>
      <c r="AG148" s="264" t="str">
        <f ca="1">'Financial Planning Tool'!FB123</f>
        <v/>
      </c>
      <c r="AH148" s="265"/>
      <c r="AI148" s="265"/>
      <c r="AJ148" s="265"/>
      <c r="AK148" s="265"/>
      <c r="AL148" s="265"/>
      <c r="AM148" s="265"/>
      <c r="AN148" s="265"/>
      <c r="AO148" s="265"/>
      <c r="AP148" s="266"/>
      <c r="AQ148" s="260" t="str">
        <f ca="1">'Financial Planning Tool'!FC123</f>
        <v/>
      </c>
      <c r="AR148" s="261"/>
      <c r="AS148" s="261"/>
      <c r="AT148" s="261"/>
      <c r="AU148" s="261"/>
      <c r="AV148" s="261"/>
      <c r="AW148" s="261"/>
      <c r="AX148" s="262"/>
      <c r="AY148" s="260" t="str">
        <f ca="1">'Financial Planning Tool'!FD123</f>
        <v/>
      </c>
      <c r="AZ148" s="261"/>
      <c r="BA148" s="261"/>
      <c r="BB148" s="261"/>
      <c r="BC148" s="261"/>
      <c r="BD148" s="261"/>
      <c r="BE148" s="261"/>
      <c r="BF148" s="262"/>
      <c r="BG148" s="267" t="str">
        <f ca="1">IFERROR(ROUND('Financial Planning Tool'!FE123,2),'Financial Planning Tool'!FE123)</f>
        <v/>
      </c>
      <c r="BH148" s="268"/>
      <c r="BI148" s="268"/>
      <c r="BJ148" s="268"/>
      <c r="BK148" s="268"/>
      <c r="BL148" s="268"/>
      <c r="BM148" s="268"/>
      <c r="BN148" s="269"/>
    </row>
    <row r="149" spans="2:66" x14ac:dyDescent="0.25">
      <c r="B149" s="160" t="str">
        <f ca="1">'Financial Planning Tool'!EY124</f>
        <v/>
      </c>
      <c r="C149" s="263"/>
      <c r="D149" s="263"/>
      <c r="E149" s="263"/>
      <c r="F149" s="263"/>
      <c r="G149" s="263"/>
      <c r="H149" s="263"/>
      <c r="I149" s="263"/>
      <c r="J149" s="263"/>
      <c r="K149" s="263"/>
      <c r="L149" s="263"/>
      <c r="M149" s="263"/>
      <c r="N149" s="263"/>
      <c r="O149" s="160" t="str">
        <f ca="1">'Financial Planning Tool'!EZ124</f>
        <v/>
      </c>
      <c r="P149" s="263"/>
      <c r="Q149" s="263"/>
      <c r="R149" s="263"/>
      <c r="S149" s="263"/>
      <c r="T149" s="263"/>
      <c r="U149" s="263"/>
      <c r="V149" s="161"/>
      <c r="W149" s="264" t="str">
        <f ca="1">'Financial Planning Tool'!FA124</f>
        <v/>
      </c>
      <c r="X149" s="265"/>
      <c r="Y149" s="265"/>
      <c r="Z149" s="265"/>
      <c r="AA149" s="265"/>
      <c r="AB149" s="265"/>
      <c r="AC149" s="265"/>
      <c r="AD149" s="265"/>
      <c r="AE149" s="265"/>
      <c r="AF149" s="266"/>
      <c r="AG149" s="264" t="str">
        <f ca="1">'Financial Planning Tool'!FB124</f>
        <v/>
      </c>
      <c r="AH149" s="265"/>
      <c r="AI149" s="265"/>
      <c r="AJ149" s="265"/>
      <c r="AK149" s="265"/>
      <c r="AL149" s="265"/>
      <c r="AM149" s="265"/>
      <c r="AN149" s="265"/>
      <c r="AO149" s="265"/>
      <c r="AP149" s="266"/>
      <c r="AQ149" s="260" t="str">
        <f ca="1">'Financial Planning Tool'!FC124</f>
        <v/>
      </c>
      <c r="AR149" s="261"/>
      <c r="AS149" s="261"/>
      <c r="AT149" s="261"/>
      <c r="AU149" s="261"/>
      <c r="AV149" s="261"/>
      <c r="AW149" s="261"/>
      <c r="AX149" s="262"/>
      <c r="AY149" s="260" t="str">
        <f ca="1">'Financial Planning Tool'!FD124</f>
        <v/>
      </c>
      <c r="AZ149" s="261"/>
      <c r="BA149" s="261"/>
      <c r="BB149" s="261"/>
      <c r="BC149" s="261"/>
      <c r="BD149" s="261"/>
      <c r="BE149" s="261"/>
      <c r="BF149" s="262"/>
      <c r="BG149" s="267" t="str">
        <f ca="1">IFERROR(ROUND('Financial Planning Tool'!FE124,2),'Financial Planning Tool'!FE124)</f>
        <v/>
      </c>
      <c r="BH149" s="268"/>
      <c r="BI149" s="268"/>
      <c r="BJ149" s="268"/>
      <c r="BK149" s="268"/>
      <c r="BL149" s="268"/>
      <c r="BM149" s="268"/>
      <c r="BN149" s="269"/>
    </row>
    <row r="150" spans="2:66" x14ac:dyDescent="0.25">
      <c r="B150" s="160" t="str">
        <f ca="1">'Financial Planning Tool'!EY125</f>
        <v/>
      </c>
      <c r="C150" s="263"/>
      <c r="D150" s="263"/>
      <c r="E150" s="263"/>
      <c r="F150" s="263"/>
      <c r="G150" s="263"/>
      <c r="H150" s="263"/>
      <c r="I150" s="263"/>
      <c r="J150" s="263"/>
      <c r="K150" s="263"/>
      <c r="L150" s="263"/>
      <c r="M150" s="263"/>
      <c r="N150" s="263"/>
      <c r="O150" s="160" t="str">
        <f ca="1">'Financial Planning Tool'!EZ125</f>
        <v/>
      </c>
      <c r="P150" s="263"/>
      <c r="Q150" s="263"/>
      <c r="R150" s="263"/>
      <c r="S150" s="263"/>
      <c r="T150" s="263"/>
      <c r="U150" s="263"/>
      <c r="V150" s="161"/>
      <c r="W150" s="264" t="str">
        <f ca="1">'Financial Planning Tool'!FA125</f>
        <v/>
      </c>
      <c r="X150" s="265"/>
      <c r="Y150" s="265"/>
      <c r="Z150" s="265"/>
      <c r="AA150" s="265"/>
      <c r="AB150" s="265"/>
      <c r="AC150" s="265"/>
      <c r="AD150" s="265"/>
      <c r="AE150" s="265"/>
      <c r="AF150" s="266"/>
      <c r="AG150" s="264" t="str">
        <f ca="1">'Financial Planning Tool'!FB125</f>
        <v/>
      </c>
      <c r="AH150" s="265"/>
      <c r="AI150" s="265"/>
      <c r="AJ150" s="265"/>
      <c r="AK150" s="265"/>
      <c r="AL150" s="265"/>
      <c r="AM150" s="265"/>
      <c r="AN150" s="265"/>
      <c r="AO150" s="265"/>
      <c r="AP150" s="266"/>
      <c r="AQ150" s="260" t="str">
        <f ca="1">'Financial Planning Tool'!FC125</f>
        <v/>
      </c>
      <c r="AR150" s="261"/>
      <c r="AS150" s="261"/>
      <c r="AT150" s="261"/>
      <c r="AU150" s="261"/>
      <c r="AV150" s="261"/>
      <c r="AW150" s="261"/>
      <c r="AX150" s="262"/>
      <c r="AY150" s="260" t="str">
        <f ca="1">'Financial Planning Tool'!FD125</f>
        <v/>
      </c>
      <c r="AZ150" s="261"/>
      <c r="BA150" s="261"/>
      <c r="BB150" s="261"/>
      <c r="BC150" s="261"/>
      <c r="BD150" s="261"/>
      <c r="BE150" s="261"/>
      <c r="BF150" s="262"/>
      <c r="BG150" s="267" t="str">
        <f ca="1">IFERROR(ROUND('Financial Planning Tool'!FE125,2),'Financial Planning Tool'!FE125)</f>
        <v/>
      </c>
      <c r="BH150" s="268"/>
      <c r="BI150" s="268"/>
      <c r="BJ150" s="268"/>
      <c r="BK150" s="268"/>
      <c r="BL150" s="268"/>
      <c r="BM150" s="268"/>
      <c r="BN150" s="269"/>
    </row>
    <row r="151" spans="2:66" x14ac:dyDescent="0.25">
      <c r="B151" s="160" t="str">
        <f ca="1">'Financial Planning Tool'!EY126</f>
        <v/>
      </c>
      <c r="C151" s="263"/>
      <c r="D151" s="263"/>
      <c r="E151" s="263"/>
      <c r="F151" s="263"/>
      <c r="G151" s="263"/>
      <c r="H151" s="263"/>
      <c r="I151" s="263"/>
      <c r="J151" s="263"/>
      <c r="K151" s="263"/>
      <c r="L151" s="263"/>
      <c r="M151" s="263"/>
      <c r="N151" s="263"/>
      <c r="O151" s="160" t="str">
        <f ca="1">'Financial Planning Tool'!EZ126</f>
        <v/>
      </c>
      <c r="P151" s="263"/>
      <c r="Q151" s="263"/>
      <c r="R151" s="263"/>
      <c r="S151" s="263"/>
      <c r="T151" s="263"/>
      <c r="U151" s="263"/>
      <c r="V151" s="161"/>
      <c r="W151" s="264" t="str">
        <f ca="1">'Financial Planning Tool'!FA126</f>
        <v/>
      </c>
      <c r="X151" s="265"/>
      <c r="Y151" s="265"/>
      <c r="Z151" s="265"/>
      <c r="AA151" s="265"/>
      <c r="AB151" s="265"/>
      <c r="AC151" s="265"/>
      <c r="AD151" s="265"/>
      <c r="AE151" s="265"/>
      <c r="AF151" s="266"/>
      <c r="AG151" s="264" t="str">
        <f ca="1">'Financial Planning Tool'!FB126</f>
        <v/>
      </c>
      <c r="AH151" s="265"/>
      <c r="AI151" s="265"/>
      <c r="AJ151" s="265"/>
      <c r="AK151" s="265"/>
      <c r="AL151" s="265"/>
      <c r="AM151" s="265"/>
      <c r="AN151" s="265"/>
      <c r="AO151" s="265"/>
      <c r="AP151" s="266"/>
      <c r="AQ151" s="260" t="str">
        <f ca="1">'Financial Planning Tool'!FC126</f>
        <v/>
      </c>
      <c r="AR151" s="261"/>
      <c r="AS151" s="261"/>
      <c r="AT151" s="261"/>
      <c r="AU151" s="261"/>
      <c r="AV151" s="261"/>
      <c r="AW151" s="261"/>
      <c r="AX151" s="262"/>
      <c r="AY151" s="260" t="str">
        <f ca="1">'Financial Planning Tool'!FD126</f>
        <v/>
      </c>
      <c r="AZ151" s="261"/>
      <c r="BA151" s="261"/>
      <c r="BB151" s="261"/>
      <c r="BC151" s="261"/>
      <c r="BD151" s="261"/>
      <c r="BE151" s="261"/>
      <c r="BF151" s="262"/>
      <c r="BG151" s="267" t="str">
        <f ca="1">IFERROR(ROUND('Financial Planning Tool'!FE126,2),'Financial Planning Tool'!FE126)</f>
        <v/>
      </c>
      <c r="BH151" s="268"/>
      <c r="BI151" s="268"/>
      <c r="BJ151" s="268"/>
      <c r="BK151" s="268"/>
      <c r="BL151" s="268"/>
      <c r="BM151" s="268"/>
      <c r="BN151" s="269"/>
    </row>
    <row r="152" spans="2:66" x14ac:dyDescent="0.25">
      <c r="B152" s="160" t="str">
        <f ca="1">'Financial Planning Tool'!EY127</f>
        <v/>
      </c>
      <c r="C152" s="263"/>
      <c r="D152" s="263"/>
      <c r="E152" s="263"/>
      <c r="F152" s="263"/>
      <c r="G152" s="263"/>
      <c r="H152" s="263"/>
      <c r="I152" s="263"/>
      <c r="J152" s="263"/>
      <c r="K152" s="263"/>
      <c r="L152" s="263"/>
      <c r="M152" s="263"/>
      <c r="N152" s="263"/>
      <c r="O152" s="160" t="str">
        <f ca="1">'Financial Planning Tool'!EZ127</f>
        <v/>
      </c>
      <c r="P152" s="263"/>
      <c r="Q152" s="263"/>
      <c r="R152" s="263"/>
      <c r="S152" s="263"/>
      <c r="T152" s="263"/>
      <c r="U152" s="263"/>
      <c r="V152" s="161"/>
      <c r="W152" s="264" t="str">
        <f ca="1">'Financial Planning Tool'!FA127</f>
        <v/>
      </c>
      <c r="X152" s="265"/>
      <c r="Y152" s="265"/>
      <c r="Z152" s="265"/>
      <c r="AA152" s="265"/>
      <c r="AB152" s="265"/>
      <c r="AC152" s="265"/>
      <c r="AD152" s="265"/>
      <c r="AE152" s="265"/>
      <c r="AF152" s="266"/>
      <c r="AG152" s="264" t="str">
        <f ca="1">'Financial Planning Tool'!FB127</f>
        <v/>
      </c>
      <c r="AH152" s="265"/>
      <c r="AI152" s="265"/>
      <c r="AJ152" s="265"/>
      <c r="AK152" s="265"/>
      <c r="AL152" s="265"/>
      <c r="AM152" s="265"/>
      <c r="AN152" s="265"/>
      <c r="AO152" s="265"/>
      <c r="AP152" s="266"/>
      <c r="AQ152" s="260" t="str">
        <f ca="1">'Financial Planning Tool'!FC127</f>
        <v/>
      </c>
      <c r="AR152" s="261"/>
      <c r="AS152" s="261"/>
      <c r="AT152" s="261"/>
      <c r="AU152" s="261"/>
      <c r="AV152" s="261"/>
      <c r="AW152" s="261"/>
      <c r="AX152" s="262"/>
      <c r="AY152" s="260" t="str">
        <f ca="1">'Financial Planning Tool'!FD127</f>
        <v/>
      </c>
      <c r="AZ152" s="261"/>
      <c r="BA152" s="261"/>
      <c r="BB152" s="261"/>
      <c r="BC152" s="261"/>
      <c r="BD152" s="261"/>
      <c r="BE152" s="261"/>
      <c r="BF152" s="262"/>
      <c r="BG152" s="267" t="str">
        <f ca="1">IFERROR(ROUND('Financial Planning Tool'!FE127,2),'Financial Planning Tool'!FE127)</f>
        <v/>
      </c>
      <c r="BH152" s="268"/>
      <c r="BI152" s="268"/>
      <c r="BJ152" s="268"/>
      <c r="BK152" s="268"/>
      <c r="BL152" s="268"/>
      <c r="BM152" s="268"/>
      <c r="BN152" s="269"/>
    </row>
    <row r="153" spans="2:66" x14ac:dyDescent="0.25">
      <c r="B153" s="160" t="str">
        <f ca="1">'Financial Planning Tool'!EY128</f>
        <v/>
      </c>
      <c r="C153" s="263"/>
      <c r="D153" s="263"/>
      <c r="E153" s="263"/>
      <c r="F153" s="263"/>
      <c r="G153" s="263"/>
      <c r="H153" s="263"/>
      <c r="I153" s="263"/>
      <c r="J153" s="263"/>
      <c r="K153" s="263"/>
      <c r="L153" s="263"/>
      <c r="M153" s="263"/>
      <c r="N153" s="263"/>
      <c r="O153" s="160" t="str">
        <f ca="1">'Financial Planning Tool'!EZ128</f>
        <v/>
      </c>
      <c r="P153" s="263"/>
      <c r="Q153" s="263"/>
      <c r="R153" s="263"/>
      <c r="S153" s="263"/>
      <c r="T153" s="263"/>
      <c r="U153" s="263"/>
      <c r="V153" s="161"/>
      <c r="W153" s="264" t="str">
        <f ca="1">'Financial Planning Tool'!FA128</f>
        <v/>
      </c>
      <c r="X153" s="265"/>
      <c r="Y153" s="265"/>
      <c r="Z153" s="265"/>
      <c r="AA153" s="265"/>
      <c r="AB153" s="265"/>
      <c r="AC153" s="265"/>
      <c r="AD153" s="265"/>
      <c r="AE153" s="265"/>
      <c r="AF153" s="266"/>
      <c r="AG153" s="264" t="str">
        <f ca="1">'Financial Planning Tool'!FB128</f>
        <v/>
      </c>
      <c r="AH153" s="265"/>
      <c r="AI153" s="265"/>
      <c r="AJ153" s="265"/>
      <c r="AK153" s="265"/>
      <c r="AL153" s="265"/>
      <c r="AM153" s="265"/>
      <c r="AN153" s="265"/>
      <c r="AO153" s="265"/>
      <c r="AP153" s="266"/>
      <c r="AQ153" s="260" t="str">
        <f ca="1">'Financial Planning Tool'!FC128</f>
        <v/>
      </c>
      <c r="AR153" s="261"/>
      <c r="AS153" s="261"/>
      <c r="AT153" s="261"/>
      <c r="AU153" s="261"/>
      <c r="AV153" s="261"/>
      <c r="AW153" s="261"/>
      <c r="AX153" s="262"/>
      <c r="AY153" s="260" t="str">
        <f ca="1">'Financial Planning Tool'!FD128</f>
        <v/>
      </c>
      <c r="AZ153" s="261"/>
      <c r="BA153" s="261"/>
      <c r="BB153" s="261"/>
      <c r="BC153" s="261"/>
      <c r="BD153" s="261"/>
      <c r="BE153" s="261"/>
      <c r="BF153" s="262"/>
      <c r="BG153" s="267" t="str">
        <f ca="1">IFERROR(ROUND('Financial Planning Tool'!FE128,2),'Financial Planning Tool'!FE128)</f>
        <v/>
      </c>
      <c r="BH153" s="268"/>
      <c r="BI153" s="268"/>
      <c r="BJ153" s="268"/>
      <c r="BK153" s="268"/>
      <c r="BL153" s="268"/>
      <c r="BM153" s="268"/>
      <c r="BN153" s="269"/>
    </row>
    <row r="154" spans="2:66" x14ac:dyDescent="0.25">
      <c r="B154" s="160" t="str">
        <f ca="1">'Financial Planning Tool'!EY129</f>
        <v/>
      </c>
      <c r="C154" s="263"/>
      <c r="D154" s="263"/>
      <c r="E154" s="263"/>
      <c r="F154" s="263"/>
      <c r="G154" s="263"/>
      <c r="H154" s="263"/>
      <c r="I154" s="263"/>
      <c r="J154" s="263"/>
      <c r="K154" s="263"/>
      <c r="L154" s="263"/>
      <c r="M154" s="263"/>
      <c r="N154" s="263"/>
      <c r="O154" s="160" t="str">
        <f ca="1">'Financial Planning Tool'!EZ129</f>
        <v/>
      </c>
      <c r="P154" s="263"/>
      <c r="Q154" s="263"/>
      <c r="R154" s="263"/>
      <c r="S154" s="263"/>
      <c r="T154" s="263"/>
      <c r="U154" s="263"/>
      <c r="V154" s="161"/>
      <c r="W154" s="264" t="str">
        <f ca="1">'Financial Planning Tool'!FA129</f>
        <v/>
      </c>
      <c r="X154" s="265"/>
      <c r="Y154" s="265"/>
      <c r="Z154" s="265"/>
      <c r="AA154" s="265"/>
      <c r="AB154" s="265"/>
      <c r="AC154" s="265"/>
      <c r="AD154" s="265"/>
      <c r="AE154" s="265"/>
      <c r="AF154" s="266"/>
      <c r="AG154" s="264" t="str">
        <f ca="1">'Financial Planning Tool'!FB129</f>
        <v/>
      </c>
      <c r="AH154" s="265"/>
      <c r="AI154" s="265"/>
      <c r="AJ154" s="265"/>
      <c r="AK154" s="265"/>
      <c r="AL154" s="265"/>
      <c r="AM154" s="265"/>
      <c r="AN154" s="265"/>
      <c r="AO154" s="265"/>
      <c r="AP154" s="266"/>
      <c r="AQ154" s="260" t="str">
        <f ca="1">'Financial Planning Tool'!FC129</f>
        <v/>
      </c>
      <c r="AR154" s="261"/>
      <c r="AS154" s="261"/>
      <c r="AT154" s="261"/>
      <c r="AU154" s="261"/>
      <c r="AV154" s="261"/>
      <c r="AW154" s="261"/>
      <c r="AX154" s="262"/>
      <c r="AY154" s="260" t="str">
        <f ca="1">'Financial Planning Tool'!FD129</f>
        <v/>
      </c>
      <c r="AZ154" s="261"/>
      <c r="BA154" s="261"/>
      <c r="BB154" s="261"/>
      <c r="BC154" s="261"/>
      <c r="BD154" s="261"/>
      <c r="BE154" s="261"/>
      <c r="BF154" s="262"/>
      <c r="BG154" s="267" t="str">
        <f ca="1">IFERROR(ROUND('Financial Planning Tool'!FE129,2),'Financial Planning Tool'!FE129)</f>
        <v/>
      </c>
      <c r="BH154" s="268"/>
      <c r="BI154" s="268"/>
      <c r="BJ154" s="268"/>
      <c r="BK154" s="268"/>
      <c r="BL154" s="268"/>
      <c r="BM154" s="268"/>
      <c r="BN154" s="269"/>
    </row>
    <row r="155" spans="2:66" x14ac:dyDescent="0.25">
      <c r="B155" s="160" t="str">
        <f ca="1">'Financial Planning Tool'!EY130</f>
        <v/>
      </c>
      <c r="C155" s="263"/>
      <c r="D155" s="263"/>
      <c r="E155" s="263"/>
      <c r="F155" s="263"/>
      <c r="G155" s="263"/>
      <c r="H155" s="263"/>
      <c r="I155" s="263"/>
      <c r="J155" s="263"/>
      <c r="K155" s="263"/>
      <c r="L155" s="263"/>
      <c r="M155" s="263"/>
      <c r="N155" s="263"/>
      <c r="O155" s="160" t="str">
        <f ca="1">'Financial Planning Tool'!EZ130</f>
        <v/>
      </c>
      <c r="P155" s="263"/>
      <c r="Q155" s="263"/>
      <c r="R155" s="263"/>
      <c r="S155" s="263"/>
      <c r="T155" s="263"/>
      <c r="U155" s="263"/>
      <c r="V155" s="161"/>
      <c r="W155" s="264" t="str">
        <f ca="1">'Financial Planning Tool'!FA130</f>
        <v/>
      </c>
      <c r="X155" s="265"/>
      <c r="Y155" s="265"/>
      <c r="Z155" s="265"/>
      <c r="AA155" s="265"/>
      <c r="AB155" s="265"/>
      <c r="AC155" s="265"/>
      <c r="AD155" s="265"/>
      <c r="AE155" s="265"/>
      <c r="AF155" s="266"/>
      <c r="AG155" s="264" t="str">
        <f ca="1">'Financial Planning Tool'!FB130</f>
        <v/>
      </c>
      <c r="AH155" s="265"/>
      <c r="AI155" s="265"/>
      <c r="AJ155" s="265"/>
      <c r="AK155" s="265"/>
      <c r="AL155" s="265"/>
      <c r="AM155" s="265"/>
      <c r="AN155" s="265"/>
      <c r="AO155" s="265"/>
      <c r="AP155" s="266"/>
      <c r="AQ155" s="260" t="str">
        <f ca="1">'Financial Planning Tool'!FC130</f>
        <v/>
      </c>
      <c r="AR155" s="261"/>
      <c r="AS155" s="261"/>
      <c r="AT155" s="261"/>
      <c r="AU155" s="261"/>
      <c r="AV155" s="261"/>
      <c r="AW155" s="261"/>
      <c r="AX155" s="262"/>
      <c r="AY155" s="260" t="str">
        <f ca="1">'Financial Planning Tool'!FD130</f>
        <v/>
      </c>
      <c r="AZ155" s="261"/>
      <c r="BA155" s="261"/>
      <c r="BB155" s="261"/>
      <c r="BC155" s="261"/>
      <c r="BD155" s="261"/>
      <c r="BE155" s="261"/>
      <c r="BF155" s="262"/>
      <c r="BG155" s="267" t="str">
        <f ca="1">IFERROR(ROUND('Financial Planning Tool'!FE130,2),'Financial Planning Tool'!FE130)</f>
        <v/>
      </c>
      <c r="BH155" s="268"/>
      <c r="BI155" s="268"/>
      <c r="BJ155" s="268"/>
      <c r="BK155" s="268"/>
      <c r="BL155" s="268"/>
      <c r="BM155" s="268"/>
      <c r="BN155" s="269"/>
    </row>
    <row r="156" spans="2:66" x14ac:dyDescent="0.25">
      <c r="B156" s="160" t="str">
        <f ca="1">'Financial Planning Tool'!EY131</f>
        <v/>
      </c>
      <c r="C156" s="263"/>
      <c r="D156" s="263"/>
      <c r="E156" s="263"/>
      <c r="F156" s="263"/>
      <c r="G156" s="263"/>
      <c r="H156" s="263"/>
      <c r="I156" s="263"/>
      <c r="J156" s="263"/>
      <c r="K156" s="263"/>
      <c r="L156" s="263"/>
      <c r="M156" s="263"/>
      <c r="N156" s="263"/>
      <c r="O156" s="160" t="str">
        <f ca="1">'Financial Planning Tool'!EZ131</f>
        <v/>
      </c>
      <c r="P156" s="263"/>
      <c r="Q156" s="263"/>
      <c r="R156" s="263"/>
      <c r="S156" s="263"/>
      <c r="T156" s="263"/>
      <c r="U156" s="263"/>
      <c r="V156" s="161"/>
      <c r="W156" s="264" t="str">
        <f ca="1">'Financial Planning Tool'!FA131</f>
        <v/>
      </c>
      <c r="X156" s="265"/>
      <c r="Y156" s="265"/>
      <c r="Z156" s="265"/>
      <c r="AA156" s="265"/>
      <c r="AB156" s="265"/>
      <c r="AC156" s="265"/>
      <c r="AD156" s="265"/>
      <c r="AE156" s="265"/>
      <c r="AF156" s="266"/>
      <c r="AG156" s="264" t="str">
        <f ca="1">'Financial Planning Tool'!FB131</f>
        <v/>
      </c>
      <c r="AH156" s="265"/>
      <c r="AI156" s="265"/>
      <c r="AJ156" s="265"/>
      <c r="AK156" s="265"/>
      <c r="AL156" s="265"/>
      <c r="AM156" s="265"/>
      <c r="AN156" s="265"/>
      <c r="AO156" s="265"/>
      <c r="AP156" s="266"/>
      <c r="AQ156" s="260" t="str">
        <f ca="1">'Financial Planning Tool'!FC131</f>
        <v/>
      </c>
      <c r="AR156" s="261"/>
      <c r="AS156" s="261"/>
      <c r="AT156" s="261"/>
      <c r="AU156" s="261"/>
      <c r="AV156" s="261"/>
      <c r="AW156" s="261"/>
      <c r="AX156" s="262"/>
      <c r="AY156" s="260" t="str">
        <f ca="1">'Financial Planning Tool'!FD131</f>
        <v/>
      </c>
      <c r="AZ156" s="261"/>
      <c r="BA156" s="261"/>
      <c r="BB156" s="261"/>
      <c r="BC156" s="261"/>
      <c r="BD156" s="261"/>
      <c r="BE156" s="261"/>
      <c r="BF156" s="262"/>
      <c r="BG156" s="267" t="str">
        <f ca="1">IFERROR(ROUND('Financial Planning Tool'!FE131,2),'Financial Planning Tool'!FE131)</f>
        <v/>
      </c>
      <c r="BH156" s="268"/>
      <c r="BI156" s="268"/>
      <c r="BJ156" s="268"/>
      <c r="BK156" s="268"/>
      <c r="BL156" s="268"/>
      <c r="BM156" s="268"/>
      <c r="BN156" s="269"/>
    </row>
    <row r="157" spans="2:66" x14ac:dyDescent="0.25">
      <c r="B157" s="160" t="str">
        <f ca="1">'Financial Planning Tool'!EY132</f>
        <v/>
      </c>
      <c r="C157" s="263"/>
      <c r="D157" s="263"/>
      <c r="E157" s="263"/>
      <c r="F157" s="263"/>
      <c r="G157" s="263"/>
      <c r="H157" s="263"/>
      <c r="I157" s="263"/>
      <c r="J157" s="263"/>
      <c r="K157" s="263"/>
      <c r="L157" s="263"/>
      <c r="M157" s="263"/>
      <c r="N157" s="263"/>
      <c r="O157" s="160" t="str">
        <f ca="1">'Financial Planning Tool'!EZ132</f>
        <v/>
      </c>
      <c r="P157" s="263"/>
      <c r="Q157" s="263"/>
      <c r="R157" s="263"/>
      <c r="S157" s="263"/>
      <c r="T157" s="263"/>
      <c r="U157" s="263"/>
      <c r="V157" s="161"/>
      <c r="W157" s="264" t="str">
        <f ca="1">'Financial Planning Tool'!FA132</f>
        <v/>
      </c>
      <c r="X157" s="265"/>
      <c r="Y157" s="265"/>
      <c r="Z157" s="265"/>
      <c r="AA157" s="265"/>
      <c r="AB157" s="265"/>
      <c r="AC157" s="265"/>
      <c r="AD157" s="265"/>
      <c r="AE157" s="265"/>
      <c r="AF157" s="266"/>
      <c r="AG157" s="264" t="str">
        <f ca="1">'Financial Planning Tool'!FB132</f>
        <v/>
      </c>
      <c r="AH157" s="265"/>
      <c r="AI157" s="265"/>
      <c r="AJ157" s="265"/>
      <c r="AK157" s="265"/>
      <c r="AL157" s="265"/>
      <c r="AM157" s="265"/>
      <c r="AN157" s="265"/>
      <c r="AO157" s="265"/>
      <c r="AP157" s="266"/>
      <c r="AQ157" s="260" t="str">
        <f ca="1">'Financial Planning Tool'!FC132</f>
        <v/>
      </c>
      <c r="AR157" s="261"/>
      <c r="AS157" s="261"/>
      <c r="AT157" s="261"/>
      <c r="AU157" s="261"/>
      <c r="AV157" s="261"/>
      <c r="AW157" s="261"/>
      <c r="AX157" s="262"/>
      <c r="AY157" s="260" t="str">
        <f ca="1">'Financial Planning Tool'!FD132</f>
        <v/>
      </c>
      <c r="AZ157" s="261"/>
      <c r="BA157" s="261"/>
      <c r="BB157" s="261"/>
      <c r="BC157" s="261"/>
      <c r="BD157" s="261"/>
      <c r="BE157" s="261"/>
      <c r="BF157" s="262"/>
      <c r="BG157" s="267" t="str">
        <f ca="1">IFERROR(ROUND('Financial Planning Tool'!FE132,2),'Financial Planning Tool'!FE132)</f>
        <v/>
      </c>
      <c r="BH157" s="268"/>
      <c r="BI157" s="268"/>
      <c r="BJ157" s="268"/>
      <c r="BK157" s="268"/>
      <c r="BL157" s="268"/>
      <c r="BM157" s="268"/>
      <c r="BN157" s="269"/>
    </row>
    <row r="158" spans="2:66" x14ac:dyDescent="0.25">
      <c r="B158" s="160" t="str">
        <f ca="1">'Financial Planning Tool'!EY133</f>
        <v/>
      </c>
      <c r="C158" s="263"/>
      <c r="D158" s="263"/>
      <c r="E158" s="263"/>
      <c r="F158" s="263"/>
      <c r="G158" s="263"/>
      <c r="H158" s="263"/>
      <c r="I158" s="263"/>
      <c r="J158" s="263"/>
      <c r="K158" s="263"/>
      <c r="L158" s="263"/>
      <c r="M158" s="263"/>
      <c r="N158" s="263"/>
      <c r="O158" s="160" t="str">
        <f ca="1">'Financial Planning Tool'!EZ133</f>
        <v/>
      </c>
      <c r="P158" s="263"/>
      <c r="Q158" s="263"/>
      <c r="R158" s="263"/>
      <c r="S158" s="263"/>
      <c r="T158" s="263"/>
      <c r="U158" s="263"/>
      <c r="V158" s="161"/>
      <c r="W158" s="264" t="str">
        <f ca="1">'Financial Planning Tool'!FA133</f>
        <v/>
      </c>
      <c r="X158" s="265"/>
      <c r="Y158" s="265"/>
      <c r="Z158" s="265"/>
      <c r="AA158" s="265"/>
      <c r="AB158" s="265"/>
      <c r="AC158" s="265"/>
      <c r="AD158" s="265"/>
      <c r="AE158" s="265"/>
      <c r="AF158" s="266"/>
      <c r="AG158" s="264" t="str">
        <f ca="1">'Financial Planning Tool'!FB133</f>
        <v/>
      </c>
      <c r="AH158" s="265"/>
      <c r="AI158" s="265"/>
      <c r="AJ158" s="265"/>
      <c r="AK158" s="265"/>
      <c r="AL158" s="265"/>
      <c r="AM158" s="265"/>
      <c r="AN158" s="265"/>
      <c r="AO158" s="265"/>
      <c r="AP158" s="266"/>
      <c r="AQ158" s="260" t="str">
        <f ca="1">'Financial Planning Tool'!FC133</f>
        <v/>
      </c>
      <c r="AR158" s="261"/>
      <c r="AS158" s="261"/>
      <c r="AT158" s="261"/>
      <c r="AU158" s="261"/>
      <c r="AV158" s="261"/>
      <c r="AW158" s="261"/>
      <c r="AX158" s="262"/>
      <c r="AY158" s="260" t="str">
        <f ca="1">'Financial Planning Tool'!FD133</f>
        <v/>
      </c>
      <c r="AZ158" s="261"/>
      <c r="BA158" s="261"/>
      <c r="BB158" s="261"/>
      <c r="BC158" s="261"/>
      <c r="BD158" s="261"/>
      <c r="BE158" s="261"/>
      <c r="BF158" s="262"/>
      <c r="BG158" s="267" t="str">
        <f ca="1">IFERROR(ROUND('Financial Planning Tool'!FE133,2),'Financial Planning Tool'!FE133)</f>
        <v/>
      </c>
      <c r="BH158" s="268"/>
      <c r="BI158" s="268"/>
      <c r="BJ158" s="268"/>
      <c r="BK158" s="268"/>
      <c r="BL158" s="268"/>
      <c r="BM158" s="268"/>
      <c r="BN158" s="269"/>
    </row>
    <row r="159" spans="2:66" x14ac:dyDescent="0.25">
      <c r="B159" s="160" t="str">
        <f ca="1">'Financial Planning Tool'!EY134</f>
        <v/>
      </c>
      <c r="C159" s="263"/>
      <c r="D159" s="263"/>
      <c r="E159" s="263"/>
      <c r="F159" s="263"/>
      <c r="G159" s="263"/>
      <c r="H159" s="263"/>
      <c r="I159" s="263"/>
      <c r="J159" s="263"/>
      <c r="K159" s="263"/>
      <c r="L159" s="263"/>
      <c r="M159" s="263"/>
      <c r="N159" s="263"/>
      <c r="O159" s="160" t="str">
        <f ca="1">'Financial Planning Tool'!EZ134</f>
        <v/>
      </c>
      <c r="P159" s="263"/>
      <c r="Q159" s="263"/>
      <c r="R159" s="263"/>
      <c r="S159" s="263"/>
      <c r="T159" s="263"/>
      <c r="U159" s="263"/>
      <c r="V159" s="161"/>
      <c r="W159" s="264" t="str">
        <f ca="1">'Financial Planning Tool'!FA134</f>
        <v/>
      </c>
      <c r="X159" s="265"/>
      <c r="Y159" s="265"/>
      <c r="Z159" s="265"/>
      <c r="AA159" s="265"/>
      <c r="AB159" s="265"/>
      <c r="AC159" s="265"/>
      <c r="AD159" s="265"/>
      <c r="AE159" s="265"/>
      <c r="AF159" s="266"/>
      <c r="AG159" s="264" t="str">
        <f ca="1">'Financial Planning Tool'!FB134</f>
        <v/>
      </c>
      <c r="AH159" s="265"/>
      <c r="AI159" s="265"/>
      <c r="AJ159" s="265"/>
      <c r="AK159" s="265"/>
      <c r="AL159" s="265"/>
      <c r="AM159" s="265"/>
      <c r="AN159" s="265"/>
      <c r="AO159" s="265"/>
      <c r="AP159" s="266"/>
      <c r="AQ159" s="260" t="str">
        <f ca="1">'Financial Planning Tool'!FC134</f>
        <v/>
      </c>
      <c r="AR159" s="261"/>
      <c r="AS159" s="261"/>
      <c r="AT159" s="261"/>
      <c r="AU159" s="261"/>
      <c r="AV159" s="261"/>
      <c r="AW159" s="261"/>
      <c r="AX159" s="262"/>
      <c r="AY159" s="260" t="str">
        <f ca="1">'Financial Planning Tool'!FD134</f>
        <v/>
      </c>
      <c r="AZ159" s="261"/>
      <c r="BA159" s="261"/>
      <c r="BB159" s="261"/>
      <c r="BC159" s="261"/>
      <c r="BD159" s="261"/>
      <c r="BE159" s="261"/>
      <c r="BF159" s="262"/>
      <c r="BG159" s="267" t="str">
        <f ca="1">IFERROR(ROUND('Financial Planning Tool'!FE134,2),'Financial Planning Tool'!FE134)</f>
        <v/>
      </c>
      <c r="BH159" s="268"/>
      <c r="BI159" s="268"/>
      <c r="BJ159" s="268"/>
      <c r="BK159" s="268"/>
      <c r="BL159" s="268"/>
      <c r="BM159" s="268"/>
      <c r="BN159" s="269"/>
    </row>
    <row r="160" spans="2:66" x14ac:dyDescent="0.25">
      <c r="B160" s="160" t="str">
        <f ca="1">'Financial Planning Tool'!EY135</f>
        <v/>
      </c>
      <c r="C160" s="263"/>
      <c r="D160" s="263"/>
      <c r="E160" s="263"/>
      <c r="F160" s="263"/>
      <c r="G160" s="263"/>
      <c r="H160" s="263"/>
      <c r="I160" s="263"/>
      <c r="J160" s="263"/>
      <c r="K160" s="263"/>
      <c r="L160" s="263"/>
      <c r="M160" s="263"/>
      <c r="N160" s="263"/>
      <c r="O160" s="160" t="str">
        <f ca="1">'Financial Planning Tool'!EZ135</f>
        <v/>
      </c>
      <c r="P160" s="263"/>
      <c r="Q160" s="263"/>
      <c r="R160" s="263"/>
      <c r="S160" s="263"/>
      <c r="T160" s="263"/>
      <c r="U160" s="263"/>
      <c r="V160" s="161"/>
      <c r="W160" s="264" t="str">
        <f ca="1">'Financial Planning Tool'!FA135</f>
        <v/>
      </c>
      <c r="X160" s="265"/>
      <c r="Y160" s="265"/>
      <c r="Z160" s="265"/>
      <c r="AA160" s="265"/>
      <c r="AB160" s="265"/>
      <c r="AC160" s="265"/>
      <c r="AD160" s="265"/>
      <c r="AE160" s="265"/>
      <c r="AF160" s="266"/>
      <c r="AG160" s="264" t="str">
        <f ca="1">'Financial Planning Tool'!FB135</f>
        <v/>
      </c>
      <c r="AH160" s="265"/>
      <c r="AI160" s="265"/>
      <c r="AJ160" s="265"/>
      <c r="AK160" s="265"/>
      <c r="AL160" s="265"/>
      <c r="AM160" s="265"/>
      <c r="AN160" s="265"/>
      <c r="AO160" s="265"/>
      <c r="AP160" s="266"/>
      <c r="AQ160" s="260" t="str">
        <f ca="1">'Financial Planning Tool'!FC135</f>
        <v/>
      </c>
      <c r="AR160" s="261"/>
      <c r="AS160" s="261"/>
      <c r="AT160" s="261"/>
      <c r="AU160" s="261"/>
      <c r="AV160" s="261"/>
      <c r="AW160" s="261"/>
      <c r="AX160" s="262"/>
      <c r="AY160" s="260" t="str">
        <f ca="1">'Financial Planning Tool'!FD135</f>
        <v/>
      </c>
      <c r="AZ160" s="261"/>
      <c r="BA160" s="261"/>
      <c r="BB160" s="261"/>
      <c r="BC160" s="261"/>
      <c r="BD160" s="261"/>
      <c r="BE160" s="261"/>
      <c r="BF160" s="262"/>
      <c r="BG160" s="267" t="str">
        <f ca="1">IFERROR(ROUND('Financial Planning Tool'!FE135,2),'Financial Planning Tool'!FE135)</f>
        <v/>
      </c>
      <c r="BH160" s="268"/>
      <c r="BI160" s="268"/>
      <c r="BJ160" s="268"/>
      <c r="BK160" s="268"/>
      <c r="BL160" s="268"/>
      <c r="BM160" s="268"/>
      <c r="BN160" s="269"/>
    </row>
    <row r="161" spans="2:66" x14ac:dyDescent="0.25">
      <c r="B161" s="160" t="str">
        <f ca="1">'Financial Planning Tool'!EY136</f>
        <v/>
      </c>
      <c r="C161" s="263"/>
      <c r="D161" s="263"/>
      <c r="E161" s="263"/>
      <c r="F161" s="263"/>
      <c r="G161" s="263"/>
      <c r="H161" s="263"/>
      <c r="I161" s="263"/>
      <c r="J161" s="263"/>
      <c r="K161" s="263"/>
      <c r="L161" s="263"/>
      <c r="M161" s="263"/>
      <c r="N161" s="263"/>
      <c r="O161" s="160" t="str">
        <f ca="1">'Financial Planning Tool'!EZ136</f>
        <v/>
      </c>
      <c r="P161" s="263"/>
      <c r="Q161" s="263"/>
      <c r="R161" s="263"/>
      <c r="S161" s="263"/>
      <c r="T161" s="263"/>
      <c r="U161" s="263"/>
      <c r="V161" s="161"/>
      <c r="W161" s="264" t="str">
        <f ca="1">'Financial Planning Tool'!FA136</f>
        <v/>
      </c>
      <c r="X161" s="265"/>
      <c r="Y161" s="265"/>
      <c r="Z161" s="265"/>
      <c r="AA161" s="265"/>
      <c r="AB161" s="265"/>
      <c r="AC161" s="265"/>
      <c r="AD161" s="265"/>
      <c r="AE161" s="265"/>
      <c r="AF161" s="266"/>
      <c r="AG161" s="264" t="str">
        <f ca="1">'Financial Planning Tool'!FB136</f>
        <v/>
      </c>
      <c r="AH161" s="265"/>
      <c r="AI161" s="265"/>
      <c r="AJ161" s="265"/>
      <c r="AK161" s="265"/>
      <c r="AL161" s="265"/>
      <c r="AM161" s="265"/>
      <c r="AN161" s="265"/>
      <c r="AO161" s="265"/>
      <c r="AP161" s="266"/>
      <c r="AQ161" s="260" t="str">
        <f ca="1">'Financial Planning Tool'!FC136</f>
        <v/>
      </c>
      <c r="AR161" s="261"/>
      <c r="AS161" s="261"/>
      <c r="AT161" s="261"/>
      <c r="AU161" s="261"/>
      <c r="AV161" s="261"/>
      <c r="AW161" s="261"/>
      <c r="AX161" s="262"/>
      <c r="AY161" s="260" t="str">
        <f ca="1">'Financial Planning Tool'!FD136</f>
        <v/>
      </c>
      <c r="AZ161" s="261"/>
      <c r="BA161" s="261"/>
      <c r="BB161" s="261"/>
      <c r="BC161" s="261"/>
      <c r="BD161" s="261"/>
      <c r="BE161" s="261"/>
      <c r="BF161" s="262"/>
      <c r="BG161" s="267" t="str">
        <f ca="1">IFERROR(ROUND('Financial Planning Tool'!FE136,2),'Financial Planning Tool'!FE136)</f>
        <v/>
      </c>
      <c r="BH161" s="268"/>
      <c r="BI161" s="268"/>
      <c r="BJ161" s="268"/>
      <c r="BK161" s="268"/>
      <c r="BL161" s="268"/>
      <c r="BM161" s="268"/>
      <c r="BN161" s="269"/>
    </row>
    <row r="162" spans="2:66" x14ac:dyDescent="0.25">
      <c r="B162" s="160" t="str">
        <f ca="1">'Financial Planning Tool'!EY137</f>
        <v/>
      </c>
      <c r="C162" s="263"/>
      <c r="D162" s="263"/>
      <c r="E162" s="263"/>
      <c r="F162" s="263"/>
      <c r="G162" s="263"/>
      <c r="H162" s="263"/>
      <c r="I162" s="263"/>
      <c r="J162" s="263"/>
      <c r="K162" s="263"/>
      <c r="L162" s="263"/>
      <c r="M162" s="263"/>
      <c r="N162" s="263"/>
      <c r="O162" s="160" t="str">
        <f ca="1">'Financial Planning Tool'!EZ137</f>
        <v/>
      </c>
      <c r="P162" s="263"/>
      <c r="Q162" s="263"/>
      <c r="R162" s="263"/>
      <c r="S162" s="263"/>
      <c r="T162" s="263"/>
      <c r="U162" s="263"/>
      <c r="V162" s="161"/>
      <c r="W162" s="264" t="str">
        <f ca="1">'Financial Planning Tool'!FA137</f>
        <v/>
      </c>
      <c r="X162" s="265"/>
      <c r="Y162" s="265"/>
      <c r="Z162" s="265"/>
      <c r="AA162" s="265"/>
      <c r="AB162" s="265"/>
      <c r="AC162" s="265"/>
      <c r="AD162" s="265"/>
      <c r="AE162" s="265"/>
      <c r="AF162" s="266"/>
      <c r="AG162" s="264" t="str">
        <f ca="1">'Financial Planning Tool'!FB137</f>
        <v/>
      </c>
      <c r="AH162" s="265"/>
      <c r="AI162" s="265"/>
      <c r="AJ162" s="265"/>
      <c r="AK162" s="265"/>
      <c r="AL162" s="265"/>
      <c r="AM162" s="265"/>
      <c r="AN162" s="265"/>
      <c r="AO162" s="265"/>
      <c r="AP162" s="266"/>
      <c r="AQ162" s="260" t="str">
        <f ca="1">'Financial Planning Tool'!FC137</f>
        <v/>
      </c>
      <c r="AR162" s="261"/>
      <c r="AS162" s="261"/>
      <c r="AT162" s="261"/>
      <c r="AU162" s="261"/>
      <c r="AV162" s="261"/>
      <c r="AW162" s="261"/>
      <c r="AX162" s="262"/>
      <c r="AY162" s="260" t="str">
        <f ca="1">'Financial Planning Tool'!FD137</f>
        <v/>
      </c>
      <c r="AZ162" s="261"/>
      <c r="BA162" s="261"/>
      <c r="BB162" s="261"/>
      <c r="BC162" s="261"/>
      <c r="BD162" s="261"/>
      <c r="BE162" s="261"/>
      <c r="BF162" s="262"/>
      <c r="BG162" s="267" t="str">
        <f ca="1">IFERROR(ROUND('Financial Planning Tool'!FE137,2),'Financial Planning Tool'!FE137)</f>
        <v/>
      </c>
      <c r="BH162" s="268"/>
      <c r="BI162" s="268"/>
      <c r="BJ162" s="268"/>
      <c r="BK162" s="268"/>
      <c r="BL162" s="268"/>
      <c r="BM162" s="268"/>
      <c r="BN162" s="269"/>
    </row>
    <row r="163" spans="2:66" x14ac:dyDescent="0.25">
      <c r="B163" s="160" t="str">
        <f ca="1">'Financial Planning Tool'!EY138</f>
        <v/>
      </c>
      <c r="C163" s="263"/>
      <c r="D163" s="263"/>
      <c r="E163" s="263"/>
      <c r="F163" s="263"/>
      <c r="G163" s="263"/>
      <c r="H163" s="263"/>
      <c r="I163" s="263"/>
      <c r="J163" s="263"/>
      <c r="K163" s="263"/>
      <c r="L163" s="263"/>
      <c r="M163" s="263"/>
      <c r="N163" s="263"/>
      <c r="O163" s="160" t="str">
        <f ca="1">'Financial Planning Tool'!EZ138</f>
        <v/>
      </c>
      <c r="P163" s="263"/>
      <c r="Q163" s="263"/>
      <c r="R163" s="263"/>
      <c r="S163" s="263"/>
      <c r="T163" s="263"/>
      <c r="U163" s="263"/>
      <c r="V163" s="161"/>
      <c r="W163" s="264" t="str">
        <f ca="1">'Financial Planning Tool'!FA138</f>
        <v/>
      </c>
      <c r="X163" s="265"/>
      <c r="Y163" s="265"/>
      <c r="Z163" s="265"/>
      <c r="AA163" s="265"/>
      <c r="AB163" s="265"/>
      <c r="AC163" s="265"/>
      <c r="AD163" s="265"/>
      <c r="AE163" s="265"/>
      <c r="AF163" s="266"/>
      <c r="AG163" s="264" t="str">
        <f ca="1">'Financial Planning Tool'!FB138</f>
        <v/>
      </c>
      <c r="AH163" s="265"/>
      <c r="AI163" s="265"/>
      <c r="AJ163" s="265"/>
      <c r="AK163" s="265"/>
      <c r="AL163" s="265"/>
      <c r="AM163" s="265"/>
      <c r="AN163" s="265"/>
      <c r="AO163" s="265"/>
      <c r="AP163" s="266"/>
      <c r="AQ163" s="260" t="str">
        <f ca="1">'Financial Planning Tool'!FC138</f>
        <v/>
      </c>
      <c r="AR163" s="261"/>
      <c r="AS163" s="261"/>
      <c r="AT163" s="261"/>
      <c r="AU163" s="261"/>
      <c r="AV163" s="261"/>
      <c r="AW163" s="261"/>
      <c r="AX163" s="262"/>
      <c r="AY163" s="260" t="str">
        <f ca="1">'Financial Planning Tool'!FD138</f>
        <v/>
      </c>
      <c r="AZ163" s="261"/>
      <c r="BA163" s="261"/>
      <c r="BB163" s="261"/>
      <c r="BC163" s="261"/>
      <c r="BD163" s="261"/>
      <c r="BE163" s="261"/>
      <c r="BF163" s="262"/>
      <c r="BG163" s="267" t="str">
        <f ca="1">IFERROR(ROUND('Financial Planning Tool'!FE138,2),'Financial Planning Tool'!FE138)</f>
        <v/>
      </c>
      <c r="BH163" s="268"/>
      <c r="BI163" s="268"/>
      <c r="BJ163" s="268"/>
      <c r="BK163" s="268"/>
      <c r="BL163" s="268"/>
      <c r="BM163" s="268"/>
      <c r="BN163" s="269"/>
    </row>
    <row r="164" spans="2:66" x14ac:dyDescent="0.25">
      <c r="B164" s="160" t="str">
        <f ca="1">'Financial Planning Tool'!EY139</f>
        <v/>
      </c>
      <c r="C164" s="263"/>
      <c r="D164" s="263"/>
      <c r="E164" s="263"/>
      <c r="F164" s="263"/>
      <c r="G164" s="263"/>
      <c r="H164" s="263"/>
      <c r="I164" s="263"/>
      <c r="J164" s="263"/>
      <c r="K164" s="263"/>
      <c r="L164" s="263"/>
      <c r="M164" s="263"/>
      <c r="N164" s="263"/>
      <c r="O164" s="160" t="str">
        <f ca="1">'Financial Planning Tool'!EZ139</f>
        <v/>
      </c>
      <c r="P164" s="263"/>
      <c r="Q164" s="263"/>
      <c r="R164" s="263"/>
      <c r="S164" s="263"/>
      <c r="T164" s="263"/>
      <c r="U164" s="263"/>
      <c r="V164" s="161"/>
      <c r="W164" s="264" t="str">
        <f ca="1">'Financial Planning Tool'!FA139</f>
        <v/>
      </c>
      <c r="X164" s="265"/>
      <c r="Y164" s="265"/>
      <c r="Z164" s="265"/>
      <c r="AA164" s="265"/>
      <c r="AB164" s="265"/>
      <c r="AC164" s="265"/>
      <c r="AD164" s="265"/>
      <c r="AE164" s="265"/>
      <c r="AF164" s="266"/>
      <c r="AG164" s="264" t="str">
        <f ca="1">'Financial Planning Tool'!FB139</f>
        <v/>
      </c>
      <c r="AH164" s="265"/>
      <c r="AI164" s="265"/>
      <c r="AJ164" s="265"/>
      <c r="AK164" s="265"/>
      <c r="AL164" s="265"/>
      <c r="AM164" s="265"/>
      <c r="AN164" s="265"/>
      <c r="AO164" s="265"/>
      <c r="AP164" s="266"/>
      <c r="AQ164" s="260" t="str">
        <f ca="1">'Financial Planning Tool'!FC139</f>
        <v/>
      </c>
      <c r="AR164" s="261"/>
      <c r="AS164" s="261"/>
      <c r="AT164" s="261"/>
      <c r="AU164" s="261"/>
      <c r="AV164" s="261"/>
      <c r="AW164" s="261"/>
      <c r="AX164" s="262"/>
      <c r="AY164" s="260" t="str">
        <f ca="1">'Financial Planning Tool'!FD139</f>
        <v/>
      </c>
      <c r="AZ164" s="261"/>
      <c r="BA164" s="261"/>
      <c r="BB164" s="261"/>
      <c r="BC164" s="261"/>
      <c r="BD164" s="261"/>
      <c r="BE164" s="261"/>
      <c r="BF164" s="262"/>
      <c r="BG164" s="267" t="str">
        <f ca="1">IFERROR(ROUND('Financial Planning Tool'!FE139,2),'Financial Planning Tool'!FE139)</f>
        <v/>
      </c>
      <c r="BH164" s="268"/>
      <c r="BI164" s="268"/>
      <c r="BJ164" s="268"/>
      <c r="BK164" s="268"/>
      <c r="BL164" s="268"/>
      <c r="BM164" s="268"/>
      <c r="BN164" s="269"/>
    </row>
    <row r="165" spans="2:66" x14ac:dyDescent="0.25">
      <c r="B165" s="160" t="str">
        <f ca="1">'Financial Planning Tool'!EY140</f>
        <v/>
      </c>
      <c r="C165" s="263"/>
      <c r="D165" s="263"/>
      <c r="E165" s="263"/>
      <c r="F165" s="263"/>
      <c r="G165" s="263"/>
      <c r="H165" s="263"/>
      <c r="I165" s="263"/>
      <c r="J165" s="263"/>
      <c r="K165" s="263"/>
      <c r="L165" s="263"/>
      <c r="M165" s="263"/>
      <c r="N165" s="263"/>
      <c r="O165" s="160" t="str">
        <f ca="1">'Financial Planning Tool'!EZ140</f>
        <v/>
      </c>
      <c r="P165" s="263"/>
      <c r="Q165" s="263"/>
      <c r="R165" s="263"/>
      <c r="S165" s="263"/>
      <c r="T165" s="263"/>
      <c r="U165" s="263"/>
      <c r="V165" s="161"/>
      <c r="W165" s="264" t="str">
        <f ca="1">'Financial Planning Tool'!FA140</f>
        <v/>
      </c>
      <c r="X165" s="265"/>
      <c r="Y165" s="265"/>
      <c r="Z165" s="265"/>
      <c r="AA165" s="265"/>
      <c r="AB165" s="265"/>
      <c r="AC165" s="265"/>
      <c r="AD165" s="265"/>
      <c r="AE165" s="265"/>
      <c r="AF165" s="266"/>
      <c r="AG165" s="264" t="str">
        <f ca="1">'Financial Planning Tool'!FB140</f>
        <v/>
      </c>
      <c r="AH165" s="265"/>
      <c r="AI165" s="265"/>
      <c r="AJ165" s="265"/>
      <c r="AK165" s="265"/>
      <c r="AL165" s="265"/>
      <c r="AM165" s="265"/>
      <c r="AN165" s="265"/>
      <c r="AO165" s="265"/>
      <c r="AP165" s="266"/>
      <c r="AQ165" s="260" t="str">
        <f ca="1">'Financial Planning Tool'!FC140</f>
        <v/>
      </c>
      <c r="AR165" s="261"/>
      <c r="AS165" s="261"/>
      <c r="AT165" s="261"/>
      <c r="AU165" s="261"/>
      <c r="AV165" s="261"/>
      <c r="AW165" s="261"/>
      <c r="AX165" s="262"/>
      <c r="AY165" s="260" t="str">
        <f ca="1">'Financial Planning Tool'!FD140</f>
        <v/>
      </c>
      <c r="AZ165" s="261"/>
      <c r="BA165" s="261"/>
      <c r="BB165" s="261"/>
      <c r="BC165" s="261"/>
      <c r="BD165" s="261"/>
      <c r="BE165" s="261"/>
      <c r="BF165" s="262"/>
      <c r="BG165" s="267" t="str">
        <f ca="1">IFERROR(ROUND('Financial Planning Tool'!FE140,2),'Financial Planning Tool'!FE140)</f>
        <v/>
      </c>
      <c r="BH165" s="268"/>
      <c r="BI165" s="268"/>
      <c r="BJ165" s="268"/>
      <c r="BK165" s="268"/>
      <c r="BL165" s="268"/>
      <c r="BM165" s="268"/>
      <c r="BN165" s="269"/>
    </row>
    <row r="166" spans="2:66" x14ac:dyDescent="0.25">
      <c r="B166" s="160" t="str">
        <f ca="1">'Financial Planning Tool'!EY141</f>
        <v/>
      </c>
      <c r="C166" s="263"/>
      <c r="D166" s="263"/>
      <c r="E166" s="263"/>
      <c r="F166" s="263"/>
      <c r="G166" s="263"/>
      <c r="H166" s="263"/>
      <c r="I166" s="263"/>
      <c r="J166" s="263"/>
      <c r="K166" s="263"/>
      <c r="L166" s="263"/>
      <c r="M166" s="263"/>
      <c r="N166" s="263"/>
      <c r="O166" s="160" t="str">
        <f ca="1">'Financial Planning Tool'!EZ141</f>
        <v/>
      </c>
      <c r="P166" s="263"/>
      <c r="Q166" s="263"/>
      <c r="R166" s="263"/>
      <c r="S166" s="263"/>
      <c r="T166" s="263"/>
      <c r="U166" s="263"/>
      <c r="V166" s="161"/>
      <c r="W166" s="264" t="str">
        <f ca="1">'Financial Planning Tool'!FA141</f>
        <v/>
      </c>
      <c r="X166" s="265"/>
      <c r="Y166" s="265"/>
      <c r="Z166" s="265"/>
      <c r="AA166" s="265"/>
      <c r="AB166" s="265"/>
      <c r="AC166" s="265"/>
      <c r="AD166" s="265"/>
      <c r="AE166" s="265"/>
      <c r="AF166" s="266"/>
      <c r="AG166" s="264" t="str">
        <f ca="1">'Financial Planning Tool'!FB141</f>
        <v/>
      </c>
      <c r="AH166" s="265"/>
      <c r="AI166" s="265"/>
      <c r="AJ166" s="265"/>
      <c r="AK166" s="265"/>
      <c r="AL166" s="265"/>
      <c r="AM166" s="265"/>
      <c r="AN166" s="265"/>
      <c r="AO166" s="265"/>
      <c r="AP166" s="266"/>
      <c r="AQ166" s="260" t="str">
        <f ca="1">'Financial Planning Tool'!FC141</f>
        <v/>
      </c>
      <c r="AR166" s="261"/>
      <c r="AS166" s="261"/>
      <c r="AT166" s="261"/>
      <c r="AU166" s="261"/>
      <c r="AV166" s="261"/>
      <c r="AW166" s="261"/>
      <c r="AX166" s="262"/>
      <c r="AY166" s="260" t="str">
        <f ca="1">'Financial Planning Tool'!FD141</f>
        <v/>
      </c>
      <c r="AZ166" s="261"/>
      <c r="BA166" s="261"/>
      <c r="BB166" s="261"/>
      <c r="BC166" s="261"/>
      <c r="BD166" s="261"/>
      <c r="BE166" s="261"/>
      <c r="BF166" s="262"/>
      <c r="BG166" s="267" t="str">
        <f ca="1">IFERROR(ROUND('Financial Planning Tool'!FE141,2),'Financial Planning Tool'!FE141)</f>
        <v/>
      </c>
      <c r="BH166" s="268"/>
      <c r="BI166" s="268"/>
      <c r="BJ166" s="268"/>
      <c r="BK166" s="268"/>
      <c r="BL166" s="268"/>
      <c r="BM166" s="268"/>
      <c r="BN166" s="269"/>
    </row>
    <row r="167" spans="2:66" x14ac:dyDescent="0.25">
      <c r="B167" s="160" t="str">
        <f ca="1">'Financial Planning Tool'!EY142</f>
        <v/>
      </c>
      <c r="C167" s="263"/>
      <c r="D167" s="263"/>
      <c r="E167" s="263"/>
      <c r="F167" s="263"/>
      <c r="G167" s="263"/>
      <c r="H167" s="263"/>
      <c r="I167" s="263"/>
      <c r="J167" s="263"/>
      <c r="K167" s="263"/>
      <c r="L167" s="263"/>
      <c r="M167" s="263"/>
      <c r="N167" s="263"/>
      <c r="O167" s="160" t="str">
        <f ca="1">'Financial Planning Tool'!EZ142</f>
        <v/>
      </c>
      <c r="P167" s="263"/>
      <c r="Q167" s="263"/>
      <c r="R167" s="263"/>
      <c r="S167" s="263"/>
      <c r="T167" s="263"/>
      <c r="U167" s="263"/>
      <c r="V167" s="161"/>
      <c r="W167" s="264" t="str">
        <f ca="1">'Financial Planning Tool'!FA142</f>
        <v/>
      </c>
      <c r="X167" s="265"/>
      <c r="Y167" s="265"/>
      <c r="Z167" s="265"/>
      <c r="AA167" s="265"/>
      <c r="AB167" s="265"/>
      <c r="AC167" s="265"/>
      <c r="AD167" s="265"/>
      <c r="AE167" s="265"/>
      <c r="AF167" s="266"/>
      <c r="AG167" s="264" t="str">
        <f ca="1">'Financial Planning Tool'!FB142</f>
        <v/>
      </c>
      <c r="AH167" s="265"/>
      <c r="AI167" s="265"/>
      <c r="AJ167" s="265"/>
      <c r="AK167" s="265"/>
      <c r="AL167" s="265"/>
      <c r="AM167" s="265"/>
      <c r="AN167" s="265"/>
      <c r="AO167" s="265"/>
      <c r="AP167" s="266"/>
      <c r="AQ167" s="260" t="str">
        <f ca="1">'Financial Planning Tool'!FC142</f>
        <v/>
      </c>
      <c r="AR167" s="261"/>
      <c r="AS167" s="261"/>
      <c r="AT167" s="261"/>
      <c r="AU167" s="261"/>
      <c r="AV167" s="261"/>
      <c r="AW167" s="261"/>
      <c r="AX167" s="262"/>
      <c r="AY167" s="260" t="str">
        <f ca="1">'Financial Planning Tool'!FD142</f>
        <v/>
      </c>
      <c r="AZ167" s="261"/>
      <c r="BA167" s="261"/>
      <c r="BB167" s="261"/>
      <c r="BC167" s="261"/>
      <c r="BD167" s="261"/>
      <c r="BE167" s="261"/>
      <c r="BF167" s="262"/>
      <c r="BG167" s="267" t="str">
        <f ca="1">IFERROR(ROUND('Financial Planning Tool'!FE142,2),'Financial Planning Tool'!FE142)</f>
        <v/>
      </c>
      <c r="BH167" s="268"/>
      <c r="BI167" s="268"/>
      <c r="BJ167" s="268"/>
      <c r="BK167" s="268"/>
      <c r="BL167" s="268"/>
      <c r="BM167" s="268"/>
      <c r="BN167" s="269"/>
    </row>
    <row r="168" spans="2:66" x14ac:dyDescent="0.25">
      <c r="B168" s="160" t="str">
        <f ca="1">'Financial Planning Tool'!EY143</f>
        <v/>
      </c>
      <c r="C168" s="263"/>
      <c r="D168" s="263"/>
      <c r="E168" s="263"/>
      <c r="F168" s="263"/>
      <c r="G168" s="263"/>
      <c r="H168" s="263"/>
      <c r="I168" s="263"/>
      <c r="J168" s="263"/>
      <c r="K168" s="263"/>
      <c r="L168" s="263"/>
      <c r="M168" s="263"/>
      <c r="N168" s="263"/>
      <c r="O168" s="160" t="str">
        <f ca="1">'Financial Planning Tool'!EZ143</f>
        <v/>
      </c>
      <c r="P168" s="263"/>
      <c r="Q168" s="263"/>
      <c r="R168" s="263"/>
      <c r="S168" s="263"/>
      <c r="T168" s="263"/>
      <c r="U168" s="263"/>
      <c r="V168" s="161"/>
      <c r="W168" s="264" t="str">
        <f ca="1">'Financial Planning Tool'!FA143</f>
        <v/>
      </c>
      <c r="X168" s="265"/>
      <c r="Y168" s="265"/>
      <c r="Z168" s="265"/>
      <c r="AA168" s="265"/>
      <c r="AB168" s="265"/>
      <c r="AC168" s="265"/>
      <c r="AD168" s="265"/>
      <c r="AE168" s="265"/>
      <c r="AF168" s="266"/>
      <c r="AG168" s="264" t="str">
        <f ca="1">'Financial Planning Tool'!FB143</f>
        <v/>
      </c>
      <c r="AH168" s="265"/>
      <c r="AI168" s="265"/>
      <c r="AJ168" s="265"/>
      <c r="AK168" s="265"/>
      <c r="AL168" s="265"/>
      <c r="AM168" s="265"/>
      <c r="AN168" s="265"/>
      <c r="AO168" s="265"/>
      <c r="AP168" s="266"/>
      <c r="AQ168" s="260" t="str">
        <f ca="1">'Financial Planning Tool'!FC143</f>
        <v/>
      </c>
      <c r="AR168" s="261"/>
      <c r="AS168" s="261"/>
      <c r="AT168" s="261"/>
      <c r="AU168" s="261"/>
      <c r="AV168" s="261"/>
      <c r="AW168" s="261"/>
      <c r="AX168" s="262"/>
      <c r="AY168" s="260" t="str">
        <f ca="1">'Financial Planning Tool'!FD143</f>
        <v/>
      </c>
      <c r="AZ168" s="261"/>
      <c r="BA168" s="261"/>
      <c r="BB168" s="261"/>
      <c r="BC168" s="261"/>
      <c r="BD168" s="261"/>
      <c r="BE168" s="261"/>
      <c r="BF168" s="262"/>
      <c r="BG168" s="267" t="str">
        <f ca="1">IFERROR(ROUND('Financial Planning Tool'!FE143,2),'Financial Planning Tool'!FE143)</f>
        <v/>
      </c>
      <c r="BH168" s="268"/>
      <c r="BI168" s="268"/>
      <c r="BJ168" s="268"/>
      <c r="BK168" s="268"/>
      <c r="BL168" s="268"/>
      <c r="BM168" s="268"/>
      <c r="BN168" s="269"/>
    </row>
    <row r="169" spans="2:66" x14ac:dyDescent="0.25">
      <c r="B169" s="160" t="str">
        <f ca="1">'Financial Planning Tool'!EY144</f>
        <v/>
      </c>
      <c r="C169" s="263"/>
      <c r="D169" s="263"/>
      <c r="E169" s="263"/>
      <c r="F169" s="263"/>
      <c r="G169" s="263"/>
      <c r="H169" s="263"/>
      <c r="I169" s="263"/>
      <c r="J169" s="263"/>
      <c r="K169" s="263"/>
      <c r="L169" s="263"/>
      <c r="M169" s="263"/>
      <c r="N169" s="263"/>
      <c r="O169" s="160" t="str">
        <f ca="1">'Financial Planning Tool'!EZ144</f>
        <v/>
      </c>
      <c r="P169" s="263"/>
      <c r="Q169" s="263"/>
      <c r="R169" s="263"/>
      <c r="S169" s="263"/>
      <c r="T169" s="263"/>
      <c r="U169" s="263"/>
      <c r="V169" s="161"/>
      <c r="W169" s="264" t="str">
        <f ca="1">'Financial Planning Tool'!FA144</f>
        <v/>
      </c>
      <c r="X169" s="265"/>
      <c r="Y169" s="265"/>
      <c r="Z169" s="265"/>
      <c r="AA169" s="265"/>
      <c r="AB169" s="265"/>
      <c r="AC169" s="265"/>
      <c r="AD169" s="265"/>
      <c r="AE169" s="265"/>
      <c r="AF169" s="266"/>
      <c r="AG169" s="264" t="str">
        <f ca="1">'Financial Planning Tool'!FB144</f>
        <v/>
      </c>
      <c r="AH169" s="265"/>
      <c r="AI169" s="265"/>
      <c r="AJ169" s="265"/>
      <c r="AK169" s="265"/>
      <c r="AL169" s="265"/>
      <c r="AM169" s="265"/>
      <c r="AN169" s="265"/>
      <c r="AO169" s="265"/>
      <c r="AP169" s="266"/>
      <c r="AQ169" s="260" t="str">
        <f ca="1">'Financial Planning Tool'!FC144</f>
        <v/>
      </c>
      <c r="AR169" s="261"/>
      <c r="AS169" s="261"/>
      <c r="AT169" s="261"/>
      <c r="AU169" s="261"/>
      <c r="AV169" s="261"/>
      <c r="AW169" s="261"/>
      <c r="AX169" s="262"/>
      <c r="AY169" s="260" t="str">
        <f ca="1">'Financial Planning Tool'!FD144</f>
        <v/>
      </c>
      <c r="AZ169" s="261"/>
      <c r="BA169" s="261"/>
      <c r="BB169" s="261"/>
      <c r="BC169" s="261"/>
      <c r="BD169" s="261"/>
      <c r="BE169" s="261"/>
      <c r="BF169" s="262"/>
      <c r="BG169" s="267" t="str">
        <f ca="1">IFERROR(ROUND('Financial Planning Tool'!FE144,2),'Financial Planning Tool'!FE144)</f>
        <v/>
      </c>
      <c r="BH169" s="268"/>
      <c r="BI169" s="268"/>
      <c r="BJ169" s="268"/>
      <c r="BK169" s="268"/>
      <c r="BL169" s="268"/>
      <c r="BM169" s="268"/>
      <c r="BN169" s="269"/>
    </row>
    <row r="170" spans="2:66" x14ac:dyDescent="0.25">
      <c r="B170" s="160" t="str">
        <f ca="1">'Financial Planning Tool'!EY145</f>
        <v/>
      </c>
      <c r="C170" s="263"/>
      <c r="D170" s="263"/>
      <c r="E170" s="263"/>
      <c r="F170" s="263"/>
      <c r="G170" s="263"/>
      <c r="H170" s="263"/>
      <c r="I170" s="263"/>
      <c r="J170" s="263"/>
      <c r="K170" s="263"/>
      <c r="L170" s="263"/>
      <c r="M170" s="263"/>
      <c r="N170" s="263"/>
      <c r="O170" s="160" t="str">
        <f ca="1">'Financial Planning Tool'!EZ145</f>
        <v/>
      </c>
      <c r="P170" s="263"/>
      <c r="Q170" s="263"/>
      <c r="R170" s="263"/>
      <c r="S170" s="263"/>
      <c r="T170" s="263"/>
      <c r="U170" s="263"/>
      <c r="V170" s="161"/>
      <c r="W170" s="264" t="str">
        <f ca="1">'Financial Planning Tool'!FA145</f>
        <v/>
      </c>
      <c r="X170" s="265"/>
      <c r="Y170" s="265"/>
      <c r="Z170" s="265"/>
      <c r="AA170" s="265"/>
      <c r="AB170" s="265"/>
      <c r="AC170" s="265"/>
      <c r="AD170" s="265"/>
      <c r="AE170" s="265"/>
      <c r="AF170" s="266"/>
      <c r="AG170" s="264" t="str">
        <f ca="1">'Financial Planning Tool'!FB145</f>
        <v/>
      </c>
      <c r="AH170" s="265"/>
      <c r="AI170" s="265"/>
      <c r="AJ170" s="265"/>
      <c r="AK170" s="265"/>
      <c r="AL170" s="265"/>
      <c r="AM170" s="265"/>
      <c r="AN170" s="265"/>
      <c r="AO170" s="265"/>
      <c r="AP170" s="266"/>
      <c r="AQ170" s="260" t="str">
        <f ca="1">'Financial Planning Tool'!FC145</f>
        <v/>
      </c>
      <c r="AR170" s="261"/>
      <c r="AS170" s="261"/>
      <c r="AT170" s="261"/>
      <c r="AU170" s="261"/>
      <c r="AV170" s="261"/>
      <c r="AW170" s="261"/>
      <c r="AX170" s="262"/>
      <c r="AY170" s="260" t="str">
        <f ca="1">'Financial Planning Tool'!FD145</f>
        <v/>
      </c>
      <c r="AZ170" s="261"/>
      <c r="BA170" s="261"/>
      <c r="BB170" s="261"/>
      <c r="BC170" s="261"/>
      <c r="BD170" s="261"/>
      <c r="BE170" s="261"/>
      <c r="BF170" s="262"/>
      <c r="BG170" s="267" t="str">
        <f ca="1">IFERROR(ROUND('Financial Planning Tool'!FE145,2),'Financial Planning Tool'!FE145)</f>
        <v/>
      </c>
      <c r="BH170" s="268"/>
      <c r="BI170" s="268"/>
      <c r="BJ170" s="268"/>
      <c r="BK170" s="268"/>
      <c r="BL170" s="268"/>
      <c r="BM170" s="268"/>
      <c r="BN170" s="269"/>
    </row>
    <row r="171" spans="2:66" x14ac:dyDescent="0.25">
      <c r="B171" s="160" t="str">
        <f ca="1">'Financial Planning Tool'!EY146</f>
        <v/>
      </c>
      <c r="C171" s="263"/>
      <c r="D171" s="263"/>
      <c r="E171" s="263"/>
      <c r="F171" s="263"/>
      <c r="G171" s="263"/>
      <c r="H171" s="263"/>
      <c r="I171" s="263"/>
      <c r="J171" s="263"/>
      <c r="K171" s="263"/>
      <c r="L171" s="263"/>
      <c r="M171" s="263"/>
      <c r="N171" s="263"/>
      <c r="O171" s="160" t="str">
        <f ca="1">'Financial Planning Tool'!EZ146</f>
        <v/>
      </c>
      <c r="P171" s="263"/>
      <c r="Q171" s="263"/>
      <c r="R171" s="263"/>
      <c r="S171" s="263"/>
      <c r="T171" s="263"/>
      <c r="U171" s="263"/>
      <c r="V171" s="161"/>
      <c r="W171" s="264" t="str">
        <f ca="1">'Financial Planning Tool'!FA146</f>
        <v/>
      </c>
      <c r="X171" s="265"/>
      <c r="Y171" s="265"/>
      <c r="Z171" s="265"/>
      <c r="AA171" s="265"/>
      <c r="AB171" s="265"/>
      <c r="AC171" s="265"/>
      <c r="AD171" s="265"/>
      <c r="AE171" s="265"/>
      <c r="AF171" s="266"/>
      <c r="AG171" s="264" t="str">
        <f ca="1">'Financial Planning Tool'!FB146</f>
        <v/>
      </c>
      <c r="AH171" s="265"/>
      <c r="AI171" s="265"/>
      <c r="AJ171" s="265"/>
      <c r="AK171" s="265"/>
      <c r="AL171" s="265"/>
      <c r="AM171" s="265"/>
      <c r="AN171" s="265"/>
      <c r="AO171" s="265"/>
      <c r="AP171" s="266"/>
      <c r="AQ171" s="260" t="str">
        <f ca="1">'Financial Planning Tool'!FC146</f>
        <v/>
      </c>
      <c r="AR171" s="261"/>
      <c r="AS171" s="261"/>
      <c r="AT171" s="261"/>
      <c r="AU171" s="261"/>
      <c r="AV171" s="261"/>
      <c r="AW171" s="261"/>
      <c r="AX171" s="262"/>
      <c r="AY171" s="260" t="str">
        <f ca="1">'Financial Planning Tool'!FD146</f>
        <v/>
      </c>
      <c r="AZ171" s="261"/>
      <c r="BA171" s="261"/>
      <c r="BB171" s="261"/>
      <c r="BC171" s="261"/>
      <c r="BD171" s="261"/>
      <c r="BE171" s="261"/>
      <c r="BF171" s="262"/>
      <c r="BG171" s="267" t="str">
        <f ca="1">IFERROR(ROUND('Financial Planning Tool'!FE146,2),'Financial Planning Tool'!FE146)</f>
        <v/>
      </c>
      <c r="BH171" s="268"/>
      <c r="BI171" s="268"/>
      <c r="BJ171" s="268"/>
      <c r="BK171" s="268"/>
      <c r="BL171" s="268"/>
      <c r="BM171" s="268"/>
      <c r="BN171" s="269"/>
    </row>
    <row r="172" spans="2:66" x14ac:dyDescent="0.25">
      <c r="B172" s="160" t="str">
        <f ca="1">'Financial Planning Tool'!EY147</f>
        <v/>
      </c>
      <c r="C172" s="263"/>
      <c r="D172" s="263"/>
      <c r="E172" s="263"/>
      <c r="F172" s="263"/>
      <c r="G172" s="263"/>
      <c r="H172" s="263"/>
      <c r="I172" s="263"/>
      <c r="J172" s="263"/>
      <c r="K172" s="263"/>
      <c r="L172" s="263"/>
      <c r="M172" s="263"/>
      <c r="N172" s="263"/>
      <c r="O172" s="160" t="str">
        <f ca="1">'Financial Planning Tool'!EZ147</f>
        <v/>
      </c>
      <c r="P172" s="263"/>
      <c r="Q172" s="263"/>
      <c r="R172" s="263"/>
      <c r="S172" s="263"/>
      <c r="T172" s="263"/>
      <c r="U172" s="263"/>
      <c r="V172" s="161"/>
      <c r="W172" s="264" t="str">
        <f ca="1">'Financial Planning Tool'!FA147</f>
        <v/>
      </c>
      <c r="X172" s="265"/>
      <c r="Y172" s="265"/>
      <c r="Z172" s="265"/>
      <c r="AA172" s="265"/>
      <c r="AB172" s="265"/>
      <c r="AC172" s="265"/>
      <c r="AD172" s="265"/>
      <c r="AE172" s="265"/>
      <c r="AF172" s="266"/>
      <c r="AG172" s="264" t="str">
        <f ca="1">'Financial Planning Tool'!FB147</f>
        <v/>
      </c>
      <c r="AH172" s="265"/>
      <c r="AI172" s="265"/>
      <c r="AJ172" s="265"/>
      <c r="AK172" s="265"/>
      <c r="AL172" s="265"/>
      <c r="AM172" s="265"/>
      <c r="AN172" s="265"/>
      <c r="AO172" s="265"/>
      <c r="AP172" s="266"/>
      <c r="AQ172" s="260" t="str">
        <f ca="1">'Financial Planning Tool'!FC147</f>
        <v/>
      </c>
      <c r="AR172" s="261"/>
      <c r="AS172" s="261"/>
      <c r="AT172" s="261"/>
      <c r="AU172" s="261"/>
      <c r="AV172" s="261"/>
      <c r="AW172" s="261"/>
      <c r="AX172" s="262"/>
      <c r="AY172" s="260" t="str">
        <f ca="1">'Financial Planning Tool'!FD147</f>
        <v/>
      </c>
      <c r="AZ172" s="261"/>
      <c r="BA172" s="261"/>
      <c r="BB172" s="261"/>
      <c r="BC172" s="261"/>
      <c r="BD172" s="261"/>
      <c r="BE172" s="261"/>
      <c r="BF172" s="262"/>
      <c r="BG172" s="267" t="str">
        <f ca="1">IFERROR(ROUND('Financial Planning Tool'!FE147,2),'Financial Planning Tool'!FE147)</f>
        <v/>
      </c>
      <c r="BH172" s="268"/>
      <c r="BI172" s="268"/>
      <c r="BJ172" s="268"/>
      <c r="BK172" s="268"/>
      <c r="BL172" s="268"/>
      <c r="BM172" s="268"/>
      <c r="BN172" s="269"/>
    </row>
    <row r="173" spans="2:66" x14ac:dyDescent="0.25">
      <c r="B173" s="160" t="str">
        <f ca="1">'Financial Planning Tool'!EY148</f>
        <v/>
      </c>
      <c r="C173" s="263"/>
      <c r="D173" s="263"/>
      <c r="E173" s="263"/>
      <c r="F173" s="263"/>
      <c r="G173" s="263"/>
      <c r="H173" s="263"/>
      <c r="I173" s="263"/>
      <c r="J173" s="263"/>
      <c r="K173" s="263"/>
      <c r="L173" s="263"/>
      <c r="M173" s="263"/>
      <c r="N173" s="263"/>
      <c r="O173" s="160" t="str">
        <f ca="1">'Financial Planning Tool'!EZ148</f>
        <v/>
      </c>
      <c r="P173" s="263"/>
      <c r="Q173" s="263"/>
      <c r="R173" s="263"/>
      <c r="S173" s="263"/>
      <c r="T173" s="263"/>
      <c r="U173" s="263"/>
      <c r="V173" s="161"/>
      <c r="W173" s="264" t="str">
        <f ca="1">'Financial Planning Tool'!FA148</f>
        <v/>
      </c>
      <c r="X173" s="265"/>
      <c r="Y173" s="265"/>
      <c r="Z173" s="265"/>
      <c r="AA173" s="265"/>
      <c r="AB173" s="265"/>
      <c r="AC173" s="265"/>
      <c r="AD173" s="265"/>
      <c r="AE173" s="265"/>
      <c r="AF173" s="266"/>
      <c r="AG173" s="264" t="str">
        <f ca="1">'Financial Planning Tool'!FB148</f>
        <v/>
      </c>
      <c r="AH173" s="265"/>
      <c r="AI173" s="265"/>
      <c r="AJ173" s="265"/>
      <c r="AK173" s="265"/>
      <c r="AL173" s="265"/>
      <c r="AM173" s="265"/>
      <c r="AN173" s="265"/>
      <c r="AO173" s="265"/>
      <c r="AP173" s="266"/>
      <c r="AQ173" s="260" t="str">
        <f ca="1">'Financial Planning Tool'!FC148</f>
        <v/>
      </c>
      <c r="AR173" s="261"/>
      <c r="AS173" s="261"/>
      <c r="AT173" s="261"/>
      <c r="AU173" s="261"/>
      <c r="AV173" s="261"/>
      <c r="AW173" s="261"/>
      <c r="AX173" s="262"/>
      <c r="AY173" s="260" t="str">
        <f ca="1">'Financial Planning Tool'!FD148</f>
        <v/>
      </c>
      <c r="AZ173" s="261"/>
      <c r="BA173" s="261"/>
      <c r="BB173" s="261"/>
      <c r="BC173" s="261"/>
      <c r="BD173" s="261"/>
      <c r="BE173" s="261"/>
      <c r="BF173" s="262"/>
      <c r="BG173" s="267" t="str">
        <f ca="1">IFERROR(ROUND('Financial Planning Tool'!FE148,2),'Financial Planning Tool'!FE148)</f>
        <v/>
      </c>
      <c r="BH173" s="268"/>
      <c r="BI173" s="268"/>
      <c r="BJ173" s="268"/>
      <c r="BK173" s="268"/>
      <c r="BL173" s="268"/>
      <c r="BM173" s="268"/>
      <c r="BN173" s="269"/>
    </row>
    <row r="174" spans="2:66" x14ac:dyDescent="0.25">
      <c r="B174" s="160" t="str">
        <f ca="1">'Financial Planning Tool'!EY149</f>
        <v/>
      </c>
      <c r="C174" s="263"/>
      <c r="D174" s="263"/>
      <c r="E174" s="263"/>
      <c r="F174" s="263"/>
      <c r="G174" s="263"/>
      <c r="H174" s="263"/>
      <c r="I174" s="263"/>
      <c r="J174" s="263"/>
      <c r="K174" s="263"/>
      <c r="L174" s="263"/>
      <c r="M174" s="263"/>
      <c r="N174" s="263"/>
      <c r="O174" s="160" t="str">
        <f ca="1">'Financial Planning Tool'!EZ149</f>
        <v/>
      </c>
      <c r="P174" s="263"/>
      <c r="Q174" s="263"/>
      <c r="R174" s="263"/>
      <c r="S174" s="263"/>
      <c r="T174" s="263"/>
      <c r="U174" s="263"/>
      <c r="V174" s="161"/>
      <c r="W174" s="264" t="str">
        <f ca="1">'Financial Planning Tool'!FA149</f>
        <v/>
      </c>
      <c r="X174" s="265"/>
      <c r="Y174" s="265"/>
      <c r="Z174" s="265"/>
      <c r="AA174" s="265"/>
      <c r="AB174" s="265"/>
      <c r="AC174" s="265"/>
      <c r="AD174" s="265"/>
      <c r="AE174" s="265"/>
      <c r="AF174" s="266"/>
      <c r="AG174" s="264" t="str">
        <f ca="1">'Financial Planning Tool'!FB149</f>
        <v/>
      </c>
      <c r="AH174" s="265"/>
      <c r="AI174" s="265"/>
      <c r="AJ174" s="265"/>
      <c r="AK174" s="265"/>
      <c r="AL174" s="265"/>
      <c r="AM174" s="265"/>
      <c r="AN174" s="265"/>
      <c r="AO174" s="265"/>
      <c r="AP174" s="266"/>
      <c r="AQ174" s="260" t="str">
        <f ca="1">'Financial Planning Tool'!FC149</f>
        <v/>
      </c>
      <c r="AR174" s="261"/>
      <c r="AS174" s="261"/>
      <c r="AT174" s="261"/>
      <c r="AU174" s="261"/>
      <c r="AV174" s="261"/>
      <c r="AW174" s="261"/>
      <c r="AX174" s="262"/>
      <c r="AY174" s="260" t="str">
        <f ca="1">'Financial Planning Tool'!FD149</f>
        <v/>
      </c>
      <c r="AZ174" s="261"/>
      <c r="BA174" s="261"/>
      <c r="BB174" s="261"/>
      <c r="BC174" s="261"/>
      <c r="BD174" s="261"/>
      <c r="BE174" s="261"/>
      <c r="BF174" s="262"/>
      <c r="BG174" s="267" t="str">
        <f ca="1">IFERROR(ROUND('Financial Planning Tool'!FE149,2),'Financial Planning Tool'!FE149)</f>
        <v/>
      </c>
      <c r="BH174" s="268"/>
      <c r="BI174" s="268"/>
      <c r="BJ174" s="268"/>
      <c r="BK174" s="268"/>
      <c r="BL174" s="268"/>
      <c r="BM174" s="268"/>
      <c r="BN174" s="269"/>
    </row>
    <row r="175" spans="2:66" x14ac:dyDescent="0.25">
      <c r="B175" s="160" t="str">
        <f ca="1">'Financial Planning Tool'!EY150</f>
        <v/>
      </c>
      <c r="C175" s="263"/>
      <c r="D175" s="263"/>
      <c r="E175" s="263"/>
      <c r="F175" s="263"/>
      <c r="G175" s="263"/>
      <c r="H175" s="263"/>
      <c r="I175" s="263"/>
      <c r="J175" s="263"/>
      <c r="K175" s="263"/>
      <c r="L175" s="263"/>
      <c r="M175" s="263"/>
      <c r="N175" s="263"/>
      <c r="O175" s="160" t="str">
        <f ca="1">'Financial Planning Tool'!EZ150</f>
        <v/>
      </c>
      <c r="P175" s="263"/>
      <c r="Q175" s="263"/>
      <c r="R175" s="263"/>
      <c r="S175" s="263"/>
      <c r="T175" s="263"/>
      <c r="U175" s="263"/>
      <c r="V175" s="161"/>
      <c r="W175" s="264" t="str">
        <f ca="1">'Financial Planning Tool'!FA150</f>
        <v/>
      </c>
      <c r="X175" s="265"/>
      <c r="Y175" s="265"/>
      <c r="Z175" s="265"/>
      <c r="AA175" s="265"/>
      <c r="AB175" s="265"/>
      <c r="AC175" s="265"/>
      <c r="AD175" s="265"/>
      <c r="AE175" s="265"/>
      <c r="AF175" s="266"/>
      <c r="AG175" s="264" t="str">
        <f ca="1">'Financial Planning Tool'!FB150</f>
        <v/>
      </c>
      <c r="AH175" s="265"/>
      <c r="AI175" s="265"/>
      <c r="AJ175" s="265"/>
      <c r="AK175" s="265"/>
      <c r="AL175" s="265"/>
      <c r="AM175" s="265"/>
      <c r="AN175" s="265"/>
      <c r="AO175" s="265"/>
      <c r="AP175" s="266"/>
      <c r="AQ175" s="260" t="str">
        <f ca="1">'Financial Planning Tool'!FC150</f>
        <v/>
      </c>
      <c r="AR175" s="261"/>
      <c r="AS175" s="261"/>
      <c r="AT175" s="261"/>
      <c r="AU175" s="261"/>
      <c r="AV175" s="261"/>
      <c r="AW175" s="261"/>
      <c r="AX175" s="262"/>
      <c r="AY175" s="260" t="str">
        <f ca="1">'Financial Planning Tool'!FD150</f>
        <v/>
      </c>
      <c r="AZ175" s="261"/>
      <c r="BA175" s="261"/>
      <c r="BB175" s="261"/>
      <c r="BC175" s="261"/>
      <c r="BD175" s="261"/>
      <c r="BE175" s="261"/>
      <c r="BF175" s="262"/>
      <c r="BG175" s="267" t="str">
        <f ca="1">IFERROR(ROUND('Financial Planning Tool'!FE150,2),'Financial Planning Tool'!FE150)</f>
        <v/>
      </c>
      <c r="BH175" s="268"/>
      <c r="BI175" s="268"/>
      <c r="BJ175" s="268"/>
      <c r="BK175" s="268"/>
      <c r="BL175" s="268"/>
      <c r="BM175" s="268"/>
      <c r="BN175" s="269"/>
    </row>
    <row r="176" spans="2:66" x14ac:dyDescent="0.25">
      <c r="B176" s="160" t="str">
        <f ca="1">'Financial Planning Tool'!EY151</f>
        <v/>
      </c>
      <c r="C176" s="263"/>
      <c r="D176" s="263"/>
      <c r="E176" s="263"/>
      <c r="F176" s="263"/>
      <c r="G176" s="263"/>
      <c r="H176" s="263"/>
      <c r="I176" s="263"/>
      <c r="J176" s="263"/>
      <c r="K176" s="263"/>
      <c r="L176" s="263"/>
      <c r="M176" s="263"/>
      <c r="N176" s="263"/>
      <c r="O176" s="160" t="str">
        <f ca="1">'Financial Planning Tool'!EZ151</f>
        <v/>
      </c>
      <c r="P176" s="263"/>
      <c r="Q176" s="263"/>
      <c r="R176" s="263"/>
      <c r="S176" s="263"/>
      <c r="T176" s="263"/>
      <c r="U176" s="263"/>
      <c r="V176" s="161"/>
      <c r="W176" s="264" t="str">
        <f ca="1">'Financial Planning Tool'!FA151</f>
        <v/>
      </c>
      <c r="X176" s="265"/>
      <c r="Y176" s="265"/>
      <c r="Z176" s="265"/>
      <c r="AA176" s="265"/>
      <c r="AB176" s="265"/>
      <c r="AC176" s="265"/>
      <c r="AD176" s="265"/>
      <c r="AE176" s="265"/>
      <c r="AF176" s="266"/>
      <c r="AG176" s="264" t="str">
        <f ca="1">'Financial Planning Tool'!FB151</f>
        <v/>
      </c>
      <c r="AH176" s="265"/>
      <c r="AI176" s="265"/>
      <c r="AJ176" s="265"/>
      <c r="AK176" s="265"/>
      <c r="AL176" s="265"/>
      <c r="AM176" s="265"/>
      <c r="AN176" s="265"/>
      <c r="AO176" s="265"/>
      <c r="AP176" s="266"/>
      <c r="AQ176" s="260" t="str">
        <f ca="1">'Financial Planning Tool'!FC151</f>
        <v/>
      </c>
      <c r="AR176" s="261"/>
      <c r="AS176" s="261"/>
      <c r="AT176" s="261"/>
      <c r="AU176" s="261"/>
      <c r="AV176" s="261"/>
      <c r="AW176" s="261"/>
      <c r="AX176" s="262"/>
      <c r="AY176" s="260" t="str">
        <f ca="1">'Financial Planning Tool'!FD151</f>
        <v/>
      </c>
      <c r="AZ176" s="261"/>
      <c r="BA176" s="261"/>
      <c r="BB176" s="261"/>
      <c r="BC176" s="261"/>
      <c r="BD176" s="261"/>
      <c r="BE176" s="261"/>
      <c r="BF176" s="262"/>
      <c r="BG176" s="267" t="str">
        <f ca="1">IFERROR(ROUND('Financial Planning Tool'!FE151,2),'Financial Planning Tool'!FE151)</f>
        <v/>
      </c>
      <c r="BH176" s="268"/>
      <c r="BI176" s="268"/>
      <c r="BJ176" s="268"/>
      <c r="BK176" s="268"/>
      <c r="BL176" s="268"/>
      <c r="BM176" s="268"/>
      <c r="BN176" s="269"/>
    </row>
    <row r="177" spans="2:66" x14ac:dyDescent="0.25">
      <c r="B177" s="160" t="str">
        <f ca="1">'Financial Planning Tool'!EY152</f>
        <v/>
      </c>
      <c r="C177" s="263"/>
      <c r="D177" s="263"/>
      <c r="E177" s="263"/>
      <c r="F177" s="263"/>
      <c r="G177" s="263"/>
      <c r="H177" s="263"/>
      <c r="I177" s="263"/>
      <c r="J177" s="263"/>
      <c r="K177" s="263"/>
      <c r="L177" s="263"/>
      <c r="M177" s="263"/>
      <c r="N177" s="263"/>
      <c r="O177" s="160" t="str">
        <f ca="1">'Financial Planning Tool'!EZ152</f>
        <v/>
      </c>
      <c r="P177" s="263"/>
      <c r="Q177" s="263"/>
      <c r="R177" s="263"/>
      <c r="S177" s="263"/>
      <c r="T177" s="263"/>
      <c r="U177" s="263"/>
      <c r="V177" s="161"/>
      <c r="W177" s="264" t="str">
        <f ca="1">'Financial Planning Tool'!FA152</f>
        <v/>
      </c>
      <c r="X177" s="265"/>
      <c r="Y177" s="265"/>
      <c r="Z177" s="265"/>
      <c r="AA177" s="265"/>
      <c r="AB177" s="265"/>
      <c r="AC177" s="265"/>
      <c r="AD177" s="265"/>
      <c r="AE177" s="265"/>
      <c r="AF177" s="266"/>
      <c r="AG177" s="264" t="str">
        <f ca="1">'Financial Planning Tool'!FB152</f>
        <v/>
      </c>
      <c r="AH177" s="265"/>
      <c r="AI177" s="265"/>
      <c r="AJ177" s="265"/>
      <c r="AK177" s="265"/>
      <c r="AL177" s="265"/>
      <c r="AM177" s="265"/>
      <c r="AN177" s="265"/>
      <c r="AO177" s="265"/>
      <c r="AP177" s="266"/>
      <c r="AQ177" s="260" t="str">
        <f ca="1">'Financial Planning Tool'!FC152</f>
        <v/>
      </c>
      <c r="AR177" s="261"/>
      <c r="AS177" s="261"/>
      <c r="AT177" s="261"/>
      <c r="AU177" s="261"/>
      <c r="AV177" s="261"/>
      <c r="AW177" s="261"/>
      <c r="AX177" s="262"/>
      <c r="AY177" s="260" t="str">
        <f ca="1">'Financial Planning Tool'!FD152</f>
        <v/>
      </c>
      <c r="AZ177" s="261"/>
      <c r="BA177" s="261"/>
      <c r="BB177" s="261"/>
      <c r="BC177" s="261"/>
      <c r="BD177" s="261"/>
      <c r="BE177" s="261"/>
      <c r="BF177" s="262"/>
      <c r="BG177" s="267" t="str">
        <f ca="1">IFERROR(ROUND('Financial Planning Tool'!FE152,2),'Financial Planning Tool'!FE152)</f>
        <v/>
      </c>
      <c r="BH177" s="268"/>
      <c r="BI177" s="268"/>
      <c r="BJ177" s="268"/>
      <c r="BK177" s="268"/>
      <c r="BL177" s="268"/>
      <c r="BM177" s="268"/>
      <c r="BN177" s="269"/>
    </row>
    <row r="178" spans="2:66" x14ac:dyDescent="0.25">
      <c r="B178" s="160" t="str">
        <f ca="1">'Financial Planning Tool'!EY153</f>
        <v/>
      </c>
      <c r="C178" s="263"/>
      <c r="D178" s="263"/>
      <c r="E178" s="263"/>
      <c r="F178" s="263"/>
      <c r="G178" s="263"/>
      <c r="H178" s="263"/>
      <c r="I178" s="263"/>
      <c r="J178" s="263"/>
      <c r="K178" s="263"/>
      <c r="L178" s="263"/>
      <c r="M178" s="263"/>
      <c r="N178" s="263"/>
      <c r="O178" s="160" t="str">
        <f ca="1">'Financial Planning Tool'!EZ153</f>
        <v/>
      </c>
      <c r="P178" s="263"/>
      <c r="Q178" s="263"/>
      <c r="R178" s="263"/>
      <c r="S178" s="263"/>
      <c r="T178" s="263"/>
      <c r="U178" s="263"/>
      <c r="V178" s="161"/>
      <c r="W178" s="264" t="str">
        <f ca="1">'Financial Planning Tool'!FA153</f>
        <v/>
      </c>
      <c r="X178" s="265"/>
      <c r="Y178" s="265"/>
      <c r="Z178" s="265"/>
      <c r="AA178" s="265"/>
      <c r="AB178" s="265"/>
      <c r="AC178" s="265"/>
      <c r="AD178" s="265"/>
      <c r="AE178" s="265"/>
      <c r="AF178" s="266"/>
      <c r="AG178" s="264" t="str">
        <f ca="1">'Financial Planning Tool'!FB153</f>
        <v/>
      </c>
      <c r="AH178" s="265"/>
      <c r="AI178" s="265"/>
      <c r="AJ178" s="265"/>
      <c r="AK178" s="265"/>
      <c r="AL178" s="265"/>
      <c r="AM178" s="265"/>
      <c r="AN178" s="265"/>
      <c r="AO178" s="265"/>
      <c r="AP178" s="266"/>
      <c r="AQ178" s="260" t="str">
        <f ca="1">'Financial Planning Tool'!FC153</f>
        <v/>
      </c>
      <c r="AR178" s="261"/>
      <c r="AS178" s="261"/>
      <c r="AT178" s="261"/>
      <c r="AU178" s="261"/>
      <c r="AV178" s="261"/>
      <c r="AW178" s="261"/>
      <c r="AX178" s="262"/>
      <c r="AY178" s="260" t="str">
        <f ca="1">'Financial Planning Tool'!FD153</f>
        <v/>
      </c>
      <c r="AZ178" s="261"/>
      <c r="BA178" s="261"/>
      <c r="BB178" s="261"/>
      <c r="BC178" s="261"/>
      <c r="BD178" s="261"/>
      <c r="BE178" s="261"/>
      <c r="BF178" s="262"/>
      <c r="BG178" s="267" t="str">
        <f ca="1">IFERROR(ROUND('Financial Planning Tool'!FE153,2),'Financial Planning Tool'!FE153)</f>
        <v/>
      </c>
      <c r="BH178" s="268"/>
      <c r="BI178" s="268"/>
      <c r="BJ178" s="268"/>
      <c r="BK178" s="268"/>
      <c r="BL178" s="268"/>
      <c r="BM178" s="268"/>
      <c r="BN178" s="269"/>
    </row>
    <row r="179" spans="2:66" x14ac:dyDescent="0.25">
      <c r="B179" s="160" t="str">
        <f ca="1">'Financial Planning Tool'!EY154</f>
        <v/>
      </c>
      <c r="C179" s="263"/>
      <c r="D179" s="263"/>
      <c r="E179" s="263"/>
      <c r="F179" s="263"/>
      <c r="G179" s="263"/>
      <c r="H179" s="263"/>
      <c r="I179" s="263"/>
      <c r="J179" s="263"/>
      <c r="K179" s="263"/>
      <c r="L179" s="263"/>
      <c r="M179" s="263"/>
      <c r="N179" s="263"/>
      <c r="O179" s="160" t="str">
        <f ca="1">'Financial Planning Tool'!EZ154</f>
        <v/>
      </c>
      <c r="P179" s="263"/>
      <c r="Q179" s="263"/>
      <c r="R179" s="263"/>
      <c r="S179" s="263"/>
      <c r="T179" s="263"/>
      <c r="U179" s="263"/>
      <c r="V179" s="161"/>
      <c r="W179" s="264" t="str">
        <f ca="1">'Financial Planning Tool'!FA154</f>
        <v/>
      </c>
      <c r="X179" s="265"/>
      <c r="Y179" s="265"/>
      <c r="Z179" s="265"/>
      <c r="AA179" s="265"/>
      <c r="AB179" s="265"/>
      <c r="AC179" s="265"/>
      <c r="AD179" s="265"/>
      <c r="AE179" s="265"/>
      <c r="AF179" s="266"/>
      <c r="AG179" s="264" t="str">
        <f ca="1">'Financial Planning Tool'!FB154</f>
        <v/>
      </c>
      <c r="AH179" s="265"/>
      <c r="AI179" s="265"/>
      <c r="AJ179" s="265"/>
      <c r="AK179" s="265"/>
      <c r="AL179" s="265"/>
      <c r="AM179" s="265"/>
      <c r="AN179" s="265"/>
      <c r="AO179" s="265"/>
      <c r="AP179" s="266"/>
      <c r="AQ179" s="260" t="str">
        <f ca="1">'Financial Planning Tool'!FC154</f>
        <v/>
      </c>
      <c r="AR179" s="261"/>
      <c r="AS179" s="261"/>
      <c r="AT179" s="261"/>
      <c r="AU179" s="261"/>
      <c r="AV179" s="261"/>
      <c r="AW179" s="261"/>
      <c r="AX179" s="262"/>
      <c r="AY179" s="260" t="str">
        <f ca="1">'Financial Planning Tool'!FD154</f>
        <v/>
      </c>
      <c r="AZ179" s="261"/>
      <c r="BA179" s="261"/>
      <c r="BB179" s="261"/>
      <c r="BC179" s="261"/>
      <c r="BD179" s="261"/>
      <c r="BE179" s="261"/>
      <c r="BF179" s="262"/>
      <c r="BG179" s="267" t="str">
        <f ca="1">IFERROR(ROUND('Financial Planning Tool'!FE154,2),'Financial Planning Tool'!FE154)</f>
        <v/>
      </c>
      <c r="BH179" s="268"/>
      <c r="BI179" s="268"/>
      <c r="BJ179" s="268"/>
      <c r="BK179" s="268"/>
      <c r="BL179" s="268"/>
      <c r="BM179" s="268"/>
      <c r="BN179" s="269"/>
    </row>
    <row r="180" spans="2:66" x14ac:dyDescent="0.25">
      <c r="B180" s="160" t="str">
        <f ca="1">'Financial Planning Tool'!EY155</f>
        <v/>
      </c>
      <c r="C180" s="263"/>
      <c r="D180" s="263"/>
      <c r="E180" s="263"/>
      <c r="F180" s="263"/>
      <c r="G180" s="263"/>
      <c r="H180" s="263"/>
      <c r="I180" s="263"/>
      <c r="J180" s="263"/>
      <c r="K180" s="263"/>
      <c r="L180" s="263"/>
      <c r="M180" s="263"/>
      <c r="N180" s="263"/>
      <c r="O180" s="160" t="str">
        <f ca="1">'Financial Planning Tool'!EZ155</f>
        <v/>
      </c>
      <c r="P180" s="263"/>
      <c r="Q180" s="263"/>
      <c r="R180" s="263"/>
      <c r="S180" s="263"/>
      <c r="T180" s="263"/>
      <c r="U180" s="263"/>
      <c r="V180" s="161"/>
      <c r="W180" s="264" t="str">
        <f ca="1">'Financial Planning Tool'!FA155</f>
        <v/>
      </c>
      <c r="X180" s="265"/>
      <c r="Y180" s="265"/>
      <c r="Z180" s="265"/>
      <c r="AA180" s="265"/>
      <c r="AB180" s="265"/>
      <c r="AC180" s="265"/>
      <c r="AD180" s="265"/>
      <c r="AE180" s="265"/>
      <c r="AF180" s="266"/>
      <c r="AG180" s="264" t="str">
        <f ca="1">'Financial Planning Tool'!FB155</f>
        <v/>
      </c>
      <c r="AH180" s="265"/>
      <c r="AI180" s="265"/>
      <c r="AJ180" s="265"/>
      <c r="AK180" s="265"/>
      <c r="AL180" s="265"/>
      <c r="AM180" s="265"/>
      <c r="AN180" s="265"/>
      <c r="AO180" s="265"/>
      <c r="AP180" s="266"/>
      <c r="AQ180" s="260" t="str">
        <f ca="1">'Financial Planning Tool'!FC155</f>
        <v/>
      </c>
      <c r="AR180" s="261"/>
      <c r="AS180" s="261"/>
      <c r="AT180" s="261"/>
      <c r="AU180" s="261"/>
      <c r="AV180" s="261"/>
      <c r="AW180" s="261"/>
      <c r="AX180" s="262"/>
      <c r="AY180" s="260" t="str">
        <f ca="1">'Financial Planning Tool'!FD155</f>
        <v/>
      </c>
      <c r="AZ180" s="261"/>
      <c r="BA180" s="261"/>
      <c r="BB180" s="261"/>
      <c r="BC180" s="261"/>
      <c r="BD180" s="261"/>
      <c r="BE180" s="261"/>
      <c r="BF180" s="262"/>
      <c r="BG180" s="267" t="str">
        <f ca="1">IFERROR(ROUND('Financial Planning Tool'!FE155,2),'Financial Planning Tool'!FE155)</f>
        <v/>
      </c>
      <c r="BH180" s="268"/>
      <c r="BI180" s="268"/>
      <c r="BJ180" s="268"/>
      <c r="BK180" s="268"/>
      <c r="BL180" s="268"/>
      <c r="BM180" s="268"/>
      <c r="BN180" s="269"/>
    </row>
    <row r="181" spans="2:66" x14ac:dyDescent="0.25">
      <c r="B181" s="160" t="str">
        <f ca="1">'Financial Planning Tool'!EY156</f>
        <v/>
      </c>
      <c r="C181" s="263"/>
      <c r="D181" s="263"/>
      <c r="E181" s="263"/>
      <c r="F181" s="263"/>
      <c r="G181" s="263"/>
      <c r="H181" s="263"/>
      <c r="I181" s="263"/>
      <c r="J181" s="263"/>
      <c r="K181" s="263"/>
      <c r="L181" s="263"/>
      <c r="M181" s="263"/>
      <c r="N181" s="263"/>
      <c r="O181" s="160" t="str">
        <f ca="1">'Financial Planning Tool'!EZ156</f>
        <v/>
      </c>
      <c r="P181" s="263"/>
      <c r="Q181" s="263"/>
      <c r="R181" s="263"/>
      <c r="S181" s="263"/>
      <c r="T181" s="263"/>
      <c r="U181" s="263"/>
      <c r="V181" s="161"/>
      <c r="W181" s="264" t="str">
        <f ca="1">'Financial Planning Tool'!FA156</f>
        <v/>
      </c>
      <c r="X181" s="265"/>
      <c r="Y181" s="265"/>
      <c r="Z181" s="265"/>
      <c r="AA181" s="265"/>
      <c r="AB181" s="265"/>
      <c r="AC181" s="265"/>
      <c r="AD181" s="265"/>
      <c r="AE181" s="265"/>
      <c r="AF181" s="266"/>
      <c r="AG181" s="264" t="str">
        <f ca="1">'Financial Planning Tool'!FB156</f>
        <v/>
      </c>
      <c r="AH181" s="265"/>
      <c r="AI181" s="265"/>
      <c r="AJ181" s="265"/>
      <c r="AK181" s="265"/>
      <c r="AL181" s="265"/>
      <c r="AM181" s="265"/>
      <c r="AN181" s="265"/>
      <c r="AO181" s="265"/>
      <c r="AP181" s="266"/>
      <c r="AQ181" s="260" t="str">
        <f ca="1">'Financial Planning Tool'!FC156</f>
        <v/>
      </c>
      <c r="AR181" s="261"/>
      <c r="AS181" s="261"/>
      <c r="AT181" s="261"/>
      <c r="AU181" s="261"/>
      <c r="AV181" s="261"/>
      <c r="AW181" s="261"/>
      <c r="AX181" s="262"/>
      <c r="AY181" s="260" t="str">
        <f ca="1">'Financial Planning Tool'!FD156</f>
        <v/>
      </c>
      <c r="AZ181" s="261"/>
      <c r="BA181" s="261"/>
      <c r="BB181" s="261"/>
      <c r="BC181" s="261"/>
      <c r="BD181" s="261"/>
      <c r="BE181" s="261"/>
      <c r="BF181" s="262"/>
      <c r="BG181" s="267" t="str">
        <f ca="1">IFERROR(ROUND('Financial Planning Tool'!FE156,2),'Financial Planning Tool'!FE156)</f>
        <v/>
      </c>
      <c r="BH181" s="268"/>
      <c r="BI181" s="268"/>
      <c r="BJ181" s="268"/>
      <c r="BK181" s="268"/>
      <c r="BL181" s="268"/>
      <c r="BM181" s="268"/>
      <c r="BN181" s="269"/>
    </row>
    <row r="182" spans="2:66" x14ac:dyDescent="0.25">
      <c r="B182" s="160" t="str">
        <f ca="1">'Financial Planning Tool'!EY157</f>
        <v/>
      </c>
      <c r="C182" s="263"/>
      <c r="D182" s="263"/>
      <c r="E182" s="263"/>
      <c r="F182" s="263"/>
      <c r="G182" s="263"/>
      <c r="H182" s="263"/>
      <c r="I182" s="263"/>
      <c r="J182" s="263"/>
      <c r="K182" s="263"/>
      <c r="L182" s="263"/>
      <c r="M182" s="263"/>
      <c r="N182" s="263"/>
      <c r="O182" s="160" t="str">
        <f ca="1">'Financial Planning Tool'!EZ157</f>
        <v/>
      </c>
      <c r="P182" s="263"/>
      <c r="Q182" s="263"/>
      <c r="R182" s="263"/>
      <c r="S182" s="263"/>
      <c r="T182" s="263"/>
      <c r="U182" s="263"/>
      <c r="V182" s="161"/>
      <c r="W182" s="264" t="str">
        <f ca="1">'Financial Planning Tool'!FA157</f>
        <v/>
      </c>
      <c r="X182" s="265"/>
      <c r="Y182" s="265"/>
      <c r="Z182" s="265"/>
      <c r="AA182" s="265"/>
      <c r="AB182" s="265"/>
      <c r="AC182" s="265"/>
      <c r="AD182" s="265"/>
      <c r="AE182" s="265"/>
      <c r="AF182" s="266"/>
      <c r="AG182" s="264" t="str">
        <f ca="1">'Financial Planning Tool'!FB157</f>
        <v/>
      </c>
      <c r="AH182" s="265"/>
      <c r="AI182" s="265"/>
      <c r="AJ182" s="265"/>
      <c r="AK182" s="265"/>
      <c r="AL182" s="265"/>
      <c r="AM182" s="265"/>
      <c r="AN182" s="265"/>
      <c r="AO182" s="265"/>
      <c r="AP182" s="266"/>
      <c r="AQ182" s="260" t="str">
        <f ca="1">'Financial Planning Tool'!FC157</f>
        <v/>
      </c>
      <c r="AR182" s="261"/>
      <c r="AS182" s="261"/>
      <c r="AT182" s="261"/>
      <c r="AU182" s="261"/>
      <c r="AV182" s="261"/>
      <c r="AW182" s="261"/>
      <c r="AX182" s="262"/>
      <c r="AY182" s="260" t="str">
        <f ca="1">'Financial Planning Tool'!FD157</f>
        <v/>
      </c>
      <c r="AZ182" s="261"/>
      <c r="BA182" s="261"/>
      <c r="BB182" s="261"/>
      <c r="BC182" s="261"/>
      <c r="BD182" s="261"/>
      <c r="BE182" s="261"/>
      <c r="BF182" s="262"/>
      <c r="BG182" s="267" t="str">
        <f ca="1">IFERROR(ROUND('Financial Planning Tool'!FE157,2),'Financial Planning Tool'!FE157)</f>
        <v/>
      </c>
      <c r="BH182" s="268"/>
      <c r="BI182" s="268"/>
      <c r="BJ182" s="268"/>
      <c r="BK182" s="268"/>
      <c r="BL182" s="268"/>
      <c r="BM182" s="268"/>
      <c r="BN182" s="269"/>
    </row>
    <row r="183" spans="2:66" x14ac:dyDescent="0.25">
      <c r="B183" s="160" t="str">
        <f ca="1">'Financial Planning Tool'!EY158</f>
        <v/>
      </c>
      <c r="C183" s="263"/>
      <c r="D183" s="263"/>
      <c r="E183" s="263"/>
      <c r="F183" s="263"/>
      <c r="G183" s="263"/>
      <c r="H183" s="263"/>
      <c r="I183" s="263"/>
      <c r="J183" s="263"/>
      <c r="K183" s="263"/>
      <c r="L183" s="263"/>
      <c r="M183" s="263"/>
      <c r="N183" s="263"/>
      <c r="O183" s="160" t="str">
        <f ca="1">'Financial Planning Tool'!EZ158</f>
        <v/>
      </c>
      <c r="P183" s="263"/>
      <c r="Q183" s="263"/>
      <c r="R183" s="263"/>
      <c r="S183" s="263"/>
      <c r="T183" s="263"/>
      <c r="U183" s="263"/>
      <c r="V183" s="161"/>
      <c r="W183" s="264" t="str">
        <f ca="1">'Financial Planning Tool'!FA158</f>
        <v/>
      </c>
      <c r="X183" s="265"/>
      <c r="Y183" s="265"/>
      <c r="Z183" s="265"/>
      <c r="AA183" s="265"/>
      <c r="AB183" s="265"/>
      <c r="AC183" s="265"/>
      <c r="AD183" s="265"/>
      <c r="AE183" s="265"/>
      <c r="AF183" s="266"/>
      <c r="AG183" s="264" t="str">
        <f ca="1">'Financial Planning Tool'!FB158</f>
        <v/>
      </c>
      <c r="AH183" s="265"/>
      <c r="AI183" s="265"/>
      <c r="AJ183" s="265"/>
      <c r="AK183" s="265"/>
      <c r="AL183" s="265"/>
      <c r="AM183" s="265"/>
      <c r="AN183" s="265"/>
      <c r="AO183" s="265"/>
      <c r="AP183" s="266"/>
      <c r="AQ183" s="260" t="str">
        <f ca="1">'Financial Planning Tool'!FC158</f>
        <v/>
      </c>
      <c r="AR183" s="261"/>
      <c r="AS183" s="261"/>
      <c r="AT183" s="261"/>
      <c r="AU183" s="261"/>
      <c r="AV183" s="261"/>
      <c r="AW183" s="261"/>
      <c r="AX183" s="262"/>
      <c r="AY183" s="260" t="str">
        <f ca="1">'Financial Planning Tool'!FD158</f>
        <v/>
      </c>
      <c r="AZ183" s="261"/>
      <c r="BA183" s="261"/>
      <c r="BB183" s="261"/>
      <c r="BC183" s="261"/>
      <c r="BD183" s="261"/>
      <c r="BE183" s="261"/>
      <c r="BF183" s="262"/>
      <c r="BG183" s="267" t="str">
        <f ca="1">IFERROR(ROUND('Financial Planning Tool'!FE158,2),'Financial Planning Tool'!FE158)</f>
        <v/>
      </c>
      <c r="BH183" s="268"/>
      <c r="BI183" s="268"/>
      <c r="BJ183" s="268"/>
      <c r="BK183" s="268"/>
      <c r="BL183" s="268"/>
      <c r="BM183" s="268"/>
      <c r="BN183" s="269"/>
    </row>
    <row r="184" spans="2:66" x14ac:dyDescent="0.25">
      <c r="B184" s="160" t="str">
        <f ca="1">'Financial Planning Tool'!EY159</f>
        <v/>
      </c>
      <c r="C184" s="263"/>
      <c r="D184" s="263"/>
      <c r="E184" s="263"/>
      <c r="F184" s="263"/>
      <c r="G184" s="263"/>
      <c r="H184" s="263"/>
      <c r="I184" s="263"/>
      <c r="J184" s="263"/>
      <c r="K184" s="263"/>
      <c r="L184" s="263"/>
      <c r="M184" s="263"/>
      <c r="N184" s="263"/>
      <c r="O184" s="160" t="str">
        <f ca="1">'Financial Planning Tool'!EZ159</f>
        <v/>
      </c>
      <c r="P184" s="263"/>
      <c r="Q184" s="263"/>
      <c r="R184" s="263"/>
      <c r="S184" s="263"/>
      <c r="T184" s="263"/>
      <c r="U184" s="263"/>
      <c r="V184" s="161"/>
      <c r="W184" s="264" t="str">
        <f ca="1">'Financial Planning Tool'!FA159</f>
        <v/>
      </c>
      <c r="X184" s="265"/>
      <c r="Y184" s="265"/>
      <c r="Z184" s="265"/>
      <c r="AA184" s="265"/>
      <c r="AB184" s="265"/>
      <c r="AC184" s="265"/>
      <c r="AD184" s="265"/>
      <c r="AE184" s="265"/>
      <c r="AF184" s="266"/>
      <c r="AG184" s="264" t="str">
        <f ca="1">'Financial Planning Tool'!FB159</f>
        <v/>
      </c>
      <c r="AH184" s="265"/>
      <c r="AI184" s="265"/>
      <c r="AJ184" s="265"/>
      <c r="AK184" s="265"/>
      <c r="AL184" s="265"/>
      <c r="AM184" s="265"/>
      <c r="AN184" s="265"/>
      <c r="AO184" s="265"/>
      <c r="AP184" s="266"/>
      <c r="AQ184" s="260" t="str">
        <f ca="1">'Financial Planning Tool'!FC159</f>
        <v/>
      </c>
      <c r="AR184" s="261"/>
      <c r="AS184" s="261"/>
      <c r="AT184" s="261"/>
      <c r="AU184" s="261"/>
      <c r="AV184" s="261"/>
      <c r="AW184" s="261"/>
      <c r="AX184" s="262"/>
      <c r="AY184" s="260" t="str">
        <f ca="1">'Financial Planning Tool'!FD159</f>
        <v/>
      </c>
      <c r="AZ184" s="261"/>
      <c r="BA184" s="261"/>
      <c r="BB184" s="261"/>
      <c r="BC184" s="261"/>
      <c r="BD184" s="261"/>
      <c r="BE184" s="261"/>
      <c r="BF184" s="262"/>
      <c r="BG184" s="267" t="str">
        <f ca="1">IFERROR(ROUND('Financial Planning Tool'!FE159,2),'Financial Planning Tool'!FE159)</f>
        <v/>
      </c>
      <c r="BH184" s="268"/>
      <c r="BI184" s="268"/>
      <c r="BJ184" s="268"/>
      <c r="BK184" s="268"/>
      <c r="BL184" s="268"/>
      <c r="BM184" s="268"/>
      <c r="BN184" s="269"/>
    </row>
    <row r="185" spans="2:66" x14ac:dyDescent="0.25">
      <c r="B185" s="160" t="str">
        <f ca="1">'Financial Planning Tool'!EY160</f>
        <v/>
      </c>
      <c r="C185" s="263"/>
      <c r="D185" s="263"/>
      <c r="E185" s="263"/>
      <c r="F185" s="263"/>
      <c r="G185" s="263"/>
      <c r="H185" s="263"/>
      <c r="I185" s="263"/>
      <c r="J185" s="263"/>
      <c r="K185" s="263"/>
      <c r="L185" s="263"/>
      <c r="M185" s="263"/>
      <c r="N185" s="263"/>
      <c r="O185" s="160" t="str">
        <f ca="1">'Financial Planning Tool'!EZ160</f>
        <v/>
      </c>
      <c r="P185" s="263"/>
      <c r="Q185" s="263"/>
      <c r="R185" s="263"/>
      <c r="S185" s="263"/>
      <c r="T185" s="263"/>
      <c r="U185" s="263"/>
      <c r="V185" s="161"/>
      <c r="W185" s="264" t="str">
        <f ca="1">'Financial Planning Tool'!FA160</f>
        <v/>
      </c>
      <c r="X185" s="265"/>
      <c r="Y185" s="265"/>
      <c r="Z185" s="265"/>
      <c r="AA185" s="265"/>
      <c r="AB185" s="265"/>
      <c r="AC185" s="265"/>
      <c r="AD185" s="265"/>
      <c r="AE185" s="265"/>
      <c r="AF185" s="266"/>
      <c r="AG185" s="264" t="str">
        <f ca="1">'Financial Planning Tool'!FB160</f>
        <v/>
      </c>
      <c r="AH185" s="265"/>
      <c r="AI185" s="265"/>
      <c r="AJ185" s="265"/>
      <c r="AK185" s="265"/>
      <c r="AL185" s="265"/>
      <c r="AM185" s="265"/>
      <c r="AN185" s="265"/>
      <c r="AO185" s="265"/>
      <c r="AP185" s="266"/>
      <c r="AQ185" s="260" t="str">
        <f ca="1">'Financial Planning Tool'!FC160</f>
        <v/>
      </c>
      <c r="AR185" s="261"/>
      <c r="AS185" s="261"/>
      <c r="AT185" s="261"/>
      <c r="AU185" s="261"/>
      <c r="AV185" s="261"/>
      <c r="AW185" s="261"/>
      <c r="AX185" s="262"/>
      <c r="AY185" s="260" t="str">
        <f ca="1">'Financial Planning Tool'!FD160</f>
        <v/>
      </c>
      <c r="AZ185" s="261"/>
      <c r="BA185" s="261"/>
      <c r="BB185" s="261"/>
      <c r="BC185" s="261"/>
      <c r="BD185" s="261"/>
      <c r="BE185" s="261"/>
      <c r="BF185" s="262"/>
      <c r="BG185" s="267" t="str">
        <f ca="1">IFERROR(ROUND('Financial Planning Tool'!FE160,2),'Financial Planning Tool'!FE160)</f>
        <v/>
      </c>
      <c r="BH185" s="268"/>
      <c r="BI185" s="268"/>
      <c r="BJ185" s="268"/>
      <c r="BK185" s="268"/>
      <c r="BL185" s="268"/>
      <c r="BM185" s="268"/>
      <c r="BN185" s="269"/>
    </row>
    <row r="186" spans="2:66" x14ac:dyDescent="0.25">
      <c r="B186" s="160" t="str">
        <f ca="1">'Financial Planning Tool'!EY161</f>
        <v/>
      </c>
      <c r="C186" s="263"/>
      <c r="D186" s="263"/>
      <c r="E186" s="263"/>
      <c r="F186" s="263"/>
      <c r="G186" s="263"/>
      <c r="H186" s="263"/>
      <c r="I186" s="263"/>
      <c r="J186" s="263"/>
      <c r="K186" s="263"/>
      <c r="L186" s="263"/>
      <c r="M186" s="263"/>
      <c r="N186" s="263"/>
      <c r="O186" s="160" t="str">
        <f ca="1">'Financial Planning Tool'!EZ161</f>
        <v/>
      </c>
      <c r="P186" s="263"/>
      <c r="Q186" s="263"/>
      <c r="R186" s="263"/>
      <c r="S186" s="263"/>
      <c r="T186" s="263"/>
      <c r="U186" s="263"/>
      <c r="V186" s="161"/>
      <c r="W186" s="264" t="str">
        <f ca="1">'Financial Planning Tool'!FA161</f>
        <v/>
      </c>
      <c r="X186" s="265"/>
      <c r="Y186" s="265"/>
      <c r="Z186" s="265"/>
      <c r="AA186" s="265"/>
      <c r="AB186" s="265"/>
      <c r="AC186" s="265"/>
      <c r="AD186" s="265"/>
      <c r="AE186" s="265"/>
      <c r="AF186" s="266"/>
      <c r="AG186" s="264" t="str">
        <f ca="1">'Financial Planning Tool'!FB161</f>
        <v/>
      </c>
      <c r="AH186" s="265"/>
      <c r="AI186" s="265"/>
      <c r="AJ186" s="265"/>
      <c r="AK186" s="265"/>
      <c r="AL186" s="265"/>
      <c r="AM186" s="265"/>
      <c r="AN186" s="265"/>
      <c r="AO186" s="265"/>
      <c r="AP186" s="266"/>
      <c r="AQ186" s="260" t="str">
        <f ca="1">'Financial Planning Tool'!FC161</f>
        <v/>
      </c>
      <c r="AR186" s="261"/>
      <c r="AS186" s="261"/>
      <c r="AT186" s="261"/>
      <c r="AU186" s="261"/>
      <c r="AV186" s="261"/>
      <c r="AW186" s="261"/>
      <c r="AX186" s="262"/>
      <c r="AY186" s="260" t="str">
        <f ca="1">'Financial Planning Tool'!FD161</f>
        <v/>
      </c>
      <c r="AZ186" s="261"/>
      <c r="BA186" s="261"/>
      <c r="BB186" s="261"/>
      <c r="BC186" s="261"/>
      <c r="BD186" s="261"/>
      <c r="BE186" s="261"/>
      <c r="BF186" s="262"/>
      <c r="BG186" s="267" t="str">
        <f ca="1">IFERROR(ROUND('Financial Planning Tool'!FE161,2),'Financial Planning Tool'!FE161)</f>
        <v/>
      </c>
      <c r="BH186" s="268"/>
      <c r="BI186" s="268"/>
      <c r="BJ186" s="268"/>
      <c r="BK186" s="268"/>
      <c r="BL186" s="268"/>
      <c r="BM186" s="268"/>
      <c r="BN186" s="269"/>
    </row>
    <row r="187" spans="2:66" x14ac:dyDescent="0.25">
      <c r="B187" s="57"/>
      <c r="C187" s="57"/>
      <c r="D187" s="57"/>
      <c r="E187" s="57"/>
      <c r="F187" s="57"/>
      <c r="G187" s="57"/>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c r="AE187" s="57"/>
      <c r="AF187" s="57"/>
      <c r="AG187" s="57"/>
      <c r="AH187" s="57"/>
      <c r="AI187" s="57"/>
      <c r="AJ187" s="57"/>
      <c r="AK187" s="57"/>
      <c r="AL187" s="57"/>
      <c r="AM187" s="57"/>
      <c r="AN187" s="57"/>
      <c r="AO187" s="57"/>
      <c r="AP187" s="57"/>
      <c r="AQ187" s="57"/>
      <c r="AR187" s="57"/>
      <c r="AS187" s="57"/>
      <c r="AT187" s="57"/>
      <c r="AU187" s="57"/>
      <c r="AV187" s="57"/>
      <c r="AW187" s="57"/>
      <c r="AX187" s="57"/>
      <c r="AY187" s="57"/>
      <c r="AZ187" s="57"/>
      <c r="BA187" s="57"/>
      <c r="BB187" s="57"/>
      <c r="BC187" s="57"/>
      <c r="BD187" s="57"/>
      <c r="BE187" s="57"/>
      <c r="BF187" s="57"/>
      <c r="BG187" s="57"/>
      <c r="BH187" s="57"/>
      <c r="BI187" s="57"/>
      <c r="BJ187" s="57"/>
      <c r="BK187" s="57"/>
      <c r="BL187" s="57"/>
      <c r="BM187" s="57"/>
      <c r="BN187" s="57"/>
    </row>
    <row r="193" spans="2:73" x14ac:dyDescent="0.25">
      <c r="B193" s="15"/>
      <c r="C193" s="16"/>
      <c r="D193" s="17"/>
      <c r="E193" s="15"/>
      <c r="F193" s="15"/>
      <c r="G193" s="15"/>
      <c r="H193" s="15"/>
      <c r="I193" s="15"/>
      <c r="J193" s="15"/>
      <c r="K193" s="15"/>
      <c r="L193" s="15"/>
      <c r="M193" s="15"/>
      <c r="N193" s="15"/>
      <c r="O193" s="15"/>
      <c r="P193" s="15"/>
      <c r="Q193" s="15"/>
      <c r="R193" s="15"/>
    </row>
    <row r="194" spans="2:73" x14ac:dyDescent="0.25">
      <c r="B194" s="3" t="s">
        <v>154</v>
      </c>
    </row>
    <row r="200" spans="2:73" x14ac:dyDescent="0.25">
      <c r="B200" s="15"/>
      <c r="C200" s="16"/>
      <c r="D200" s="17"/>
      <c r="E200" s="15"/>
      <c r="F200" s="15"/>
      <c r="G200" s="15"/>
      <c r="H200" s="15"/>
      <c r="I200" s="15"/>
      <c r="J200" s="15"/>
      <c r="K200" s="15"/>
      <c r="L200" s="15"/>
      <c r="M200" s="15"/>
      <c r="N200" s="15"/>
      <c r="O200" s="15"/>
      <c r="P200" s="15"/>
      <c r="Q200" s="15"/>
      <c r="R200" s="15"/>
    </row>
    <row r="201" spans="2:73" x14ac:dyDescent="0.25">
      <c r="B201" s="3" t="s">
        <v>155</v>
      </c>
    </row>
    <row r="203" spans="2:73" x14ac:dyDescent="0.25">
      <c r="B203" t="s">
        <v>156</v>
      </c>
    </row>
    <row r="205" spans="2:73" x14ac:dyDescent="0.25">
      <c r="B205" s="196" t="s">
        <v>164</v>
      </c>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196"/>
      <c r="Z205" s="196"/>
      <c r="AA205" s="196"/>
      <c r="AB205" s="196"/>
      <c r="AC205" s="196"/>
      <c r="AD205" s="196"/>
      <c r="AE205" s="196"/>
      <c r="AF205" s="196"/>
      <c r="AG205" s="196"/>
      <c r="AH205" s="196"/>
      <c r="AI205" s="196"/>
      <c r="AJ205" s="196"/>
      <c r="AK205" s="196"/>
      <c r="AL205" s="196"/>
      <c r="AM205" s="196"/>
      <c r="AN205" s="196"/>
      <c r="AO205" s="196"/>
      <c r="AP205" s="196"/>
      <c r="AQ205" s="196"/>
      <c r="AR205" s="196"/>
      <c r="AS205" s="196"/>
      <c r="AT205" s="196"/>
      <c r="AU205" s="196"/>
      <c r="AV205" s="196"/>
      <c r="AW205" s="196"/>
      <c r="AX205" s="196"/>
      <c r="AY205" s="196"/>
      <c r="AZ205" s="196"/>
      <c r="BA205" s="196"/>
      <c r="BB205" s="196"/>
      <c r="BC205" s="196"/>
      <c r="BD205" s="196"/>
      <c r="BE205" s="196"/>
      <c r="BF205" s="196"/>
      <c r="BG205" s="196"/>
      <c r="BH205" s="196"/>
      <c r="BI205" s="196"/>
      <c r="BJ205" s="196"/>
      <c r="BK205" s="196"/>
      <c r="BL205" s="196"/>
      <c r="BM205" s="196"/>
      <c r="BN205" s="196"/>
      <c r="BO205" s="196"/>
      <c r="BP205" s="196"/>
      <c r="BQ205" s="196"/>
      <c r="BR205" s="196"/>
      <c r="BS205" s="196"/>
      <c r="BT205" s="196"/>
      <c r="BU205" s="196"/>
    </row>
    <row r="206" spans="2:73" x14ac:dyDescent="0.25">
      <c r="B206" s="197"/>
      <c r="C206" s="198"/>
      <c r="D206" s="198"/>
      <c r="E206" s="198"/>
      <c r="F206" s="198"/>
      <c r="G206" s="198"/>
      <c r="H206" s="198"/>
      <c r="I206" s="198"/>
      <c r="J206" s="198"/>
      <c r="K206" s="198"/>
      <c r="L206" s="198"/>
      <c r="M206" s="198"/>
      <c r="N206" s="198"/>
      <c r="O206" s="198"/>
      <c r="P206" s="198"/>
      <c r="Q206" s="198"/>
      <c r="R206" s="198"/>
      <c r="S206" s="198"/>
      <c r="T206" s="198"/>
      <c r="U206" s="198"/>
      <c r="V206" s="198"/>
      <c r="W206" s="198"/>
      <c r="X206" s="198"/>
      <c r="Y206" s="198"/>
      <c r="Z206" s="198"/>
      <c r="AA206" s="198"/>
      <c r="AB206" s="198"/>
      <c r="AC206" s="198"/>
      <c r="AD206" s="198"/>
      <c r="AE206" s="198"/>
      <c r="AF206" s="198"/>
      <c r="AG206" s="198"/>
      <c r="AH206" s="198"/>
      <c r="AI206" s="198"/>
      <c r="AJ206" s="198"/>
      <c r="AK206" s="198"/>
      <c r="AL206" s="198"/>
      <c r="AM206" s="198"/>
      <c r="AN206" s="198"/>
      <c r="AO206" s="198"/>
      <c r="AP206" s="198"/>
      <c r="AQ206" s="198"/>
      <c r="AR206" s="198"/>
      <c r="AS206" s="198"/>
      <c r="AT206" s="198"/>
      <c r="AU206" s="198"/>
      <c r="AV206" s="198"/>
      <c r="AW206" s="198"/>
      <c r="AX206" s="198"/>
      <c r="AY206" s="198"/>
      <c r="AZ206" s="198"/>
      <c r="BA206" s="198"/>
      <c r="BB206" s="198"/>
      <c r="BC206" s="198"/>
      <c r="BD206" s="198"/>
      <c r="BE206" s="198"/>
      <c r="BF206" s="198"/>
      <c r="BG206" s="198"/>
      <c r="BH206" s="198"/>
      <c r="BI206" s="198"/>
      <c r="BJ206" s="198"/>
      <c r="BK206" s="198"/>
      <c r="BL206" s="198"/>
      <c r="BM206" s="198"/>
      <c r="BN206" s="198"/>
      <c r="BO206" s="198"/>
      <c r="BP206" s="198"/>
      <c r="BQ206" s="198"/>
      <c r="BR206" s="198"/>
      <c r="BS206" s="198"/>
      <c r="BT206" s="198"/>
      <c r="BU206" s="199"/>
    </row>
    <row r="207" spans="2:73" x14ac:dyDescent="0.25">
      <c r="B207" s="200"/>
      <c r="C207" s="201"/>
      <c r="D207" s="201"/>
      <c r="E207" s="201"/>
      <c r="F207" s="201"/>
      <c r="G207" s="201"/>
      <c r="H207" s="201"/>
      <c r="I207" s="201"/>
      <c r="J207" s="201"/>
      <c r="K207" s="201"/>
      <c r="L207" s="201"/>
      <c r="M207" s="201"/>
      <c r="N207" s="201"/>
      <c r="O207" s="201"/>
      <c r="P207" s="201"/>
      <c r="Q207" s="201"/>
      <c r="R207" s="201"/>
      <c r="S207" s="201"/>
      <c r="T207" s="201"/>
      <c r="U207" s="201"/>
      <c r="V207" s="201"/>
      <c r="W207" s="201"/>
      <c r="X207" s="201"/>
      <c r="Y207" s="201"/>
      <c r="Z207" s="201"/>
      <c r="AA207" s="201"/>
      <c r="AB207" s="201"/>
      <c r="AC207" s="201"/>
      <c r="AD207" s="201"/>
      <c r="AE207" s="201"/>
      <c r="AF207" s="201"/>
      <c r="AG207" s="201"/>
      <c r="AH207" s="201"/>
      <c r="AI207" s="201"/>
      <c r="AJ207" s="201"/>
      <c r="AK207" s="201"/>
      <c r="AL207" s="201"/>
      <c r="AM207" s="201"/>
      <c r="AN207" s="201"/>
      <c r="AO207" s="201"/>
      <c r="AP207" s="201"/>
      <c r="AQ207" s="201"/>
      <c r="AR207" s="201"/>
      <c r="AS207" s="201"/>
      <c r="AT207" s="201"/>
      <c r="AU207" s="201"/>
      <c r="AV207" s="201"/>
      <c r="AW207" s="201"/>
      <c r="AX207" s="201"/>
      <c r="AY207" s="201"/>
      <c r="AZ207" s="201"/>
      <c r="BA207" s="201"/>
      <c r="BB207" s="201"/>
      <c r="BC207" s="201"/>
      <c r="BD207" s="201"/>
      <c r="BE207" s="201"/>
      <c r="BF207" s="201"/>
      <c r="BG207" s="201"/>
      <c r="BH207" s="201"/>
      <c r="BI207" s="201"/>
      <c r="BJ207" s="201"/>
      <c r="BK207" s="201"/>
      <c r="BL207" s="201"/>
      <c r="BM207" s="201"/>
      <c r="BN207" s="201"/>
      <c r="BO207" s="201"/>
      <c r="BP207" s="201"/>
      <c r="BQ207" s="201"/>
      <c r="BR207" s="201"/>
      <c r="BS207" s="201"/>
      <c r="BT207" s="201"/>
      <c r="BU207" s="202"/>
    </row>
    <row r="208" spans="2:73" x14ac:dyDescent="0.25">
      <c r="B208" s="200"/>
      <c r="C208" s="201"/>
      <c r="D208" s="201"/>
      <c r="E208" s="201"/>
      <c r="F208" s="201"/>
      <c r="G208" s="201"/>
      <c r="H208" s="201"/>
      <c r="I208" s="201"/>
      <c r="J208" s="201"/>
      <c r="K208" s="201"/>
      <c r="L208" s="201"/>
      <c r="M208" s="201"/>
      <c r="N208" s="201"/>
      <c r="O208" s="201"/>
      <c r="P208" s="201"/>
      <c r="Q208" s="201"/>
      <c r="R208" s="201"/>
      <c r="S208" s="201"/>
      <c r="T208" s="201"/>
      <c r="U208" s="201"/>
      <c r="V208" s="201"/>
      <c r="W208" s="201"/>
      <c r="X208" s="201"/>
      <c r="Y208" s="201"/>
      <c r="Z208" s="201"/>
      <c r="AA208" s="201"/>
      <c r="AB208" s="201"/>
      <c r="AC208" s="201"/>
      <c r="AD208" s="201"/>
      <c r="AE208" s="201"/>
      <c r="AF208" s="201"/>
      <c r="AG208" s="201"/>
      <c r="AH208" s="201"/>
      <c r="AI208" s="201"/>
      <c r="AJ208" s="201"/>
      <c r="AK208" s="201"/>
      <c r="AL208" s="201"/>
      <c r="AM208" s="201"/>
      <c r="AN208" s="201"/>
      <c r="AO208" s="201"/>
      <c r="AP208" s="201"/>
      <c r="AQ208" s="201"/>
      <c r="AR208" s="201"/>
      <c r="AS208" s="201"/>
      <c r="AT208" s="201"/>
      <c r="AU208" s="201"/>
      <c r="AV208" s="201"/>
      <c r="AW208" s="201"/>
      <c r="AX208" s="201"/>
      <c r="AY208" s="201"/>
      <c r="AZ208" s="201"/>
      <c r="BA208" s="201"/>
      <c r="BB208" s="201"/>
      <c r="BC208" s="201"/>
      <c r="BD208" s="201"/>
      <c r="BE208" s="201"/>
      <c r="BF208" s="201"/>
      <c r="BG208" s="201"/>
      <c r="BH208" s="201"/>
      <c r="BI208" s="201"/>
      <c r="BJ208" s="201"/>
      <c r="BK208" s="201"/>
      <c r="BL208" s="201"/>
      <c r="BM208" s="201"/>
      <c r="BN208" s="201"/>
      <c r="BO208" s="201"/>
      <c r="BP208" s="201"/>
      <c r="BQ208" s="201"/>
      <c r="BR208" s="201"/>
      <c r="BS208" s="201"/>
      <c r="BT208" s="201"/>
      <c r="BU208" s="202"/>
    </row>
    <row r="209" spans="2:73" x14ac:dyDescent="0.25">
      <c r="B209" s="200"/>
      <c r="C209" s="201"/>
      <c r="D209" s="201"/>
      <c r="E209" s="201"/>
      <c r="F209" s="201"/>
      <c r="G209" s="201"/>
      <c r="H209" s="201"/>
      <c r="I209" s="201"/>
      <c r="J209" s="201"/>
      <c r="K209" s="201"/>
      <c r="L209" s="201"/>
      <c r="M209" s="201"/>
      <c r="N209" s="201"/>
      <c r="O209" s="201"/>
      <c r="P209" s="201"/>
      <c r="Q209" s="201"/>
      <c r="R209" s="201"/>
      <c r="S209" s="201"/>
      <c r="T209" s="201"/>
      <c r="U209" s="201"/>
      <c r="V209" s="201"/>
      <c r="W209" s="201"/>
      <c r="X209" s="201"/>
      <c r="Y209" s="201"/>
      <c r="Z209" s="201"/>
      <c r="AA209" s="201"/>
      <c r="AB209" s="201"/>
      <c r="AC209" s="201"/>
      <c r="AD209" s="201"/>
      <c r="AE209" s="201"/>
      <c r="AF209" s="201"/>
      <c r="AG209" s="201"/>
      <c r="AH209" s="201"/>
      <c r="AI209" s="201"/>
      <c r="AJ209" s="201"/>
      <c r="AK209" s="201"/>
      <c r="AL209" s="201"/>
      <c r="AM209" s="201"/>
      <c r="AN209" s="201"/>
      <c r="AO209" s="201"/>
      <c r="AP209" s="201"/>
      <c r="AQ209" s="201"/>
      <c r="AR209" s="201"/>
      <c r="AS209" s="201"/>
      <c r="AT209" s="201"/>
      <c r="AU209" s="201"/>
      <c r="AV209" s="201"/>
      <c r="AW209" s="201"/>
      <c r="AX209" s="201"/>
      <c r="AY209" s="201"/>
      <c r="AZ209" s="201"/>
      <c r="BA209" s="201"/>
      <c r="BB209" s="201"/>
      <c r="BC209" s="201"/>
      <c r="BD209" s="201"/>
      <c r="BE209" s="201"/>
      <c r="BF209" s="201"/>
      <c r="BG209" s="201"/>
      <c r="BH209" s="201"/>
      <c r="BI209" s="201"/>
      <c r="BJ209" s="201"/>
      <c r="BK209" s="201"/>
      <c r="BL209" s="201"/>
      <c r="BM209" s="201"/>
      <c r="BN209" s="201"/>
      <c r="BO209" s="201"/>
      <c r="BP209" s="201"/>
      <c r="BQ209" s="201"/>
      <c r="BR209" s="201"/>
      <c r="BS209" s="201"/>
      <c r="BT209" s="201"/>
      <c r="BU209" s="202"/>
    </row>
    <row r="210" spans="2:73" x14ac:dyDescent="0.25">
      <c r="B210" s="200"/>
      <c r="C210" s="201"/>
      <c r="D210" s="201"/>
      <c r="E210" s="201"/>
      <c r="F210" s="201"/>
      <c r="G210" s="201"/>
      <c r="H210" s="201"/>
      <c r="I210" s="201"/>
      <c r="J210" s="201"/>
      <c r="K210" s="201"/>
      <c r="L210" s="201"/>
      <c r="M210" s="201"/>
      <c r="N210" s="201"/>
      <c r="O210" s="201"/>
      <c r="P210" s="201"/>
      <c r="Q210" s="201"/>
      <c r="R210" s="201"/>
      <c r="S210" s="201"/>
      <c r="T210" s="201"/>
      <c r="U210" s="201"/>
      <c r="V210" s="201"/>
      <c r="W210" s="201"/>
      <c r="X210" s="201"/>
      <c r="Y210" s="201"/>
      <c r="Z210" s="201"/>
      <c r="AA210" s="201"/>
      <c r="AB210" s="201"/>
      <c r="AC210" s="201"/>
      <c r="AD210" s="201"/>
      <c r="AE210" s="201"/>
      <c r="AF210" s="201"/>
      <c r="AG210" s="201"/>
      <c r="AH210" s="201"/>
      <c r="AI210" s="201"/>
      <c r="AJ210" s="201"/>
      <c r="AK210" s="201"/>
      <c r="AL210" s="201"/>
      <c r="AM210" s="201"/>
      <c r="AN210" s="201"/>
      <c r="AO210" s="201"/>
      <c r="AP210" s="201"/>
      <c r="AQ210" s="201"/>
      <c r="AR210" s="201"/>
      <c r="AS210" s="201"/>
      <c r="AT210" s="201"/>
      <c r="AU210" s="201"/>
      <c r="AV210" s="201"/>
      <c r="AW210" s="201"/>
      <c r="AX210" s="201"/>
      <c r="AY210" s="201"/>
      <c r="AZ210" s="201"/>
      <c r="BA210" s="201"/>
      <c r="BB210" s="201"/>
      <c r="BC210" s="201"/>
      <c r="BD210" s="201"/>
      <c r="BE210" s="201"/>
      <c r="BF210" s="201"/>
      <c r="BG210" s="201"/>
      <c r="BH210" s="201"/>
      <c r="BI210" s="201"/>
      <c r="BJ210" s="201"/>
      <c r="BK210" s="201"/>
      <c r="BL210" s="201"/>
      <c r="BM210" s="201"/>
      <c r="BN210" s="201"/>
      <c r="BO210" s="201"/>
      <c r="BP210" s="201"/>
      <c r="BQ210" s="201"/>
      <c r="BR210" s="201"/>
      <c r="BS210" s="201"/>
      <c r="BT210" s="201"/>
      <c r="BU210" s="202"/>
    </row>
    <row r="211" spans="2:73" x14ac:dyDescent="0.25">
      <c r="B211" s="200"/>
      <c r="C211" s="201"/>
      <c r="D211" s="201"/>
      <c r="E211" s="201"/>
      <c r="F211" s="201"/>
      <c r="G211" s="201"/>
      <c r="H211" s="201"/>
      <c r="I211" s="201"/>
      <c r="J211" s="201"/>
      <c r="K211" s="201"/>
      <c r="L211" s="201"/>
      <c r="M211" s="201"/>
      <c r="N211" s="201"/>
      <c r="O211" s="201"/>
      <c r="P211" s="201"/>
      <c r="Q211" s="201"/>
      <c r="R211" s="201"/>
      <c r="S211" s="201"/>
      <c r="T211" s="201"/>
      <c r="U211" s="201"/>
      <c r="V211" s="201"/>
      <c r="W211" s="201"/>
      <c r="X211" s="201"/>
      <c r="Y211" s="201"/>
      <c r="Z211" s="201"/>
      <c r="AA211" s="201"/>
      <c r="AB211" s="201"/>
      <c r="AC211" s="201"/>
      <c r="AD211" s="201"/>
      <c r="AE211" s="201"/>
      <c r="AF211" s="201"/>
      <c r="AG211" s="201"/>
      <c r="AH211" s="201"/>
      <c r="AI211" s="201"/>
      <c r="AJ211" s="201"/>
      <c r="AK211" s="201"/>
      <c r="AL211" s="201"/>
      <c r="AM211" s="201"/>
      <c r="AN211" s="201"/>
      <c r="AO211" s="201"/>
      <c r="AP211" s="201"/>
      <c r="AQ211" s="201"/>
      <c r="AR211" s="201"/>
      <c r="AS211" s="201"/>
      <c r="AT211" s="201"/>
      <c r="AU211" s="201"/>
      <c r="AV211" s="201"/>
      <c r="AW211" s="201"/>
      <c r="AX211" s="201"/>
      <c r="AY211" s="201"/>
      <c r="AZ211" s="201"/>
      <c r="BA211" s="201"/>
      <c r="BB211" s="201"/>
      <c r="BC211" s="201"/>
      <c r="BD211" s="201"/>
      <c r="BE211" s="201"/>
      <c r="BF211" s="201"/>
      <c r="BG211" s="201"/>
      <c r="BH211" s="201"/>
      <c r="BI211" s="201"/>
      <c r="BJ211" s="201"/>
      <c r="BK211" s="201"/>
      <c r="BL211" s="201"/>
      <c r="BM211" s="201"/>
      <c r="BN211" s="201"/>
      <c r="BO211" s="201"/>
      <c r="BP211" s="201"/>
      <c r="BQ211" s="201"/>
      <c r="BR211" s="201"/>
      <c r="BS211" s="201"/>
      <c r="BT211" s="201"/>
      <c r="BU211" s="202"/>
    </row>
    <row r="212" spans="2:73" x14ac:dyDescent="0.25">
      <c r="B212" s="200"/>
      <c r="C212" s="201"/>
      <c r="D212" s="201"/>
      <c r="E212" s="201"/>
      <c r="F212" s="201"/>
      <c r="G212" s="201"/>
      <c r="H212" s="201"/>
      <c r="I212" s="201"/>
      <c r="J212" s="201"/>
      <c r="K212" s="201"/>
      <c r="L212" s="201"/>
      <c r="M212" s="201"/>
      <c r="N212" s="201"/>
      <c r="O212" s="201"/>
      <c r="P212" s="201"/>
      <c r="Q212" s="201"/>
      <c r="R212" s="201"/>
      <c r="S212" s="201"/>
      <c r="T212" s="201"/>
      <c r="U212" s="201"/>
      <c r="V212" s="201"/>
      <c r="W212" s="201"/>
      <c r="X212" s="201"/>
      <c r="Y212" s="201"/>
      <c r="Z212" s="201"/>
      <c r="AA212" s="201"/>
      <c r="AB212" s="201"/>
      <c r="AC212" s="201"/>
      <c r="AD212" s="201"/>
      <c r="AE212" s="201"/>
      <c r="AF212" s="201"/>
      <c r="AG212" s="201"/>
      <c r="AH212" s="201"/>
      <c r="AI212" s="201"/>
      <c r="AJ212" s="201"/>
      <c r="AK212" s="201"/>
      <c r="AL212" s="201"/>
      <c r="AM212" s="201"/>
      <c r="AN212" s="201"/>
      <c r="AO212" s="201"/>
      <c r="AP212" s="201"/>
      <c r="AQ212" s="201"/>
      <c r="AR212" s="201"/>
      <c r="AS212" s="201"/>
      <c r="AT212" s="201"/>
      <c r="AU212" s="201"/>
      <c r="AV212" s="201"/>
      <c r="AW212" s="201"/>
      <c r="AX212" s="201"/>
      <c r="AY212" s="201"/>
      <c r="AZ212" s="201"/>
      <c r="BA212" s="201"/>
      <c r="BB212" s="201"/>
      <c r="BC212" s="201"/>
      <c r="BD212" s="201"/>
      <c r="BE212" s="201"/>
      <c r="BF212" s="201"/>
      <c r="BG212" s="201"/>
      <c r="BH212" s="201"/>
      <c r="BI212" s="201"/>
      <c r="BJ212" s="201"/>
      <c r="BK212" s="201"/>
      <c r="BL212" s="201"/>
      <c r="BM212" s="201"/>
      <c r="BN212" s="201"/>
      <c r="BO212" s="201"/>
      <c r="BP212" s="201"/>
      <c r="BQ212" s="201"/>
      <c r="BR212" s="201"/>
      <c r="BS212" s="201"/>
      <c r="BT212" s="201"/>
      <c r="BU212" s="202"/>
    </row>
    <row r="213" spans="2:73" x14ac:dyDescent="0.25">
      <c r="B213" s="200"/>
      <c r="C213" s="201"/>
      <c r="D213" s="201"/>
      <c r="E213" s="201"/>
      <c r="F213" s="201"/>
      <c r="G213" s="201"/>
      <c r="H213" s="201"/>
      <c r="I213" s="201"/>
      <c r="J213" s="201"/>
      <c r="K213" s="201"/>
      <c r="L213" s="201"/>
      <c r="M213" s="201"/>
      <c r="N213" s="201"/>
      <c r="O213" s="201"/>
      <c r="P213" s="201"/>
      <c r="Q213" s="201"/>
      <c r="R213" s="201"/>
      <c r="S213" s="201"/>
      <c r="T213" s="201"/>
      <c r="U213" s="201"/>
      <c r="V213" s="201"/>
      <c r="W213" s="201"/>
      <c r="X213" s="201"/>
      <c r="Y213" s="201"/>
      <c r="Z213" s="201"/>
      <c r="AA213" s="201"/>
      <c r="AB213" s="201"/>
      <c r="AC213" s="201"/>
      <c r="AD213" s="201"/>
      <c r="AE213" s="201"/>
      <c r="AF213" s="201"/>
      <c r="AG213" s="201"/>
      <c r="AH213" s="201"/>
      <c r="AI213" s="201"/>
      <c r="AJ213" s="201"/>
      <c r="AK213" s="201"/>
      <c r="AL213" s="201"/>
      <c r="AM213" s="201"/>
      <c r="AN213" s="201"/>
      <c r="AO213" s="201"/>
      <c r="AP213" s="201"/>
      <c r="AQ213" s="201"/>
      <c r="AR213" s="201"/>
      <c r="AS213" s="201"/>
      <c r="AT213" s="201"/>
      <c r="AU213" s="201"/>
      <c r="AV213" s="201"/>
      <c r="AW213" s="201"/>
      <c r="AX213" s="201"/>
      <c r="AY213" s="201"/>
      <c r="AZ213" s="201"/>
      <c r="BA213" s="201"/>
      <c r="BB213" s="201"/>
      <c r="BC213" s="201"/>
      <c r="BD213" s="201"/>
      <c r="BE213" s="201"/>
      <c r="BF213" s="201"/>
      <c r="BG213" s="201"/>
      <c r="BH213" s="201"/>
      <c r="BI213" s="201"/>
      <c r="BJ213" s="201"/>
      <c r="BK213" s="201"/>
      <c r="BL213" s="201"/>
      <c r="BM213" s="201"/>
      <c r="BN213" s="201"/>
      <c r="BO213" s="201"/>
      <c r="BP213" s="201"/>
      <c r="BQ213" s="201"/>
      <c r="BR213" s="201"/>
      <c r="BS213" s="201"/>
      <c r="BT213" s="201"/>
      <c r="BU213" s="202"/>
    </row>
    <row r="214" spans="2:73" x14ac:dyDescent="0.25">
      <c r="B214" s="203"/>
      <c r="C214" s="204"/>
      <c r="D214" s="204"/>
      <c r="E214" s="204"/>
      <c r="F214" s="204"/>
      <c r="G214" s="204"/>
      <c r="H214" s="204"/>
      <c r="I214" s="204"/>
      <c r="J214" s="204"/>
      <c r="K214" s="204"/>
      <c r="L214" s="204"/>
      <c r="M214" s="204"/>
      <c r="N214" s="204"/>
      <c r="O214" s="204"/>
      <c r="P214" s="204"/>
      <c r="Q214" s="204"/>
      <c r="R214" s="204"/>
      <c r="S214" s="204"/>
      <c r="T214" s="204"/>
      <c r="U214" s="204"/>
      <c r="V214" s="204"/>
      <c r="W214" s="204"/>
      <c r="X214" s="204"/>
      <c r="Y214" s="204"/>
      <c r="Z214" s="204"/>
      <c r="AA214" s="204"/>
      <c r="AB214" s="204"/>
      <c r="AC214" s="204"/>
      <c r="AD214" s="204"/>
      <c r="AE214" s="204"/>
      <c r="AF214" s="204"/>
      <c r="AG214" s="204"/>
      <c r="AH214" s="204"/>
      <c r="AI214" s="204"/>
      <c r="AJ214" s="204"/>
      <c r="AK214" s="204"/>
      <c r="AL214" s="204"/>
      <c r="AM214" s="204"/>
      <c r="AN214" s="204"/>
      <c r="AO214" s="204"/>
      <c r="AP214" s="204"/>
      <c r="AQ214" s="204"/>
      <c r="AR214" s="204"/>
      <c r="AS214" s="204"/>
      <c r="AT214" s="204"/>
      <c r="AU214" s="204"/>
      <c r="AV214" s="204"/>
      <c r="AW214" s="204"/>
      <c r="AX214" s="204"/>
      <c r="AY214" s="204"/>
      <c r="AZ214" s="204"/>
      <c r="BA214" s="204"/>
      <c r="BB214" s="204"/>
      <c r="BC214" s="204"/>
      <c r="BD214" s="204"/>
      <c r="BE214" s="204"/>
      <c r="BF214" s="204"/>
      <c r="BG214" s="204"/>
      <c r="BH214" s="204"/>
      <c r="BI214" s="204"/>
      <c r="BJ214" s="204"/>
      <c r="BK214" s="204"/>
      <c r="BL214" s="204"/>
      <c r="BM214" s="204"/>
      <c r="BN214" s="204"/>
      <c r="BO214" s="204"/>
      <c r="BP214" s="204"/>
      <c r="BQ214" s="204"/>
      <c r="BR214" s="204"/>
      <c r="BS214" s="204"/>
      <c r="BT214" s="204"/>
      <c r="BU214" s="205"/>
    </row>
    <row r="216" spans="2:73" x14ac:dyDescent="0.25">
      <c r="B216" s="3" t="str">
        <f>'Financial Planning Tool'!H15</f>
        <v>Output (in Nominal terms)</v>
      </c>
    </row>
    <row r="217" spans="2:73" x14ac:dyDescent="0.25">
      <c r="AR217" s="270" t="s">
        <v>36</v>
      </c>
      <c r="AS217" s="270"/>
      <c r="AT217" s="270"/>
      <c r="AU217" s="270"/>
      <c r="AV217" s="270"/>
      <c r="AW217" s="270"/>
      <c r="AX217" s="270"/>
      <c r="AY217" s="270"/>
      <c r="AZ217" s="270"/>
      <c r="BA217" s="270"/>
      <c r="BB217" s="270"/>
      <c r="BC217" s="270"/>
      <c r="BD217" s="270"/>
      <c r="BE217" s="270"/>
      <c r="BF217" s="270"/>
      <c r="BG217" s="246" t="s">
        <v>37</v>
      </c>
      <c r="BH217" s="246"/>
      <c r="BI217" s="246"/>
      <c r="BJ217" s="246"/>
      <c r="BK217" s="246"/>
      <c r="BL217" s="246"/>
      <c r="BM217" s="246"/>
      <c r="BN217" s="246"/>
      <c r="BO217" s="246"/>
      <c r="BP217" s="246"/>
      <c r="BQ217" s="246"/>
      <c r="BR217" s="246"/>
      <c r="BS217" s="246"/>
      <c r="BT217" s="246"/>
      <c r="BU217" s="246"/>
    </row>
    <row r="218" spans="2:73" x14ac:dyDescent="0.25">
      <c r="B218" t="str">
        <f>'Financial Planning Tool'!H18</f>
        <v>End market value after 36 years</v>
      </c>
      <c r="AR218" s="194">
        <f ca="1">'Financial Planning Tool'!N18</f>
        <v>240176.89</v>
      </c>
      <c r="AS218" s="194"/>
      <c r="AT218" s="194"/>
      <c r="AU218" s="194"/>
      <c r="AV218" s="194"/>
      <c r="AW218" s="194"/>
      <c r="AX218" s="194"/>
      <c r="AY218" s="194"/>
      <c r="AZ218" s="194"/>
      <c r="BA218" s="194"/>
      <c r="BB218" s="194"/>
      <c r="BC218" s="194"/>
      <c r="BD218" s="194"/>
      <c r="BE218" s="194"/>
      <c r="BF218" s="194"/>
      <c r="BG218" s="271">
        <f ca="1">'Financial Planning Tool'!P18</f>
        <v>58523.6</v>
      </c>
      <c r="BH218" s="272"/>
      <c r="BI218" s="272"/>
      <c r="BJ218" s="272"/>
      <c r="BK218" s="272"/>
      <c r="BL218" s="272"/>
      <c r="BM218" s="272"/>
      <c r="BN218" s="272"/>
      <c r="BO218" s="272"/>
      <c r="BP218" s="272"/>
      <c r="BQ218" s="272"/>
      <c r="BR218" s="272"/>
      <c r="BS218" s="272"/>
      <c r="BT218" s="272"/>
      <c r="BU218" s="273"/>
    </row>
    <row r="250" spans="2:73" x14ac:dyDescent="0.25">
      <c r="B250" s="175" t="s">
        <v>39</v>
      </c>
      <c r="C250" s="175"/>
      <c r="D250" s="175"/>
      <c r="E250" s="175"/>
      <c r="F250" s="223" t="s">
        <v>40</v>
      </c>
      <c r="G250" s="223"/>
      <c r="H250" s="223"/>
      <c r="I250" s="223"/>
      <c r="J250" s="170" t="s">
        <v>41</v>
      </c>
      <c r="K250" s="170"/>
      <c r="L250" s="170"/>
      <c r="M250" s="170"/>
      <c r="N250" s="170"/>
      <c r="O250" s="170"/>
      <c r="P250" s="170"/>
      <c r="Q250" s="170"/>
      <c r="R250" s="170"/>
      <c r="S250" s="170"/>
      <c r="T250" s="170"/>
      <c r="U250" s="170"/>
      <c r="V250" s="170"/>
      <c r="W250" s="170"/>
      <c r="X250" s="170"/>
      <c r="Y250" s="170"/>
      <c r="Z250" s="170" t="s">
        <v>42</v>
      </c>
      <c r="AA250" s="170"/>
      <c r="AB250" s="170"/>
      <c r="AC250" s="170"/>
      <c r="AD250" s="170"/>
      <c r="AE250" s="170"/>
      <c r="AF250" s="170"/>
      <c r="AG250" s="170"/>
      <c r="AH250" s="170"/>
      <c r="AI250" s="170"/>
      <c r="AJ250" s="170"/>
      <c r="AK250" s="170"/>
      <c r="AL250" s="170"/>
      <c r="AM250" s="170"/>
      <c r="AN250" s="170"/>
      <c r="AO250" s="170"/>
      <c r="AP250" s="170" t="s">
        <v>80</v>
      </c>
      <c r="AQ250" s="170"/>
      <c r="AR250" s="170"/>
      <c r="AS250" s="170"/>
      <c r="AT250" s="170"/>
      <c r="AU250" s="170"/>
      <c r="AV250" s="170"/>
      <c r="AW250" s="170"/>
      <c r="AX250" s="170"/>
      <c r="AY250" s="170"/>
      <c r="AZ250" s="170"/>
      <c r="BA250" s="170"/>
      <c r="BB250" s="170"/>
      <c r="BC250" s="170"/>
      <c r="BD250" s="170"/>
      <c r="BE250" s="170"/>
      <c r="BF250" s="224" t="s">
        <v>161</v>
      </c>
      <c r="BG250" s="225"/>
      <c r="BH250" s="225"/>
      <c r="BI250" s="225"/>
      <c r="BJ250" s="225"/>
      <c r="BK250" s="225"/>
      <c r="BL250" s="225"/>
      <c r="BM250" s="225"/>
      <c r="BN250" s="225"/>
      <c r="BO250" s="225"/>
      <c r="BP250" s="225"/>
      <c r="BQ250" s="225"/>
      <c r="BR250" s="225"/>
      <c r="BS250" s="225"/>
      <c r="BT250" s="225"/>
      <c r="BU250" s="226"/>
    </row>
    <row r="251" spans="2:73" x14ac:dyDescent="0.25">
      <c r="B251" s="175"/>
      <c r="C251" s="175"/>
      <c r="D251" s="175"/>
      <c r="E251" s="175"/>
      <c r="F251" s="223"/>
      <c r="G251" s="223"/>
      <c r="H251" s="223"/>
      <c r="I251" s="223"/>
      <c r="J251" s="170" t="s">
        <v>43</v>
      </c>
      <c r="K251" s="170"/>
      <c r="L251" s="170"/>
      <c r="M251" s="170"/>
      <c r="N251" s="170"/>
      <c r="O251" s="170"/>
      <c r="P251" s="170"/>
      <c r="Q251" s="170"/>
      <c r="R251" s="170" t="s">
        <v>44</v>
      </c>
      <c r="S251" s="170"/>
      <c r="T251" s="170"/>
      <c r="U251" s="170"/>
      <c r="V251" s="170"/>
      <c r="W251" s="170"/>
      <c r="X251" s="170"/>
      <c r="Y251" s="170"/>
      <c r="Z251" s="170" t="s">
        <v>43</v>
      </c>
      <c r="AA251" s="170"/>
      <c r="AB251" s="170"/>
      <c r="AC251" s="170"/>
      <c r="AD251" s="170"/>
      <c r="AE251" s="170"/>
      <c r="AF251" s="170"/>
      <c r="AG251" s="170"/>
      <c r="AH251" s="170" t="s">
        <v>44</v>
      </c>
      <c r="AI251" s="170"/>
      <c r="AJ251" s="170"/>
      <c r="AK251" s="170"/>
      <c r="AL251" s="170"/>
      <c r="AM251" s="170"/>
      <c r="AN251" s="170"/>
      <c r="AO251" s="170"/>
      <c r="AP251" s="170" t="s">
        <v>43</v>
      </c>
      <c r="AQ251" s="170"/>
      <c r="AR251" s="170"/>
      <c r="AS251" s="170"/>
      <c r="AT251" s="170"/>
      <c r="AU251" s="170"/>
      <c r="AV251" s="170"/>
      <c r="AW251" s="170"/>
      <c r="AX251" s="170" t="s">
        <v>44</v>
      </c>
      <c r="AY251" s="170"/>
      <c r="AZ251" s="170"/>
      <c r="BA251" s="170"/>
      <c r="BB251" s="170"/>
      <c r="BC251" s="170"/>
      <c r="BD251" s="170"/>
      <c r="BE251" s="170"/>
      <c r="BF251" s="170" t="s">
        <v>43</v>
      </c>
      <c r="BG251" s="170"/>
      <c r="BH251" s="170"/>
      <c r="BI251" s="170"/>
      <c r="BJ251" s="170"/>
      <c r="BK251" s="170"/>
      <c r="BL251" s="170"/>
      <c r="BM251" s="170"/>
      <c r="BN251" s="224" t="s">
        <v>44</v>
      </c>
      <c r="BO251" s="225"/>
      <c r="BP251" s="225"/>
      <c r="BQ251" s="225"/>
      <c r="BR251" s="225"/>
      <c r="BS251" s="225"/>
      <c r="BT251" s="225"/>
      <c r="BU251" s="226"/>
    </row>
    <row r="252" spans="2:73" x14ac:dyDescent="0.25">
      <c r="B252" s="227">
        <f ca="1">'Financial Planning Tool'!H55</f>
        <v>45991</v>
      </c>
      <c r="C252" s="228"/>
      <c r="D252" s="228"/>
      <c r="E252" s="229"/>
      <c r="F252" s="230">
        <f ca="1">'Financial Planning Tool'!I55</f>
        <v>55</v>
      </c>
      <c r="G252" s="231"/>
      <c r="H252" s="231"/>
      <c r="I252" s="232"/>
      <c r="J252" s="233">
        <f ca="1">'Financial Planning Tool'!J55</f>
        <v>664000</v>
      </c>
      <c r="K252" s="234"/>
      <c r="L252" s="234"/>
      <c r="M252" s="234"/>
      <c r="N252" s="234"/>
      <c r="O252" s="234"/>
      <c r="P252" s="234"/>
      <c r="Q252" s="235"/>
      <c r="R252" s="233">
        <f ca="1">'Financial Planning Tool'!K55</f>
        <v>663041.34</v>
      </c>
      <c r="S252" s="234"/>
      <c r="T252" s="234"/>
      <c r="U252" s="234"/>
      <c r="V252" s="234"/>
      <c r="W252" s="234"/>
      <c r="X252" s="234"/>
      <c r="Y252" s="235"/>
      <c r="Z252" s="233" t="str">
        <f ca="1">'Financial Planning Tool'!L55</f>
        <v/>
      </c>
      <c r="AA252" s="234"/>
      <c r="AB252" s="234"/>
      <c r="AC252" s="234"/>
      <c r="AD252" s="234"/>
      <c r="AE252" s="234"/>
      <c r="AF252" s="234"/>
      <c r="AG252" s="235"/>
      <c r="AH252" s="233" t="str">
        <f ca="1">'Financial Planning Tool'!M55</f>
        <v/>
      </c>
      <c r="AI252" s="234"/>
      <c r="AJ252" s="234"/>
      <c r="AK252" s="234"/>
      <c r="AL252" s="234"/>
      <c r="AM252" s="234"/>
      <c r="AN252" s="234"/>
      <c r="AO252" s="235"/>
      <c r="AP252" s="233" t="str">
        <f ca="1">'Financial Planning Tool'!N55</f>
        <v/>
      </c>
      <c r="AQ252" s="234"/>
      <c r="AR252" s="234"/>
      <c r="AS252" s="234"/>
      <c r="AT252" s="234"/>
      <c r="AU252" s="234"/>
      <c r="AV252" s="234"/>
      <c r="AW252" s="235"/>
      <c r="AX252" s="233" t="str">
        <f ca="1">'Financial Planning Tool'!O55</f>
        <v/>
      </c>
      <c r="AY252" s="234"/>
      <c r="AZ252" s="234"/>
      <c r="BA252" s="234"/>
      <c r="BB252" s="234"/>
      <c r="BC252" s="234"/>
      <c r="BD252" s="234"/>
      <c r="BE252" s="235"/>
      <c r="BF252" s="233">
        <f ca="1">'Financial Planning Tool'!P55</f>
        <v>721497.84</v>
      </c>
      <c r="BG252" s="234"/>
      <c r="BH252" s="234"/>
      <c r="BI252" s="234"/>
      <c r="BJ252" s="234"/>
      <c r="BK252" s="234"/>
      <c r="BL252" s="234"/>
      <c r="BM252" s="235"/>
      <c r="BN252" s="233">
        <f ca="1">'Financial Planning Tool'!Q55</f>
        <v>693747.93</v>
      </c>
      <c r="BO252" s="234"/>
      <c r="BP252" s="234"/>
      <c r="BQ252" s="234"/>
      <c r="BR252" s="234"/>
      <c r="BS252" s="234"/>
      <c r="BT252" s="234"/>
      <c r="BU252" s="235"/>
    </row>
    <row r="253" spans="2:73" x14ac:dyDescent="0.25">
      <c r="B253" s="215">
        <f ca="1">'Financial Planning Tool'!H56</f>
        <v>46356</v>
      </c>
      <c r="C253" s="216"/>
      <c r="D253" s="216"/>
      <c r="E253" s="217"/>
      <c r="F253" s="218">
        <f ca="1">'Financial Planning Tool'!I56</f>
        <v>56</v>
      </c>
      <c r="G253" s="186"/>
      <c r="H253" s="186"/>
      <c r="I253" s="219"/>
      <c r="J253" s="220">
        <f ca="1">'Financial Planning Tool'!J56</f>
        <v>56160</v>
      </c>
      <c r="K253" s="221"/>
      <c r="L253" s="221"/>
      <c r="M253" s="221"/>
      <c r="N253" s="221"/>
      <c r="O253" s="221"/>
      <c r="P253" s="221"/>
      <c r="Q253" s="222"/>
      <c r="R253" s="220">
        <f ca="1">'Financial Planning Tool'!K56</f>
        <v>53041.34</v>
      </c>
      <c r="S253" s="221"/>
      <c r="T253" s="221"/>
      <c r="U253" s="221"/>
      <c r="V253" s="221"/>
      <c r="W253" s="221"/>
      <c r="X253" s="221"/>
      <c r="Y253" s="222"/>
      <c r="Z253" s="220" t="str">
        <f ca="1">'Financial Planning Tool'!L56</f>
        <v/>
      </c>
      <c r="AA253" s="221"/>
      <c r="AB253" s="221"/>
      <c r="AC253" s="221"/>
      <c r="AD253" s="221"/>
      <c r="AE253" s="221"/>
      <c r="AF253" s="221"/>
      <c r="AG253" s="222"/>
      <c r="AH253" s="220" t="str">
        <f ca="1">'Financial Planning Tool'!M56</f>
        <v/>
      </c>
      <c r="AI253" s="221"/>
      <c r="AJ253" s="221"/>
      <c r="AK253" s="221"/>
      <c r="AL253" s="221"/>
      <c r="AM253" s="221"/>
      <c r="AN253" s="221"/>
      <c r="AO253" s="222"/>
      <c r="AP253" s="220" t="str">
        <f ca="1">'Financial Planning Tool'!N56</f>
        <v/>
      </c>
      <c r="AQ253" s="221"/>
      <c r="AR253" s="221"/>
      <c r="AS253" s="221"/>
      <c r="AT253" s="221"/>
      <c r="AU253" s="221"/>
      <c r="AV253" s="221"/>
      <c r="AW253" s="222"/>
      <c r="AX253" s="220" t="str">
        <f ca="1">'Financial Planning Tool'!O56</f>
        <v/>
      </c>
      <c r="AY253" s="221"/>
      <c r="AZ253" s="221"/>
      <c r="BA253" s="221"/>
      <c r="BB253" s="221"/>
      <c r="BC253" s="221"/>
      <c r="BD253" s="221"/>
      <c r="BE253" s="222"/>
      <c r="BF253" s="220">
        <f ca="1">'Financial Planning Tool'!P56</f>
        <v>845294.41</v>
      </c>
      <c r="BG253" s="221"/>
      <c r="BH253" s="221"/>
      <c r="BI253" s="221"/>
      <c r="BJ253" s="221"/>
      <c r="BK253" s="221"/>
      <c r="BL253" s="221"/>
      <c r="BM253" s="222"/>
      <c r="BN253" s="220">
        <f ca="1">'Financial Planning Tool'!Q56</f>
        <v>781522.2</v>
      </c>
      <c r="BO253" s="221"/>
      <c r="BP253" s="221"/>
      <c r="BQ253" s="221"/>
      <c r="BR253" s="221"/>
      <c r="BS253" s="221"/>
      <c r="BT253" s="221"/>
      <c r="BU253" s="222"/>
    </row>
    <row r="254" spans="2:73" x14ac:dyDescent="0.25">
      <c r="B254" s="215">
        <f ca="1">'Financial Planning Tool'!H57</f>
        <v>46721</v>
      </c>
      <c r="C254" s="216"/>
      <c r="D254" s="216"/>
      <c r="E254" s="217"/>
      <c r="F254" s="218">
        <f ca="1">'Financial Planning Tool'!I57</f>
        <v>57</v>
      </c>
      <c r="G254" s="186"/>
      <c r="H254" s="186"/>
      <c r="I254" s="219"/>
      <c r="J254" s="220">
        <f ca="1">'Financial Planning Tool'!J57</f>
        <v>58406.400000000001</v>
      </c>
      <c r="K254" s="221"/>
      <c r="L254" s="221"/>
      <c r="M254" s="221"/>
      <c r="N254" s="221"/>
      <c r="O254" s="221"/>
      <c r="P254" s="221"/>
      <c r="Q254" s="222"/>
      <c r="R254" s="220">
        <f ca="1">'Financial Planning Tool'!K57</f>
        <v>53041.34</v>
      </c>
      <c r="S254" s="221"/>
      <c r="T254" s="221"/>
      <c r="U254" s="221"/>
      <c r="V254" s="221"/>
      <c r="W254" s="221"/>
      <c r="X254" s="221"/>
      <c r="Y254" s="222"/>
      <c r="Z254" s="220" t="str">
        <f ca="1">'Financial Planning Tool'!L57</f>
        <v/>
      </c>
      <c r="AA254" s="221"/>
      <c r="AB254" s="221"/>
      <c r="AC254" s="221"/>
      <c r="AD254" s="221"/>
      <c r="AE254" s="221"/>
      <c r="AF254" s="221"/>
      <c r="AG254" s="222"/>
      <c r="AH254" s="220" t="str">
        <f ca="1">'Financial Planning Tool'!M57</f>
        <v/>
      </c>
      <c r="AI254" s="221"/>
      <c r="AJ254" s="221"/>
      <c r="AK254" s="221"/>
      <c r="AL254" s="221"/>
      <c r="AM254" s="221"/>
      <c r="AN254" s="221"/>
      <c r="AO254" s="222"/>
      <c r="AP254" s="220" t="str">
        <f ca="1">'Financial Planning Tool'!N57</f>
        <v/>
      </c>
      <c r="AQ254" s="221"/>
      <c r="AR254" s="221"/>
      <c r="AS254" s="221"/>
      <c r="AT254" s="221"/>
      <c r="AU254" s="221"/>
      <c r="AV254" s="221"/>
      <c r="AW254" s="222"/>
      <c r="AX254" s="220" t="str">
        <f ca="1">'Financial Planning Tool'!O57</f>
        <v/>
      </c>
      <c r="AY254" s="221"/>
      <c r="AZ254" s="221"/>
      <c r="BA254" s="221"/>
      <c r="BB254" s="221"/>
      <c r="BC254" s="221"/>
      <c r="BD254" s="221"/>
      <c r="BE254" s="222"/>
      <c r="BF254" s="220">
        <f ca="1">'Financial Planning Tool'!P57</f>
        <v>982587.13</v>
      </c>
      <c r="BG254" s="221"/>
      <c r="BH254" s="221"/>
      <c r="BI254" s="221"/>
      <c r="BJ254" s="221"/>
      <c r="BK254" s="221"/>
      <c r="BL254" s="221"/>
      <c r="BM254" s="222"/>
      <c r="BN254" s="220">
        <f ca="1">'Financial Planning Tool'!Q57</f>
        <v>873516.39</v>
      </c>
      <c r="BO254" s="221"/>
      <c r="BP254" s="221"/>
      <c r="BQ254" s="221"/>
      <c r="BR254" s="221"/>
      <c r="BS254" s="221"/>
      <c r="BT254" s="221"/>
      <c r="BU254" s="222"/>
    </row>
    <row r="255" spans="2:73" x14ac:dyDescent="0.25">
      <c r="B255" s="215">
        <f ca="1">'Financial Planning Tool'!H58</f>
        <v>47087</v>
      </c>
      <c r="C255" s="216"/>
      <c r="D255" s="216"/>
      <c r="E255" s="217"/>
      <c r="F255" s="218">
        <f ca="1">'Financial Planning Tool'!I58</f>
        <v>58</v>
      </c>
      <c r="G255" s="186"/>
      <c r="H255" s="186"/>
      <c r="I255" s="219"/>
      <c r="J255" s="220">
        <f ca="1">'Financial Planning Tool'!J58</f>
        <v>60742.66</v>
      </c>
      <c r="K255" s="221"/>
      <c r="L255" s="221"/>
      <c r="M255" s="221"/>
      <c r="N255" s="221"/>
      <c r="O255" s="221"/>
      <c r="P255" s="221"/>
      <c r="Q255" s="222"/>
      <c r="R255" s="220">
        <f ca="1">'Financial Planning Tool'!K58</f>
        <v>53041.34</v>
      </c>
      <c r="S255" s="221"/>
      <c r="T255" s="221"/>
      <c r="U255" s="221"/>
      <c r="V255" s="221"/>
      <c r="W255" s="221"/>
      <c r="X255" s="221"/>
      <c r="Y255" s="222"/>
      <c r="Z255" s="220" t="str">
        <f ca="1">'Financial Planning Tool'!L58</f>
        <v/>
      </c>
      <c r="AA255" s="221"/>
      <c r="AB255" s="221"/>
      <c r="AC255" s="221"/>
      <c r="AD255" s="221"/>
      <c r="AE255" s="221"/>
      <c r="AF255" s="221"/>
      <c r="AG255" s="222"/>
      <c r="AH255" s="220" t="str">
        <f ca="1">'Financial Planning Tool'!M58</f>
        <v/>
      </c>
      <c r="AI255" s="221"/>
      <c r="AJ255" s="221"/>
      <c r="AK255" s="221"/>
      <c r="AL255" s="221"/>
      <c r="AM255" s="221"/>
      <c r="AN255" s="221"/>
      <c r="AO255" s="222"/>
      <c r="AP255" s="220" t="str">
        <f ca="1">'Financial Planning Tool'!N58</f>
        <v/>
      </c>
      <c r="AQ255" s="221"/>
      <c r="AR255" s="221"/>
      <c r="AS255" s="221"/>
      <c r="AT255" s="221"/>
      <c r="AU255" s="221"/>
      <c r="AV255" s="221"/>
      <c r="AW255" s="222"/>
      <c r="AX255" s="220" t="str">
        <f ca="1">'Financial Planning Tool'!O58</f>
        <v/>
      </c>
      <c r="AY255" s="221"/>
      <c r="AZ255" s="221"/>
      <c r="BA255" s="221"/>
      <c r="BB255" s="221"/>
      <c r="BC255" s="221"/>
      <c r="BD255" s="221"/>
      <c r="BE255" s="222"/>
      <c r="BF255" s="220">
        <f ca="1">'Financial Planning Tool'!P58</f>
        <v>1134684.8600000001</v>
      </c>
      <c r="BG255" s="221"/>
      <c r="BH255" s="221"/>
      <c r="BI255" s="221"/>
      <c r="BJ255" s="221"/>
      <c r="BK255" s="221"/>
      <c r="BL255" s="221"/>
      <c r="BM255" s="222"/>
      <c r="BN255" s="220">
        <f ca="1">'Financial Planning Tool'!Q58</f>
        <v>969933.37</v>
      </c>
      <c r="BO255" s="221"/>
      <c r="BP255" s="221"/>
      <c r="BQ255" s="221"/>
      <c r="BR255" s="221"/>
      <c r="BS255" s="221"/>
      <c r="BT255" s="221"/>
      <c r="BU255" s="222"/>
    </row>
    <row r="256" spans="2:73" x14ac:dyDescent="0.25">
      <c r="B256" s="215">
        <f ca="1">'Financial Planning Tool'!H59</f>
        <v>47452</v>
      </c>
      <c r="C256" s="216"/>
      <c r="D256" s="216"/>
      <c r="E256" s="217"/>
      <c r="F256" s="218">
        <f ca="1">'Financial Planning Tool'!I59</f>
        <v>59</v>
      </c>
      <c r="G256" s="186"/>
      <c r="H256" s="186"/>
      <c r="I256" s="219"/>
      <c r="J256" s="220">
        <f ca="1">'Financial Planning Tool'!J59</f>
        <v>63172.36</v>
      </c>
      <c r="K256" s="221"/>
      <c r="L256" s="221"/>
      <c r="M256" s="221"/>
      <c r="N256" s="221"/>
      <c r="O256" s="221"/>
      <c r="P256" s="221"/>
      <c r="Q256" s="222"/>
      <c r="R256" s="220">
        <f ca="1">'Financial Planning Tool'!K59</f>
        <v>53041.34</v>
      </c>
      <c r="S256" s="221"/>
      <c r="T256" s="221"/>
      <c r="U256" s="221"/>
      <c r="V256" s="221"/>
      <c r="W256" s="221"/>
      <c r="X256" s="221"/>
      <c r="Y256" s="222"/>
      <c r="Z256" s="220" t="str">
        <f ca="1">'Financial Planning Tool'!L59</f>
        <v/>
      </c>
      <c r="AA256" s="221"/>
      <c r="AB256" s="221"/>
      <c r="AC256" s="221"/>
      <c r="AD256" s="221"/>
      <c r="AE256" s="221"/>
      <c r="AF256" s="221"/>
      <c r="AG256" s="222"/>
      <c r="AH256" s="220" t="str">
        <f ca="1">'Financial Planning Tool'!M59</f>
        <v/>
      </c>
      <c r="AI256" s="221"/>
      <c r="AJ256" s="221"/>
      <c r="AK256" s="221"/>
      <c r="AL256" s="221"/>
      <c r="AM256" s="221"/>
      <c r="AN256" s="221"/>
      <c r="AO256" s="222"/>
      <c r="AP256" s="220" t="str">
        <f ca="1">'Financial Planning Tool'!N59</f>
        <v/>
      </c>
      <c r="AQ256" s="221"/>
      <c r="AR256" s="221"/>
      <c r="AS256" s="221"/>
      <c r="AT256" s="221"/>
      <c r="AU256" s="221"/>
      <c r="AV256" s="221"/>
      <c r="AW256" s="222"/>
      <c r="AX256" s="220" t="str">
        <f ca="1">'Financial Planning Tool'!O59</f>
        <v/>
      </c>
      <c r="AY256" s="221"/>
      <c r="AZ256" s="221"/>
      <c r="BA256" s="221"/>
      <c r="BB256" s="221"/>
      <c r="BC256" s="221"/>
      <c r="BD256" s="221"/>
      <c r="BE256" s="222"/>
      <c r="BF256" s="220">
        <f ca="1">'Financial Planning Tool'!P59</f>
        <v>1303017.97</v>
      </c>
      <c r="BG256" s="221"/>
      <c r="BH256" s="221"/>
      <c r="BI256" s="221"/>
      <c r="BJ256" s="221"/>
      <c r="BK256" s="221"/>
      <c r="BL256" s="221"/>
      <c r="BM256" s="222"/>
      <c r="BN256" s="220">
        <f ca="1">'Financial Planning Tool'!Q59</f>
        <v>1070985.79</v>
      </c>
      <c r="BO256" s="221"/>
      <c r="BP256" s="221"/>
      <c r="BQ256" s="221"/>
      <c r="BR256" s="221"/>
      <c r="BS256" s="221"/>
      <c r="BT256" s="221"/>
      <c r="BU256" s="222"/>
    </row>
    <row r="257" spans="2:73" x14ac:dyDescent="0.25">
      <c r="B257" s="215">
        <f ca="1">'Financial Planning Tool'!H60</f>
        <v>47817</v>
      </c>
      <c r="C257" s="216"/>
      <c r="D257" s="216"/>
      <c r="E257" s="217"/>
      <c r="F257" s="218">
        <f ca="1">'Financial Planning Tool'!I60</f>
        <v>60</v>
      </c>
      <c r="G257" s="186"/>
      <c r="H257" s="186"/>
      <c r="I257" s="219"/>
      <c r="J257" s="220">
        <f ca="1">'Financial Planning Tool'!J60</f>
        <v>65699.259999999995</v>
      </c>
      <c r="K257" s="221"/>
      <c r="L257" s="221"/>
      <c r="M257" s="221"/>
      <c r="N257" s="221"/>
      <c r="O257" s="221"/>
      <c r="P257" s="221"/>
      <c r="Q257" s="222"/>
      <c r="R257" s="220">
        <f ca="1">'Financial Planning Tool'!K60</f>
        <v>53041.34</v>
      </c>
      <c r="S257" s="221"/>
      <c r="T257" s="221"/>
      <c r="U257" s="221"/>
      <c r="V257" s="221"/>
      <c r="W257" s="221"/>
      <c r="X257" s="221"/>
      <c r="Y257" s="222"/>
      <c r="Z257" s="220" t="str">
        <f ca="1">'Financial Planning Tool'!L60</f>
        <v/>
      </c>
      <c r="AA257" s="221"/>
      <c r="AB257" s="221"/>
      <c r="AC257" s="221"/>
      <c r="AD257" s="221"/>
      <c r="AE257" s="221"/>
      <c r="AF257" s="221"/>
      <c r="AG257" s="222"/>
      <c r="AH257" s="220" t="str">
        <f ca="1">'Financial Planning Tool'!M60</f>
        <v/>
      </c>
      <c r="AI257" s="221"/>
      <c r="AJ257" s="221"/>
      <c r="AK257" s="221"/>
      <c r="AL257" s="221"/>
      <c r="AM257" s="221"/>
      <c r="AN257" s="221"/>
      <c r="AO257" s="222"/>
      <c r="AP257" s="220" t="str">
        <f ca="1">'Financial Planning Tool'!N60</f>
        <v/>
      </c>
      <c r="AQ257" s="221"/>
      <c r="AR257" s="221"/>
      <c r="AS257" s="221"/>
      <c r="AT257" s="221"/>
      <c r="AU257" s="221"/>
      <c r="AV257" s="221"/>
      <c r="AW257" s="222"/>
      <c r="AX257" s="220" t="str">
        <f ca="1">'Financial Planning Tool'!O60</f>
        <v/>
      </c>
      <c r="AY257" s="221"/>
      <c r="AZ257" s="221"/>
      <c r="BA257" s="221"/>
      <c r="BB257" s="221"/>
      <c r="BC257" s="221"/>
      <c r="BD257" s="221"/>
      <c r="BE257" s="222"/>
      <c r="BF257" s="220">
        <f ca="1">'Financial Planning Tool'!P60</f>
        <v>1489149.51</v>
      </c>
      <c r="BG257" s="221"/>
      <c r="BH257" s="221"/>
      <c r="BI257" s="221"/>
      <c r="BJ257" s="221"/>
      <c r="BK257" s="221"/>
      <c r="BL257" s="221"/>
      <c r="BM257" s="222"/>
      <c r="BN257" s="220">
        <f ca="1">'Financial Planning Tool'!Q60</f>
        <v>1176896.49</v>
      </c>
      <c r="BO257" s="221"/>
      <c r="BP257" s="221"/>
      <c r="BQ257" s="221"/>
      <c r="BR257" s="221"/>
      <c r="BS257" s="221"/>
      <c r="BT257" s="221"/>
      <c r="BU257" s="222"/>
    </row>
    <row r="258" spans="2:73" x14ac:dyDescent="0.25">
      <c r="B258" s="215">
        <f ca="1">'Financial Planning Tool'!H61</f>
        <v>48182</v>
      </c>
      <c r="C258" s="216"/>
      <c r="D258" s="216"/>
      <c r="E258" s="217"/>
      <c r="F258" s="218">
        <f ca="1">'Financial Planning Tool'!I61</f>
        <v>61</v>
      </c>
      <c r="G258" s="186"/>
      <c r="H258" s="186"/>
      <c r="I258" s="219"/>
      <c r="J258" s="220">
        <f ca="1">'Financial Planning Tool'!J61</f>
        <v>68327.23</v>
      </c>
      <c r="K258" s="221"/>
      <c r="L258" s="221"/>
      <c r="M258" s="221"/>
      <c r="N258" s="221"/>
      <c r="O258" s="221"/>
      <c r="P258" s="221"/>
      <c r="Q258" s="222"/>
      <c r="R258" s="220">
        <f ca="1">'Financial Planning Tool'!K61</f>
        <v>53041.34</v>
      </c>
      <c r="S258" s="221"/>
      <c r="T258" s="221"/>
      <c r="U258" s="221"/>
      <c r="V258" s="221"/>
      <c r="W258" s="221"/>
      <c r="X258" s="221"/>
      <c r="Y258" s="222"/>
      <c r="Z258" s="220" t="str">
        <f ca="1">'Financial Planning Tool'!L61</f>
        <v/>
      </c>
      <c r="AA258" s="221"/>
      <c r="AB258" s="221"/>
      <c r="AC258" s="221"/>
      <c r="AD258" s="221"/>
      <c r="AE258" s="221"/>
      <c r="AF258" s="221"/>
      <c r="AG258" s="222"/>
      <c r="AH258" s="220" t="str">
        <f ca="1">'Financial Planning Tool'!M61</f>
        <v/>
      </c>
      <c r="AI258" s="221"/>
      <c r="AJ258" s="221"/>
      <c r="AK258" s="221"/>
      <c r="AL258" s="221"/>
      <c r="AM258" s="221"/>
      <c r="AN258" s="221"/>
      <c r="AO258" s="222"/>
      <c r="AP258" s="220" t="str">
        <f ca="1">'Financial Planning Tool'!N61</f>
        <v/>
      </c>
      <c r="AQ258" s="221"/>
      <c r="AR258" s="221"/>
      <c r="AS258" s="221"/>
      <c r="AT258" s="221"/>
      <c r="AU258" s="221"/>
      <c r="AV258" s="221"/>
      <c r="AW258" s="222"/>
      <c r="AX258" s="220" t="str">
        <f ca="1">'Financial Planning Tool'!O61</f>
        <v/>
      </c>
      <c r="AY258" s="221"/>
      <c r="AZ258" s="221"/>
      <c r="BA258" s="221"/>
      <c r="BB258" s="221"/>
      <c r="BC258" s="221"/>
      <c r="BD258" s="221"/>
      <c r="BE258" s="222"/>
      <c r="BF258" s="220">
        <f ca="1">'Financial Planning Tool'!P61</f>
        <v>1694787.3</v>
      </c>
      <c r="BG258" s="221"/>
      <c r="BH258" s="221"/>
      <c r="BI258" s="221"/>
      <c r="BJ258" s="221"/>
      <c r="BK258" s="221"/>
      <c r="BL258" s="221"/>
      <c r="BM258" s="222"/>
      <c r="BN258" s="220">
        <f ca="1">'Financial Planning Tool'!Q61</f>
        <v>1287899.06</v>
      </c>
      <c r="BO258" s="221"/>
      <c r="BP258" s="221"/>
      <c r="BQ258" s="221"/>
      <c r="BR258" s="221"/>
      <c r="BS258" s="221"/>
      <c r="BT258" s="221"/>
      <c r="BU258" s="222"/>
    </row>
    <row r="259" spans="2:73" x14ac:dyDescent="0.25">
      <c r="B259" s="215">
        <f ca="1">'Financial Planning Tool'!H62</f>
        <v>48548</v>
      </c>
      <c r="C259" s="216"/>
      <c r="D259" s="216"/>
      <c r="E259" s="217"/>
      <c r="F259" s="218">
        <f ca="1">'Financial Planning Tool'!I62</f>
        <v>62</v>
      </c>
      <c r="G259" s="186"/>
      <c r="H259" s="186"/>
      <c r="I259" s="219"/>
      <c r="J259" s="220">
        <f ca="1">'Financial Planning Tool'!J62</f>
        <v>71060.320000000007</v>
      </c>
      <c r="K259" s="221"/>
      <c r="L259" s="221"/>
      <c r="M259" s="221"/>
      <c r="N259" s="221"/>
      <c r="O259" s="221"/>
      <c r="P259" s="221"/>
      <c r="Q259" s="222"/>
      <c r="R259" s="220">
        <f ca="1">'Financial Planning Tool'!K62</f>
        <v>53041.34</v>
      </c>
      <c r="S259" s="221"/>
      <c r="T259" s="221"/>
      <c r="U259" s="221"/>
      <c r="V259" s="221"/>
      <c r="W259" s="221"/>
      <c r="X259" s="221"/>
      <c r="Y259" s="222"/>
      <c r="Z259" s="220" t="str">
        <f ca="1">'Financial Planning Tool'!L62</f>
        <v/>
      </c>
      <c r="AA259" s="221"/>
      <c r="AB259" s="221"/>
      <c r="AC259" s="221"/>
      <c r="AD259" s="221"/>
      <c r="AE259" s="221"/>
      <c r="AF259" s="221"/>
      <c r="AG259" s="222"/>
      <c r="AH259" s="220" t="str">
        <f ca="1">'Financial Planning Tool'!M62</f>
        <v/>
      </c>
      <c r="AI259" s="221"/>
      <c r="AJ259" s="221"/>
      <c r="AK259" s="221"/>
      <c r="AL259" s="221"/>
      <c r="AM259" s="221"/>
      <c r="AN259" s="221"/>
      <c r="AO259" s="222"/>
      <c r="AP259" s="220" t="str">
        <f ca="1">'Financial Planning Tool'!N62</f>
        <v/>
      </c>
      <c r="AQ259" s="221"/>
      <c r="AR259" s="221"/>
      <c r="AS259" s="221"/>
      <c r="AT259" s="221"/>
      <c r="AU259" s="221"/>
      <c r="AV259" s="221"/>
      <c r="AW259" s="222"/>
      <c r="AX259" s="220" t="str">
        <f ca="1">'Financial Planning Tool'!O62</f>
        <v/>
      </c>
      <c r="AY259" s="221"/>
      <c r="AZ259" s="221"/>
      <c r="BA259" s="221"/>
      <c r="BB259" s="221"/>
      <c r="BC259" s="221"/>
      <c r="BD259" s="221"/>
      <c r="BE259" s="222"/>
      <c r="BF259" s="220">
        <f ca="1">'Financial Planning Tool'!P62</f>
        <v>1921797.06</v>
      </c>
      <c r="BG259" s="221"/>
      <c r="BH259" s="221"/>
      <c r="BI259" s="221"/>
      <c r="BJ259" s="221"/>
      <c r="BK259" s="221"/>
      <c r="BL259" s="221"/>
      <c r="BM259" s="222"/>
      <c r="BN259" s="220">
        <f ca="1">'Financial Planning Tool'!Q62</f>
        <v>1404238.29</v>
      </c>
      <c r="BO259" s="221"/>
      <c r="BP259" s="221"/>
      <c r="BQ259" s="221"/>
      <c r="BR259" s="221"/>
      <c r="BS259" s="221"/>
      <c r="BT259" s="221"/>
      <c r="BU259" s="222"/>
    </row>
    <row r="260" spans="2:73" x14ac:dyDescent="0.25">
      <c r="B260" s="215">
        <f ca="1">'Financial Planning Tool'!H63</f>
        <v>48913</v>
      </c>
      <c r="C260" s="216"/>
      <c r="D260" s="216"/>
      <c r="E260" s="217"/>
      <c r="F260" s="218">
        <f ca="1">'Financial Planning Tool'!I63</f>
        <v>63</v>
      </c>
      <c r="G260" s="186"/>
      <c r="H260" s="186"/>
      <c r="I260" s="219"/>
      <c r="J260" s="220">
        <f ca="1">'Financial Planning Tool'!J63</f>
        <v>73902.73</v>
      </c>
      <c r="K260" s="221"/>
      <c r="L260" s="221"/>
      <c r="M260" s="221"/>
      <c r="N260" s="221"/>
      <c r="O260" s="221"/>
      <c r="P260" s="221"/>
      <c r="Q260" s="222"/>
      <c r="R260" s="220">
        <f ca="1">'Financial Planning Tool'!K63</f>
        <v>53041.34</v>
      </c>
      <c r="S260" s="221"/>
      <c r="T260" s="221"/>
      <c r="U260" s="221"/>
      <c r="V260" s="221"/>
      <c r="W260" s="221"/>
      <c r="X260" s="221"/>
      <c r="Y260" s="222"/>
      <c r="Z260" s="220" t="str">
        <f ca="1">'Financial Planning Tool'!L63</f>
        <v/>
      </c>
      <c r="AA260" s="221"/>
      <c r="AB260" s="221"/>
      <c r="AC260" s="221"/>
      <c r="AD260" s="221"/>
      <c r="AE260" s="221"/>
      <c r="AF260" s="221"/>
      <c r="AG260" s="222"/>
      <c r="AH260" s="220" t="str">
        <f ca="1">'Financial Planning Tool'!M63</f>
        <v/>
      </c>
      <c r="AI260" s="221"/>
      <c r="AJ260" s="221"/>
      <c r="AK260" s="221"/>
      <c r="AL260" s="221"/>
      <c r="AM260" s="221"/>
      <c r="AN260" s="221"/>
      <c r="AO260" s="222"/>
      <c r="AP260" s="220" t="str">
        <f ca="1">'Financial Planning Tool'!N63</f>
        <v/>
      </c>
      <c r="AQ260" s="221"/>
      <c r="AR260" s="221"/>
      <c r="AS260" s="221"/>
      <c r="AT260" s="221"/>
      <c r="AU260" s="221"/>
      <c r="AV260" s="221"/>
      <c r="AW260" s="222"/>
      <c r="AX260" s="220" t="str">
        <f ca="1">'Financial Planning Tool'!O63</f>
        <v/>
      </c>
      <c r="AY260" s="221"/>
      <c r="AZ260" s="221"/>
      <c r="BA260" s="221"/>
      <c r="BB260" s="221"/>
      <c r="BC260" s="221"/>
      <c r="BD260" s="221"/>
      <c r="BE260" s="222"/>
      <c r="BF260" s="220">
        <f ca="1">'Financial Planning Tool'!P63</f>
        <v>2172216.85</v>
      </c>
      <c r="BG260" s="221"/>
      <c r="BH260" s="221"/>
      <c r="BI260" s="221"/>
      <c r="BJ260" s="221"/>
      <c r="BK260" s="221"/>
      <c r="BL260" s="221"/>
      <c r="BM260" s="222"/>
      <c r="BN260" s="220">
        <f ca="1">'Financial Planning Tool'!Q63</f>
        <v>1526170.75</v>
      </c>
      <c r="BO260" s="221"/>
      <c r="BP260" s="221"/>
      <c r="BQ260" s="221"/>
      <c r="BR260" s="221"/>
      <c r="BS260" s="221"/>
      <c r="BT260" s="221"/>
      <c r="BU260" s="222"/>
    </row>
    <row r="261" spans="2:73" x14ac:dyDescent="0.25">
      <c r="B261" s="215">
        <f ca="1">'Financial Planning Tool'!H64</f>
        <v>49278</v>
      </c>
      <c r="C261" s="216"/>
      <c r="D261" s="216"/>
      <c r="E261" s="217"/>
      <c r="F261" s="218">
        <f ca="1">'Financial Planning Tool'!I64</f>
        <v>64</v>
      </c>
      <c r="G261" s="186"/>
      <c r="H261" s="186"/>
      <c r="I261" s="219"/>
      <c r="J261" s="220">
        <f ca="1">'Financial Planning Tool'!J64</f>
        <v>76858.84</v>
      </c>
      <c r="K261" s="221"/>
      <c r="L261" s="221"/>
      <c r="M261" s="221"/>
      <c r="N261" s="221"/>
      <c r="O261" s="221"/>
      <c r="P261" s="221"/>
      <c r="Q261" s="222"/>
      <c r="R261" s="220">
        <f ca="1">'Financial Planning Tool'!K64</f>
        <v>53041.34</v>
      </c>
      <c r="S261" s="221"/>
      <c r="T261" s="221"/>
      <c r="U261" s="221"/>
      <c r="V261" s="221"/>
      <c r="W261" s="221"/>
      <c r="X261" s="221"/>
      <c r="Y261" s="222"/>
      <c r="Z261" s="220" t="str">
        <f ca="1">'Financial Planning Tool'!L64</f>
        <v/>
      </c>
      <c r="AA261" s="221"/>
      <c r="AB261" s="221"/>
      <c r="AC261" s="221"/>
      <c r="AD261" s="221"/>
      <c r="AE261" s="221"/>
      <c r="AF261" s="221"/>
      <c r="AG261" s="222"/>
      <c r="AH261" s="220" t="str">
        <f ca="1">'Financial Planning Tool'!M64</f>
        <v/>
      </c>
      <c r="AI261" s="221"/>
      <c r="AJ261" s="221"/>
      <c r="AK261" s="221"/>
      <c r="AL261" s="221"/>
      <c r="AM261" s="221"/>
      <c r="AN261" s="221"/>
      <c r="AO261" s="222"/>
      <c r="AP261" s="220" t="str">
        <f ca="1">'Financial Planning Tool'!N64</f>
        <v/>
      </c>
      <c r="AQ261" s="221"/>
      <c r="AR261" s="221"/>
      <c r="AS261" s="221"/>
      <c r="AT261" s="221"/>
      <c r="AU261" s="221"/>
      <c r="AV261" s="221"/>
      <c r="AW261" s="222"/>
      <c r="AX261" s="220" t="str">
        <f ca="1">'Financial Planning Tool'!O64</f>
        <v/>
      </c>
      <c r="AY261" s="221"/>
      <c r="AZ261" s="221"/>
      <c r="BA261" s="221"/>
      <c r="BB261" s="221"/>
      <c r="BC261" s="221"/>
      <c r="BD261" s="221"/>
      <c r="BE261" s="222"/>
      <c r="BF261" s="220">
        <f ca="1">'Financial Planning Tool'!P64</f>
        <v>2448272.75</v>
      </c>
      <c r="BG261" s="221"/>
      <c r="BH261" s="221"/>
      <c r="BI261" s="221"/>
      <c r="BJ261" s="221"/>
      <c r="BK261" s="221"/>
      <c r="BL261" s="221"/>
      <c r="BM261" s="222"/>
      <c r="BN261" s="220">
        <f ca="1">'Financial Planning Tool'!Q64</f>
        <v>1653965.35</v>
      </c>
      <c r="BO261" s="221"/>
      <c r="BP261" s="221"/>
      <c r="BQ261" s="221"/>
      <c r="BR261" s="221"/>
      <c r="BS261" s="221"/>
      <c r="BT261" s="221"/>
      <c r="BU261" s="222"/>
    </row>
    <row r="262" spans="2:73" x14ac:dyDescent="0.25">
      <c r="B262" s="215">
        <f ca="1">'Financial Planning Tool'!H65</f>
        <v>49643</v>
      </c>
      <c r="C262" s="216"/>
      <c r="D262" s="216"/>
      <c r="E262" s="217"/>
      <c r="F262" s="218">
        <f ca="1">'Financial Planning Tool'!I65</f>
        <v>65</v>
      </c>
      <c r="G262" s="186"/>
      <c r="H262" s="186"/>
      <c r="I262" s="219"/>
      <c r="J262" s="220">
        <f ca="1">'Financial Planning Tool'!J65</f>
        <v>79933.19</v>
      </c>
      <c r="K262" s="221"/>
      <c r="L262" s="221"/>
      <c r="M262" s="221"/>
      <c r="N262" s="221"/>
      <c r="O262" s="221"/>
      <c r="P262" s="221"/>
      <c r="Q262" s="222"/>
      <c r="R262" s="220">
        <f ca="1">'Financial Planning Tool'!K65</f>
        <v>53041.34</v>
      </c>
      <c r="S262" s="221"/>
      <c r="T262" s="221"/>
      <c r="U262" s="221"/>
      <c r="V262" s="221"/>
      <c r="W262" s="221"/>
      <c r="X262" s="221"/>
      <c r="Y262" s="222"/>
      <c r="Z262" s="220" t="str">
        <f ca="1">'Financial Planning Tool'!L65</f>
        <v/>
      </c>
      <c r="AA262" s="221"/>
      <c r="AB262" s="221"/>
      <c r="AC262" s="221"/>
      <c r="AD262" s="221"/>
      <c r="AE262" s="221"/>
      <c r="AF262" s="221"/>
      <c r="AG262" s="222"/>
      <c r="AH262" s="220" t="str">
        <f ca="1">'Financial Planning Tool'!M65</f>
        <v/>
      </c>
      <c r="AI262" s="221"/>
      <c r="AJ262" s="221"/>
      <c r="AK262" s="221"/>
      <c r="AL262" s="221"/>
      <c r="AM262" s="221"/>
      <c r="AN262" s="221"/>
      <c r="AO262" s="222"/>
      <c r="AP262" s="220">
        <f ca="1">'Financial Planning Tool'!N65</f>
        <v>-35000</v>
      </c>
      <c r="AQ262" s="221"/>
      <c r="AR262" s="221"/>
      <c r="AS262" s="221"/>
      <c r="AT262" s="221"/>
      <c r="AU262" s="221"/>
      <c r="AV262" s="221"/>
      <c r="AW262" s="222"/>
      <c r="AX262" s="220">
        <f ca="1">'Financial Planning Tool'!O65</f>
        <v>-22809.759999999998</v>
      </c>
      <c r="AY262" s="221"/>
      <c r="AZ262" s="221"/>
      <c r="BA262" s="221"/>
      <c r="BB262" s="221"/>
      <c r="BC262" s="221"/>
      <c r="BD262" s="221"/>
      <c r="BE262" s="222"/>
      <c r="BF262" s="220">
        <f ca="1">'Financial Planning Tool'!P65</f>
        <v>2717143.68</v>
      </c>
      <c r="BG262" s="221"/>
      <c r="BH262" s="221"/>
      <c r="BI262" s="221"/>
      <c r="BJ262" s="221"/>
      <c r="BK262" s="221"/>
      <c r="BL262" s="221"/>
      <c r="BM262" s="222"/>
      <c r="BN262" s="220">
        <f ca="1">'Financial Planning Tool'!Q65</f>
        <v>1765004.72</v>
      </c>
      <c r="BO262" s="221"/>
      <c r="BP262" s="221"/>
      <c r="BQ262" s="221"/>
      <c r="BR262" s="221"/>
      <c r="BS262" s="221"/>
      <c r="BT262" s="221"/>
      <c r="BU262" s="222"/>
    </row>
    <row r="263" spans="2:73" x14ac:dyDescent="0.25">
      <c r="B263" s="215">
        <f ca="1">'Financial Planning Tool'!H66</f>
        <v>50009</v>
      </c>
      <c r="C263" s="216"/>
      <c r="D263" s="216"/>
      <c r="E263" s="217"/>
      <c r="F263" s="218">
        <f ca="1">'Financial Planning Tool'!I66</f>
        <v>66</v>
      </c>
      <c r="G263" s="186"/>
      <c r="H263" s="186"/>
      <c r="I263" s="219"/>
      <c r="J263" s="220" t="str">
        <f ca="1">'Financial Planning Tool'!J66</f>
        <v/>
      </c>
      <c r="K263" s="221"/>
      <c r="L263" s="221"/>
      <c r="M263" s="221"/>
      <c r="N263" s="221"/>
      <c r="O263" s="221"/>
      <c r="P263" s="221"/>
      <c r="Q263" s="222"/>
      <c r="R263" s="220" t="str">
        <f ca="1">'Financial Planning Tool'!K66</f>
        <v/>
      </c>
      <c r="S263" s="221"/>
      <c r="T263" s="221"/>
      <c r="U263" s="221"/>
      <c r="V263" s="221"/>
      <c r="W263" s="221"/>
      <c r="X263" s="221"/>
      <c r="Y263" s="222"/>
      <c r="Z263" s="220" t="str">
        <f ca="1">'Financial Planning Tool'!L66</f>
        <v/>
      </c>
      <c r="AA263" s="221"/>
      <c r="AB263" s="221"/>
      <c r="AC263" s="221"/>
      <c r="AD263" s="221"/>
      <c r="AE263" s="221"/>
      <c r="AF263" s="221"/>
      <c r="AG263" s="222"/>
      <c r="AH263" s="220" t="str">
        <f ca="1">'Financial Planning Tool'!M66</f>
        <v/>
      </c>
      <c r="AI263" s="221"/>
      <c r="AJ263" s="221"/>
      <c r="AK263" s="221"/>
      <c r="AL263" s="221"/>
      <c r="AM263" s="221"/>
      <c r="AN263" s="221"/>
      <c r="AO263" s="222"/>
      <c r="AP263" s="220">
        <f ca="1">'Financial Planning Tool'!N66</f>
        <v>-421400</v>
      </c>
      <c r="AQ263" s="221"/>
      <c r="AR263" s="221"/>
      <c r="AS263" s="221"/>
      <c r="AT263" s="221"/>
      <c r="AU263" s="221"/>
      <c r="AV263" s="221"/>
      <c r="AW263" s="222"/>
      <c r="AX263" s="220">
        <f ca="1">'Financial Planning Tool'!O66</f>
        <v>-268857.84000000003</v>
      </c>
      <c r="AY263" s="221"/>
      <c r="AZ263" s="221"/>
      <c r="BA263" s="221"/>
      <c r="BB263" s="221"/>
      <c r="BC263" s="221"/>
      <c r="BD263" s="221"/>
      <c r="BE263" s="222"/>
      <c r="BF263" s="220">
        <f ca="1">'Financial Planning Tool'!P66</f>
        <v>2520071.06</v>
      </c>
      <c r="BG263" s="221"/>
      <c r="BH263" s="221"/>
      <c r="BI263" s="221"/>
      <c r="BJ263" s="221"/>
      <c r="BK263" s="221"/>
      <c r="BL263" s="221"/>
      <c r="BM263" s="222"/>
      <c r="BN263" s="220">
        <f ca="1">'Financial Planning Tool'!Q66</f>
        <v>1574028.95</v>
      </c>
      <c r="BO263" s="221"/>
      <c r="BP263" s="221"/>
      <c r="BQ263" s="221"/>
      <c r="BR263" s="221"/>
      <c r="BS263" s="221"/>
      <c r="BT263" s="221"/>
      <c r="BU263" s="222"/>
    </row>
    <row r="264" spans="2:73" x14ac:dyDescent="0.25">
      <c r="B264" s="215">
        <f ca="1">'Financial Planning Tool'!H67</f>
        <v>50374</v>
      </c>
      <c r="C264" s="216"/>
      <c r="D264" s="216"/>
      <c r="E264" s="217"/>
      <c r="F264" s="218">
        <f ca="1">'Financial Planning Tool'!I67</f>
        <v>67</v>
      </c>
      <c r="G264" s="186"/>
      <c r="H264" s="186"/>
      <c r="I264" s="219"/>
      <c r="J264" s="220" t="str">
        <f ca="1">'Financial Planning Tool'!J67</f>
        <v/>
      </c>
      <c r="K264" s="221"/>
      <c r="L264" s="221"/>
      <c r="M264" s="221"/>
      <c r="N264" s="221"/>
      <c r="O264" s="221"/>
      <c r="P264" s="221"/>
      <c r="Q264" s="222"/>
      <c r="R264" s="220" t="str">
        <f ca="1">'Financial Planning Tool'!K67</f>
        <v/>
      </c>
      <c r="S264" s="221"/>
      <c r="T264" s="221"/>
      <c r="U264" s="221"/>
      <c r="V264" s="221"/>
      <c r="W264" s="221"/>
      <c r="X264" s="221"/>
      <c r="Y264" s="222"/>
      <c r="Z264" s="220" t="str">
        <f ca="1">'Financial Planning Tool'!L67</f>
        <v/>
      </c>
      <c r="AA264" s="221"/>
      <c r="AB264" s="221"/>
      <c r="AC264" s="221"/>
      <c r="AD264" s="221"/>
      <c r="AE264" s="221"/>
      <c r="AF264" s="221"/>
      <c r="AG264" s="222"/>
      <c r="AH264" s="220" t="str">
        <f ca="1">'Financial Planning Tool'!M67</f>
        <v/>
      </c>
      <c r="AI264" s="221"/>
      <c r="AJ264" s="221"/>
      <c r="AK264" s="221"/>
      <c r="AL264" s="221"/>
      <c r="AM264" s="221"/>
      <c r="AN264" s="221"/>
      <c r="AO264" s="222"/>
      <c r="AP264" s="220">
        <f ca="1">'Financial Planning Tool'!N67</f>
        <v>-434074.14</v>
      </c>
      <c r="AQ264" s="221"/>
      <c r="AR264" s="221"/>
      <c r="AS264" s="221"/>
      <c r="AT264" s="221"/>
      <c r="AU264" s="221"/>
      <c r="AV264" s="221"/>
      <c r="AW264" s="222"/>
      <c r="AX264" s="220">
        <f ca="1">'Financial Planning Tool'!O67</f>
        <v>-266338.09999999998</v>
      </c>
      <c r="AY264" s="221"/>
      <c r="AZ264" s="221"/>
      <c r="BA264" s="221"/>
      <c r="BB264" s="221"/>
      <c r="BC264" s="221"/>
      <c r="BD264" s="221"/>
      <c r="BE264" s="222"/>
      <c r="BF264" s="220">
        <f ca="1">'Financial Planning Tool'!P67</f>
        <v>2291809.29</v>
      </c>
      <c r="BG264" s="221"/>
      <c r="BH264" s="221"/>
      <c r="BI264" s="221"/>
      <c r="BJ264" s="221"/>
      <c r="BK264" s="221"/>
      <c r="BL264" s="221"/>
      <c r="BM264" s="222"/>
      <c r="BN264" s="220">
        <f ca="1">'Financial Planning Tool'!Q67</f>
        <v>1376401.27</v>
      </c>
      <c r="BO264" s="221"/>
      <c r="BP264" s="221"/>
      <c r="BQ264" s="221"/>
      <c r="BR264" s="221"/>
      <c r="BS264" s="221"/>
      <c r="BT264" s="221"/>
      <c r="BU264" s="222"/>
    </row>
    <row r="265" spans="2:73" x14ac:dyDescent="0.25">
      <c r="B265" s="215">
        <f ca="1">'Financial Planning Tool'!H68</f>
        <v>50739</v>
      </c>
      <c r="C265" s="216"/>
      <c r="D265" s="216"/>
      <c r="E265" s="217"/>
      <c r="F265" s="218">
        <f ca="1">'Financial Planning Tool'!I68</f>
        <v>68</v>
      </c>
      <c r="G265" s="186"/>
      <c r="H265" s="186"/>
      <c r="I265" s="219"/>
      <c r="J265" s="220" t="str">
        <f ca="1">'Financial Planning Tool'!J68</f>
        <v/>
      </c>
      <c r="K265" s="221"/>
      <c r="L265" s="221"/>
      <c r="M265" s="221"/>
      <c r="N265" s="221"/>
      <c r="O265" s="221"/>
      <c r="P265" s="221"/>
      <c r="Q265" s="222"/>
      <c r="R265" s="220" t="str">
        <f ca="1">'Financial Planning Tool'!K68</f>
        <v/>
      </c>
      <c r="S265" s="221"/>
      <c r="T265" s="221"/>
      <c r="U265" s="221"/>
      <c r="V265" s="221"/>
      <c r="W265" s="221"/>
      <c r="X265" s="221"/>
      <c r="Y265" s="222"/>
      <c r="Z265" s="220" t="str">
        <f ca="1">'Financial Planning Tool'!L68</f>
        <v/>
      </c>
      <c r="AA265" s="221"/>
      <c r="AB265" s="221"/>
      <c r="AC265" s="221"/>
      <c r="AD265" s="221"/>
      <c r="AE265" s="221"/>
      <c r="AF265" s="221"/>
      <c r="AG265" s="222"/>
      <c r="AH265" s="220" t="str">
        <f ca="1">'Financial Planning Tool'!M68</f>
        <v/>
      </c>
      <c r="AI265" s="221"/>
      <c r="AJ265" s="221"/>
      <c r="AK265" s="221"/>
      <c r="AL265" s="221"/>
      <c r="AM265" s="221"/>
      <c r="AN265" s="221"/>
      <c r="AO265" s="222"/>
      <c r="AP265" s="220">
        <f ca="1">'Financial Planning Tool'!N68</f>
        <v>-400943.86</v>
      </c>
      <c r="AQ265" s="221"/>
      <c r="AR265" s="221"/>
      <c r="AS265" s="221"/>
      <c r="AT265" s="221"/>
      <c r="AU265" s="221"/>
      <c r="AV265" s="221"/>
      <c r="AW265" s="222"/>
      <c r="AX265" s="220">
        <f ca="1">'Financial Planning Tool'!O68</f>
        <v>-236554.8</v>
      </c>
      <c r="AY265" s="221"/>
      <c r="AZ265" s="221"/>
      <c r="BA265" s="221"/>
      <c r="BB265" s="221"/>
      <c r="BC265" s="221"/>
      <c r="BD265" s="221"/>
      <c r="BE265" s="222"/>
      <c r="BF265" s="220">
        <f ca="1">'Financial Planning Tool'!P68</f>
        <v>2077710.89</v>
      </c>
      <c r="BG265" s="221"/>
      <c r="BH265" s="221"/>
      <c r="BI265" s="221"/>
      <c r="BJ265" s="221"/>
      <c r="BK265" s="221"/>
      <c r="BL265" s="221"/>
      <c r="BM265" s="222"/>
      <c r="BN265" s="220">
        <f ca="1">'Financial Planning Tool'!Q68</f>
        <v>1199826.27</v>
      </c>
      <c r="BO265" s="221"/>
      <c r="BP265" s="221"/>
      <c r="BQ265" s="221"/>
      <c r="BR265" s="221"/>
      <c r="BS265" s="221"/>
      <c r="BT265" s="221"/>
      <c r="BU265" s="222"/>
    </row>
    <row r="266" spans="2:73" x14ac:dyDescent="0.25">
      <c r="B266" s="215">
        <f ca="1">'Financial Planning Tool'!H69</f>
        <v>51104</v>
      </c>
      <c r="C266" s="216"/>
      <c r="D266" s="216"/>
      <c r="E266" s="217"/>
      <c r="F266" s="218">
        <f ca="1">'Financial Planning Tool'!I69</f>
        <v>69</v>
      </c>
      <c r="G266" s="186"/>
      <c r="H266" s="186"/>
      <c r="I266" s="219"/>
      <c r="J266" s="220" t="str">
        <f ca="1">'Financial Planning Tool'!J69</f>
        <v/>
      </c>
      <c r="K266" s="221"/>
      <c r="L266" s="221"/>
      <c r="M266" s="221"/>
      <c r="N266" s="221"/>
      <c r="O266" s="221"/>
      <c r="P266" s="221"/>
      <c r="Q266" s="222"/>
      <c r="R266" s="220" t="str">
        <f ca="1">'Financial Planning Tool'!K69</f>
        <v/>
      </c>
      <c r="S266" s="221"/>
      <c r="T266" s="221"/>
      <c r="U266" s="221"/>
      <c r="V266" s="221"/>
      <c r="W266" s="221"/>
      <c r="X266" s="221"/>
      <c r="Y266" s="222"/>
      <c r="Z266" s="220" t="str">
        <f ca="1">'Financial Planning Tool'!L69</f>
        <v/>
      </c>
      <c r="AA266" s="221"/>
      <c r="AB266" s="221"/>
      <c r="AC266" s="221"/>
      <c r="AD266" s="221"/>
      <c r="AE266" s="221"/>
      <c r="AF266" s="221"/>
      <c r="AG266" s="222"/>
      <c r="AH266" s="220" t="str">
        <f ca="1">'Financial Planning Tool'!M69</f>
        <v/>
      </c>
      <c r="AI266" s="221"/>
      <c r="AJ266" s="221"/>
      <c r="AK266" s="221"/>
      <c r="AL266" s="221"/>
      <c r="AM266" s="221"/>
      <c r="AN266" s="221"/>
      <c r="AO266" s="222"/>
      <c r="AP266" s="220">
        <f ca="1">'Financial Planning Tool'!N69</f>
        <v>-363488.11</v>
      </c>
      <c r="AQ266" s="221"/>
      <c r="AR266" s="221"/>
      <c r="AS266" s="221"/>
      <c r="AT266" s="221"/>
      <c r="AU266" s="221"/>
      <c r="AV266" s="221"/>
      <c r="AW266" s="222"/>
      <c r="AX266" s="220">
        <f ca="1">'Financial Planning Tool'!O69</f>
        <v>-206207.79</v>
      </c>
      <c r="AY266" s="221"/>
      <c r="AZ266" s="221"/>
      <c r="BA266" s="221"/>
      <c r="BB266" s="221"/>
      <c r="BC266" s="221"/>
      <c r="BD266" s="221"/>
      <c r="BE266" s="222"/>
      <c r="BF266" s="220">
        <f ca="1">'Financial Planning Tool'!P69</f>
        <v>1883613.34</v>
      </c>
      <c r="BG266" s="221"/>
      <c r="BH266" s="221"/>
      <c r="BI266" s="221"/>
      <c r="BJ266" s="221"/>
      <c r="BK266" s="221"/>
      <c r="BL266" s="221"/>
      <c r="BM266" s="222"/>
      <c r="BN266" s="220">
        <f ca="1">'Financial Planning Tool'!Q69</f>
        <v>1045903.62</v>
      </c>
      <c r="BO266" s="221"/>
      <c r="BP266" s="221"/>
      <c r="BQ266" s="221"/>
      <c r="BR266" s="221"/>
      <c r="BS266" s="221"/>
      <c r="BT266" s="221"/>
      <c r="BU266" s="222"/>
    </row>
    <row r="267" spans="2:73" x14ac:dyDescent="0.25">
      <c r="B267" s="215">
        <f ca="1">'Financial Planning Tool'!H70</f>
        <v>51470</v>
      </c>
      <c r="C267" s="216"/>
      <c r="D267" s="216"/>
      <c r="E267" s="217"/>
      <c r="F267" s="218">
        <f ca="1">'Financial Planning Tool'!I70</f>
        <v>70</v>
      </c>
      <c r="G267" s="186"/>
      <c r="H267" s="186"/>
      <c r="I267" s="219"/>
      <c r="J267" s="220" t="str">
        <f ca="1">'Financial Planning Tool'!J70</f>
        <v/>
      </c>
      <c r="K267" s="221"/>
      <c r="L267" s="221"/>
      <c r="M267" s="221"/>
      <c r="N267" s="221"/>
      <c r="O267" s="221"/>
      <c r="P267" s="221"/>
      <c r="Q267" s="222"/>
      <c r="R267" s="220" t="str">
        <f ca="1">'Financial Planning Tool'!K70</f>
        <v/>
      </c>
      <c r="S267" s="221"/>
      <c r="T267" s="221"/>
      <c r="U267" s="221"/>
      <c r="V267" s="221"/>
      <c r="W267" s="221"/>
      <c r="X267" s="221"/>
      <c r="Y267" s="222"/>
      <c r="Z267" s="220" t="str">
        <f ca="1">'Financial Planning Tool'!L70</f>
        <v/>
      </c>
      <c r="AA267" s="221"/>
      <c r="AB267" s="221"/>
      <c r="AC267" s="221"/>
      <c r="AD267" s="221"/>
      <c r="AE267" s="221"/>
      <c r="AF267" s="221"/>
      <c r="AG267" s="222"/>
      <c r="AH267" s="220" t="str">
        <f ca="1">'Financial Planning Tool'!M70</f>
        <v/>
      </c>
      <c r="AI267" s="221"/>
      <c r="AJ267" s="221"/>
      <c r="AK267" s="221"/>
      <c r="AL267" s="221"/>
      <c r="AM267" s="221"/>
      <c r="AN267" s="221"/>
      <c r="AO267" s="222"/>
      <c r="AP267" s="220">
        <f ca="1">'Financial Planning Tool'!N70</f>
        <v>-329531.44</v>
      </c>
      <c r="AQ267" s="221"/>
      <c r="AR267" s="221"/>
      <c r="AS267" s="221"/>
      <c r="AT267" s="221"/>
      <c r="AU267" s="221"/>
      <c r="AV267" s="221"/>
      <c r="AW267" s="222"/>
      <c r="AX267" s="220">
        <f ca="1">'Financial Planning Tool'!O70</f>
        <v>-179753.92</v>
      </c>
      <c r="AY267" s="221"/>
      <c r="AZ267" s="221"/>
      <c r="BA267" s="221"/>
      <c r="BB267" s="221"/>
      <c r="BC267" s="221"/>
      <c r="BD267" s="221"/>
      <c r="BE267" s="222"/>
      <c r="BF267" s="220">
        <f ca="1">'Financial Planning Tool'!P70</f>
        <v>1707648.17</v>
      </c>
      <c r="BG267" s="221"/>
      <c r="BH267" s="221"/>
      <c r="BI267" s="221"/>
      <c r="BJ267" s="221"/>
      <c r="BK267" s="221"/>
      <c r="BL267" s="221"/>
      <c r="BM267" s="222"/>
      <c r="BN267" s="220">
        <f ca="1">'Financial Planning Tool'!Q70</f>
        <v>911727.32</v>
      </c>
      <c r="BO267" s="221"/>
      <c r="BP267" s="221"/>
      <c r="BQ267" s="221"/>
      <c r="BR267" s="221"/>
      <c r="BS267" s="221"/>
      <c r="BT267" s="221"/>
      <c r="BU267" s="222"/>
    </row>
    <row r="268" spans="2:73" x14ac:dyDescent="0.25">
      <c r="B268" s="215">
        <f ca="1">'Financial Planning Tool'!H71</f>
        <v>51835</v>
      </c>
      <c r="C268" s="216"/>
      <c r="D268" s="216"/>
      <c r="E268" s="217"/>
      <c r="F268" s="218">
        <f ca="1">'Financial Planning Tool'!I71</f>
        <v>71</v>
      </c>
      <c r="G268" s="186"/>
      <c r="H268" s="186"/>
      <c r="I268" s="219"/>
      <c r="J268" s="220" t="str">
        <f ca="1">'Financial Planning Tool'!J71</f>
        <v/>
      </c>
      <c r="K268" s="221"/>
      <c r="L268" s="221"/>
      <c r="M268" s="221"/>
      <c r="N268" s="221"/>
      <c r="O268" s="221"/>
      <c r="P268" s="221"/>
      <c r="Q268" s="222"/>
      <c r="R268" s="220" t="str">
        <f ca="1">'Financial Planning Tool'!K71</f>
        <v/>
      </c>
      <c r="S268" s="221"/>
      <c r="T268" s="221"/>
      <c r="U268" s="221"/>
      <c r="V268" s="221"/>
      <c r="W268" s="221"/>
      <c r="X268" s="221"/>
      <c r="Y268" s="222"/>
      <c r="Z268" s="220" t="str">
        <f ca="1">'Financial Planning Tool'!L71</f>
        <v/>
      </c>
      <c r="AA268" s="221"/>
      <c r="AB268" s="221"/>
      <c r="AC268" s="221"/>
      <c r="AD268" s="221"/>
      <c r="AE268" s="221"/>
      <c r="AF268" s="221"/>
      <c r="AG268" s="222"/>
      <c r="AH268" s="220" t="str">
        <f ca="1">'Financial Planning Tool'!M71</f>
        <v/>
      </c>
      <c r="AI268" s="221"/>
      <c r="AJ268" s="221"/>
      <c r="AK268" s="221"/>
      <c r="AL268" s="221"/>
      <c r="AM268" s="221"/>
      <c r="AN268" s="221"/>
      <c r="AO268" s="222"/>
      <c r="AP268" s="220">
        <f ca="1">'Financial Planning Tool'!N71</f>
        <v>-298746.96000000002</v>
      </c>
      <c r="AQ268" s="221"/>
      <c r="AR268" s="221"/>
      <c r="AS268" s="221"/>
      <c r="AT268" s="221"/>
      <c r="AU268" s="221"/>
      <c r="AV268" s="221"/>
      <c r="AW268" s="222"/>
      <c r="AX268" s="220">
        <f ca="1">'Financial Planning Tool'!O71</f>
        <v>-156693.75</v>
      </c>
      <c r="AY268" s="221"/>
      <c r="AZ268" s="221"/>
      <c r="BA268" s="221"/>
      <c r="BB268" s="221"/>
      <c r="BC268" s="221"/>
      <c r="BD268" s="221"/>
      <c r="BE268" s="222"/>
      <c r="BF268" s="220">
        <f ca="1">'Financial Planning Tool'!P71</f>
        <v>1548121.49</v>
      </c>
      <c r="BG268" s="221"/>
      <c r="BH268" s="221"/>
      <c r="BI268" s="221"/>
      <c r="BJ268" s="221"/>
      <c r="BK268" s="221"/>
      <c r="BL268" s="221"/>
      <c r="BM268" s="222"/>
      <c r="BN268" s="220">
        <f ca="1">'Financial Planning Tool'!Q71</f>
        <v>794764.15</v>
      </c>
      <c r="BO268" s="221"/>
      <c r="BP268" s="221"/>
      <c r="BQ268" s="221"/>
      <c r="BR268" s="221"/>
      <c r="BS268" s="221"/>
      <c r="BT268" s="221"/>
      <c r="BU268" s="222"/>
    </row>
    <row r="269" spans="2:73" x14ac:dyDescent="0.25">
      <c r="B269" s="215">
        <f ca="1">'Financial Planning Tool'!H72</f>
        <v>52200</v>
      </c>
      <c r="C269" s="216"/>
      <c r="D269" s="216"/>
      <c r="E269" s="217"/>
      <c r="F269" s="218">
        <f ca="1">'Financial Planning Tool'!I72</f>
        <v>72</v>
      </c>
      <c r="G269" s="186"/>
      <c r="H269" s="186"/>
      <c r="I269" s="219"/>
      <c r="J269" s="220" t="str">
        <f ca="1">'Financial Planning Tool'!J72</f>
        <v/>
      </c>
      <c r="K269" s="221"/>
      <c r="L269" s="221"/>
      <c r="M269" s="221"/>
      <c r="N269" s="221"/>
      <c r="O269" s="221"/>
      <c r="P269" s="221"/>
      <c r="Q269" s="222"/>
      <c r="R269" s="220" t="str">
        <f ca="1">'Financial Planning Tool'!K72</f>
        <v/>
      </c>
      <c r="S269" s="221"/>
      <c r="T269" s="221"/>
      <c r="U269" s="221"/>
      <c r="V269" s="221"/>
      <c r="W269" s="221"/>
      <c r="X269" s="221"/>
      <c r="Y269" s="222"/>
      <c r="Z269" s="220" t="str">
        <f ca="1">'Financial Planning Tool'!L72</f>
        <v/>
      </c>
      <c r="AA269" s="221"/>
      <c r="AB269" s="221"/>
      <c r="AC269" s="221"/>
      <c r="AD269" s="221"/>
      <c r="AE269" s="221"/>
      <c r="AF269" s="221"/>
      <c r="AG269" s="222"/>
      <c r="AH269" s="220" t="str">
        <f ca="1">'Financial Planning Tool'!M72</f>
        <v/>
      </c>
      <c r="AI269" s="221"/>
      <c r="AJ269" s="221"/>
      <c r="AK269" s="221"/>
      <c r="AL269" s="221"/>
      <c r="AM269" s="221"/>
      <c r="AN269" s="221"/>
      <c r="AO269" s="222"/>
      <c r="AP269" s="220">
        <f ca="1">'Financial Planning Tool'!N72</f>
        <v>-270838.34000000003</v>
      </c>
      <c r="AQ269" s="221"/>
      <c r="AR269" s="221"/>
      <c r="AS269" s="221"/>
      <c r="AT269" s="221"/>
      <c r="AU269" s="221"/>
      <c r="AV269" s="221"/>
      <c r="AW269" s="222"/>
      <c r="AX269" s="220">
        <f ca="1">'Financial Planning Tool'!O72</f>
        <v>-136591.91</v>
      </c>
      <c r="AY269" s="221"/>
      <c r="AZ269" s="221"/>
      <c r="BA269" s="221"/>
      <c r="BB269" s="221"/>
      <c r="BC269" s="221"/>
      <c r="BD269" s="221"/>
      <c r="BE269" s="222"/>
      <c r="BF269" s="220">
        <f ca="1">'Financial Planning Tool'!P72</f>
        <v>1403497.62</v>
      </c>
      <c r="BG269" s="221"/>
      <c r="BH269" s="221"/>
      <c r="BI269" s="221"/>
      <c r="BJ269" s="221"/>
      <c r="BK269" s="221"/>
      <c r="BL269" s="221"/>
      <c r="BM269" s="222"/>
      <c r="BN269" s="220">
        <f ca="1">'Financial Planning Tool'!Q72</f>
        <v>692805.89</v>
      </c>
      <c r="BO269" s="221"/>
      <c r="BP269" s="221"/>
      <c r="BQ269" s="221"/>
      <c r="BR269" s="221"/>
      <c r="BS269" s="221"/>
      <c r="BT269" s="221"/>
      <c r="BU269" s="222"/>
    </row>
    <row r="270" spans="2:73" x14ac:dyDescent="0.25">
      <c r="B270" s="215">
        <f ca="1">'Financial Planning Tool'!H73</f>
        <v>52565</v>
      </c>
      <c r="C270" s="216"/>
      <c r="D270" s="216"/>
      <c r="E270" s="217"/>
      <c r="F270" s="218">
        <f ca="1">'Financial Planning Tool'!I73</f>
        <v>73</v>
      </c>
      <c r="G270" s="186"/>
      <c r="H270" s="186"/>
      <c r="I270" s="219"/>
      <c r="J270" s="220" t="str">
        <f ca="1">'Financial Planning Tool'!J73</f>
        <v/>
      </c>
      <c r="K270" s="221"/>
      <c r="L270" s="221"/>
      <c r="M270" s="221"/>
      <c r="N270" s="221"/>
      <c r="O270" s="221"/>
      <c r="P270" s="221"/>
      <c r="Q270" s="222"/>
      <c r="R270" s="220" t="str">
        <f ca="1">'Financial Planning Tool'!K73</f>
        <v/>
      </c>
      <c r="S270" s="221"/>
      <c r="T270" s="221"/>
      <c r="U270" s="221"/>
      <c r="V270" s="221"/>
      <c r="W270" s="221"/>
      <c r="X270" s="221"/>
      <c r="Y270" s="222"/>
      <c r="Z270" s="220" t="str">
        <f ca="1">'Financial Planning Tool'!L73</f>
        <v/>
      </c>
      <c r="AA270" s="221"/>
      <c r="AB270" s="221"/>
      <c r="AC270" s="221"/>
      <c r="AD270" s="221"/>
      <c r="AE270" s="221"/>
      <c r="AF270" s="221"/>
      <c r="AG270" s="222"/>
      <c r="AH270" s="220" t="str">
        <f ca="1">'Financial Planning Tool'!M73</f>
        <v/>
      </c>
      <c r="AI270" s="221"/>
      <c r="AJ270" s="221"/>
      <c r="AK270" s="221"/>
      <c r="AL270" s="221"/>
      <c r="AM270" s="221"/>
      <c r="AN270" s="221"/>
      <c r="AO270" s="222"/>
      <c r="AP270" s="220">
        <f ca="1">'Financial Planning Tool'!N73</f>
        <v>-245536.91</v>
      </c>
      <c r="AQ270" s="221"/>
      <c r="AR270" s="221"/>
      <c r="AS270" s="221"/>
      <c r="AT270" s="221"/>
      <c r="AU270" s="221"/>
      <c r="AV270" s="221"/>
      <c r="AW270" s="222"/>
      <c r="AX270" s="220">
        <f ca="1">'Financial Planning Tool'!O73</f>
        <v>-119068.88</v>
      </c>
      <c r="AY270" s="221"/>
      <c r="AZ270" s="221"/>
      <c r="BA270" s="221"/>
      <c r="BB270" s="221"/>
      <c r="BC270" s="221"/>
      <c r="BD270" s="221"/>
      <c r="BE270" s="222"/>
      <c r="BF270" s="220">
        <f ca="1">'Financial Planning Tool'!P73</f>
        <v>1272384.3600000001</v>
      </c>
      <c r="BG270" s="221"/>
      <c r="BH270" s="221"/>
      <c r="BI270" s="221"/>
      <c r="BJ270" s="221"/>
      <c r="BK270" s="221"/>
      <c r="BL270" s="221"/>
      <c r="BM270" s="222"/>
      <c r="BN270" s="220">
        <f ca="1">'Financial Planning Tool'!Q73</f>
        <v>603927.6</v>
      </c>
      <c r="BO270" s="221"/>
      <c r="BP270" s="221"/>
      <c r="BQ270" s="221"/>
      <c r="BR270" s="221"/>
      <c r="BS270" s="221"/>
      <c r="BT270" s="221"/>
      <c r="BU270" s="222"/>
    </row>
    <row r="271" spans="2:73" x14ac:dyDescent="0.25">
      <c r="B271" s="215">
        <f ca="1">'Financial Planning Tool'!H74</f>
        <v>52931</v>
      </c>
      <c r="C271" s="216"/>
      <c r="D271" s="216"/>
      <c r="E271" s="217"/>
      <c r="F271" s="218">
        <f ca="1">'Financial Planning Tool'!I74</f>
        <v>74</v>
      </c>
      <c r="G271" s="186"/>
      <c r="H271" s="186"/>
      <c r="I271" s="219"/>
      <c r="J271" s="220" t="str">
        <f ca="1">'Financial Planning Tool'!J74</f>
        <v/>
      </c>
      <c r="K271" s="221"/>
      <c r="L271" s="221"/>
      <c r="M271" s="221"/>
      <c r="N271" s="221"/>
      <c r="O271" s="221"/>
      <c r="P271" s="221"/>
      <c r="Q271" s="222"/>
      <c r="R271" s="220" t="str">
        <f ca="1">'Financial Planning Tool'!K74</f>
        <v/>
      </c>
      <c r="S271" s="221"/>
      <c r="T271" s="221"/>
      <c r="U271" s="221"/>
      <c r="V271" s="221"/>
      <c r="W271" s="221"/>
      <c r="X271" s="221"/>
      <c r="Y271" s="222"/>
      <c r="Z271" s="220" t="str">
        <f ca="1">'Financial Planning Tool'!L74</f>
        <v/>
      </c>
      <c r="AA271" s="221"/>
      <c r="AB271" s="221"/>
      <c r="AC271" s="221"/>
      <c r="AD271" s="221"/>
      <c r="AE271" s="221"/>
      <c r="AF271" s="221"/>
      <c r="AG271" s="222"/>
      <c r="AH271" s="220" t="str">
        <f ca="1">'Financial Planning Tool'!M74</f>
        <v/>
      </c>
      <c r="AI271" s="221"/>
      <c r="AJ271" s="221"/>
      <c r="AK271" s="221"/>
      <c r="AL271" s="221"/>
      <c r="AM271" s="221"/>
      <c r="AN271" s="221"/>
      <c r="AO271" s="222"/>
      <c r="AP271" s="220">
        <f ca="1">'Financial Planning Tool'!N74</f>
        <v>-222599.11</v>
      </c>
      <c r="AQ271" s="221"/>
      <c r="AR271" s="221"/>
      <c r="AS271" s="221"/>
      <c r="AT271" s="221"/>
      <c r="AU271" s="221"/>
      <c r="AV271" s="221"/>
      <c r="AW271" s="222"/>
      <c r="AX271" s="220">
        <f ca="1">'Financial Planning Tool'!O74</f>
        <v>-103793.84</v>
      </c>
      <c r="AY271" s="221"/>
      <c r="AZ271" s="221"/>
      <c r="BA271" s="221"/>
      <c r="BB271" s="221"/>
      <c r="BC271" s="221"/>
      <c r="BD271" s="221"/>
      <c r="BE271" s="222"/>
      <c r="BF271" s="220">
        <f ca="1">'Financial Planning Tool'!P74</f>
        <v>1153519.56</v>
      </c>
      <c r="BG271" s="221"/>
      <c r="BH271" s="221"/>
      <c r="BI271" s="221"/>
      <c r="BJ271" s="221"/>
      <c r="BK271" s="221"/>
      <c r="BL271" s="221"/>
      <c r="BM271" s="222"/>
      <c r="BN271" s="220">
        <f ca="1">'Financial Planning Tool'!Q74</f>
        <v>526451.27</v>
      </c>
      <c r="BO271" s="221"/>
      <c r="BP271" s="221"/>
      <c r="BQ271" s="221"/>
      <c r="BR271" s="221"/>
      <c r="BS271" s="221"/>
      <c r="BT271" s="221"/>
      <c r="BU271" s="222"/>
    </row>
    <row r="272" spans="2:73" x14ac:dyDescent="0.25">
      <c r="B272" s="215">
        <f ca="1">'Financial Planning Tool'!H75</f>
        <v>53296</v>
      </c>
      <c r="C272" s="216"/>
      <c r="D272" s="216"/>
      <c r="E272" s="217"/>
      <c r="F272" s="218">
        <f ca="1">'Financial Planning Tool'!I75</f>
        <v>75</v>
      </c>
      <c r="G272" s="186"/>
      <c r="H272" s="186"/>
      <c r="I272" s="219"/>
      <c r="J272" s="220" t="str">
        <f ca="1">'Financial Planning Tool'!J75</f>
        <v/>
      </c>
      <c r="K272" s="221"/>
      <c r="L272" s="221"/>
      <c r="M272" s="221"/>
      <c r="N272" s="221"/>
      <c r="O272" s="221"/>
      <c r="P272" s="221"/>
      <c r="Q272" s="222"/>
      <c r="R272" s="220" t="str">
        <f ca="1">'Financial Planning Tool'!K75</f>
        <v/>
      </c>
      <c r="S272" s="221"/>
      <c r="T272" s="221"/>
      <c r="U272" s="221"/>
      <c r="V272" s="221"/>
      <c r="W272" s="221"/>
      <c r="X272" s="221"/>
      <c r="Y272" s="222"/>
      <c r="Z272" s="220" t="str">
        <f ca="1">'Financial Planning Tool'!L75</f>
        <v/>
      </c>
      <c r="AA272" s="221"/>
      <c r="AB272" s="221"/>
      <c r="AC272" s="221"/>
      <c r="AD272" s="221"/>
      <c r="AE272" s="221"/>
      <c r="AF272" s="221"/>
      <c r="AG272" s="222"/>
      <c r="AH272" s="220" t="str">
        <f ca="1">'Financial Planning Tool'!M75</f>
        <v/>
      </c>
      <c r="AI272" s="221"/>
      <c r="AJ272" s="221"/>
      <c r="AK272" s="221"/>
      <c r="AL272" s="221"/>
      <c r="AM272" s="221"/>
      <c r="AN272" s="221"/>
      <c r="AO272" s="222"/>
      <c r="AP272" s="220">
        <f ca="1">'Financial Planning Tool'!N75</f>
        <v>-201804.13</v>
      </c>
      <c r="AQ272" s="221"/>
      <c r="AR272" s="221"/>
      <c r="AS272" s="221"/>
      <c r="AT272" s="221"/>
      <c r="AU272" s="221"/>
      <c r="AV272" s="221"/>
      <c r="AW272" s="222"/>
      <c r="AX272" s="220">
        <f ca="1">'Financial Planning Tool'!O75</f>
        <v>-90478.39</v>
      </c>
      <c r="AY272" s="221"/>
      <c r="AZ272" s="221"/>
      <c r="BA272" s="221"/>
      <c r="BB272" s="221"/>
      <c r="BC272" s="221"/>
      <c r="BD272" s="221"/>
      <c r="BE272" s="222"/>
      <c r="BF272" s="220">
        <f ca="1">'Financial Planning Tool'!P75</f>
        <v>1045758.98</v>
      </c>
      <c r="BG272" s="221"/>
      <c r="BH272" s="221"/>
      <c r="BI272" s="221"/>
      <c r="BJ272" s="221"/>
      <c r="BK272" s="221"/>
      <c r="BL272" s="221"/>
      <c r="BM272" s="222"/>
      <c r="BN272" s="220">
        <f ca="1">'Financial Planning Tool'!Q75</f>
        <v>458914.18</v>
      </c>
      <c r="BO272" s="221"/>
      <c r="BP272" s="221"/>
      <c r="BQ272" s="221"/>
      <c r="BR272" s="221"/>
      <c r="BS272" s="221"/>
      <c r="BT272" s="221"/>
      <c r="BU272" s="222"/>
    </row>
    <row r="273" spans="2:73" x14ac:dyDescent="0.25">
      <c r="B273" s="215">
        <f ca="1">'Financial Planning Tool'!H76</f>
        <v>53661</v>
      </c>
      <c r="C273" s="216"/>
      <c r="D273" s="216"/>
      <c r="E273" s="217"/>
      <c r="F273" s="218">
        <f ca="1">'Financial Planning Tool'!I76</f>
        <v>76</v>
      </c>
      <c r="G273" s="186"/>
      <c r="H273" s="186"/>
      <c r="I273" s="219"/>
      <c r="J273" s="220" t="str">
        <f ca="1">'Financial Planning Tool'!J76</f>
        <v/>
      </c>
      <c r="K273" s="221"/>
      <c r="L273" s="221"/>
      <c r="M273" s="221"/>
      <c r="N273" s="221"/>
      <c r="O273" s="221"/>
      <c r="P273" s="221"/>
      <c r="Q273" s="222"/>
      <c r="R273" s="220" t="str">
        <f ca="1">'Financial Planning Tool'!K76</f>
        <v/>
      </c>
      <c r="S273" s="221"/>
      <c r="T273" s="221"/>
      <c r="U273" s="221"/>
      <c r="V273" s="221"/>
      <c r="W273" s="221"/>
      <c r="X273" s="221"/>
      <c r="Y273" s="222"/>
      <c r="Z273" s="220" t="str">
        <f ca="1">'Financial Planning Tool'!L76</f>
        <v/>
      </c>
      <c r="AA273" s="221"/>
      <c r="AB273" s="221"/>
      <c r="AC273" s="221"/>
      <c r="AD273" s="221"/>
      <c r="AE273" s="221"/>
      <c r="AF273" s="221"/>
      <c r="AG273" s="222"/>
      <c r="AH273" s="220" t="str">
        <f ca="1">'Financial Planning Tool'!M76</f>
        <v/>
      </c>
      <c r="AI273" s="221"/>
      <c r="AJ273" s="221"/>
      <c r="AK273" s="221"/>
      <c r="AL273" s="221"/>
      <c r="AM273" s="221"/>
      <c r="AN273" s="221"/>
      <c r="AO273" s="222"/>
      <c r="AP273" s="220">
        <f ca="1">'Financial Planning Tool'!N76</f>
        <v>-182951.81</v>
      </c>
      <c r="AQ273" s="221"/>
      <c r="AR273" s="221"/>
      <c r="AS273" s="221"/>
      <c r="AT273" s="221"/>
      <c r="AU273" s="221"/>
      <c r="AV273" s="221"/>
      <c r="AW273" s="222"/>
      <c r="AX273" s="220">
        <f ca="1">'Financial Planning Tool'!O76</f>
        <v>-78871.149999999994</v>
      </c>
      <c r="AY273" s="221"/>
      <c r="AZ273" s="221"/>
      <c r="BA273" s="221"/>
      <c r="BB273" s="221"/>
      <c r="BC273" s="221"/>
      <c r="BD273" s="221"/>
      <c r="BE273" s="222"/>
      <c r="BF273" s="220">
        <f ca="1">'Financial Planning Tool'!P76</f>
        <v>948065.28000000003</v>
      </c>
      <c r="BG273" s="221"/>
      <c r="BH273" s="221"/>
      <c r="BI273" s="221"/>
      <c r="BJ273" s="221"/>
      <c r="BK273" s="221"/>
      <c r="BL273" s="221"/>
      <c r="BM273" s="222"/>
      <c r="BN273" s="220">
        <f ca="1">'Financial Planning Tool'!Q76</f>
        <v>400041.25</v>
      </c>
      <c r="BO273" s="221"/>
      <c r="BP273" s="221"/>
      <c r="BQ273" s="221"/>
      <c r="BR273" s="221"/>
      <c r="BS273" s="221"/>
      <c r="BT273" s="221"/>
      <c r="BU273" s="222"/>
    </row>
    <row r="274" spans="2:73" x14ac:dyDescent="0.25">
      <c r="B274" s="215">
        <f ca="1">'Financial Planning Tool'!H77</f>
        <v>54026</v>
      </c>
      <c r="C274" s="216"/>
      <c r="D274" s="216"/>
      <c r="E274" s="217"/>
      <c r="F274" s="218">
        <f ca="1">'Financial Planning Tool'!I77</f>
        <v>77</v>
      </c>
      <c r="G274" s="186"/>
      <c r="H274" s="186"/>
      <c r="I274" s="219"/>
      <c r="J274" s="220" t="str">
        <f ca="1">'Financial Planning Tool'!J77</f>
        <v/>
      </c>
      <c r="K274" s="221"/>
      <c r="L274" s="221"/>
      <c r="M274" s="221"/>
      <c r="N274" s="221"/>
      <c r="O274" s="221"/>
      <c r="P274" s="221"/>
      <c r="Q274" s="222"/>
      <c r="R274" s="220" t="str">
        <f ca="1">'Financial Planning Tool'!K77</f>
        <v/>
      </c>
      <c r="S274" s="221"/>
      <c r="T274" s="221"/>
      <c r="U274" s="221"/>
      <c r="V274" s="221"/>
      <c r="W274" s="221"/>
      <c r="X274" s="221"/>
      <c r="Y274" s="222"/>
      <c r="Z274" s="220" t="str">
        <f ca="1">'Financial Planning Tool'!L77</f>
        <v/>
      </c>
      <c r="AA274" s="221"/>
      <c r="AB274" s="221"/>
      <c r="AC274" s="221"/>
      <c r="AD274" s="221"/>
      <c r="AE274" s="221"/>
      <c r="AF274" s="221"/>
      <c r="AG274" s="222"/>
      <c r="AH274" s="220" t="str">
        <f ca="1">'Financial Planning Tool'!M77</f>
        <v/>
      </c>
      <c r="AI274" s="221"/>
      <c r="AJ274" s="221"/>
      <c r="AK274" s="221"/>
      <c r="AL274" s="221"/>
      <c r="AM274" s="221"/>
      <c r="AN274" s="221"/>
      <c r="AO274" s="222"/>
      <c r="AP274" s="220">
        <f ca="1">'Financial Planning Tool'!N77</f>
        <v>-165860.64000000001</v>
      </c>
      <c r="AQ274" s="221"/>
      <c r="AR274" s="221"/>
      <c r="AS274" s="221"/>
      <c r="AT274" s="221"/>
      <c r="AU274" s="221"/>
      <c r="AV274" s="221"/>
      <c r="AW274" s="222"/>
      <c r="AX274" s="220">
        <f ca="1">'Financial Planning Tool'!O77</f>
        <v>-68752.97</v>
      </c>
      <c r="AY274" s="221"/>
      <c r="AZ274" s="221"/>
      <c r="BA274" s="221"/>
      <c r="BB274" s="221"/>
      <c r="BC274" s="221"/>
      <c r="BD274" s="221"/>
      <c r="BE274" s="222"/>
      <c r="BF274" s="220">
        <f ca="1">'Financial Planning Tool'!P77</f>
        <v>859498.03</v>
      </c>
      <c r="BG274" s="221"/>
      <c r="BH274" s="221"/>
      <c r="BI274" s="221"/>
      <c r="BJ274" s="221"/>
      <c r="BK274" s="221"/>
      <c r="BL274" s="221"/>
      <c r="BM274" s="222"/>
      <c r="BN274" s="220">
        <f ca="1">'Financial Planning Tool'!Q77</f>
        <v>348720.98</v>
      </c>
      <c r="BO274" s="221"/>
      <c r="BP274" s="221"/>
      <c r="BQ274" s="221"/>
      <c r="BR274" s="221"/>
      <c r="BS274" s="221"/>
      <c r="BT274" s="221"/>
      <c r="BU274" s="222"/>
    </row>
    <row r="275" spans="2:73" x14ac:dyDescent="0.25">
      <c r="B275" s="215">
        <f ca="1">'Financial Planning Tool'!H78</f>
        <v>54392</v>
      </c>
      <c r="C275" s="216"/>
      <c r="D275" s="216"/>
      <c r="E275" s="217"/>
      <c r="F275" s="218">
        <f ca="1">'Financial Planning Tool'!I78</f>
        <v>78</v>
      </c>
      <c r="G275" s="186"/>
      <c r="H275" s="186"/>
      <c r="I275" s="219"/>
      <c r="J275" s="220" t="str">
        <f ca="1">'Financial Planning Tool'!J78</f>
        <v/>
      </c>
      <c r="K275" s="221"/>
      <c r="L275" s="221"/>
      <c r="M275" s="221"/>
      <c r="N275" s="221"/>
      <c r="O275" s="221"/>
      <c r="P275" s="221"/>
      <c r="Q275" s="222"/>
      <c r="R275" s="220" t="str">
        <f ca="1">'Financial Planning Tool'!K78</f>
        <v/>
      </c>
      <c r="S275" s="221"/>
      <c r="T275" s="221"/>
      <c r="U275" s="221"/>
      <c r="V275" s="221"/>
      <c r="W275" s="221"/>
      <c r="X275" s="221"/>
      <c r="Y275" s="222"/>
      <c r="Z275" s="220" t="str">
        <f ca="1">'Financial Planning Tool'!L78</f>
        <v/>
      </c>
      <c r="AA275" s="221"/>
      <c r="AB275" s="221"/>
      <c r="AC275" s="221"/>
      <c r="AD275" s="221"/>
      <c r="AE275" s="221"/>
      <c r="AF275" s="221"/>
      <c r="AG275" s="222"/>
      <c r="AH275" s="220" t="str">
        <f ca="1">'Financial Planning Tool'!M78</f>
        <v/>
      </c>
      <c r="AI275" s="221"/>
      <c r="AJ275" s="221"/>
      <c r="AK275" s="221"/>
      <c r="AL275" s="221"/>
      <c r="AM275" s="221"/>
      <c r="AN275" s="221"/>
      <c r="AO275" s="222"/>
      <c r="AP275" s="220">
        <f ca="1">'Financial Planning Tool'!N78</f>
        <v>-150366.12</v>
      </c>
      <c r="AQ275" s="221"/>
      <c r="AR275" s="221"/>
      <c r="AS275" s="221"/>
      <c r="AT275" s="221"/>
      <c r="AU275" s="221"/>
      <c r="AV275" s="221"/>
      <c r="AW275" s="222"/>
      <c r="AX275" s="220">
        <f ca="1">'Financial Planning Tool'!O78</f>
        <v>-59932.83</v>
      </c>
      <c r="AY275" s="221"/>
      <c r="AZ275" s="221"/>
      <c r="BA275" s="221"/>
      <c r="BB275" s="221"/>
      <c r="BC275" s="221"/>
      <c r="BD275" s="221"/>
      <c r="BE275" s="222"/>
      <c r="BF275" s="220">
        <f ca="1">'Financial Planning Tool'!P78</f>
        <v>779204.63</v>
      </c>
      <c r="BG275" s="221"/>
      <c r="BH275" s="221"/>
      <c r="BI275" s="221"/>
      <c r="BJ275" s="221"/>
      <c r="BK275" s="221"/>
      <c r="BL275" s="221"/>
      <c r="BM275" s="222"/>
      <c r="BN275" s="220">
        <f ca="1">'Financial Planning Tool'!Q78</f>
        <v>303984.46000000002</v>
      </c>
      <c r="BO275" s="221"/>
      <c r="BP275" s="221"/>
      <c r="BQ275" s="221"/>
      <c r="BR275" s="221"/>
      <c r="BS275" s="221"/>
      <c r="BT275" s="221"/>
      <c r="BU275" s="222"/>
    </row>
    <row r="276" spans="2:73" x14ac:dyDescent="0.25">
      <c r="B276" s="215">
        <f ca="1">'Financial Planning Tool'!H79</f>
        <v>54757</v>
      </c>
      <c r="C276" s="216"/>
      <c r="D276" s="216"/>
      <c r="E276" s="217"/>
      <c r="F276" s="218">
        <f ca="1">'Financial Planning Tool'!I79</f>
        <v>79</v>
      </c>
      <c r="G276" s="186"/>
      <c r="H276" s="186"/>
      <c r="I276" s="219"/>
      <c r="J276" s="220" t="str">
        <f ca="1">'Financial Planning Tool'!J79</f>
        <v/>
      </c>
      <c r="K276" s="221"/>
      <c r="L276" s="221"/>
      <c r="M276" s="221"/>
      <c r="N276" s="221"/>
      <c r="O276" s="221"/>
      <c r="P276" s="221"/>
      <c r="Q276" s="222"/>
      <c r="R276" s="220" t="str">
        <f ca="1">'Financial Planning Tool'!K79</f>
        <v/>
      </c>
      <c r="S276" s="221"/>
      <c r="T276" s="221"/>
      <c r="U276" s="221"/>
      <c r="V276" s="221"/>
      <c r="W276" s="221"/>
      <c r="X276" s="221"/>
      <c r="Y276" s="222"/>
      <c r="Z276" s="220" t="str">
        <f ca="1">'Financial Planning Tool'!L79</f>
        <v/>
      </c>
      <c r="AA276" s="221"/>
      <c r="AB276" s="221"/>
      <c r="AC276" s="221"/>
      <c r="AD276" s="221"/>
      <c r="AE276" s="221"/>
      <c r="AF276" s="221"/>
      <c r="AG276" s="222"/>
      <c r="AH276" s="220" t="str">
        <f ca="1">'Financial Planning Tool'!M79</f>
        <v/>
      </c>
      <c r="AI276" s="221"/>
      <c r="AJ276" s="221"/>
      <c r="AK276" s="221"/>
      <c r="AL276" s="221"/>
      <c r="AM276" s="221"/>
      <c r="AN276" s="221"/>
      <c r="AO276" s="222"/>
      <c r="AP276" s="220">
        <f ca="1">'Financial Planning Tool'!N79</f>
        <v>-136319.07</v>
      </c>
      <c r="AQ276" s="221"/>
      <c r="AR276" s="221"/>
      <c r="AS276" s="221"/>
      <c r="AT276" s="221"/>
      <c r="AU276" s="221"/>
      <c r="AV276" s="221"/>
      <c r="AW276" s="222"/>
      <c r="AX276" s="220">
        <f ca="1">'Financial Planning Tool'!O79</f>
        <v>-52244.2</v>
      </c>
      <c r="AY276" s="221"/>
      <c r="AZ276" s="221"/>
      <c r="BA276" s="221"/>
      <c r="BB276" s="221"/>
      <c r="BC276" s="221"/>
      <c r="BD276" s="221"/>
      <c r="BE276" s="222"/>
      <c r="BF276" s="220">
        <f ca="1">'Financial Planning Tool'!P79</f>
        <v>706412.16</v>
      </c>
      <c r="BG276" s="221"/>
      <c r="BH276" s="221"/>
      <c r="BI276" s="221"/>
      <c r="BJ276" s="221"/>
      <c r="BK276" s="221"/>
      <c r="BL276" s="221"/>
      <c r="BM276" s="222"/>
      <c r="BN276" s="220">
        <f ca="1">'Financial Planning Tool'!Q79</f>
        <v>264987.07</v>
      </c>
      <c r="BO276" s="221"/>
      <c r="BP276" s="221"/>
      <c r="BQ276" s="221"/>
      <c r="BR276" s="221"/>
      <c r="BS276" s="221"/>
      <c r="BT276" s="221"/>
      <c r="BU276" s="222"/>
    </row>
    <row r="277" spans="2:73" x14ac:dyDescent="0.25">
      <c r="B277" s="215">
        <f ca="1">'Financial Planning Tool'!H80</f>
        <v>55122</v>
      </c>
      <c r="C277" s="216"/>
      <c r="D277" s="216"/>
      <c r="E277" s="217"/>
      <c r="F277" s="218">
        <f ca="1">'Financial Planning Tool'!I80</f>
        <v>80</v>
      </c>
      <c r="G277" s="186"/>
      <c r="H277" s="186"/>
      <c r="I277" s="219"/>
      <c r="J277" s="220" t="str">
        <f ca="1">'Financial Planning Tool'!J80</f>
        <v/>
      </c>
      <c r="K277" s="221"/>
      <c r="L277" s="221"/>
      <c r="M277" s="221"/>
      <c r="N277" s="221"/>
      <c r="O277" s="221"/>
      <c r="P277" s="221"/>
      <c r="Q277" s="222"/>
      <c r="R277" s="220" t="str">
        <f ca="1">'Financial Planning Tool'!K80</f>
        <v/>
      </c>
      <c r="S277" s="221"/>
      <c r="T277" s="221"/>
      <c r="U277" s="221"/>
      <c r="V277" s="221"/>
      <c r="W277" s="221"/>
      <c r="X277" s="221"/>
      <c r="Y277" s="222"/>
      <c r="Z277" s="220" t="str">
        <f ca="1">'Financial Planning Tool'!L80</f>
        <v/>
      </c>
      <c r="AA277" s="221"/>
      <c r="AB277" s="221"/>
      <c r="AC277" s="221"/>
      <c r="AD277" s="221"/>
      <c r="AE277" s="221"/>
      <c r="AF277" s="221"/>
      <c r="AG277" s="222"/>
      <c r="AH277" s="220" t="str">
        <f ca="1">'Financial Planning Tool'!M80</f>
        <v/>
      </c>
      <c r="AI277" s="221"/>
      <c r="AJ277" s="221"/>
      <c r="AK277" s="221"/>
      <c r="AL277" s="221"/>
      <c r="AM277" s="221"/>
      <c r="AN277" s="221"/>
      <c r="AO277" s="222"/>
      <c r="AP277" s="220">
        <f ca="1">'Financial Planning Tool'!N80</f>
        <v>-123584.29</v>
      </c>
      <c r="AQ277" s="221"/>
      <c r="AR277" s="221"/>
      <c r="AS277" s="221"/>
      <c r="AT277" s="221"/>
      <c r="AU277" s="221"/>
      <c r="AV277" s="221"/>
      <c r="AW277" s="222"/>
      <c r="AX277" s="220">
        <f ca="1">'Financial Planning Tool'!O80</f>
        <v>-45541.93</v>
      </c>
      <c r="AY277" s="221"/>
      <c r="AZ277" s="221"/>
      <c r="BA277" s="221"/>
      <c r="BB277" s="221"/>
      <c r="BC277" s="221"/>
      <c r="BD277" s="221"/>
      <c r="BE277" s="222"/>
      <c r="BF277" s="220">
        <f ca="1">'Financial Planning Tool'!P80</f>
        <v>640419.89</v>
      </c>
      <c r="BG277" s="221"/>
      <c r="BH277" s="221"/>
      <c r="BI277" s="221"/>
      <c r="BJ277" s="221"/>
      <c r="BK277" s="221"/>
      <c r="BL277" s="221"/>
      <c r="BM277" s="222"/>
      <c r="BN277" s="220">
        <f ca="1">'Financial Planning Tool'!Q80</f>
        <v>230992.56</v>
      </c>
      <c r="BO277" s="221"/>
      <c r="BP277" s="221"/>
      <c r="BQ277" s="221"/>
      <c r="BR277" s="221"/>
      <c r="BS277" s="221"/>
      <c r="BT277" s="221"/>
      <c r="BU277" s="222"/>
    </row>
    <row r="278" spans="2:73" x14ac:dyDescent="0.25">
      <c r="B278" s="215">
        <f ca="1">'Financial Planning Tool'!H81</f>
        <v>55487</v>
      </c>
      <c r="C278" s="216"/>
      <c r="D278" s="216"/>
      <c r="E278" s="217"/>
      <c r="F278" s="218">
        <f ca="1">'Financial Planning Tool'!I81</f>
        <v>81</v>
      </c>
      <c r="G278" s="186"/>
      <c r="H278" s="186"/>
      <c r="I278" s="219"/>
      <c r="J278" s="220" t="str">
        <f ca="1">'Financial Planning Tool'!J81</f>
        <v/>
      </c>
      <c r="K278" s="221"/>
      <c r="L278" s="221"/>
      <c r="M278" s="221"/>
      <c r="N278" s="221"/>
      <c r="O278" s="221"/>
      <c r="P278" s="221"/>
      <c r="Q278" s="222"/>
      <c r="R278" s="220" t="str">
        <f ca="1">'Financial Planning Tool'!K81</f>
        <v/>
      </c>
      <c r="S278" s="221"/>
      <c r="T278" s="221"/>
      <c r="U278" s="221"/>
      <c r="V278" s="221"/>
      <c r="W278" s="221"/>
      <c r="X278" s="221"/>
      <c r="Y278" s="222"/>
      <c r="Z278" s="220" t="str">
        <f ca="1">'Financial Planning Tool'!L81</f>
        <v/>
      </c>
      <c r="AA278" s="221"/>
      <c r="AB278" s="221"/>
      <c r="AC278" s="221"/>
      <c r="AD278" s="221"/>
      <c r="AE278" s="221"/>
      <c r="AF278" s="221"/>
      <c r="AG278" s="222"/>
      <c r="AH278" s="220" t="str">
        <f ca="1">'Financial Planning Tool'!M81</f>
        <v/>
      </c>
      <c r="AI278" s="221"/>
      <c r="AJ278" s="221"/>
      <c r="AK278" s="221"/>
      <c r="AL278" s="221"/>
      <c r="AM278" s="221"/>
      <c r="AN278" s="221"/>
      <c r="AO278" s="222"/>
      <c r="AP278" s="220">
        <f ca="1">'Financial Planning Tool'!N81</f>
        <v>-112039.18</v>
      </c>
      <c r="AQ278" s="221"/>
      <c r="AR278" s="221"/>
      <c r="AS278" s="221"/>
      <c r="AT278" s="221"/>
      <c r="AU278" s="221"/>
      <c r="AV278" s="221"/>
      <c r="AW278" s="222"/>
      <c r="AX278" s="220">
        <f ca="1">'Financial Planning Tool'!O81</f>
        <v>-39699.47</v>
      </c>
      <c r="AY278" s="221"/>
      <c r="AZ278" s="221"/>
      <c r="BA278" s="221"/>
      <c r="BB278" s="221"/>
      <c r="BC278" s="221"/>
      <c r="BD278" s="221"/>
      <c r="BE278" s="222"/>
      <c r="BF278" s="220">
        <f ca="1">'Financial Planning Tool'!P81</f>
        <v>580592.54</v>
      </c>
      <c r="BG278" s="221"/>
      <c r="BH278" s="221"/>
      <c r="BI278" s="221"/>
      <c r="BJ278" s="221"/>
      <c r="BK278" s="221"/>
      <c r="BL278" s="221"/>
      <c r="BM278" s="222"/>
      <c r="BN278" s="220">
        <f ca="1">'Financial Planning Tool'!Q81</f>
        <v>201359.11</v>
      </c>
      <c r="BO278" s="221"/>
      <c r="BP278" s="221"/>
      <c r="BQ278" s="221"/>
      <c r="BR278" s="221"/>
      <c r="BS278" s="221"/>
      <c r="BT278" s="221"/>
      <c r="BU278" s="222"/>
    </row>
    <row r="279" spans="2:73" x14ac:dyDescent="0.25">
      <c r="B279" s="215">
        <f ca="1">'Financial Planning Tool'!H82</f>
        <v>55853</v>
      </c>
      <c r="C279" s="216"/>
      <c r="D279" s="216"/>
      <c r="E279" s="217"/>
      <c r="F279" s="218">
        <f ca="1">'Financial Planning Tool'!I82</f>
        <v>82</v>
      </c>
      <c r="G279" s="186"/>
      <c r="H279" s="186"/>
      <c r="I279" s="219"/>
      <c r="J279" s="220" t="str">
        <f ca="1">'Financial Planning Tool'!J82</f>
        <v/>
      </c>
      <c r="K279" s="221"/>
      <c r="L279" s="221"/>
      <c r="M279" s="221"/>
      <c r="N279" s="221"/>
      <c r="O279" s="221"/>
      <c r="P279" s="221"/>
      <c r="Q279" s="222"/>
      <c r="R279" s="220" t="str">
        <f ca="1">'Financial Planning Tool'!K82</f>
        <v/>
      </c>
      <c r="S279" s="221"/>
      <c r="T279" s="221"/>
      <c r="U279" s="221"/>
      <c r="V279" s="221"/>
      <c r="W279" s="221"/>
      <c r="X279" s="221"/>
      <c r="Y279" s="222"/>
      <c r="Z279" s="220" t="str">
        <f ca="1">'Financial Planning Tool'!L82</f>
        <v/>
      </c>
      <c r="AA279" s="221"/>
      <c r="AB279" s="221"/>
      <c r="AC279" s="221"/>
      <c r="AD279" s="221"/>
      <c r="AE279" s="221"/>
      <c r="AF279" s="221"/>
      <c r="AG279" s="222"/>
      <c r="AH279" s="220" t="str">
        <f ca="1">'Financial Planning Tool'!M82</f>
        <v/>
      </c>
      <c r="AI279" s="221"/>
      <c r="AJ279" s="221"/>
      <c r="AK279" s="221"/>
      <c r="AL279" s="221"/>
      <c r="AM279" s="221"/>
      <c r="AN279" s="221"/>
      <c r="AO279" s="222"/>
      <c r="AP279" s="220">
        <f ca="1">'Financial Planning Tool'!N82</f>
        <v>-101572.59</v>
      </c>
      <c r="AQ279" s="221"/>
      <c r="AR279" s="221"/>
      <c r="AS279" s="221"/>
      <c r="AT279" s="221"/>
      <c r="AU279" s="221"/>
      <c r="AV279" s="221"/>
      <c r="AW279" s="222"/>
      <c r="AX279" s="220">
        <f ca="1">'Financial Planning Tool'!O82</f>
        <v>-34606.53</v>
      </c>
      <c r="AY279" s="221"/>
      <c r="AZ279" s="221"/>
      <c r="BA279" s="221"/>
      <c r="BB279" s="221"/>
      <c r="BC279" s="221"/>
      <c r="BD279" s="221"/>
      <c r="BE279" s="222"/>
      <c r="BF279" s="220">
        <f ca="1">'Financial Planning Tool'!P82</f>
        <v>526354.19999999995</v>
      </c>
      <c r="BG279" s="221"/>
      <c r="BH279" s="221"/>
      <c r="BI279" s="221"/>
      <c r="BJ279" s="221"/>
      <c r="BK279" s="221"/>
      <c r="BL279" s="221"/>
      <c r="BM279" s="222"/>
      <c r="BN279" s="220">
        <f ca="1">'Financial Planning Tool'!Q82</f>
        <v>175527.27</v>
      </c>
      <c r="BO279" s="221"/>
      <c r="BP279" s="221"/>
      <c r="BQ279" s="221"/>
      <c r="BR279" s="221"/>
      <c r="BS279" s="221"/>
      <c r="BT279" s="221"/>
      <c r="BU279" s="222"/>
    </row>
    <row r="280" spans="2:73" x14ac:dyDescent="0.25">
      <c r="B280" s="215">
        <f ca="1">'Financial Planning Tool'!H83</f>
        <v>56218</v>
      </c>
      <c r="C280" s="216"/>
      <c r="D280" s="216"/>
      <c r="E280" s="217"/>
      <c r="F280" s="218">
        <f ca="1">'Financial Planning Tool'!I83</f>
        <v>83</v>
      </c>
      <c r="G280" s="186"/>
      <c r="H280" s="186"/>
      <c r="I280" s="219"/>
      <c r="J280" s="220" t="str">
        <f ca="1">'Financial Planning Tool'!J83</f>
        <v/>
      </c>
      <c r="K280" s="221"/>
      <c r="L280" s="221"/>
      <c r="M280" s="221"/>
      <c r="N280" s="221"/>
      <c r="O280" s="221"/>
      <c r="P280" s="221"/>
      <c r="Q280" s="222"/>
      <c r="R280" s="220" t="str">
        <f ca="1">'Financial Planning Tool'!K83</f>
        <v/>
      </c>
      <c r="S280" s="221"/>
      <c r="T280" s="221"/>
      <c r="U280" s="221"/>
      <c r="V280" s="221"/>
      <c r="W280" s="221"/>
      <c r="X280" s="221"/>
      <c r="Y280" s="222"/>
      <c r="Z280" s="220" t="str">
        <f ca="1">'Financial Planning Tool'!L83</f>
        <v/>
      </c>
      <c r="AA280" s="221"/>
      <c r="AB280" s="221"/>
      <c r="AC280" s="221"/>
      <c r="AD280" s="221"/>
      <c r="AE280" s="221"/>
      <c r="AF280" s="221"/>
      <c r="AG280" s="222"/>
      <c r="AH280" s="220" t="str">
        <f ca="1">'Financial Planning Tool'!M83</f>
        <v/>
      </c>
      <c r="AI280" s="221"/>
      <c r="AJ280" s="221"/>
      <c r="AK280" s="221"/>
      <c r="AL280" s="221"/>
      <c r="AM280" s="221"/>
      <c r="AN280" s="221"/>
      <c r="AO280" s="222"/>
      <c r="AP280" s="220">
        <f ca="1">'Financial Planning Tool'!N83</f>
        <v>-92083.79</v>
      </c>
      <c r="AQ280" s="221"/>
      <c r="AR280" s="221"/>
      <c r="AS280" s="221"/>
      <c r="AT280" s="221"/>
      <c r="AU280" s="221"/>
      <c r="AV280" s="221"/>
      <c r="AW280" s="222"/>
      <c r="AX280" s="220">
        <f ca="1">'Financial Planning Tool'!O83</f>
        <v>-30166.94</v>
      </c>
      <c r="AY280" s="221"/>
      <c r="AZ280" s="221"/>
      <c r="BA280" s="221"/>
      <c r="BB280" s="221"/>
      <c r="BC280" s="221"/>
      <c r="BD280" s="221"/>
      <c r="BE280" s="222"/>
      <c r="BF280" s="220">
        <f ca="1">'Financial Planning Tool'!P83</f>
        <v>477182.75</v>
      </c>
      <c r="BG280" s="221"/>
      <c r="BH280" s="221"/>
      <c r="BI280" s="221"/>
      <c r="BJ280" s="221"/>
      <c r="BK280" s="221"/>
      <c r="BL280" s="221"/>
      <c r="BM280" s="222"/>
      <c r="BN280" s="220">
        <f ca="1">'Financial Planning Tool'!Q83</f>
        <v>153009.32</v>
      </c>
      <c r="BO280" s="221"/>
      <c r="BP280" s="221"/>
      <c r="BQ280" s="221"/>
      <c r="BR280" s="221"/>
      <c r="BS280" s="221"/>
      <c r="BT280" s="221"/>
      <c r="BU280" s="222"/>
    </row>
    <row r="281" spans="2:73" x14ac:dyDescent="0.25">
      <c r="B281" s="215">
        <f ca="1">'Financial Planning Tool'!H84</f>
        <v>56583</v>
      </c>
      <c r="C281" s="216"/>
      <c r="D281" s="216"/>
      <c r="E281" s="217"/>
      <c r="F281" s="218">
        <f ca="1">'Financial Planning Tool'!I84</f>
        <v>84</v>
      </c>
      <c r="G281" s="186"/>
      <c r="H281" s="186"/>
      <c r="I281" s="219"/>
      <c r="J281" s="220" t="str">
        <f ca="1">'Financial Planning Tool'!J84</f>
        <v/>
      </c>
      <c r="K281" s="221"/>
      <c r="L281" s="221"/>
      <c r="M281" s="221"/>
      <c r="N281" s="221"/>
      <c r="O281" s="221"/>
      <c r="P281" s="221"/>
      <c r="Q281" s="222"/>
      <c r="R281" s="220" t="str">
        <f ca="1">'Financial Planning Tool'!K84</f>
        <v/>
      </c>
      <c r="S281" s="221"/>
      <c r="T281" s="221"/>
      <c r="U281" s="221"/>
      <c r="V281" s="221"/>
      <c r="W281" s="221"/>
      <c r="X281" s="221"/>
      <c r="Y281" s="222"/>
      <c r="Z281" s="220" t="str">
        <f ca="1">'Financial Planning Tool'!L84</f>
        <v/>
      </c>
      <c r="AA281" s="221"/>
      <c r="AB281" s="221"/>
      <c r="AC281" s="221"/>
      <c r="AD281" s="221"/>
      <c r="AE281" s="221"/>
      <c r="AF281" s="221"/>
      <c r="AG281" s="222"/>
      <c r="AH281" s="220" t="str">
        <f ca="1">'Financial Planning Tool'!M84</f>
        <v/>
      </c>
      <c r="AI281" s="221"/>
      <c r="AJ281" s="221"/>
      <c r="AK281" s="221"/>
      <c r="AL281" s="221"/>
      <c r="AM281" s="221"/>
      <c r="AN281" s="221"/>
      <c r="AO281" s="222"/>
      <c r="AP281" s="220">
        <f ca="1">'Financial Planning Tool'!N84</f>
        <v>-83481.42</v>
      </c>
      <c r="AQ281" s="221"/>
      <c r="AR281" s="221"/>
      <c r="AS281" s="221"/>
      <c r="AT281" s="221"/>
      <c r="AU281" s="221"/>
      <c r="AV281" s="221"/>
      <c r="AW281" s="222"/>
      <c r="AX281" s="220">
        <f ca="1">'Financial Planning Tool'!O84</f>
        <v>-26296.9</v>
      </c>
      <c r="AY281" s="221"/>
      <c r="AZ281" s="221"/>
      <c r="BA281" s="221"/>
      <c r="BB281" s="221"/>
      <c r="BC281" s="221"/>
      <c r="BD281" s="221"/>
      <c r="BE281" s="222"/>
      <c r="BF281" s="220">
        <f ca="1">'Financial Planning Tool'!P84</f>
        <v>432604.84</v>
      </c>
      <c r="BG281" s="221"/>
      <c r="BH281" s="221"/>
      <c r="BI281" s="221"/>
      <c r="BJ281" s="221"/>
      <c r="BK281" s="221"/>
      <c r="BL281" s="221"/>
      <c r="BM281" s="222"/>
      <c r="BN281" s="220">
        <f ca="1">'Financial Planning Tool'!Q84</f>
        <v>133380.15</v>
      </c>
      <c r="BO281" s="221"/>
      <c r="BP281" s="221"/>
      <c r="BQ281" s="221"/>
      <c r="BR281" s="221"/>
      <c r="BS281" s="221"/>
      <c r="BT281" s="221"/>
      <c r="BU281" s="222"/>
    </row>
    <row r="282" spans="2:73" x14ac:dyDescent="0.25">
      <c r="B282" s="215">
        <f ca="1">'Financial Planning Tool'!H85</f>
        <v>56948</v>
      </c>
      <c r="C282" s="216"/>
      <c r="D282" s="216"/>
      <c r="E282" s="217"/>
      <c r="F282" s="218">
        <f ca="1">'Financial Planning Tool'!I85</f>
        <v>85</v>
      </c>
      <c r="G282" s="186"/>
      <c r="H282" s="186"/>
      <c r="I282" s="219"/>
      <c r="J282" s="220" t="str">
        <f ca="1">'Financial Planning Tool'!J85</f>
        <v/>
      </c>
      <c r="K282" s="221"/>
      <c r="L282" s="221"/>
      <c r="M282" s="221"/>
      <c r="N282" s="221"/>
      <c r="O282" s="221"/>
      <c r="P282" s="221"/>
      <c r="Q282" s="222"/>
      <c r="R282" s="220" t="str">
        <f ca="1">'Financial Planning Tool'!K85</f>
        <v/>
      </c>
      <c r="S282" s="221"/>
      <c r="T282" s="221"/>
      <c r="U282" s="221"/>
      <c r="V282" s="221"/>
      <c r="W282" s="221"/>
      <c r="X282" s="221"/>
      <c r="Y282" s="222"/>
      <c r="Z282" s="220" t="str">
        <f ca="1">'Financial Planning Tool'!L85</f>
        <v/>
      </c>
      <c r="AA282" s="221"/>
      <c r="AB282" s="221"/>
      <c r="AC282" s="221"/>
      <c r="AD282" s="221"/>
      <c r="AE282" s="221"/>
      <c r="AF282" s="221"/>
      <c r="AG282" s="222"/>
      <c r="AH282" s="220" t="str">
        <f ca="1">'Financial Planning Tool'!M85</f>
        <v/>
      </c>
      <c r="AI282" s="221"/>
      <c r="AJ282" s="221"/>
      <c r="AK282" s="221"/>
      <c r="AL282" s="221"/>
      <c r="AM282" s="221"/>
      <c r="AN282" s="221"/>
      <c r="AO282" s="222"/>
      <c r="AP282" s="220">
        <f ca="1">'Financial Planning Tool'!N85</f>
        <v>-75682.67</v>
      </c>
      <c r="AQ282" s="221"/>
      <c r="AR282" s="221"/>
      <c r="AS282" s="221"/>
      <c r="AT282" s="221"/>
      <c r="AU282" s="221"/>
      <c r="AV282" s="221"/>
      <c r="AW282" s="222"/>
      <c r="AX282" s="220">
        <f ca="1">'Financial Planning Tool'!O85</f>
        <v>-22923.34</v>
      </c>
      <c r="AY282" s="221"/>
      <c r="AZ282" s="221"/>
      <c r="BA282" s="221"/>
      <c r="BB282" s="221"/>
      <c r="BC282" s="221"/>
      <c r="BD282" s="221"/>
      <c r="BE282" s="222"/>
      <c r="BF282" s="220">
        <f ca="1">'Financial Planning Tool'!P85</f>
        <v>392191.35</v>
      </c>
      <c r="BG282" s="221"/>
      <c r="BH282" s="221"/>
      <c r="BI282" s="221"/>
      <c r="BJ282" s="221"/>
      <c r="BK282" s="221"/>
      <c r="BL282" s="221"/>
      <c r="BM282" s="222"/>
      <c r="BN282" s="220">
        <f ca="1">'Financial Planning Tool'!Q85</f>
        <v>116269.15</v>
      </c>
      <c r="BO282" s="221"/>
      <c r="BP282" s="221"/>
      <c r="BQ282" s="221"/>
      <c r="BR282" s="221"/>
      <c r="BS282" s="221"/>
      <c r="BT282" s="221"/>
      <c r="BU282" s="222"/>
    </row>
    <row r="283" spans="2:73" x14ac:dyDescent="0.25">
      <c r="B283" s="215">
        <f ca="1">'Financial Planning Tool'!H86</f>
        <v>57314</v>
      </c>
      <c r="C283" s="216"/>
      <c r="D283" s="216"/>
      <c r="E283" s="217"/>
      <c r="F283" s="218">
        <f ca="1">'Financial Planning Tool'!I86</f>
        <v>86</v>
      </c>
      <c r="G283" s="186"/>
      <c r="H283" s="186"/>
      <c r="I283" s="219"/>
      <c r="J283" s="220" t="str">
        <f ca="1">'Financial Planning Tool'!J86</f>
        <v/>
      </c>
      <c r="K283" s="221"/>
      <c r="L283" s="221"/>
      <c r="M283" s="221"/>
      <c r="N283" s="221"/>
      <c r="O283" s="221"/>
      <c r="P283" s="221"/>
      <c r="Q283" s="222"/>
      <c r="R283" s="220" t="str">
        <f ca="1">'Financial Planning Tool'!K86</f>
        <v/>
      </c>
      <c r="S283" s="221"/>
      <c r="T283" s="221"/>
      <c r="U283" s="221"/>
      <c r="V283" s="221"/>
      <c r="W283" s="221"/>
      <c r="X283" s="221"/>
      <c r="Y283" s="222"/>
      <c r="Z283" s="220" t="str">
        <f ca="1">'Financial Planning Tool'!L86</f>
        <v/>
      </c>
      <c r="AA283" s="221"/>
      <c r="AB283" s="221"/>
      <c r="AC283" s="221"/>
      <c r="AD283" s="221"/>
      <c r="AE283" s="221"/>
      <c r="AF283" s="221"/>
      <c r="AG283" s="222"/>
      <c r="AH283" s="220" t="str">
        <f ca="1">'Financial Planning Tool'!M86</f>
        <v/>
      </c>
      <c r="AI283" s="221"/>
      <c r="AJ283" s="221"/>
      <c r="AK283" s="221"/>
      <c r="AL283" s="221"/>
      <c r="AM283" s="221"/>
      <c r="AN283" s="221"/>
      <c r="AO283" s="222"/>
      <c r="AP283" s="220">
        <f ca="1">'Financial Planning Tool'!N86</f>
        <v>-68612.479999999996</v>
      </c>
      <c r="AQ283" s="221"/>
      <c r="AR283" s="221"/>
      <c r="AS283" s="221"/>
      <c r="AT283" s="221"/>
      <c r="AU283" s="221"/>
      <c r="AV283" s="221"/>
      <c r="AW283" s="222"/>
      <c r="AX283" s="220">
        <f ca="1">'Financial Planning Tool'!O86</f>
        <v>-19982.560000000001</v>
      </c>
      <c r="AY283" s="221"/>
      <c r="AZ283" s="221"/>
      <c r="BA283" s="221"/>
      <c r="BB283" s="221"/>
      <c r="BC283" s="221"/>
      <c r="BD283" s="221"/>
      <c r="BE283" s="222"/>
      <c r="BF283" s="220">
        <f ca="1">'Financial Planning Tool'!P86</f>
        <v>355553.25</v>
      </c>
      <c r="BG283" s="221"/>
      <c r="BH283" s="221"/>
      <c r="BI283" s="221"/>
      <c r="BJ283" s="221"/>
      <c r="BK283" s="221"/>
      <c r="BL283" s="221"/>
      <c r="BM283" s="222"/>
      <c r="BN283" s="220">
        <f ca="1">'Financial Planning Tool'!Q86</f>
        <v>101353.28</v>
      </c>
      <c r="BO283" s="221"/>
      <c r="BP283" s="221"/>
      <c r="BQ283" s="221"/>
      <c r="BR283" s="221"/>
      <c r="BS283" s="221"/>
      <c r="BT283" s="221"/>
      <c r="BU283" s="222"/>
    </row>
    <row r="284" spans="2:73" x14ac:dyDescent="0.25">
      <c r="B284" s="215">
        <f ca="1">'Financial Planning Tool'!H87</f>
        <v>57679</v>
      </c>
      <c r="C284" s="216"/>
      <c r="D284" s="216"/>
      <c r="E284" s="217"/>
      <c r="F284" s="218">
        <f ca="1">'Financial Planning Tool'!I87</f>
        <v>87</v>
      </c>
      <c r="G284" s="186"/>
      <c r="H284" s="186"/>
      <c r="I284" s="219"/>
      <c r="J284" s="220" t="str">
        <f ca="1">'Financial Planning Tool'!J87</f>
        <v/>
      </c>
      <c r="K284" s="221"/>
      <c r="L284" s="221"/>
      <c r="M284" s="221"/>
      <c r="N284" s="221"/>
      <c r="O284" s="221"/>
      <c r="P284" s="221"/>
      <c r="Q284" s="222"/>
      <c r="R284" s="220" t="str">
        <f ca="1">'Financial Planning Tool'!K87</f>
        <v/>
      </c>
      <c r="S284" s="221"/>
      <c r="T284" s="221"/>
      <c r="U284" s="221"/>
      <c r="V284" s="221"/>
      <c r="W284" s="221"/>
      <c r="X284" s="221"/>
      <c r="Y284" s="222"/>
      <c r="Z284" s="220" t="str">
        <f ca="1">'Financial Planning Tool'!L87</f>
        <v/>
      </c>
      <c r="AA284" s="221"/>
      <c r="AB284" s="221"/>
      <c r="AC284" s="221"/>
      <c r="AD284" s="221"/>
      <c r="AE284" s="221"/>
      <c r="AF284" s="221"/>
      <c r="AG284" s="222"/>
      <c r="AH284" s="220" t="str">
        <f ca="1">'Financial Planning Tool'!M87</f>
        <v/>
      </c>
      <c r="AI284" s="221"/>
      <c r="AJ284" s="221"/>
      <c r="AK284" s="221"/>
      <c r="AL284" s="221"/>
      <c r="AM284" s="221"/>
      <c r="AN284" s="221"/>
      <c r="AO284" s="222"/>
      <c r="AP284" s="220">
        <f ca="1">'Financial Planning Tool'!N87</f>
        <v>-62202.77</v>
      </c>
      <c r="AQ284" s="221"/>
      <c r="AR284" s="221"/>
      <c r="AS284" s="221"/>
      <c r="AT284" s="221"/>
      <c r="AU284" s="221"/>
      <c r="AV284" s="221"/>
      <c r="AW284" s="222"/>
      <c r="AX284" s="220">
        <f ca="1">'Financial Planning Tool'!O87</f>
        <v>-17419.05</v>
      </c>
      <c r="AY284" s="221"/>
      <c r="AZ284" s="221"/>
      <c r="BA284" s="221"/>
      <c r="BB284" s="221"/>
      <c r="BC284" s="221"/>
      <c r="BD284" s="221"/>
      <c r="BE284" s="222"/>
      <c r="BF284" s="220">
        <f ca="1">'Financial Planning Tool'!P87</f>
        <v>322337.84000000003</v>
      </c>
      <c r="BG284" s="221"/>
      <c r="BH284" s="221"/>
      <c r="BI284" s="221"/>
      <c r="BJ284" s="221"/>
      <c r="BK284" s="221"/>
      <c r="BL284" s="221"/>
      <c r="BM284" s="222"/>
      <c r="BN284" s="220">
        <f ca="1">'Financial Planning Tool'!Q87</f>
        <v>88350.92</v>
      </c>
      <c r="BO284" s="221"/>
      <c r="BP284" s="221"/>
      <c r="BQ284" s="221"/>
      <c r="BR284" s="221"/>
      <c r="BS284" s="221"/>
      <c r="BT284" s="221"/>
      <c r="BU284" s="222"/>
    </row>
    <row r="285" spans="2:73" x14ac:dyDescent="0.25">
      <c r="B285" s="215">
        <f ca="1">'Financial Planning Tool'!H88</f>
        <v>58044</v>
      </c>
      <c r="C285" s="216"/>
      <c r="D285" s="216"/>
      <c r="E285" s="217"/>
      <c r="F285" s="218">
        <f ca="1">'Financial Planning Tool'!I88</f>
        <v>88</v>
      </c>
      <c r="G285" s="186"/>
      <c r="H285" s="186"/>
      <c r="I285" s="219"/>
      <c r="J285" s="220" t="str">
        <f ca="1">'Financial Planning Tool'!J88</f>
        <v/>
      </c>
      <c r="K285" s="221"/>
      <c r="L285" s="221"/>
      <c r="M285" s="221"/>
      <c r="N285" s="221"/>
      <c r="O285" s="221"/>
      <c r="P285" s="221"/>
      <c r="Q285" s="222"/>
      <c r="R285" s="220" t="str">
        <f ca="1">'Financial Planning Tool'!K88</f>
        <v/>
      </c>
      <c r="S285" s="221"/>
      <c r="T285" s="221"/>
      <c r="U285" s="221"/>
      <c r="V285" s="221"/>
      <c r="W285" s="221"/>
      <c r="X285" s="221"/>
      <c r="Y285" s="222"/>
      <c r="Z285" s="220" t="str">
        <f ca="1">'Financial Planning Tool'!L88</f>
        <v/>
      </c>
      <c r="AA285" s="221"/>
      <c r="AB285" s="221"/>
      <c r="AC285" s="221"/>
      <c r="AD285" s="221"/>
      <c r="AE285" s="221"/>
      <c r="AF285" s="221"/>
      <c r="AG285" s="222"/>
      <c r="AH285" s="220" t="str">
        <f ca="1">'Financial Planning Tool'!M88</f>
        <v/>
      </c>
      <c r="AI285" s="221"/>
      <c r="AJ285" s="221"/>
      <c r="AK285" s="221"/>
      <c r="AL285" s="221"/>
      <c r="AM285" s="221"/>
      <c r="AN285" s="221"/>
      <c r="AO285" s="222"/>
      <c r="AP285" s="220">
        <f ca="1">'Financial Planning Tool'!N88</f>
        <v>-56391.86</v>
      </c>
      <c r="AQ285" s="221"/>
      <c r="AR285" s="221"/>
      <c r="AS285" s="221"/>
      <c r="AT285" s="221"/>
      <c r="AU285" s="221"/>
      <c r="AV285" s="221"/>
      <c r="AW285" s="222"/>
      <c r="AX285" s="220">
        <f ca="1">'Financial Planning Tool'!O88</f>
        <v>-15184.41</v>
      </c>
      <c r="AY285" s="221"/>
      <c r="AZ285" s="221"/>
      <c r="BA285" s="221"/>
      <c r="BB285" s="221"/>
      <c r="BC285" s="221"/>
      <c r="BD285" s="221"/>
      <c r="BE285" s="222"/>
      <c r="BF285" s="220">
        <f ca="1">'Financial Planning Tool'!P88</f>
        <v>292225.38</v>
      </c>
      <c r="BG285" s="221"/>
      <c r="BH285" s="221"/>
      <c r="BI285" s="221"/>
      <c r="BJ285" s="221"/>
      <c r="BK285" s="221"/>
      <c r="BL285" s="221"/>
      <c r="BM285" s="222"/>
      <c r="BN285" s="220">
        <f ca="1">'Financial Planning Tool'!Q88</f>
        <v>77016.61</v>
      </c>
      <c r="BO285" s="221"/>
      <c r="BP285" s="221"/>
      <c r="BQ285" s="221"/>
      <c r="BR285" s="221"/>
      <c r="BS285" s="221"/>
      <c r="BT285" s="221"/>
      <c r="BU285" s="222"/>
    </row>
    <row r="286" spans="2:73" x14ac:dyDescent="0.25">
      <c r="B286" s="215">
        <f ca="1">'Financial Planning Tool'!H89</f>
        <v>58409</v>
      </c>
      <c r="C286" s="216"/>
      <c r="D286" s="216"/>
      <c r="E286" s="217"/>
      <c r="F286" s="218">
        <f ca="1">'Financial Planning Tool'!I89</f>
        <v>89</v>
      </c>
      <c r="G286" s="186"/>
      <c r="H286" s="186"/>
      <c r="I286" s="219"/>
      <c r="J286" s="220" t="str">
        <f ca="1">'Financial Planning Tool'!J89</f>
        <v/>
      </c>
      <c r="K286" s="221"/>
      <c r="L286" s="221"/>
      <c r="M286" s="221"/>
      <c r="N286" s="221"/>
      <c r="O286" s="221"/>
      <c r="P286" s="221"/>
      <c r="Q286" s="222"/>
      <c r="R286" s="220" t="str">
        <f ca="1">'Financial Planning Tool'!K89</f>
        <v/>
      </c>
      <c r="S286" s="221"/>
      <c r="T286" s="221"/>
      <c r="U286" s="221"/>
      <c r="V286" s="221"/>
      <c r="W286" s="221"/>
      <c r="X286" s="221"/>
      <c r="Y286" s="222"/>
      <c r="Z286" s="220" t="str">
        <f ca="1">'Financial Planning Tool'!L89</f>
        <v/>
      </c>
      <c r="AA286" s="221"/>
      <c r="AB286" s="221"/>
      <c r="AC286" s="221"/>
      <c r="AD286" s="221"/>
      <c r="AE286" s="221"/>
      <c r="AF286" s="221"/>
      <c r="AG286" s="222"/>
      <c r="AH286" s="220" t="str">
        <f ca="1">'Financial Planning Tool'!M89</f>
        <v/>
      </c>
      <c r="AI286" s="221"/>
      <c r="AJ286" s="221"/>
      <c r="AK286" s="221"/>
      <c r="AL286" s="221"/>
      <c r="AM286" s="221"/>
      <c r="AN286" s="221"/>
      <c r="AO286" s="222"/>
      <c r="AP286" s="220">
        <f ca="1">'Financial Planning Tool'!N89</f>
        <v>-51123.79</v>
      </c>
      <c r="AQ286" s="221"/>
      <c r="AR286" s="221"/>
      <c r="AS286" s="221"/>
      <c r="AT286" s="221"/>
      <c r="AU286" s="221"/>
      <c r="AV286" s="221"/>
      <c r="AW286" s="222"/>
      <c r="AX286" s="220">
        <f ca="1">'Financial Planning Tool'!O89</f>
        <v>-13236.44</v>
      </c>
      <c r="AY286" s="221"/>
      <c r="AZ286" s="221"/>
      <c r="BA286" s="221"/>
      <c r="BB286" s="221"/>
      <c r="BC286" s="221"/>
      <c r="BD286" s="221"/>
      <c r="BE286" s="222"/>
      <c r="BF286" s="220">
        <f ca="1">'Financial Planning Tool'!P89</f>
        <v>264926</v>
      </c>
      <c r="BG286" s="221"/>
      <c r="BH286" s="221"/>
      <c r="BI286" s="221"/>
      <c r="BJ286" s="221"/>
      <c r="BK286" s="221"/>
      <c r="BL286" s="221"/>
      <c r="BM286" s="222"/>
      <c r="BN286" s="220">
        <f ca="1">'Financial Planning Tool'!Q89</f>
        <v>67136.350000000006</v>
      </c>
      <c r="BO286" s="221"/>
      <c r="BP286" s="221"/>
      <c r="BQ286" s="221"/>
      <c r="BR286" s="221"/>
      <c r="BS286" s="221"/>
      <c r="BT286" s="221"/>
      <c r="BU286" s="222"/>
    </row>
    <row r="287" spans="2:73" x14ac:dyDescent="0.25">
      <c r="B287" s="215">
        <f ca="1">'Financial Planning Tool'!H90</f>
        <v>58775</v>
      </c>
      <c r="C287" s="216"/>
      <c r="D287" s="216"/>
      <c r="E287" s="217"/>
      <c r="F287" s="218">
        <f ca="1">'Financial Planning Tool'!I90</f>
        <v>90</v>
      </c>
      <c r="G287" s="186"/>
      <c r="H287" s="186"/>
      <c r="I287" s="219"/>
      <c r="J287" s="220" t="str">
        <f ca="1">'Financial Planning Tool'!J90</f>
        <v/>
      </c>
      <c r="K287" s="221"/>
      <c r="L287" s="221"/>
      <c r="M287" s="221"/>
      <c r="N287" s="221"/>
      <c r="O287" s="221"/>
      <c r="P287" s="221"/>
      <c r="Q287" s="222"/>
      <c r="R287" s="220" t="str">
        <f ca="1">'Financial Planning Tool'!K90</f>
        <v/>
      </c>
      <c r="S287" s="221"/>
      <c r="T287" s="221"/>
      <c r="U287" s="221"/>
      <c r="V287" s="221"/>
      <c r="W287" s="221"/>
      <c r="X287" s="221"/>
      <c r="Y287" s="222"/>
      <c r="Z287" s="220" t="str">
        <f ca="1">'Financial Planning Tool'!L90</f>
        <v/>
      </c>
      <c r="AA287" s="221"/>
      <c r="AB287" s="221"/>
      <c r="AC287" s="221"/>
      <c r="AD287" s="221"/>
      <c r="AE287" s="221"/>
      <c r="AF287" s="221"/>
      <c r="AG287" s="222"/>
      <c r="AH287" s="220" t="str">
        <f ca="1">'Financial Planning Tool'!M90</f>
        <v/>
      </c>
      <c r="AI287" s="221"/>
      <c r="AJ287" s="221"/>
      <c r="AK287" s="221"/>
      <c r="AL287" s="221"/>
      <c r="AM287" s="221"/>
      <c r="AN287" s="221"/>
      <c r="AO287" s="222"/>
      <c r="AP287" s="220">
        <f ca="1">'Financial Planning Tool'!N90</f>
        <v>-46347.86</v>
      </c>
      <c r="AQ287" s="221"/>
      <c r="AR287" s="221"/>
      <c r="AS287" s="221"/>
      <c r="AT287" s="221"/>
      <c r="AU287" s="221"/>
      <c r="AV287" s="221"/>
      <c r="AW287" s="222"/>
      <c r="AX287" s="220">
        <f ca="1">'Financial Planning Tool'!O90</f>
        <v>-11538.37</v>
      </c>
      <c r="AY287" s="221"/>
      <c r="AZ287" s="221"/>
      <c r="BA287" s="221"/>
      <c r="BB287" s="221"/>
      <c r="BC287" s="221"/>
      <c r="BD287" s="221"/>
      <c r="BE287" s="222"/>
      <c r="BF287" s="220">
        <f ca="1">'Financial Planning Tool'!P90</f>
        <v>240176.89</v>
      </c>
      <c r="BG287" s="221"/>
      <c r="BH287" s="221"/>
      <c r="BI287" s="221"/>
      <c r="BJ287" s="221"/>
      <c r="BK287" s="221"/>
      <c r="BL287" s="221"/>
      <c r="BM287" s="222"/>
      <c r="BN287" s="220">
        <f ca="1">'Financial Planning Tool'!Q90</f>
        <v>58523.6</v>
      </c>
      <c r="BO287" s="221"/>
      <c r="BP287" s="221"/>
      <c r="BQ287" s="221"/>
      <c r="BR287" s="221"/>
      <c r="BS287" s="221"/>
      <c r="BT287" s="221"/>
      <c r="BU287" s="222"/>
    </row>
    <row r="288" spans="2:73" x14ac:dyDescent="0.25">
      <c r="B288" s="215">
        <f ca="1">'Financial Planning Tool'!H91</f>
        <v>59140</v>
      </c>
      <c r="C288" s="216"/>
      <c r="D288" s="216"/>
      <c r="E288" s="217"/>
      <c r="F288" s="218">
        <f ca="1">'Financial Planning Tool'!I91</f>
        <v>91</v>
      </c>
      <c r="G288" s="186"/>
      <c r="H288" s="186"/>
      <c r="I288" s="219"/>
      <c r="J288" s="220" t="str">
        <f ca="1">'Financial Planning Tool'!J91</f>
        <v/>
      </c>
      <c r="K288" s="221"/>
      <c r="L288" s="221"/>
      <c r="M288" s="221"/>
      <c r="N288" s="221"/>
      <c r="O288" s="221"/>
      <c r="P288" s="221"/>
      <c r="Q288" s="222"/>
      <c r="R288" s="220" t="str">
        <f ca="1">'Financial Planning Tool'!K91</f>
        <v/>
      </c>
      <c r="S288" s="221"/>
      <c r="T288" s="221"/>
      <c r="U288" s="221"/>
      <c r="V288" s="221"/>
      <c r="W288" s="221"/>
      <c r="X288" s="221"/>
      <c r="Y288" s="222"/>
      <c r="Z288" s="220" t="str">
        <f ca="1">'Financial Planning Tool'!L91</f>
        <v/>
      </c>
      <c r="AA288" s="221"/>
      <c r="AB288" s="221"/>
      <c r="AC288" s="221"/>
      <c r="AD288" s="221"/>
      <c r="AE288" s="221"/>
      <c r="AF288" s="221"/>
      <c r="AG288" s="222"/>
      <c r="AH288" s="220" t="str">
        <f ca="1">'Financial Planning Tool'!M91</f>
        <v/>
      </c>
      <c r="AI288" s="221"/>
      <c r="AJ288" s="221"/>
      <c r="AK288" s="221"/>
      <c r="AL288" s="221"/>
      <c r="AM288" s="221"/>
      <c r="AN288" s="221"/>
      <c r="AO288" s="222"/>
      <c r="AP288" s="220">
        <f ca="1">'Financial Planning Tool'!N91</f>
        <v>-42018.09</v>
      </c>
      <c r="AQ288" s="221"/>
      <c r="AR288" s="221"/>
      <c r="AS288" s="221"/>
      <c r="AT288" s="221"/>
      <c r="AU288" s="221"/>
      <c r="AV288" s="221"/>
      <c r="AW288" s="222"/>
      <c r="AX288" s="220">
        <f ca="1">'Financial Planning Tool'!O91</f>
        <v>-10058.14</v>
      </c>
      <c r="AY288" s="221"/>
      <c r="AZ288" s="221"/>
      <c r="BA288" s="221"/>
      <c r="BB288" s="221"/>
      <c r="BC288" s="221"/>
      <c r="BD288" s="221"/>
      <c r="BE288" s="222"/>
      <c r="BF288" s="220">
        <f ca="1">'Financial Planning Tool'!P91</f>
        <v>217739.82</v>
      </c>
      <c r="BG288" s="221"/>
      <c r="BH288" s="221"/>
      <c r="BI288" s="221"/>
      <c r="BJ288" s="221"/>
      <c r="BK288" s="221"/>
      <c r="BL288" s="221"/>
      <c r="BM288" s="222"/>
      <c r="BN288" s="220">
        <f ca="1">'Financial Planning Tool'!Q91</f>
        <v>51015.75</v>
      </c>
      <c r="BO288" s="221"/>
      <c r="BP288" s="221"/>
      <c r="BQ288" s="221"/>
      <c r="BR288" s="221"/>
      <c r="BS288" s="221"/>
      <c r="BT288" s="221"/>
      <c r="BU288" s="222"/>
    </row>
    <row r="289" spans="2:73" x14ac:dyDescent="0.25">
      <c r="B289" s="215">
        <f ca="1">'Financial Planning Tool'!H92</f>
        <v>59505</v>
      </c>
      <c r="C289" s="216"/>
      <c r="D289" s="216"/>
      <c r="E289" s="217"/>
      <c r="F289" s="218">
        <f ca="1">'Financial Planning Tool'!I92</f>
        <v>92</v>
      </c>
      <c r="G289" s="186"/>
      <c r="H289" s="186"/>
      <c r="I289" s="219"/>
      <c r="J289" s="220" t="str">
        <f ca="1">'Financial Planning Tool'!J92</f>
        <v/>
      </c>
      <c r="K289" s="221"/>
      <c r="L289" s="221"/>
      <c r="M289" s="221"/>
      <c r="N289" s="221"/>
      <c r="O289" s="221"/>
      <c r="P289" s="221"/>
      <c r="Q289" s="222"/>
      <c r="R289" s="220" t="str">
        <f ca="1">'Financial Planning Tool'!K92</f>
        <v/>
      </c>
      <c r="S289" s="221"/>
      <c r="T289" s="221"/>
      <c r="U289" s="221"/>
      <c r="V289" s="221"/>
      <c r="W289" s="221"/>
      <c r="X289" s="221"/>
      <c r="Y289" s="222"/>
      <c r="Z289" s="220" t="str">
        <f ca="1">'Financial Planning Tool'!L92</f>
        <v/>
      </c>
      <c r="AA289" s="221"/>
      <c r="AB289" s="221"/>
      <c r="AC289" s="221"/>
      <c r="AD289" s="221"/>
      <c r="AE289" s="221"/>
      <c r="AF289" s="221"/>
      <c r="AG289" s="222"/>
      <c r="AH289" s="220" t="str">
        <f ca="1">'Financial Planning Tool'!M92</f>
        <v/>
      </c>
      <c r="AI289" s="221"/>
      <c r="AJ289" s="221"/>
      <c r="AK289" s="221"/>
      <c r="AL289" s="221"/>
      <c r="AM289" s="221"/>
      <c r="AN289" s="221"/>
      <c r="AO289" s="222"/>
      <c r="AP289" s="220">
        <f ca="1">'Financial Planning Tool'!N92</f>
        <v>-38092.81</v>
      </c>
      <c r="AQ289" s="221"/>
      <c r="AR289" s="221"/>
      <c r="AS289" s="221"/>
      <c r="AT289" s="221"/>
      <c r="AU289" s="221"/>
      <c r="AV289" s="221"/>
      <c r="AW289" s="222"/>
      <c r="AX289" s="220">
        <f ca="1">'Financial Planning Tool'!O92</f>
        <v>-8767.81</v>
      </c>
      <c r="AY289" s="221"/>
      <c r="AZ289" s="221"/>
      <c r="BA289" s="221"/>
      <c r="BB289" s="221"/>
      <c r="BC289" s="221"/>
      <c r="BD289" s="221"/>
      <c r="BE289" s="222"/>
      <c r="BF289" s="220">
        <f ca="1">'Financial Planning Tool'!P92</f>
        <v>197398.8</v>
      </c>
      <c r="BG289" s="221"/>
      <c r="BH289" s="221"/>
      <c r="BI289" s="221"/>
      <c r="BJ289" s="221"/>
      <c r="BK289" s="221"/>
      <c r="BL289" s="221"/>
      <c r="BM289" s="222"/>
      <c r="BN289" s="220">
        <f ca="1">'Financial Planning Tool'!Q92</f>
        <v>44471.07</v>
      </c>
      <c r="BO289" s="221"/>
      <c r="BP289" s="221"/>
      <c r="BQ289" s="221"/>
      <c r="BR289" s="221"/>
      <c r="BS289" s="221"/>
      <c r="BT289" s="221"/>
      <c r="BU289" s="222"/>
    </row>
    <row r="290" spans="2:73" x14ac:dyDescent="0.25">
      <c r="B290" s="215">
        <f ca="1">'Financial Planning Tool'!H93</f>
        <v>59870</v>
      </c>
      <c r="C290" s="216"/>
      <c r="D290" s="216"/>
      <c r="E290" s="217"/>
      <c r="F290" s="218">
        <f ca="1">'Financial Planning Tool'!I93</f>
        <v>93</v>
      </c>
      <c r="G290" s="186"/>
      <c r="H290" s="186"/>
      <c r="I290" s="219"/>
      <c r="J290" s="220" t="str">
        <f ca="1">'Financial Planning Tool'!J93</f>
        <v/>
      </c>
      <c r="K290" s="221"/>
      <c r="L290" s="221"/>
      <c r="M290" s="221"/>
      <c r="N290" s="221"/>
      <c r="O290" s="221"/>
      <c r="P290" s="221"/>
      <c r="Q290" s="222"/>
      <c r="R290" s="220" t="str">
        <f ca="1">'Financial Planning Tool'!K93</f>
        <v/>
      </c>
      <c r="S290" s="221"/>
      <c r="T290" s="221"/>
      <c r="U290" s="221"/>
      <c r="V290" s="221"/>
      <c r="W290" s="221"/>
      <c r="X290" s="221"/>
      <c r="Y290" s="222"/>
      <c r="Z290" s="220" t="str">
        <f ca="1">'Financial Planning Tool'!L93</f>
        <v/>
      </c>
      <c r="AA290" s="221"/>
      <c r="AB290" s="221"/>
      <c r="AC290" s="221"/>
      <c r="AD290" s="221"/>
      <c r="AE290" s="221"/>
      <c r="AF290" s="221"/>
      <c r="AG290" s="222"/>
      <c r="AH290" s="220" t="str">
        <f ca="1">'Financial Planning Tool'!M93</f>
        <v/>
      </c>
      <c r="AI290" s="221"/>
      <c r="AJ290" s="221"/>
      <c r="AK290" s="221"/>
      <c r="AL290" s="221"/>
      <c r="AM290" s="221"/>
      <c r="AN290" s="221"/>
      <c r="AO290" s="222"/>
      <c r="AP290" s="220">
        <f ca="1">'Financial Planning Tool'!N93</f>
        <v>-34534.22</v>
      </c>
      <c r="AQ290" s="221"/>
      <c r="AR290" s="221"/>
      <c r="AS290" s="221"/>
      <c r="AT290" s="221"/>
      <c r="AU290" s="221"/>
      <c r="AV290" s="221"/>
      <c r="AW290" s="222"/>
      <c r="AX290" s="220">
        <f ca="1">'Financial Planning Tool'!O93</f>
        <v>-7643.01</v>
      </c>
      <c r="AY290" s="221"/>
      <c r="AZ290" s="221"/>
      <c r="BA290" s="221"/>
      <c r="BB290" s="221"/>
      <c r="BC290" s="221"/>
      <c r="BD290" s="221"/>
      <c r="BE290" s="222"/>
      <c r="BF290" s="220">
        <f ca="1">'Financial Planning Tool'!P93</f>
        <v>178958.01</v>
      </c>
      <c r="BG290" s="221"/>
      <c r="BH290" s="221"/>
      <c r="BI290" s="221"/>
      <c r="BJ290" s="221"/>
      <c r="BK290" s="221"/>
      <c r="BL290" s="221"/>
      <c r="BM290" s="222"/>
      <c r="BN290" s="220">
        <f ca="1">'Financial Planning Tool'!Q93</f>
        <v>38765.99</v>
      </c>
      <c r="BO290" s="221"/>
      <c r="BP290" s="221"/>
      <c r="BQ290" s="221"/>
      <c r="BR290" s="221"/>
      <c r="BS290" s="221"/>
      <c r="BT290" s="221"/>
      <c r="BU290" s="222"/>
    </row>
    <row r="291" spans="2:73" x14ac:dyDescent="0.25">
      <c r="B291" s="215">
        <f ca="1">'Financial Planning Tool'!H94</f>
        <v>60236</v>
      </c>
      <c r="C291" s="216"/>
      <c r="D291" s="216"/>
      <c r="E291" s="217"/>
      <c r="F291" s="218">
        <f ca="1">'Financial Planning Tool'!I94</f>
        <v>94</v>
      </c>
      <c r="G291" s="186"/>
      <c r="H291" s="186"/>
      <c r="I291" s="219"/>
      <c r="J291" s="220" t="str">
        <f ca="1">'Financial Planning Tool'!J94</f>
        <v/>
      </c>
      <c r="K291" s="221"/>
      <c r="L291" s="221"/>
      <c r="M291" s="221"/>
      <c r="N291" s="221"/>
      <c r="O291" s="221"/>
      <c r="P291" s="221"/>
      <c r="Q291" s="222"/>
      <c r="R291" s="220" t="str">
        <f ca="1">'Financial Planning Tool'!K94</f>
        <v/>
      </c>
      <c r="S291" s="221"/>
      <c r="T291" s="221"/>
      <c r="U291" s="221"/>
      <c r="V291" s="221"/>
      <c r="W291" s="221"/>
      <c r="X291" s="221"/>
      <c r="Y291" s="222"/>
      <c r="Z291" s="220" t="str">
        <f ca="1">'Financial Planning Tool'!L94</f>
        <v/>
      </c>
      <c r="AA291" s="221"/>
      <c r="AB291" s="221"/>
      <c r="AC291" s="221"/>
      <c r="AD291" s="221"/>
      <c r="AE291" s="221"/>
      <c r="AF291" s="221"/>
      <c r="AG291" s="222"/>
      <c r="AH291" s="220" t="str">
        <f ca="1">'Financial Planning Tool'!M94</f>
        <v/>
      </c>
      <c r="AI291" s="221"/>
      <c r="AJ291" s="221"/>
      <c r="AK291" s="221"/>
      <c r="AL291" s="221"/>
      <c r="AM291" s="221"/>
      <c r="AN291" s="221"/>
      <c r="AO291" s="222"/>
      <c r="AP291" s="220">
        <f ca="1">'Financial Planning Tool'!N94</f>
        <v>-31308.07</v>
      </c>
      <c r="AQ291" s="221"/>
      <c r="AR291" s="221"/>
      <c r="AS291" s="221"/>
      <c r="AT291" s="221"/>
      <c r="AU291" s="221"/>
      <c r="AV291" s="221"/>
      <c r="AW291" s="222"/>
      <c r="AX291" s="220">
        <f ca="1">'Financial Planning Tool'!O94</f>
        <v>-6662.51</v>
      </c>
      <c r="AY291" s="221"/>
      <c r="AZ291" s="221"/>
      <c r="BA291" s="221"/>
      <c r="BB291" s="221"/>
      <c r="BC291" s="221"/>
      <c r="BD291" s="221"/>
      <c r="BE291" s="222"/>
      <c r="BF291" s="220">
        <f ca="1">'Financial Planning Tool'!P94</f>
        <v>162239.94</v>
      </c>
      <c r="BG291" s="221"/>
      <c r="BH291" s="221"/>
      <c r="BI291" s="221"/>
      <c r="BJ291" s="221"/>
      <c r="BK291" s="221"/>
      <c r="BL291" s="221"/>
      <c r="BM291" s="222"/>
      <c r="BN291" s="220">
        <f ca="1">'Financial Planning Tool'!Q94</f>
        <v>33792.800000000003</v>
      </c>
      <c r="BO291" s="221"/>
      <c r="BP291" s="221"/>
      <c r="BQ291" s="221"/>
      <c r="BR291" s="221"/>
      <c r="BS291" s="221"/>
      <c r="BT291" s="221"/>
      <c r="BU291" s="222"/>
    </row>
    <row r="292" spans="2:73" x14ac:dyDescent="0.25">
      <c r="B292" s="215">
        <f ca="1">'Financial Planning Tool'!H95</f>
        <v>60601</v>
      </c>
      <c r="C292" s="216"/>
      <c r="D292" s="216"/>
      <c r="E292" s="217"/>
      <c r="F292" s="218">
        <f ca="1">'Financial Planning Tool'!I95</f>
        <v>95</v>
      </c>
      <c r="G292" s="186"/>
      <c r="H292" s="186"/>
      <c r="I292" s="219"/>
      <c r="J292" s="220" t="str">
        <f ca="1">'Financial Planning Tool'!J95</f>
        <v/>
      </c>
      <c r="K292" s="221"/>
      <c r="L292" s="221"/>
      <c r="M292" s="221"/>
      <c r="N292" s="221"/>
      <c r="O292" s="221"/>
      <c r="P292" s="221"/>
      <c r="Q292" s="222"/>
      <c r="R292" s="220" t="str">
        <f ca="1">'Financial Planning Tool'!K95</f>
        <v/>
      </c>
      <c r="S292" s="221"/>
      <c r="T292" s="221"/>
      <c r="U292" s="221"/>
      <c r="V292" s="221"/>
      <c r="W292" s="221"/>
      <c r="X292" s="221"/>
      <c r="Y292" s="222"/>
      <c r="Z292" s="220" t="str">
        <f ca="1">'Financial Planning Tool'!L95</f>
        <v/>
      </c>
      <c r="AA292" s="221"/>
      <c r="AB292" s="221"/>
      <c r="AC292" s="221"/>
      <c r="AD292" s="221"/>
      <c r="AE292" s="221"/>
      <c r="AF292" s="221"/>
      <c r="AG292" s="222"/>
      <c r="AH292" s="220" t="str">
        <f ca="1">'Financial Planning Tool'!M95</f>
        <v/>
      </c>
      <c r="AI292" s="221"/>
      <c r="AJ292" s="221"/>
      <c r="AK292" s="221"/>
      <c r="AL292" s="221"/>
      <c r="AM292" s="221"/>
      <c r="AN292" s="221"/>
      <c r="AO292" s="222"/>
      <c r="AP292" s="220">
        <f ca="1">'Financial Planning Tool'!N95</f>
        <v>-28383.3</v>
      </c>
      <c r="AQ292" s="221"/>
      <c r="AR292" s="221"/>
      <c r="AS292" s="221"/>
      <c r="AT292" s="221"/>
      <c r="AU292" s="221"/>
      <c r="AV292" s="221"/>
      <c r="AW292" s="222"/>
      <c r="AX292" s="220">
        <f ca="1">'Financial Planning Tool'!O95</f>
        <v>-5807.79</v>
      </c>
      <c r="AY292" s="221"/>
      <c r="AZ292" s="221"/>
      <c r="BA292" s="221"/>
      <c r="BB292" s="221"/>
      <c r="BC292" s="221"/>
      <c r="BD292" s="221"/>
      <c r="BE292" s="222"/>
      <c r="BF292" s="220">
        <f ca="1">'Financial Planning Tool'!P95</f>
        <v>147083.66</v>
      </c>
      <c r="BG292" s="221"/>
      <c r="BH292" s="221"/>
      <c r="BI292" s="221"/>
      <c r="BJ292" s="221"/>
      <c r="BK292" s="221"/>
      <c r="BL292" s="221"/>
      <c r="BM292" s="222"/>
      <c r="BN292" s="220">
        <f ca="1">'Financial Planning Tool'!Q95</f>
        <v>29457.61</v>
      </c>
      <c r="BO292" s="221"/>
      <c r="BP292" s="221"/>
      <c r="BQ292" s="221"/>
      <c r="BR292" s="221"/>
      <c r="BS292" s="221"/>
      <c r="BT292" s="221"/>
      <c r="BU292" s="222"/>
    </row>
    <row r="293" spans="2:73" x14ac:dyDescent="0.25">
      <c r="B293" s="215">
        <f ca="1">'Financial Planning Tool'!H96</f>
        <v>60966</v>
      </c>
      <c r="C293" s="216"/>
      <c r="D293" s="216"/>
      <c r="E293" s="217"/>
      <c r="F293" s="218">
        <f ca="1">'Financial Planning Tool'!I96</f>
        <v>96</v>
      </c>
      <c r="G293" s="186"/>
      <c r="H293" s="186"/>
      <c r="I293" s="219"/>
      <c r="J293" s="220" t="str">
        <f ca="1">'Financial Planning Tool'!J96</f>
        <v/>
      </c>
      <c r="K293" s="221"/>
      <c r="L293" s="221"/>
      <c r="M293" s="221"/>
      <c r="N293" s="221"/>
      <c r="O293" s="221"/>
      <c r="P293" s="221"/>
      <c r="Q293" s="222"/>
      <c r="R293" s="220" t="str">
        <f ca="1">'Financial Planning Tool'!K96</f>
        <v/>
      </c>
      <c r="S293" s="221"/>
      <c r="T293" s="221"/>
      <c r="U293" s="221"/>
      <c r="V293" s="221"/>
      <c r="W293" s="221"/>
      <c r="X293" s="221"/>
      <c r="Y293" s="222"/>
      <c r="Z293" s="220" t="str">
        <f ca="1">'Financial Planning Tool'!L96</f>
        <v/>
      </c>
      <c r="AA293" s="221"/>
      <c r="AB293" s="221"/>
      <c r="AC293" s="221"/>
      <c r="AD293" s="221"/>
      <c r="AE293" s="221"/>
      <c r="AF293" s="221"/>
      <c r="AG293" s="222"/>
      <c r="AH293" s="220" t="str">
        <f ca="1">'Financial Planning Tool'!M96</f>
        <v/>
      </c>
      <c r="AI293" s="221"/>
      <c r="AJ293" s="221"/>
      <c r="AK293" s="221"/>
      <c r="AL293" s="221"/>
      <c r="AM293" s="221"/>
      <c r="AN293" s="221"/>
      <c r="AO293" s="222"/>
      <c r="AP293" s="220">
        <f ca="1">'Financial Planning Tool'!N96</f>
        <v>-25731.759999999998</v>
      </c>
      <c r="AQ293" s="221"/>
      <c r="AR293" s="221"/>
      <c r="AS293" s="221"/>
      <c r="AT293" s="221"/>
      <c r="AU293" s="221"/>
      <c r="AV293" s="221"/>
      <c r="AW293" s="222"/>
      <c r="AX293" s="220">
        <f ca="1">'Financial Planning Tool'!O96</f>
        <v>-5062.72</v>
      </c>
      <c r="AY293" s="221"/>
      <c r="AZ293" s="221"/>
      <c r="BA293" s="221"/>
      <c r="BB293" s="221"/>
      <c r="BC293" s="221"/>
      <c r="BD293" s="221"/>
      <c r="BE293" s="222"/>
      <c r="BF293" s="220">
        <f ca="1">'Financial Planning Tool'!P96</f>
        <v>133343.26</v>
      </c>
      <c r="BG293" s="221"/>
      <c r="BH293" s="221"/>
      <c r="BI293" s="221"/>
      <c r="BJ293" s="221"/>
      <c r="BK293" s="221"/>
      <c r="BL293" s="221"/>
      <c r="BM293" s="222"/>
      <c r="BN293" s="220">
        <f ca="1">'Financial Planning Tool'!Q96</f>
        <v>25678.57</v>
      </c>
      <c r="BO293" s="221"/>
      <c r="BP293" s="221"/>
      <c r="BQ293" s="221"/>
      <c r="BR293" s="221"/>
      <c r="BS293" s="221"/>
      <c r="BT293" s="221"/>
      <c r="BU293" s="222"/>
    </row>
    <row r="294" spans="2:73" x14ac:dyDescent="0.25">
      <c r="B294" s="215">
        <f ca="1">'Financial Planning Tool'!H97</f>
        <v>61331</v>
      </c>
      <c r="C294" s="216"/>
      <c r="D294" s="216"/>
      <c r="E294" s="217"/>
      <c r="F294" s="218">
        <f ca="1">'Financial Planning Tool'!I97</f>
        <v>97</v>
      </c>
      <c r="G294" s="186"/>
      <c r="H294" s="186"/>
      <c r="I294" s="219"/>
      <c r="J294" s="220" t="str">
        <f ca="1">'Financial Planning Tool'!J97</f>
        <v/>
      </c>
      <c r="K294" s="221"/>
      <c r="L294" s="221"/>
      <c r="M294" s="221"/>
      <c r="N294" s="221"/>
      <c r="O294" s="221"/>
      <c r="P294" s="221"/>
      <c r="Q294" s="222"/>
      <c r="R294" s="220" t="str">
        <f ca="1">'Financial Planning Tool'!K97</f>
        <v/>
      </c>
      <c r="S294" s="221"/>
      <c r="T294" s="221"/>
      <c r="U294" s="221"/>
      <c r="V294" s="221"/>
      <c r="W294" s="221"/>
      <c r="X294" s="221"/>
      <c r="Y294" s="222"/>
      <c r="Z294" s="220" t="str">
        <f ca="1">'Financial Planning Tool'!L97</f>
        <v/>
      </c>
      <c r="AA294" s="221"/>
      <c r="AB294" s="221"/>
      <c r="AC294" s="221"/>
      <c r="AD294" s="221"/>
      <c r="AE294" s="221"/>
      <c r="AF294" s="221"/>
      <c r="AG294" s="222"/>
      <c r="AH294" s="220" t="str">
        <f ca="1">'Financial Planning Tool'!M97</f>
        <v/>
      </c>
      <c r="AI294" s="221"/>
      <c r="AJ294" s="221"/>
      <c r="AK294" s="221"/>
      <c r="AL294" s="221"/>
      <c r="AM294" s="221"/>
      <c r="AN294" s="221"/>
      <c r="AO294" s="222"/>
      <c r="AP294" s="220">
        <f ca="1">'Financial Planning Tool'!N97</f>
        <v>-23327.93</v>
      </c>
      <c r="AQ294" s="221"/>
      <c r="AR294" s="221"/>
      <c r="AS294" s="221"/>
      <c r="AT294" s="221"/>
      <c r="AU294" s="221"/>
      <c r="AV294" s="221"/>
      <c r="AW294" s="222"/>
      <c r="AX294" s="220">
        <f ca="1">'Financial Planning Tool'!O97</f>
        <v>-4413.24</v>
      </c>
      <c r="AY294" s="221"/>
      <c r="AZ294" s="221"/>
      <c r="BA294" s="221"/>
      <c r="BB294" s="221"/>
      <c r="BC294" s="221"/>
      <c r="BD294" s="221"/>
      <c r="BE294" s="222"/>
      <c r="BF294" s="220">
        <f ca="1">'Financial Planning Tool'!P97</f>
        <v>120886.47</v>
      </c>
      <c r="BG294" s="221"/>
      <c r="BH294" s="221"/>
      <c r="BI294" s="221"/>
      <c r="BJ294" s="221"/>
      <c r="BK294" s="221"/>
      <c r="BL294" s="221"/>
      <c r="BM294" s="222"/>
      <c r="BN294" s="220">
        <f ca="1">'Financial Planning Tool'!Q97</f>
        <v>22384.33</v>
      </c>
      <c r="BO294" s="221"/>
      <c r="BP294" s="221"/>
      <c r="BQ294" s="221"/>
      <c r="BR294" s="221"/>
      <c r="BS294" s="221"/>
      <c r="BT294" s="221"/>
      <c r="BU294" s="222"/>
    </row>
    <row r="295" spans="2:73" x14ac:dyDescent="0.25">
      <c r="B295" s="215">
        <f ca="1">'Financial Planning Tool'!H98</f>
        <v>61697</v>
      </c>
      <c r="C295" s="216"/>
      <c r="D295" s="216"/>
      <c r="E295" s="217"/>
      <c r="F295" s="218">
        <f ca="1">'Financial Planning Tool'!I98</f>
        <v>98</v>
      </c>
      <c r="G295" s="186"/>
      <c r="H295" s="186"/>
      <c r="I295" s="219"/>
      <c r="J295" s="220" t="str">
        <f ca="1">'Financial Planning Tool'!J98</f>
        <v/>
      </c>
      <c r="K295" s="221"/>
      <c r="L295" s="221"/>
      <c r="M295" s="221"/>
      <c r="N295" s="221"/>
      <c r="O295" s="221"/>
      <c r="P295" s="221"/>
      <c r="Q295" s="222"/>
      <c r="R295" s="220" t="str">
        <f ca="1">'Financial Planning Tool'!K98</f>
        <v/>
      </c>
      <c r="S295" s="221"/>
      <c r="T295" s="221"/>
      <c r="U295" s="221"/>
      <c r="V295" s="221"/>
      <c r="W295" s="221"/>
      <c r="X295" s="221"/>
      <c r="Y295" s="222"/>
      <c r="Z295" s="220" t="str">
        <f ca="1">'Financial Planning Tool'!L98</f>
        <v/>
      </c>
      <c r="AA295" s="221"/>
      <c r="AB295" s="221"/>
      <c r="AC295" s="221"/>
      <c r="AD295" s="221"/>
      <c r="AE295" s="221"/>
      <c r="AF295" s="221"/>
      <c r="AG295" s="222"/>
      <c r="AH295" s="220" t="str">
        <f ca="1">'Financial Planning Tool'!M98</f>
        <v/>
      </c>
      <c r="AI295" s="221"/>
      <c r="AJ295" s="221"/>
      <c r="AK295" s="221"/>
      <c r="AL295" s="221"/>
      <c r="AM295" s="221"/>
      <c r="AN295" s="221"/>
      <c r="AO295" s="222"/>
      <c r="AP295" s="220">
        <f ca="1">'Financial Planning Tool'!N98</f>
        <v>-21148.66</v>
      </c>
      <c r="AQ295" s="221"/>
      <c r="AR295" s="221"/>
      <c r="AS295" s="221"/>
      <c r="AT295" s="221"/>
      <c r="AU295" s="221"/>
      <c r="AV295" s="221"/>
      <c r="AW295" s="222"/>
      <c r="AX295" s="220">
        <f ca="1">'Financial Planning Tool'!O98</f>
        <v>-3847.08</v>
      </c>
      <c r="AY295" s="221"/>
      <c r="AZ295" s="221"/>
      <c r="BA295" s="221"/>
      <c r="BB295" s="221"/>
      <c r="BC295" s="221"/>
      <c r="BD295" s="221"/>
      <c r="BE295" s="222"/>
      <c r="BF295" s="220">
        <f ca="1">'Financial Planning Tool'!P98</f>
        <v>109593.39</v>
      </c>
      <c r="BG295" s="221"/>
      <c r="BH295" s="221"/>
      <c r="BI295" s="221"/>
      <c r="BJ295" s="221"/>
      <c r="BK295" s="221"/>
      <c r="BL295" s="221"/>
      <c r="BM295" s="222"/>
      <c r="BN295" s="220">
        <f ca="1">'Financial Planning Tool'!Q98</f>
        <v>19512.7</v>
      </c>
      <c r="BO295" s="221"/>
      <c r="BP295" s="221"/>
      <c r="BQ295" s="221"/>
      <c r="BR295" s="221"/>
      <c r="BS295" s="221"/>
      <c r="BT295" s="221"/>
      <c r="BU295" s="222"/>
    </row>
    <row r="296" spans="2:73" x14ac:dyDescent="0.25">
      <c r="B296" s="215">
        <f ca="1">'Financial Planning Tool'!H99</f>
        <v>62062</v>
      </c>
      <c r="C296" s="216"/>
      <c r="D296" s="216"/>
      <c r="E296" s="217"/>
      <c r="F296" s="218">
        <f ca="1">'Financial Planning Tool'!I99</f>
        <v>99</v>
      </c>
      <c r="G296" s="186"/>
      <c r="H296" s="186"/>
      <c r="I296" s="219"/>
      <c r="J296" s="220" t="str">
        <f ca="1">'Financial Planning Tool'!J99</f>
        <v/>
      </c>
      <c r="K296" s="221"/>
      <c r="L296" s="221"/>
      <c r="M296" s="221"/>
      <c r="N296" s="221"/>
      <c r="O296" s="221"/>
      <c r="P296" s="221"/>
      <c r="Q296" s="222"/>
      <c r="R296" s="220" t="str">
        <f ca="1">'Financial Planning Tool'!K99</f>
        <v/>
      </c>
      <c r="S296" s="221"/>
      <c r="T296" s="221"/>
      <c r="U296" s="221"/>
      <c r="V296" s="221"/>
      <c r="W296" s="221"/>
      <c r="X296" s="221"/>
      <c r="Y296" s="222"/>
      <c r="Z296" s="220" t="str">
        <f ca="1">'Financial Planning Tool'!L99</f>
        <v/>
      </c>
      <c r="AA296" s="221"/>
      <c r="AB296" s="221"/>
      <c r="AC296" s="221"/>
      <c r="AD296" s="221"/>
      <c r="AE296" s="221"/>
      <c r="AF296" s="221"/>
      <c r="AG296" s="222"/>
      <c r="AH296" s="220" t="str">
        <f ca="1">'Financial Planning Tool'!M99</f>
        <v/>
      </c>
      <c r="AI296" s="221"/>
      <c r="AJ296" s="221"/>
      <c r="AK296" s="221"/>
      <c r="AL296" s="221"/>
      <c r="AM296" s="221"/>
      <c r="AN296" s="221"/>
      <c r="AO296" s="222"/>
      <c r="AP296" s="220">
        <f ca="1">'Financial Planning Tool'!N99</f>
        <v>-19172.97</v>
      </c>
      <c r="AQ296" s="221"/>
      <c r="AR296" s="221"/>
      <c r="AS296" s="221"/>
      <c r="AT296" s="221"/>
      <c r="AU296" s="221"/>
      <c r="AV296" s="221"/>
      <c r="AW296" s="222"/>
      <c r="AX296" s="220">
        <f ca="1">'Financial Planning Tool'!O99</f>
        <v>-3353.54</v>
      </c>
      <c r="AY296" s="221"/>
      <c r="AZ296" s="221"/>
      <c r="BA296" s="221"/>
      <c r="BB296" s="221"/>
      <c r="BC296" s="221"/>
      <c r="BD296" s="221"/>
      <c r="BE296" s="222"/>
      <c r="BF296" s="220">
        <f ca="1">'Financial Planning Tool'!P99</f>
        <v>99355.29</v>
      </c>
      <c r="BG296" s="221"/>
      <c r="BH296" s="221"/>
      <c r="BI296" s="221"/>
      <c r="BJ296" s="221"/>
      <c r="BK296" s="221"/>
      <c r="BL296" s="221"/>
      <c r="BM296" s="222"/>
      <c r="BN296" s="220">
        <f ca="1">'Financial Planning Tool'!Q99</f>
        <v>17009.47</v>
      </c>
      <c r="BO296" s="221"/>
      <c r="BP296" s="221"/>
      <c r="BQ296" s="221"/>
      <c r="BR296" s="221"/>
      <c r="BS296" s="221"/>
      <c r="BT296" s="221"/>
      <c r="BU296" s="222"/>
    </row>
    <row r="297" spans="2:73" x14ac:dyDescent="0.25">
      <c r="B297" s="215">
        <f ca="1">'Financial Planning Tool'!H100</f>
        <v>62427</v>
      </c>
      <c r="C297" s="216"/>
      <c r="D297" s="216"/>
      <c r="E297" s="217"/>
      <c r="F297" s="218">
        <f ca="1">'Financial Planning Tool'!I100</f>
        <v>100</v>
      </c>
      <c r="G297" s="186"/>
      <c r="H297" s="186"/>
      <c r="I297" s="219"/>
      <c r="J297" s="220" t="str">
        <f ca="1">'Financial Planning Tool'!J100</f>
        <v/>
      </c>
      <c r="K297" s="221"/>
      <c r="L297" s="221"/>
      <c r="M297" s="221"/>
      <c r="N297" s="221"/>
      <c r="O297" s="221"/>
      <c r="P297" s="221"/>
      <c r="Q297" s="222"/>
      <c r="R297" s="220" t="str">
        <f ca="1">'Financial Planning Tool'!K100</f>
        <v/>
      </c>
      <c r="S297" s="221"/>
      <c r="T297" s="221"/>
      <c r="U297" s="221"/>
      <c r="V297" s="221"/>
      <c r="W297" s="221"/>
      <c r="X297" s="221"/>
      <c r="Y297" s="222"/>
      <c r="Z297" s="220" t="str">
        <f ca="1">'Financial Planning Tool'!L100</f>
        <v/>
      </c>
      <c r="AA297" s="221"/>
      <c r="AB297" s="221"/>
      <c r="AC297" s="221"/>
      <c r="AD297" s="221"/>
      <c r="AE297" s="221"/>
      <c r="AF297" s="221"/>
      <c r="AG297" s="222"/>
      <c r="AH297" s="220" t="str">
        <f ca="1">'Financial Planning Tool'!M100</f>
        <v/>
      </c>
      <c r="AI297" s="221"/>
      <c r="AJ297" s="221"/>
      <c r="AK297" s="221"/>
      <c r="AL297" s="221"/>
      <c r="AM297" s="221"/>
      <c r="AN297" s="221"/>
      <c r="AO297" s="222"/>
      <c r="AP297" s="220">
        <f ca="1">'Financial Planning Tool'!N100</f>
        <v>-17381.849999999999</v>
      </c>
      <c r="AQ297" s="221"/>
      <c r="AR297" s="221"/>
      <c r="AS297" s="221"/>
      <c r="AT297" s="221"/>
      <c r="AU297" s="221"/>
      <c r="AV297" s="221"/>
      <c r="AW297" s="222"/>
      <c r="AX297" s="220">
        <f ca="1">'Financial Planning Tool'!O100</f>
        <v>-2923.33</v>
      </c>
      <c r="AY297" s="221"/>
      <c r="AZ297" s="221"/>
      <c r="BA297" s="221"/>
      <c r="BB297" s="221"/>
      <c r="BC297" s="221"/>
      <c r="BD297" s="221"/>
      <c r="BE297" s="222"/>
      <c r="BF297" s="220">
        <f ca="1">'Financial Planning Tool'!P100</f>
        <v>90073.62</v>
      </c>
      <c r="BG297" s="221"/>
      <c r="BH297" s="221"/>
      <c r="BI297" s="221"/>
      <c r="BJ297" s="221"/>
      <c r="BK297" s="221"/>
      <c r="BL297" s="221"/>
      <c r="BM297" s="222"/>
      <c r="BN297" s="220">
        <f ca="1">'Financial Planning Tool'!Q100</f>
        <v>14827.37</v>
      </c>
      <c r="BO297" s="221"/>
      <c r="BP297" s="221"/>
      <c r="BQ297" s="221"/>
      <c r="BR297" s="221"/>
      <c r="BS297" s="221"/>
      <c r="BT297" s="221"/>
      <c r="BU297" s="222"/>
    </row>
    <row r="298" spans="2:73" x14ac:dyDescent="0.25">
      <c r="B298" s="215">
        <f ca="1">'Financial Planning Tool'!H101</f>
        <v>62792</v>
      </c>
      <c r="C298" s="216"/>
      <c r="D298" s="216"/>
      <c r="E298" s="217"/>
      <c r="F298" s="218">
        <f ca="1">'Financial Planning Tool'!I101</f>
        <v>101</v>
      </c>
      <c r="G298" s="186"/>
      <c r="H298" s="186"/>
      <c r="I298" s="219"/>
      <c r="J298" s="220" t="str">
        <f ca="1">'Financial Planning Tool'!J101</f>
        <v/>
      </c>
      <c r="K298" s="221"/>
      <c r="L298" s="221"/>
      <c r="M298" s="221"/>
      <c r="N298" s="221"/>
      <c r="O298" s="221"/>
      <c r="P298" s="221"/>
      <c r="Q298" s="222"/>
      <c r="R298" s="220" t="str">
        <f ca="1">'Financial Planning Tool'!K101</f>
        <v/>
      </c>
      <c r="S298" s="221"/>
      <c r="T298" s="221"/>
      <c r="U298" s="221"/>
      <c r="V298" s="221"/>
      <c r="W298" s="221"/>
      <c r="X298" s="221"/>
      <c r="Y298" s="222"/>
      <c r="Z298" s="220" t="str">
        <f ca="1">'Financial Planning Tool'!L101</f>
        <v/>
      </c>
      <c r="AA298" s="221"/>
      <c r="AB298" s="221"/>
      <c r="AC298" s="221"/>
      <c r="AD298" s="221"/>
      <c r="AE298" s="221"/>
      <c r="AF298" s="221"/>
      <c r="AG298" s="222"/>
      <c r="AH298" s="220" t="str">
        <f ca="1">'Financial Planning Tool'!M101</f>
        <v/>
      </c>
      <c r="AI298" s="221"/>
      <c r="AJ298" s="221"/>
      <c r="AK298" s="221"/>
      <c r="AL298" s="221"/>
      <c r="AM298" s="221"/>
      <c r="AN298" s="221"/>
      <c r="AO298" s="222"/>
      <c r="AP298" s="220">
        <f ca="1">'Financial Planning Tool'!N101</f>
        <v>-15758.06</v>
      </c>
      <c r="AQ298" s="221"/>
      <c r="AR298" s="221"/>
      <c r="AS298" s="221"/>
      <c r="AT298" s="221"/>
      <c r="AU298" s="221"/>
      <c r="AV298" s="221"/>
      <c r="AW298" s="222"/>
      <c r="AX298" s="220">
        <f ca="1">'Financial Planning Tool'!O101</f>
        <v>-2548.3000000000002</v>
      </c>
      <c r="AY298" s="221"/>
      <c r="AZ298" s="221"/>
      <c r="BA298" s="221"/>
      <c r="BB298" s="221"/>
      <c r="BC298" s="221"/>
      <c r="BD298" s="221"/>
      <c r="BE298" s="222"/>
      <c r="BF298" s="220">
        <f ca="1">'Financial Planning Tool'!P101</f>
        <v>81659.039999999994</v>
      </c>
      <c r="BG298" s="221"/>
      <c r="BH298" s="221"/>
      <c r="BI298" s="221"/>
      <c r="BJ298" s="221"/>
      <c r="BK298" s="221"/>
      <c r="BL298" s="221"/>
      <c r="BM298" s="222"/>
      <c r="BN298" s="220">
        <f ca="1">'Financial Planning Tool'!Q101</f>
        <v>12925.2</v>
      </c>
      <c r="BO298" s="221"/>
      <c r="BP298" s="221"/>
      <c r="BQ298" s="221"/>
      <c r="BR298" s="221"/>
      <c r="BS298" s="221"/>
      <c r="BT298" s="221"/>
      <c r="BU298" s="222"/>
    </row>
    <row r="299" spans="2:73" x14ac:dyDescent="0.25">
      <c r="B299" s="215">
        <f ca="1">'Financial Planning Tool'!H102</f>
        <v>63158</v>
      </c>
      <c r="C299" s="216"/>
      <c r="D299" s="216"/>
      <c r="E299" s="217"/>
      <c r="F299" s="218">
        <f ca="1">'Financial Planning Tool'!I102</f>
        <v>102</v>
      </c>
      <c r="G299" s="186"/>
      <c r="H299" s="186"/>
      <c r="I299" s="219"/>
      <c r="J299" s="220" t="str">
        <f ca="1">'Financial Planning Tool'!J102</f>
        <v/>
      </c>
      <c r="K299" s="221"/>
      <c r="L299" s="221"/>
      <c r="M299" s="221"/>
      <c r="N299" s="221"/>
      <c r="O299" s="221"/>
      <c r="P299" s="221"/>
      <c r="Q299" s="222"/>
      <c r="R299" s="220" t="str">
        <f ca="1">'Financial Planning Tool'!K102</f>
        <v/>
      </c>
      <c r="S299" s="221"/>
      <c r="T299" s="221"/>
      <c r="U299" s="221"/>
      <c r="V299" s="221"/>
      <c r="W299" s="221"/>
      <c r="X299" s="221"/>
      <c r="Y299" s="222"/>
      <c r="Z299" s="220" t="str">
        <f ca="1">'Financial Planning Tool'!L102</f>
        <v/>
      </c>
      <c r="AA299" s="221"/>
      <c r="AB299" s="221"/>
      <c r="AC299" s="221"/>
      <c r="AD299" s="221"/>
      <c r="AE299" s="221"/>
      <c r="AF299" s="221"/>
      <c r="AG299" s="222"/>
      <c r="AH299" s="220" t="str">
        <f ca="1">'Financial Planning Tool'!M102</f>
        <v/>
      </c>
      <c r="AI299" s="221"/>
      <c r="AJ299" s="221"/>
      <c r="AK299" s="221"/>
      <c r="AL299" s="221"/>
      <c r="AM299" s="221"/>
      <c r="AN299" s="221"/>
      <c r="AO299" s="222"/>
      <c r="AP299" s="220">
        <f ca="1">'Financial Planning Tool'!N102</f>
        <v>-14285.96</v>
      </c>
      <c r="AQ299" s="221"/>
      <c r="AR299" s="221"/>
      <c r="AS299" s="221"/>
      <c r="AT299" s="221"/>
      <c r="AU299" s="221"/>
      <c r="AV299" s="221"/>
      <c r="AW299" s="222"/>
      <c r="AX299" s="220">
        <f ca="1">'Financial Planning Tool'!O102</f>
        <v>-2221.39</v>
      </c>
      <c r="AY299" s="221"/>
      <c r="AZ299" s="221"/>
      <c r="BA299" s="221"/>
      <c r="BB299" s="221"/>
      <c r="BC299" s="221"/>
      <c r="BD299" s="221"/>
      <c r="BE299" s="222"/>
      <c r="BF299" s="220">
        <f ca="1">'Financial Planning Tool'!P102</f>
        <v>74030.539999999994</v>
      </c>
      <c r="BG299" s="221"/>
      <c r="BH299" s="221"/>
      <c r="BI299" s="221"/>
      <c r="BJ299" s="221"/>
      <c r="BK299" s="221"/>
      <c r="BL299" s="221"/>
      <c r="BM299" s="222"/>
      <c r="BN299" s="220">
        <f ca="1">'Financial Planning Tool'!Q102</f>
        <v>11267.06</v>
      </c>
      <c r="BO299" s="221"/>
      <c r="BP299" s="221"/>
      <c r="BQ299" s="221"/>
      <c r="BR299" s="221"/>
      <c r="BS299" s="221"/>
      <c r="BT299" s="221"/>
      <c r="BU299" s="222"/>
    </row>
    <row r="300" spans="2:73" x14ac:dyDescent="0.25">
      <c r="B300" s="215">
        <f ca="1">'Financial Planning Tool'!H103</f>
        <v>63523</v>
      </c>
      <c r="C300" s="216"/>
      <c r="D300" s="216"/>
      <c r="E300" s="217"/>
      <c r="F300" s="218">
        <f ca="1">'Financial Planning Tool'!I103</f>
        <v>103</v>
      </c>
      <c r="G300" s="186"/>
      <c r="H300" s="186"/>
      <c r="I300" s="219"/>
      <c r="J300" s="220" t="str">
        <f ca="1">'Financial Planning Tool'!J103</f>
        <v/>
      </c>
      <c r="K300" s="221"/>
      <c r="L300" s="221"/>
      <c r="M300" s="221"/>
      <c r="N300" s="221"/>
      <c r="O300" s="221"/>
      <c r="P300" s="221"/>
      <c r="Q300" s="222"/>
      <c r="R300" s="220" t="str">
        <f ca="1">'Financial Planning Tool'!K103</f>
        <v/>
      </c>
      <c r="S300" s="221"/>
      <c r="T300" s="221"/>
      <c r="U300" s="221"/>
      <c r="V300" s="221"/>
      <c r="W300" s="221"/>
      <c r="X300" s="221"/>
      <c r="Y300" s="222"/>
      <c r="Z300" s="220" t="str">
        <f ca="1">'Financial Planning Tool'!L103</f>
        <v/>
      </c>
      <c r="AA300" s="221"/>
      <c r="AB300" s="221"/>
      <c r="AC300" s="221"/>
      <c r="AD300" s="221"/>
      <c r="AE300" s="221"/>
      <c r="AF300" s="221"/>
      <c r="AG300" s="222"/>
      <c r="AH300" s="220" t="str">
        <f ca="1">'Financial Planning Tool'!M103</f>
        <v/>
      </c>
      <c r="AI300" s="221"/>
      <c r="AJ300" s="221"/>
      <c r="AK300" s="221"/>
      <c r="AL300" s="221"/>
      <c r="AM300" s="221"/>
      <c r="AN300" s="221"/>
      <c r="AO300" s="222"/>
      <c r="AP300" s="220">
        <f ca="1">'Financial Planning Tool'!N103</f>
        <v>-12951.38</v>
      </c>
      <c r="AQ300" s="221"/>
      <c r="AR300" s="221"/>
      <c r="AS300" s="221"/>
      <c r="AT300" s="221"/>
      <c r="AU300" s="221"/>
      <c r="AV300" s="221"/>
      <c r="AW300" s="222"/>
      <c r="AX300" s="220">
        <f ca="1">'Financial Planning Tool'!O103</f>
        <v>-1936.41</v>
      </c>
      <c r="AY300" s="221"/>
      <c r="AZ300" s="221"/>
      <c r="BA300" s="221"/>
      <c r="BB300" s="221"/>
      <c r="BC300" s="221"/>
      <c r="BD300" s="221"/>
      <c r="BE300" s="222"/>
      <c r="BF300" s="220">
        <f ca="1">'Financial Planning Tool'!P103</f>
        <v>67114.679999999993</v>
      </c>
      <c r="BG300" s="221"/>
      <c r="BH300" s="221"/>
      <c r="BI300" s="221"/>
      <c r="BJ300" s="221"/>
      <c r="BK300" s="221"/>
      <c r="BL300" s="221"/>
      <c r="BM300" s="222"/>
      <c r="BN300" s="220">
        <f ca="1">'Financial Planning Tool'!Q103</f>
        <v>9821.64</v>
      </c>
      <c r="BO300" s="221"/>
      <c r="BP300" s="221"/>
      <c r="BQ300" s="221"/>
      <c r="BR300" s="221"/>
      <c r="BS300" s="221"/>
      <c r="BT300" s="221"/>
      <c r="BU300" s="222"/>
    </row>
    <row r="301" spans="2:73" x14ac:dyDescent="0.25">
      <c r="B301" s="215">
        <f ca="1">'Financial Planning Tool'!H104</f>
        <v>63888</v>
      </c>
      <c r="C301" s="216"/>
      <c r="D301" s="216"/>
      <c r="E301" s="217"/>
      <c r="F301" s="218">
        <f ca="1">'Financial Planning Tool'!I104</f>
        <v>104</v>
      </c>
      <c r="G301" s="186"/>
      <c r="H301" s="186"/>
      <c r="I301" s="219"/>
      <c r="J301" s="220" t="str">
        <f ca="1">'Financial Planning Tool'!J104</f>
        <v/>
      </c>
      <c r="K301" s="221"/>
      <c r="L301" s="221"/>
      <c r="M301" s="221"/>
      <c r="N301" s="221"/>
      <c r="O301" s="221"/>
      <c r="P301" s="221"/>
      <c r="Q301" s="222"/>
      <c r="R301" s="220" t="str">
        <f ca="1">'Financial Planning Tool'!K104</f>
        <v/>
      </c>
      <c r="S301" s="221"/>
      <c r="T301" s="221"/>
      <c r="U301" s="221"/>
      <c r="V301" s="221"/>
      <c r="W301" s="221"/>
      <c r="X301" s="221"/>
      <c r="Y301" s="222"/>
      <c r="Z301" s="220" t="str">
        <f ca="1">'Financial Planning Tool'!L104</f>
        <v/>
      </c>
      <c r="AA301" s="221"/>
      <c r="AB301" s="221"/>
      <c r="AC301" s="221"/>
      <c r="AD301" s="221"/>
      <c r="AE301" s="221"/>
      <c r="AF301" s="221"/>
      <c r="AG301" s="222"/>
      <c r="AH301" s="220" t="str">
        <f ca="1">'Financial Planning Tool'!M104</f>
        <v/>
      </c>
      <c r="AI301" s="221"/>
      <c r="AJ301" s="221"/>
      <c r="AK301" s="221"/>
      <c r="AL301" s="221"/>
      <c r="AM301" s="221"/>
      <c r="AN301" s="221"/>
      <c r="AO301" s="222"/>
      <c r="AP301" s="220">
        <f ca="1">'Financial Planning Tool'!N104</f>
        <v>-11741.47</v>
      </c>
      <c r="AQ301" s="221"/>
      <c r="AR301" s="221"/>
      <c r="AS301" s="221"/>
      <c r="AT301" s="221"/>
      <c r="AU301" s="221"/>
      <c r="AV301" s="221"/>
      <c r="AW301" s="222"/>
      <c r="AX301" s="220">
        <f ca="1">'Financial Planning Tool'!O104</f>
        <v>-1687.99</v>
      </c>
      <c r="AY301" s="221"/>
      <c r="AZ301" s="221"/>
      <c r="BA301" s="221"/>
      <c r="BB301" s="221"/>
      <c r="BC301" s="221"/>
      <c r="BD301" s="221"/>
      <c r="BE301" s="222"/>
      <c r="BF301" s="220">
        <f ca="1">'Financial Planning Tool'!P104</f>
        <v>60844.9</v>
      </c>
      <c r="BG301" s="221"/>
      <c r="BH301" s="221"/>
      <c r="BI301" s="221"/>
      <c r="BJ301" s="221"/>
      <c r="BK301" s="221"/>
      <c r="BL301" s="221"/>
      <c r="BM301" s="222"/>
      <c r="BN301" s="220">
        <f ca="1">'Financial Planning Tool'!Q104</f>
        <v>8561.65</v>
      </c>
      <c r="BO301" s="221"/>
      <c r="BP301" s="221"/>
      <c r="BQ301" s="221"/>
      <c r="BR301" s="221"/>
      <c r="BS301" s="221"/>
      <c r="BT301" s="221"/>
      <c r="BU301" s="222"/>
    </row>
    <row r="302" spans="2:73" x14ac:dyDescent="0.25">
      <c r="B302" s="215">
        <f ca="1">'Financial Planning Tool'!H105</f>
        <v>64253</v>
      </c>
      <c r="C302" s="216"/>
      <c r="D302" s="216"/>
      <c r="E302" s="217"/>
      <c r="F302" s="218">
        <f ca="1">'Financial Planning Tool'!I105</f>
        <v>105</v>
      </c>
      <c r="G302" s="186"/>
      <c r="H302" s="186"/>
      <c r="I302" s="219"/>
      <c r="J302" s="220" t="str">
        <f ca="1">'Financial Planning Tool'!J105</f>
        <v/>
      </c>
      <c r="K302" s="221"/>
      <c r="L302" s="221"/>
      <c r="M302" s="221"/>
      <c r="N302" s="221"/>
      <c r="O302" s="221"/>
      <c r="P302" s="221"/>
      <c r="Q302" s="222"/>
      <c r="R302" s="220" t="str">
        <f ca="1">'Financial Planning Tool'!K105</f>
        <v/>
      </c>
      <c r="S302" s="221"/>
      <c r="T302" s="221"/>
      <c r="U302" s="221"/>
      <c r="V302" s="221"/>
      <c r="W302" s="221"/>
      <c r="X302" s="221"/>
      <c r="Y302" s="222"/>
      <c r="Z302" s="220" t="str">
        <f ca="1">'Financial Planning Tool'!L105</f>
        <v/>
      </c>
      <c r="AA302" s="221"/>
      <c r="AB302" s="221"/>
      <c r="AC302" s="221"/>
      <c r="AD302" s="221"/>
      <c r="AE302" s="221"/>
      <c r="AF302" s="221"/>
      <c r="AG302" s="222"/>
      <c r="AH302" s="220" t="str">
        <f ca="1">'Financial Planning Tool'!M105</f>
        <v/>
      </c>
      <c r="AI302" s="221"/>
      <c r="AJ302" s="221"/>
      <c r="AK302" s="221"/>
      <c r="AL302" s="221"/>
      <c r="AM302" s="221"/>
      <c r="AN302" s="221"/>
      <c r="AO302" s="222"/>
      <c r="AP302" s="220">
        <f ca="1">'Financial Planning Tool'!N105</f>
        <v>-10644.6</v>
      </c>
      <c r="AQ302" s="221"/>
      <c r="AR302" s="221"/>
      <c r="AS302" s="221"/>
      <c r="AT302" s="221"/>
      <c r="AU302" s="221"/>
      <c r="AV302" s="221"/>
      <c r="AW302" s="222"/>
      <c r="AX302" s="220">
        <f ca="1">'Financial Planning Tool'!O105</f>
        <v>-1471.44</v>
      </c>
      <c r="AY302" s="221"/>
      <c r="AZ302" s="221"/>
      <c r="BA302" s="221"/>
      <c r="BB302" s="221"/>
      <c r="BC302" s="221"/>
      <c r="BD302" s="221"/>
      <c r="BE302" s="222"/>
      <c r="BF302" s="220">
        <f ca="1">'Financial Planning Tool'!P105</f>
        <v>55160.84</v>
      </c>
      <c r="BG302" s="221"/>
      <c r="BH302" s="221"/>
      <c r="BI302" s="221"/>
      <c r="BJ302" s="221"/>
      <c r="BK302" s="221"/>
      <c r="BL302" s="221"/>
      <c r="BM302" s="222"/>
      <c r="BN302" s="220">
        <f ca="1">'Financial Planning Tool'!Q105</f>
        <v>7463.29</v>
      </c>
      <c r="BO302" s="221"/>
      <c r="BP302" s="221"/>
      <c r="BQ302" s="221"/>
      <c r="BR302" s="221"/>
      <c r="BS302" s="221"/>
      <c r="BT302" s="221"/>
      <c r="BU302" s="222"/>
    </row>
    <row r="303" spans="2:73" x14ac:dyDescent="0.25">
      <c r="B303" s="215">
        <f ca="1">'Financial Planning Tool'!H106</f>
        <v>64619</v>
      </c>
      <c r="C303" s="216"/>
      <c r="D303" s="216"/>
      <c r="E303" s="217"/>
      <c r="F303" s="218">
        <f ca="1">'Financial Planning Tool'!I106</f>
        <v>106</v>
      </c>
      <c r="G303" s="186"/>
      <c r="H303" s="186"/>
      <c r="I303" s="219"/>
      <c r="J303" s="220" t="str">
        <f ca="1">'Financial Planning Tool'!J106</f>
        <v/>
      </c>
      <c r="K303" s="221"/>
      <c r="L303" s="221"/>
      <c r="M303" s="221"/>
      <c r="N303" s="221"/>
      <c r="O303" s="221"/>
      <c r="P303" s="221"/>
      <c r="Q303" s="222"/>
      <c r="R303" s="220" t="str">
        <f ca="1">'Financial Planning Tool'!K106</f>
        <v/>
      </c>
      <c r="S303" s="221"/>
      <c r="T303" s="221"/>
      <c r="U303" s="221"/>
      <c r="V303" s="221"/>
      <c r="W303" s="221"/>
      <c r="X303" s="221"/>
      <c r="Y303" s="222"/>
      <c r="Z303" s="220" t="str">
        <f ca="1">'Financial Planning Tool'!L106</f>
        <v/>
      </c>
      <c r="AA303" s="221"/>
      <c r="AB303" s="221"/>
      <c r="AC303" s="221"/>
      <c r="AD303" s="221"/>
      <c r="AE303" s="221"/>
      <c r="AF303" s="221"/>
      <c r="AG303" s="222"/>
      <c r="AH303" s="220" t="str">
        <f ca="1">'Financial Planning Tool'!M106</f>
        <v/>
      </c>
      <c r="AI303" s="221"/>
      <c r="AJ303" s="221"/>
      <c r="AK303" s="221"/>
      <c r="AL303" s="221"/>
      <c r="AM303" s="221"/>
      <c r="AN303" s="221"/>
      <c r="AO303" s="222"/>
      <c r="AP303" s="220">
        <f ca="1">'Financial Planning Tool'!N106</f>
        <v>-9650.19</v>
      </c>
      <c r="AQ303" s="221"/>
      <c r="AR303" s="221"/>
      <c r="AS303" s="221"/>
      <c r="AT303" s="221"/>
      <c r="AU303" s="221"/>
      <c r="AV303" s="221"/>
      <c r="AW303" s="222"/>
      <c r="AX303" s="220">
        <f ca="1">'Financial Planning Tool'!O106</f>
        <v>-1282.68</v>
      </c>
      <c r="AY303" s="221"/>
      <c r="AZ303" s="221"/>
      <c r="BA303" s="221"/>
      <c r="BB303" s="221"/>
      <c r="BC303" s="221"/>
      <c r="BD303" s="221"/>
      <c r="BE303" s="222"/>
      <c r="BF303" s="220">
        <f ca="1">'Financial Planning Tool'!P106</f>
        <v>50007.77</v>
      </c>
      <c r="BG303" s="221"/>
      <c r="BH303" s="221"/>
      <c r="BI303" s="221"/>
      <c r="BJ303" s="221"/>
      <c r="BK303" s="221"/>
      <c r="BL303" s="221"/>
      <c r="BM303" s="222"/>
      <c r="BN303" s="220">
        <f ca="1">'Financial Planning Tool'!Q106</f>
        <v>6505.85</v>
      </c>
      <c r="BO303" s="221"/>
      <c r="BP303" s="221"/>
      <c r="BQ303" s="221"/>
      <c r="BR303" s="221"/>
      <c r="BS303" s="221"/>
      <c r="BT303" s="221"/>
      <c r="BU303" s="222"/>
    </row>
    <row r="304" spans="2:73" x14ac:dyDescent="0.25">
      <c r="B304" s="215">
        <f ca="1">'Financial Planning Tool'!H107</f>
        <v>64984</v>
      </c>
      <c r="C304" s="216"/>
      <c r="D304" s="216"/>
      <c r="E304" s="217"/>
      <c r="F304" s="218">
        <f ca="1">'Financial Planning Tool'!I107</f>
        <v>107</v>
      </c>
      <c r="G304" s="186"/>
      <c r="H304" s="186"/>
      <c r="I304" s="219"/>
      <c r="J304" s="220" t="str">
        <f ca="1">'Financial Planning Tool'!J107</f>
        <v/>
      </c>
      <c r="K304" s="221"/>
      <c r="L304" s="221"/>
      <c r="M304" s="221"/>
      <c r="N304" s="221"/>
      <c r="O304" s="221"/>
      <c r="P304" s="221"/>
      <c r="Q304" s="222"/>
      <c r="R304" s="220" t="str">
        <f ca="1">'Financial Planning Tool'!K107</f>
        <v/>
      </c>
      <c r="S304" s="221"/>
      <c r="T304" s="221"/>
      <c r="U304" s="221"/>
      <c r="V304" s="221"/>
      <c r="W304" s="221"/>
      <c r="X304" s="221"/>
      <c r="Y304" s="222"/>
      <c r="Z304" s="220" t="str">
        <f ca="1">'Financial Planning Tool'!L107</f>
        <v/>
      </c>
      <c r="AA304" s="221"/>
      <c r="AB304" s="221"/>
      <c r="AC304" s="221"/>
      <c r="AD304" s="221"/>
      <c r="AE304" s="221"/>
      <c r="AF304" s="221"/>
      <c r="AG304" s="222"/>
      <c r="AH304" s="220" t="str">
        <f ca="1">'Financial Planning Tool'!M107</f>
        <v/>
      </c>
      <c r="AI304" s="221"/>
      <c r="AJ304" s="221"/>
      <c r="AK304" s="221"/>
      <c r="AL304" s="221"/>
      <c r="AM304" s="221"/>
      <c r="AN304" s="221"/>
      <c r="AO304" s="222"/>
      <c r="AP304" s="220">
        <f ca="1">'Financial Planning Tool'!N107</f>
        <v>-8748.68</v>
      </c>
      <c r="AQ304" s="221"/>
      <c r="AR304" s="221"/>
      <c r="AS304" s="221"/>
      <c r="AT304" s="221"/>
      <c r="AU304" s="221"/>
      <c r="AV304" s="221"/>
      <c r="AW304" s="222"/>
      <c r="AX304" s="220">
        <f ca="1">'Financial Planning Tool'!O107</f>
        <v>-1118.1300000000001</v>
      </c>
      <c r="AY304" s="221"/>
      <c r="AZ304" s="221"/>
      <c r="BA304" s="221"/>
      <c r="BB304" s="221"/>
      <c r="BC304" s="221"/>
      <c r="BD304" s="221"/>
      <c r="BE304" s="222"/>
      <c r="BF304" s="220">
        <f ca="1">'Financial Planning Tool'!P107</f>
        <v>45336.1</v>
      </c>
      <c r="BG304" s="221"/>
      <c r="BH304" s="221"/>
      <c r="BI304" s="221"/>
      <c r="BJ304" s="221"/>
      <c r="BK304" s="221"/>
      <c r="BL304" s="221"/>
      <c r="BM304" s="222"/>
      <c r="BN304" s="220">
        <f ca="1">'Financial Planning Tool'!Q107</f>
        <v>5671.23</v>
      </c>
      <c r="BO304" s="221"/>
      <c r="BP304" s="221"/>
      <c r="BQ304" s="221"/>
      <c r="BR304" s="221"/>
      <c r="BS304" s="221"/>
      <c r="BT304" s="221"/>
      <c r="BU304" s="222"/>
    </row>
    <row r="305" spans="2:73" x14ac:dyDescent="0.25">
      <c r="B305" s="215">
        <f ca="1">'Financial Planning Tool'!H108</f>
        <v>65349</v>
      </c>
      <c r="C305" s="216"/>
      <c r="D305" s="216"/>
      <c r="E305" s="217"/>
      <c r="F305" s="218">
        <f ca="1">'Financial Planning Tool'!I108</f>
        <v>108</v>
      </c>
      <c r="G305" s="186"/>
      <c r="H305" s="186"/>
      <c r="I305" s="219"/>
      <c r="J305" s="220" t="str">
        <f ca="1">'Financial Planning Tool'!J108</f>
        <v/>
      </c>
      <c r="K305" s="221"/>
      <c r="L305" s="221"/>
      <c r="M305" s="221"/>
      <c r="N305" s="221"/>
      <c r="O305" s="221"/>
      <c r="P305" s="221"/>
      <c r="Q305" s="222"/>
      <c r="R305" s="220" t="str">
        <f ca="1">'Financial Planning Tool'!K108</f>
        <v/>
      </c>
      <c r="S305" s="221"/>
      <c r="T305" s="221"/>
      <c r="U305" s="221"/>
      <c r="V305" s="221"/>
      <c r="W305" s="221"/>
      <c r="X305" s="221"/>
      <c r="Y305" s="222"/>
      <c r="Z305" s="220" t="str">
        <f ca="1">'Financial Planning Tool'!L108</f>
        <v/>
      </c>
      <c r="AA305" s="221"/>
      <c r="AB305" s="221"/>
      <c r="AC305" s="221"/>
      <c r="AD305" s="221"/>
      <c r="AE305" s="221"/>
      <c r="AF305" s="221"/>
      <c r="AG305" s="222"/>
      <c r="AH305" s="220" t="str">
        <f ca="1">'Financial Planning Tool'!M108</f>
        <v/>
      </c>
      <c r="AI305" s="221"/>
      <c r="AJ305" s="221"/>
      <c r="AK305" s="221"/>
      <c r="AL305" s="221"/>
      <c r="AM305" s="221"/>
      <c r="AN305" s="221"/>
      <c r="AO305" s="222"/>
      <c r="AP305" s="220">
        <f ca="1">'Financial Planning Tool'!N108</f>
        <v>-7931.39</v>
      </c>
      <c r="AQ305" s="221"/>
      <c r="AR305" s="221"/>
      <c r="AS305" s="221"/>
      <c r="AT305" s="221"/>
      <c r="AU305" s="221"/>
      <c r="AV305" s="221"/>
      <c r="AW305" s="222"/>
      <c r="AX305" s="220">
        <f ca="1">'Financial Planning Tool'!O108</f>
        <v>-974.68</v>
      </c>
      <c r="AY305" s="221"/>
      <c r="AZ305" s="221"/>
      <c r="BA305" s="221"/>
      <c r="BB305" s="221"/>
      <c r="BC305" s="221"/>
      <c r="BD305" s="221"/>
      <c r="BE305" s="222"/>
      <c r="BF305" s="220">
        <f ca="1">'Financial Planning Tool'!P108</f>
        <v>41100.85</v>
      </c>
      <c r="BG305" s="221"/>
      <c r="BH305" s="221"/>
      <c r="BI305" s="221"/>
      <c r="BJ305" s="221"/>
      <c r="BK305" s="221"/>
      <c r="BL305" s="221"/>
      <c r="BM305" s="222"/>
      <c r="BN305" s="220">
        <f ca="1">'Financial Planning Tool'!Q108</f>
        <v>4943.68</v>
      </c>
      <c r="BO305" s="221"/>
      <c r="BP305" s="221"/>
      <c r="BQ305" s="221"/>
      <c r="BR305" s="221"/>
      <c r="BS305" s="221"/>
      <c r="BT305" s="221"/>
      <c r="BU305" s="222"/>
    </row>
    <row r="306" spans="2:73" x14ac:dyDescent="0.25">
      <c r="B306" s="215">
        <f ca="1">'Financial Planning Tool'!H109</f>
        <v>65714</v>
      </c>
      <c r="C306" s="216"/>
      <c r="D306" s="216"/>
      <c r="E306" s="217"/>
      <c r="F306" s="218">
        <f ca="1">'Financial Planning Tool'!I109</f>
        <v>109</v>
      </c>
      <c r="G306" s="186"/>
      <c r="H306" s="186"/>
      <c r="I306" s="219"/>
      <c r="J306" s="220" t="str">
        <f ca="1">'Financial Planning Tool'!J109</f>
        <v/>
      </c>
      <c r="K306" s="221"/>
      <c r="L306" s="221"/>
      <c r="M306" s="221"/>
      <c r="N306" s="221"/>
      <c r="O306" s="221"/>
      <c r="P306" s="221"/>
      <c r="Q306" s="222"/>
      <c r="R306" s="220" t="str">
        <f ca="1">'Financial Planning Tool'!K109</f>
        <v/>
      </c>
      <c r="S306" s="221"/>
      <c r="T306" s="221"/>
      <c r="U306" s="221"/>
      <c r="V306" s="221"/>
      <c r="W306" s="221"/>
      <c r="X306" s="221"/>
      <c r="Y306" s="222"/>
      <c r="Z306" s="220" t="str">
        <f ca="1">'Financial Planning Tool'!L109</f>
        <v/>
      </c>
      <c r="AA306" s="221"/>
      <c r="AB306" s="221"/>
      <c r="AC306" s="221"/>
      <c r="AD306" s="221"/>
      <c r="AE306" s="221"/>
      <c r="AF306" s="221"/>
      <c r="AG306" s="222"/>
      <c r="AH306" s="220" t="str">
        <f ca="1">'Financial Planning Tool'!M109</f>
        <v/>
      </c>
      <c r="AI306" s="221"/>
      <c r="AJ306" s="221"/>
      <c r="AK306" s="221"/>
      <c r="AL306" s="221"/>
      <c r="AM306" s="221"/>
      <c r="AN306" s="221"/>
      <c r="AO306" s="222"/>
      <c r="AP306" s="220">
        <f ca="1">'Financial Planning Tool'!N109</f>
        <v>-7190.45</v>
      </c>
      <c r="AQ306" s="221"/>
      <c r="AR306" s="221"/>
      <c r="AS306" s="221"/>
      <c r="AT306" s="221"/>
      <c r="AU306" s="221"/>
      <c r="AV306" s="221"/>
      <c r="AW306" s="222"/>
      <c r="AX306" s="220">
        <f ca="1">'Financial Planning Tool'!O109</f>
        <v>-849.64</v>
      </c>
      <c r="AY306" s="221"/>
      <c r="AZ306" s="221"/>
      <c r="BA306" s="221"/>
      <c r="BB306" s="221"/>
      <c r="BC306" s="221"/>
      <c r="BD306" s="221"/>
      <c r="BE306" s="222"/>
      <c r="BF306" s="220">
        <f ca="1">'Financial Planning Tool'!P109</f>
        <v>37261.25</v>
      </c>
      <c r="BG306" s="221"/>
      <c r="BH306" s="221"/>
      <c r="BI306" s="221"/>
      <c r="BJ306" s="221"/>
      <c r="BK306" s="221"/>
      <c r="BL306" s="221"/>
      <c r="BM306" s="222"/>
      <c r="BN306" s="220">
        <f ca="1">'Financial Planning Tool'!Q109</f>
        <v>4309.47</v>
      </c>
      <c r="BO306" s="221"/>
      <c r="BP306" s="221"/>
      <c r="BQ306" s="221"/>
      <c r="BR306" s="221"/>
      <c r="BS306" s="221"/>
      <c r="BT306" s="221"/>
      <c r="BU306" s="222"/>
    </row>
    <row r="307" spans="2:73" x14ac:dyDescent="0.25">
      <c r="B307" s="215">
        <f ca="1">'Financial Planning Tool'!H110</f>
        <v>66080</v>
      </c>
      <c r="C307" s="216"/>
      <c r="D307" s="216"/>
      <c r="E307" s="217"/>
      <c r="F307" s="218">
        <f ca="1">'Financial Planning Tool'!I110</f>
        <v>110</v>
      </c>
      <c r="G307" s="186"/>
      <c r="H307" s="186"/>
      <c r="I307" s="219"/>
      <c r="J307" s="220" t="str">
        <f ca="1">'Financial Planning Tool'!J110</f>
        <v/>
      </c>
      <c r="K307" s="221"/>
      <c r="L307" s="221"/>
      <c r="M307" s="221"/>
      <c r="N307" s="221"/>
      <c r="O307" s="221"/>
      <c r="P307" s="221"/>
      <c r="Q307" s="222"/>
      <c r="R307" s="220" t="str">
        <f ca="1">'Financial Planning Tool'!K110</f>
        <v/>
      </c>
      <c r="S307" s="221"/>
      <c r="T307" s="221"/>
      <c r="U307" s="221"/>
      <c r="V307" s="221"/>
      <c r="W307" s="221"/>
      <c r="X307" s="221"/>
      <c r="Y307" s="222"/>
      <c r="Z307" s="220" t="str">
        <f ca="1">'Financial Planning Tool'!L110</f>
        <v/>
      </c>
      <c r="AA307" s="221"/>
      <c r="AB307" s="221"/>
      <c r="AC307" s="221"/>
      <c r="AD307" s="221"/>
      <c r="AE307" s="221"/>
      <c r="AF307" s="221"/>
      <c r="AG307" s="222"/>
      <c r="AH307" s="220" t="str">
        <f ca="1">'Financial Planning Tool'!M110</f>
        <v/>
      </c>
      <c r="AI307" s="221"/>
      <c r="AJ307" s="221"/>
      <c r="AK307" s="221"/>
      <c r="AL307" s="221"/>
      <c r="AM307" s="221"/>
      <c r="AN307" s="221"/>
      <c r="AO307" s="222"/>
      <c r="AP307" s="220">
        <f ca="1">'Financial Planning Tool'!N110</f>
        <v>-6518.72</v>
      </c>
      <c r="AQ307" s="221"/>
      <c r="AR307" s="221"/>
      <c r="AS307" s="221"/>
      <c r="AT307" s="221"/>
      <c r="AU307" s="221"/>
      <c r="AV307" s="221"/>
      <c r="AW307" s="222"/>
      <c r="AX307" s="220">
        <f ca="1">'Financial Planning Tool'!O110</f>
        <v>-740.65</v>
      </c>
      <c r="AY307" s="221"/>
      <c r="AZ307" s="221"/>
      <c r="BA307" s="221"/>
      <c r="BB307" s="221"/>
      <c r="BC307" s="221"/>
      <c r="BD307" s="221"/>
      <c r="BE307" s="222"/>
      <c r="BF307" s="220">
        <f ca="1">'Financial Planning Tool'!P110</f>
        <v>33780.339999999997</v>
      </c>
      <c r="BG307" s="221"/>
      <c r="BH307" s="221"/>
      <c r="BI307" s="221"/>
      <c r="BJ307" s="221"/>
      <c r="BK307" s="221"/>
      <c r="BL307" s="221"/>
      <c r="BM307" s="222"/>
      <c r="BN307" s="220">
        <f ca="1">'Financial Planning Tool'!Q110</f>
        <v>3756.62</v>
      </c>
      <c r="BO307" s="221"/>
      <c r="BP307" s="221"/>
      <c r="BQ307" s="221"/>
      <c r="BR307" s="221"/>
      <c r="BS307" s="221"/>
      <c r="BT307" s="221"/>
      <c r="BU307" s="222"/>
    </row>
    <row r="308" spans="2:73" x14ac:dyDescent="0.25">
      <c r="B308" s="215">
        <f ca="1">'Financial Planning Tool'!H111</f>
        <v>66445</v>
      </c>
      <c r="C308" s="216"/>
      <c r="D308" s="216"/>
      <c r="E308" s="217"/>
      <c r="F308" s="218">
        <f ca="1">'Financial Planning Tool'!I111</f>
        <v>111</v>
      </c>
      <c r="G308" s="186"/>
      <c r="H308" s="186"/>
      <c r="I308" s="219"/>
      <c r="J308" s="220" t="str">
        <f ca="1">'Financial Planning Tool'!J111</f>
        <v/>
      </c>
      <c r="K308" s="221"/>
      <c r="L308" s="221"/>
      <c r="M308" s="221"/>
      <c r="N308" s="221"/>
      <c r="O308" s="221"/>
      <c r="P308" s="221"/>
      <c r="Q308" s="222"/>
      <c r="R308" s="220" t="str">
        <f ca="1">'Financial Planning Tool'!K111</f>
        <v/>
      </c>
      <c r="S308" s="221"/>
      <c r="T308" s="221"/>
      <c r="U308" s="221"/>
      <c r="V308" s="221"/>
      <c r="W308" s="221"/>
      <c r="X308" s="221"/>
      <c r="Y308" s="222"/>
      <c r="Z308" s="220" t="str">
        <f ca="1">'Financial Planning Tool'!L111</f>
        <v/>
      </c>
      <c r="AA308" s="221"/>
      <c r="AB308" s="221"/>
      <c r="AC308" s="221"/>
      <c r="AD308" s="221"/>
      <c r="AE308" s="221"/>
      <c r="AF308" s="221"/>
      <c r="AG308" s="222"/>
      <c r="AH308" s="220" t="str">
        <f ca="1">'Financial Planning Tool'!M111</f>
        <v/>
      </c>
      <c r="AI308" s="221"/>
      <c r="AJ308" s="221"/>
      <c r="AK308" s="221"/>
      <c r="AL308" s="221"/>
      <c r="AM308" s="221"/>
      <c r="AN308" s="221"/>
      <c r="AO308" s="222"/>
      <c r="AP308" s="220">
        <f ca="1">'Financial Planning Tool'!N111</f>
        <v>-5909.75</v>
      </c>
      <c r="AQ308" s="221"/>
      <c r="AR308" s="221"/>
      <c r="AS308" s="221"/>
      <c r="AT308" s="221"/>
      <c r="AU308" s="221"/>
      <c r="AV308" s="221"/>
      <c r="AW308" s="222"/>
      <c r="AX308" s="220">
        <f ca="1">'Financial Planning Tool'!O111</f>
        <v>-645.63</v>
      </c>
      <c r="AY308" s="221"/>
      <c r="AZ308" s="221"/>
      <c r="BA308" s="221"/>
      <c r="BB308" s="221"/>
      <c r="BC308" s="221"/>
      <c r="BD308" s="221"/>
      <c r="BE308" s="222"/>
      <c r="BF308" s="220">
        <f ca="1">'Financial Planning Tool'!P111</f>
        <v>30624.62</v>
      </c>
      <c r="BG308" s="221"/>
      <c r="BH308" s="221"/>
      <c r="BI308" s="221"/>
      <c r="BJ308" s="221"/>
      <c r="BK308" s="221"/>
      <c r="BL308" s="221"/>
      <c r="BM308" s="222"/>
      <c r="BN308" s="220">
        <f ca="1">'Financial Planning Tool'!Q111</f>
        <v>3274.69</v>
      </c>
      <c r="BO308" s="221"/>
      <c r="BP308" s="221"/>
      <c r="BQ308" s="221"/>
      <c r="BR308" s="221"/>
      <c r="BS308" s="221"/>
      <c r="BT308" s="221"/>
      <c r="BU308" s="222"/>
    </row>
    <row r="309" spans="2:73" x14ac:dyDescent="0.25">
      <c r="B309" s="215">
        <f ca="1">'Financial Planning Tool'!H112</f>
        <v>66810</v>
      </c>
      <c r="C309" s="216"/>
      <c r="D309" s="216"/>
      <c r="E309" s="217"/>
      <c r="F309" s="218">
        <f ca="1">'Financial Planning Tool'!I112</f>
        <v>112</v>
      </c>
      <c r="G309" s="186"/>
      <c r="H309" s="186"/>
      <c r="I309" s="219"/>
      <c r="J309" s="220" t="str">
        <f ca="1">'Financial Planning Tool'!J112</f>
        <v/>
      </c>
      <c r="K309" s="221"/>
      <c r="L309" s="221"/>
      <c r="M309" s="221"/>
      <c r="N309" s="221"/>
      <c r="O309" s="221"/>
      <c r="P309" s="221"/>
      <c r="Q309" s="222"/>
      <c r="R309" s="220" t="str">
        <f ca="1">'Financial Planning Tool'!K112</f>
        <v/>
      </c>
      <c r="S309" s="221"/>
      <c r="T309" s="221"/>
      <c r="U309" s="221"/>
      <c r="V309" s="221"/>
      <c r="W309" s="221"/>
      <c r="X309" s="221"/>
      <c r="Y309" s="222"/>
      <c r="Z309" s="220" t="str">
        <f ca="1">'Financial Planning Tool'!L112</f>
        <v/>
      </c>
      <c r="AA309" s="221"/>
      <c r="AB309" s="221"/>
      <c r="AC309" s="221"/>
      <c r="AD309" s="221"/>
      <c r="AE309" s="221"/>
      <c r="AF309" s="221"/>
      <c r="AG309" s="222"/>
      <c r="AH309" s="220" t="str">
        <f ca="1">'Financial Planning Tool'!M112</f>
        <v/>
      </c>
      <c r="AI309" s="221"/>
      <c r="AJ309" s="221"/>
      <c r="AK309" s="221"/>
      <c r="AL309" s="221"/>
      <c r="AM309" s="221"/>
      <c r="AN309" s="221"/>
      <c r="AO309" s="222"/>
      <c r="AP309" s="220">
        <f ca="1">'Financial Planning Tool'!N112</f>
        <v>-5357.67</v>
      </c>
      <c r="AQ309" s="221"/>
      <c r="AR309" s="221"/>
      <c r="AS309" s="221"/>
      <c r="AT309" s="221"/>
      <c r="AU309" s="221"/>
      <c r="AV309" s="221"/>
      <c r="AW309" s="222"/>
      <c r="AX309" s="220">
        <f ca="1">'Financial Planning Tool'!O112</f>
        <v>-562.79999999999995</v>
      </c>
      <c r="AY309" s="221"/>
      <c r="AZ309" s="221"/>
      <c r="BA309" s="221"/>
      <c r="BB309" s="221"/>
      <c r="BC309" s="221"/>
      <c r="BD309" s="221"/>
      <c r="BE309" s="222"/>
      <c r="BF309" s="220">
        <f ca="1">'Financial Planning Tool'!P112</f>
        <v>27763.7</v>
      </c>
      <c r="BG309" s="221"/>
      <c r="BH309" s="221"/>
      <c r="BI309" s="221"/>
      <c r="BJ309" s="221"/>
      <c r="BK309" s="221"/>
      <c r="BL309" s="221"/>
      <c r="BM309" s="222"/>
      <c r="BN309" s="220">
        <f ca="1">'Financial Planning Tool'!Q112</f>
        <v>2854.59</v>
      </c>
      <c r="BO309" s="221"/>
      <c r="BP309" s="221"/>
      <c r="BQ309" s="221"/>
      <c r="BR309" s="221"/>
      <c r="BS309" s="221"/>
      <c r="BT309" s="221"/>
      <c r="BU309" s="222"/>
    </row>
    <row r="310" spans="2:73" x14ac:dyDescent="0.25">
      <c r="B310" s="215">
        <f ca="1">'Financial Planning Tool'!H113</f>
        <v>67175</v>
      </c>
      <c r="C310" s="216"/>
      <c r="D310" s="216"/>
      <c r="E310" s="217"/>
      <c r="F310" s="218">
        <f ca="1">'Financial Planning Tool'!I113</f>
        <v>113</v>
      </c>
      <c r="G310" s="186"/>
      <c r="H310" s="186"/>
      <c r="I310" s="219"/>
      <c r="J310" s="220" t="str">
        <f ca="1">'Financial Planning Tool'!J113</f>
        <v/>
      </c>
      <c r="K310" s="221"/>
      <c r="L310" s="221"/>
      <c r="M310" s="221"/>
      <c r="N310" s="221"/>
      <c r="O310" s="221"/>
      <c r="P310" s="221"/>
      <c r="Q310" s="222"/>
      <c r="R310" s="220" t="str">
        <f ca="1">'Financial Planning Tool'!K113</f>
        <v/>
      </c>
      <c r="S310" s="221"/>
      <c r="T310" s="221"/>
      <c r="U310" s="221"/>
      <c r="V310" s="221"/>
      <c r="W310" s="221"/>
      <c r="X310" s="221"/>
      <c r="Y310" s="222"/>
      <c r="Z310" s="220" t="str">
        <f ca="1">'Financial Planning Tool'!L113</f>
        <v/>
      </c>
      <c r="AA310" s="221"/>
      <c r="AB310" s="221"/>
      <c r="AC310" s="221"/>
      <c r="AD310" s="221"/>
      <c r="AE310" s="221"/>
      <c r="AF310" s="221"/>
      <c r="AG310" s="222"/>
      <c r="AH310" s="220" t="str">
        <f ca="1">'Financial Planning Tool'!M113</f>
        <v/>
      </c>
      <c r="AI310" s="221"/>
      <c r="AJ310" s="221"/>
      <c r="AK310" s="221"/>
      <c r="AL310" s="221"/>
      <c r="AM310" s="221"/>
      <c r="AN310" s="221"/>
      <c r="AO310" s="222"/>
      <c r="AP310" s="220">
        <f ca="1">'Financial Planning Tool'!N113</f>
        <v>-4857.16</v>
      </c>
      <c r="AQ310" s="221"/>
      <c r="AR310" s="221"/>
      <c r="AS310" s="221"/>
      <c r="AT310" s="221"/>
      <c r="AU310" s="221"/>
      <c r="AV310" s="221"/>
      <c r="AW310" s="222"/>
      <c r="AX310" s="220">
        <f ca="1">'Financial Planning Tool'!O113</f>
        <v>-490.6</v>
      </c>
      <c r="AY310" s="221"/>
      <c r="AZ310" s="221"/>
      <c r="BA310" s="221"/>
      <c r="BB310" s="221"/>
      <c r="BC310" s="221"/>
      <c r="BD310" s="221"/>
      <c r="BE310" s="222"/>
      <c r="BF310" s="220">
        <f ca="1">'Financial Planning Tool'!P113</f>
        <v>25170.04</v>
      </c>
      <c r="BG310" s="221"/>
      <c r="BH310" s="221"/>
      <c r="BI310" s="221"/>
      <c r="BJ310" s="221"/>
      <c r="BK310" s="221"/>
      <c r="BL310" s="221"/>
      <c r="BM310" s="222"/>
      <c r="BN310" s="220">
        <f ca="1">'Financial Planning Tool'!Q113</f>
        <v>2488.38</v>
      </c>
      <c r="BO310" s="221"/>
      <c r="BP310" s="221"/>
      <c r="BQ310" s="221"/>
      <c r="BR310" s="221"/>
      <c r="BS310" s="221"/>
      <c r="BT310" s="221"/>
      <c r="BU310" s="222"/>
    </row>
    <row r="311" spans="2:73" x14ac:dyDescent="0.25">
      <c r="B311" s="215">
        <f ca="1">'Financial Planning Tool'!H114</f>
        <v>67541</v>
      </c>
      <c r="C311" s="216"/>
      <c r="D311" s="216"/>
      <c r="E311" s="217"/>
      <c r="F311" s="218">
        <f ca="1">'Financial Planning Tool'!I114</f>
        <v>114</v>
      </c>
      <c r="G311" s="186"/>
      <c r="H311" s="186"/>
      <c r="I311" s="219"/>
      <c r="J311" s="220" t="str">
        <f ca="1">'Financial Planning Tool'!J114</f>
        <v/>
      </c>
      <c r="K311" s="221"/>
      <c r="L311" s="221"/>
      <c r="M311" s="221"/>
      <c r="N311" s="221"/>
      <c r="O311" s="221"/>
      <c r="P311" s="221"/>
      <c r="Q311" s="222"/>
      <c r="R311" s="220" t="str">
        <f ca="1">'Financial Planning Tool'!K114</f>
        <v/>
      </c>
      <c r="S311" s="221"/>
      <c r="T311" s="221"/>
      <c r="U311" s="221"/>
      <c r="V311" s="221"/>
      <c r="W311" s="221"/>
      <c r="X311" s="221"/>
      <c r="Y311" s="222"/>
      <c r="Z311" s="220" t="str">
        <f ca="1">'Financial Planning Tool'!L114</f>
        <v/>
      </c>
      <c r="AA311" s="221"/>
      <c r="AB311" s="221"/>
      <c r="AC311" s="221"/>
      <c r="AD311" s="221"/>
      <c r="AE311" s="221"/>
      <c r="AF311" s="221"/>
      <c r="AG311" s="222"/>
      <c r="AH311" s="220" t="str">
        <f ca="1">'Financial Planning Tool'!M114</f>
        <v/>
      </c>
      <c r="AI311" s="221"/>
      <c r="AJ311" s="221"/>
      <c r="AK311" s="221"/>
      <c r="AL311" s="221"/>
      <c r="AM311" s="221"/>
      <c r="AN311" s="221"/>
      <c r="AO311" s="222"/>
      <c r="AP311" s="220">
        <f ca="1">'Financial Planning Tool'!N114</f>
        <v>-4403.41</v>
      </c>
      <c r="AQ311" s="221"/>
      <c r="AR311" s="221"/>
      <c r="AS311" s="221"/>
      <c r="AT311" s="221"/>
      <c r="AU311" s="221"/>
      <c r="AV311" s="221"/>
      <c r="AW311" s="222"/>
      <c r="AX311" s="220">
        <f ca="1">'Financial Planning Tool'!O114</f>
        <v>-427.66</v>
      </c>
      <c r="AY311" s="221"/>
      <c r="AZ311" s="221"/>
      <c r="BA311" s="221"/>
      <c r="BB311" s="221"/>
      <c r="BC311" s="221"/>
      <c r="BD311" s="221"/>
      <c r="BE311" s="222"/>
      <c r="BF311" s="220">
        <f ca="1">'Financial Planning Tool'!P114</f>
        <v>22818.68</v>
      </c>
      <c r="BG311" s="221"/>
      <c r="BH311" s="221"/>
      <c r="BI311" s="221"/>
      <c r="BJ311" s="221"/>
      <c r="BK311" s="221"/>
      <c r="BL311" s="221"/>
      <c r="BM311" s="222"/>
      <c r="BN311" s="220">
        <f ca="1">'Financial Planning Tool'!Q114</f>
        <v>2169.15</v>
      </c>
      <c r="BO311" s="221"/>
      <c r="BP311" s="221"/>
      <c r="BQ311" s="221"/>
      <c r="BR311" s="221"/>
      <c r="BS311" s="221"/>
      <c r="BT311" s="221"/>
      <c r="BU311" s="222"/>
    </row>
    <row r="312" spans="2:73" x14ac:dyDescent="0.25">
      <c r="B312" s="215">
        <f ca="1">'Financial Planning Tool'!H115</f>
        <v>67906</v>
      </c>
      <c r="C312" s="216"/>
      <c r="D312" s="216"/>
      <c r="E312" s="217"/>
      <c r="F312" s="218">
        <f ca="1">'Financial Planning Tool'!I115</f>
        <v>115</v>
      </c>
      <c r="G312" s="186"/>
      <c r="H312" s="186"/>
      <c r="I312" s="219"/>
      <c r="J312" s="220" t="str">
        <f ca="1">'Financial Planning Tool'!J115</f>
        <v/>
      </c>
      <c r="K312" s="221"/>
      <c r="L312" s="221"/>
      <c r="M312" s="221"/>
      <c r="N312" s="221"/>
      <c r="O312" s="221"/>
      <c r="P312" s="221"/>
      <c r="Q312" s="222"/>
      <c r="R312" s="220" t="str">
        <f ca="1">'Financial Planning Tool'!K115</f>
        <v/>
      </c>
      <c r="S312" s="221"/>
      <c r="T312" s="221"/>
      <c r="U312" s="221"/>
      <c r="V312" s="221"/>
      <c r="W312" s="221"/>
      <c r="X312" s="221"/>
      <c r="Y312" s="222"/>
      <c r="Z312" s="220" t="str">
        <f ca="1">'Financial Planning Tool'!L115</f>
        <v/>
      </c>
      <c r="AA312" s="221"/>
      <c r="AB312" s="221"/>
      <c r="AC312" s="221"/>
      <c r="AD312" s="221"/>
      <c r="AE312" s="221"/>
      <c r="AF312" s="221"/>
      <c r="AG312" s="222"/>
      <c r="AH312" s="220" t="str">
        <f ca="1">'Financial Planning Tool'!M115</f>
        <v/>
      </c>
      <c r="AI312" s="221"/>
      <c r="AJ312" s="221"/>
      <c r="AK312" s="221"/>
      <c r="AL312" s="221"/>
      <c r="AM312" s="221"/>
      <c r="AN312" s="221"/>
      <c r="AO312" s="222"/>
      <c r="AP312" s="220">
        <f ca="1">'Financial Planning Tool'!N115</f>
        <v>-3992.05</v>
      </c>
      <c r="AQ312" s="221"/>
      <c r="AR312" s="221"/>
      <c r="AS312" s="221"/>
      <c r="AT312" s="221"/>
      <c r="AU312" s="221"/>
      <c r="AV312" s="221"/>
      <c r="AW312" s="222"/>
      <c r="AX312" s="220">
        <f ca="1">'Financial Planning Tool'!O115</f>
        <v>-372.8</v>
      </c>
      <c r="AY312" s="221"/>
      <c r="AZ312" s="221"/>
      <c r="BA312" s="221"/>
      <c r="BB312" s="221"/>
      <c r="BC312" s="221"/>
      <c r="BD312" s="221"/>
      <c r="BE312" s="222"/>
      <c r="BF312" s="220">
        <f ca="1">'Financial Planning Tool'!P115</f>
        <v>20686.990000000002</v>
      </c>
      <c r="BG312" s="221"/>
      <c r="BH312" s="221"/>
      <c r="BI312" s="221"/>
      <c r="BJ312" s="221"/>
      <c r="BK312" s="221"/>
      <c r="BL312" s="221"/>
      <c r="BM312" s="222"/>
      <c r="BN312" s="220">
        <f ca="1">'Financial Planning Tool'!Q115</f>
        <v>1890.88</v>
      </c>
      <c r="BO312" s="221"/>
      <c r="BP312" s="221"/>
      <c r="BQ312" s="221"/>
      <c r="BR312" s="221"/>
      <c r="BS312" s="221"/>
      <c r="BT312" s="221"/>
      <c r="BU312" s="222"/>
    </row>
    <row r="313" spans="2:73" x14ac:dyDescent="0.25">
      <c r="B313" s="215">
        <f ca="1">'Financial Planning Tool'!H116</f>
        <v>68271</v>
      </c>
      <c r="C313" s="216"/>
      <c r="D313" s="216"/>
      <c r="E313" s="217"/>
      <c r="F313" s="218">
        <f ca="1">'Financial Planning Tool'!I116</f>
        <v>116</v>
      </c>
      <c r="G313" s="186"/>
      <c r="H313" s="186"/>
      <c r="I313" s="219"/>
      <c r="J313" s="220" t="str">
        <f ca="1">'Financial Planning Tool'!J116</f>
        <v/>
      </c>
      <c r="K313" s="221"/>
      <c r="L313" s="221"/>
      <c r="M313" s="221"/>
      <c r="N313" s="221"/>
      <c r="O313" s="221"/>
      <c r="P313" s="221"/>
      <c r="Q313" s="222"/>
      <c r="R313" s="220" t="str">
        <f ca="1">'Financial Planning Tool'!K116</f>
        <v/>
      </c>
      <c r="S313" s="221"/>
      <c r="T313" s="221"/>
      <c r="U313" s="221"/>
      <c r="V313" s="221"/>
      <c r="W313" s="221"/>
      <c r="X313" s="221"/>
      <c r="Y313" s="222"/>
      <c r="Z313" s="220" t="str">
        <f ca="1">'Financial Planning Tool'!L116</f>
        <v/>
      </c>
      <c r="AA313" s="221"/>
      <c r="AB313" s="221"/>
      <c r="AC313" s="221"/>
      <c r="AD313" s="221"/>
      <c r="AE313" s="221"/>
      <c r="AF313" s="221"/>
      <c r="AG313" s="222"/>
      <c r="AH313" s="220" t="str">
        <f ca="1">'Financial Planning Tool'!M116</f>
        <v/>
      </c>
      <c r="AI313" s="221"/>
      <c r="AJ313" s="221"/>
      <c r="AK313" s="221"/>
      <c r="AL313" s="221"/>
      <c r="AM313" s="221"/>
      <c r="AN313" s="221"/>
      <c r="AO313" s="222"/>
      <c r="AP313" s="220">
        <f ca="1">'Financial Planning Tool'!N116</f>
        <v>-3619.11</v>
      </c>
      <c r="AQ313" s="221"/>
      <c r="AR313" s="221"/>
      <c r="AS313" s="221"/>
      <c r="AT313" s="221"/>
      <c r="AU313" s="221"/>
      <c r="AV313" s="221"/>
      <c r="AW313" s="222"/>
      <c r="AX313" s="220">
        <f ca="1">'Financial Planning Tool'!O116</f>
        <v>-324.98</v>
      </c>
      <c r="AY313" s="221"/>
      <c r="AZ313" s="221"/>
      <c r="BA313" s="221"/>
      <c r="BB313" s="221"/>
      <c r="BC313" s="221"/>
      <c r="BD313" s="221"/>
      <c r="BE313" s="222"/>
      <c r="BF313" s="220">
        <f ca="1">'Financial Planning Tool'!P116</f>
        <v>18754.43</v>
      </c>
      <c r="BG313" s="221"/>
      <c r="BH313" s="221"/>
      <c r="BI313" s="221"/>
      <c r="BJ313" s="221"/>
      <c r="BK313" s="221"/>
      <c r="BL313" s="221"/>
      <c r="BM313" s="222"/>
      <c r="BN313" s="220">
        <f ca="1">'Financial Planning Tool'!Q116</f>
        <v>1648.3</v>
      </c>
      <c r="BO313" s="221"/>
      <c r="BP313" s="221"/>
      <c r="BQ313" s="221"/>
      <c r="BR313" s="221"/>
      <c r="BS313" s="221"/>
      <c r="BT313" s="221"/>
      <c r="BU313" s="222"/>
    </row>
    <row r="314" spans="2:73" x14ac:dyDescent="0.25">
      <c r="B314" s="215">
        <f ca="1">'Financial Planning Tool'!H117</f>
        <v>68636</v>
      </c>
      <c r="C314" s="216"/>
      <c r="D314" s="216"/>
      <c r="E314" s="217"/>
      <c r="F314" s="218">
        <f ca="1">'Financial Planning Tool'!I117</f>
        <v>117</v>
      </c>
      <c r="G314" s="186"/>
      <c r="H314" s="186"/>
      <c r="I314" s="219"/>
      <c r="J314" s="220" t="str">
        <f ca="1">'Financial Planning Tool'!J117</f>
        <v/>
      </c>
      <c r="K314" s="221"/>
      <c r="L314" s="221"/>
      <c r="M314" s="221"/>
      <c r="N314" s="221"/>
      <c r="O314" s="221"/>
      <c r="P314" s="221"/>
      <c r="Q314" s="222"/>
      <c r="R314" s="220" t="str">
        <f ca="1">'Financial Planning Tool'!K117</f>
        <v/>
      </c>
      <c r="S314" s="221"/>
      <c r="T314" s="221"/>
      <c r="U314" s="221"/>
      <c r="V314" s="221"/>
      <c r="W314" s="221"/>
      <c r="X314" s="221"/>
      <c r="Y314" s="222"/>
      <c r="Z314" s="220" t="str">
        <f ca="1">'Financial Planning Tool'!L117</f>
        <v/>
      </c>
      <c r="AA314" s="221"/>
      <c r="AB314" s="221"/>
      <c r="AC314" s="221"/>
      <c r="AD314" s="221"/>
      <c r="AE314" s="221"/>
      <c r="AF314" s="221"/>
      <c r="AG314" s="222"/>
      <c r="AH314" s="220" t="str">
        <f ca="1">'Financial Planning Tool'!M117</f>
        <v/>
      </c>
      <c r="AI314" s="221"/>
      <c r="AJ314" s="221"/>
      <c r="AK314" s="221"/>
      <c r="AL314" s="221"/>
      <c r="AM314" s="221"/>
      <c r="AN314" s="221"/>
      <c r="AO314" s="222"/>
      <c r="AP314" s="220">
        <f ca="1">'Financial Planning Tool'!N117</f>
        <v>-3281.02</v>
      </c>
      <c r="AQ314" s="221"/>
      <c r="AR314" s="221"/>
      <c r="AS314" s="221"/>
      <c r="AT314" s="221"/>
      <c r="AU314" s="221"/>
      <c r="AV314" s="221"/>
      <c r="AW314" s="222"/>
      <c r="AX314" s="220">
        <f ca="1">'Financial Planning Tool'!O117</f>
        <v>-283.27999999999997</v>
      </c>
      <c r="AY314" s="221"/>
      <c r="AZ314" s="221"/>
      <c r="BA314" s="221"/>
      <c r="BB314" s="221"/>
      <c r="BC314" s="221"/>
      <c r="BD314" s="221"/>
      <c r="BE314" s="222"/>
      <c r="BF314" s="220">
        <f ca="1">'Financial Planning Tool'!P117</f>
        <v>17002.41</v>
      </c>
      <c r="BG314" s="221"/>
      <c r="BH314" s="221"/>
      <c r="BI314" s="221"/>
      <c r="BJ314" s="221"/>
      <c r="BK314" s="221"/>
      <c r="BL314" s="221"/>
      <c r="BM314" s="222"/>
      <c r="BN314" s="220">
        <f ca="1">'Financial Planning Tool'!Q117</f>
        <v>1436.85</v>
      </c>
      <c r="BO314" s="221"/>
      <c r="BP314" s="221"/>
      <c r="BQ314" s="221"/>
      <c r="BR314" s="221"/>
      <c r="BS314" s="221"/>
      <c r="BT314" s="221"/>
      <c r="BU314" s="222"/>
    </row>
    <row r="315" spans="2:73" x14ac:dyDescent="0.25">
      <c r="B315" s="215">
        <f ca="1">'Financial Planning Tool'!H118</f>
        <v>69002</v>
      </c>
      <c r="C315" s="216"/>
      <c r="D315" s="216"/>
      <c r="E315" s="217"/>
      <c r="F315" s="218">
        <f ca="1">'Financial Planning Tool'!I118</f>
        <v>118</v>
      </c>
      <c r="G315" s="186"/>
      <c r="H315" s="186"/>
      <c r="I315" s="219"/>
      <c r="J315" s="220" t="str">
        <f ca="1">'Financial Planning Tool'!J118</f>
        <v/>
      </c>
      <c r="K315" s="221"/>
      <c r="L315" s="221"/>
      <c r="M315" s="221"/>
      <c r="N315" s="221"/>
      <c r="O315" s="221"/>
      <c r="P315" s="221"/>
      <c r="Q315" s="222"/>
      <c r="R315" s="220" t="str">
        <f ca="1">'Financial Planning Tool'!K118</f>
        <v/>
      </c>
      <c r="S315" s="221"/>
      <c r="T315" s="221"/>
      <c r="U315" s="221"/>
      <c r="V315" s="221"/>
      <c r="W315" s="221"/>
      <c r="X315" s="221"/>
      <c r="Y315" s="222"/>
      <c r="Z315" s="220" t="str">
        <f ca="1">'Financial Planning Tool'!L118</f>
        <v/>
      </c>
      <c r="AA315" s="221"/>
      <c r="AB315" s="221"/>
      <c r="AC315" s="221"/>
      <c r="AD315" s="221"/>
      <c r="AE315" s="221"/>
      <c r="AF315" s="221"/>
      <c r="AG315" s="222"/>
      <c r="AH315" s="220" t="str">
        <f ca="1">'Financial Planning Tool'!M118</f>
        <v/>
      </c>
      <c r="AI315" s="221"/>
      <c r="AJ315" s="221"/>
      <c r="AK315" s="221"/>
      <c r="AL315" s="221"/>
      <c r="AM315" s="221"/>
      <c r="AN315" s="221"/>
      <c r="AO315" s="222"/>
      <c r="AP315" s="220">
        <f ca="1">'Financial Planning Tool'!N118</f>
        <v>-2974.51</v>
      </c>
      <c r="AQ315" s="221"/>
      <c r="AR315" s="221"/>
      <c r="AS315" s="221"/>
      <c r="AT315" s="221"/>
      <c r="AU315" s="221"/>
      <c r="AV315" s="221"/>
      <c r="AW315" s="222"/>
      <c r="AX315" s="220">
        <f ca="1">'Financial Planning Tool'!O118</f>
        <v>-246.94</v>
      </c>
      <c r="AY315" s="221"/>
      <c r="AZ315" s="221"/>
      <c r="BA315" s="221"/>
      <c r="BB315" s="221"/>
      <c r="BC315" s="221"/>
      <c r="BD315" s="221"/>
      <c r="BE315" s="222"/>
      <c r="BF315" s="220">
        <f ca="1">'Financial Planning Tool'!P118</f>
        <v>15414.06</v>
      </c>
      <c r="BG315" s="221"/>
      <c r="BH315" s="221"/>
      <c r="BI315" s="221"/>
      <c r="BJ315" s="221"/>
      <c r="BK315" s="221"/>
      <c r="BL315" s="221"/>
      <c r="BM315" s="222"/>
      <c r="BN315" s="220">
        <f ca="1">'Financial Planning Tool'!Q118</f>
        <v>1252.52</v>
      </c>
      <c r="BO315" s="221"/>
      <c r="BP315" s="221"/>
      <c r="BQ315" s="221"/>
      <c r="BR315" s="221"/>
      <c r="BS315" s="221"/>
      <c r="BT315" s="221"/>
      <c r="BU315" s="222"/>
    </row>
    <row r="316" spans="2:73" x14ac:dyDescent="0.25">
      <c r="B316" s="215">
        <f ca="1">'Financial Planning Tool'!H119</f>
        <v>69367</v>
      </c>
      <c r="C316" s="216"/>
      <c r="D316" s="216"/>
      <c r="E316" s="217"/>
      <c r="F316" s="218">
        <f ca="1">'Financial Planning Tool'!I119</f>
        <v>119</v>
      </c>
      <c r="G316" s="186"/>
      <c r="H316" s="186"/>
      <c r="I316" s="219"/>
      <c r="J316" s="220" t="str">
        <f ca="1">'Financial Planning Tool'!J119</f>
        <v/>
      </c>
      <c r="K316" s="221"/>
      <c r="L316" s="221"/>
      <c r="M316" s="221"/>
      <c r="N316" s="221"/>
      <c r="O316" s="221"/>
      <c r="P316" s="221"/>
      <c r="Q316" s="222"/>
      <c r="R316" s="220" t="str">
        <f ca="1">'Financial Planning Tool'!K119</f>
        <v/>
      </c>
      <c r="S316" s="221"/>
      <c r="T316" s="221"/>
      <c r="U316" s="221"/>
      <c r="V316" s="221"/>
      <c r="W316" s="221"/>
      <c r="X316" s="221"/>
      <c r="Y316" s="222"/>
      <c r="Z316" s="220" t="str">
        <f ca="1">'Financial Planning Tool'!L119</f>
        <v/>
      </c>
      <c r="AA316" s="221"/>
      <c r="AB316" s="221"/>
      <c r="AC316" s="221"/>
      <c r="AD316" s="221"/>
      <c r="AE316" s="221"/>
      <c r="AF316" s="221"/>
      <c r="AG316" s="222"/>
      <c r="AH316" s="220" t="str">
        <f ca="1">'Financial Planning Tool'!M119</f>
        <v/>
      </c>
      <c r="AI316" s="221"/>
      <c r="AJ316" s="221"/>
      <c r="AK316" s="221"/>
      <c r="AL316" s="221"/>
      <c r="AM316" s="221"/>
      <c r="AN316" s="221"/>
      <c r="AO316" s="222"/>
      <c r="AP316" s="220">
        <f ca="1">'Financial Planning Tool'!N119</f>
        <v>-2696.64</v>
      </c>
      <c r="AQ316" s="221"/>
      <c r="AR316" s="221"/>
      <c r="AS316" s="221"/>
      <c r="AT316" s="221"/>
      <c r="AU316" s="221"/>
      <c r="AV316" s="221"/>
      <c r="AW316" s="222"/>
      <c r="AX316" s="220">
        <f ca="1">'Financial Planning Tool'!O119</f>
        <v>-215.26</v>
      </c>
      <c r="AY316" s="221"/>
      <c r="AZ316" s="221"/>
      <c r="BA316" s="221"/>
      <c r="BB316" s="221"/>
      <c r="BC316" s="221"/>
      <c r="BD316" s="221"/>
      <c r="BE316" s="222"/>
      <c r="BF316" s="220">
        <f ca="1">'Financial Planning Tool'!P119</f>
        <v>13974.1</v>
      </c>
      <c r="BG316" s="221"/>
      <c r="BH316" s="221"/>
      <c r="BI316" s="221"/>
      <c r="BJ316" s="221"/>
      <c r="BK316" s="221"/>
      <c r="BL316" s="221"/>
      <c r="BM316" s="222"/>
      <c r="BN316" s="220">
        <f ca="1">'Financial Planning Tool'!Q119</f>
        <v>1091.83</v>
      </c>
      <c r="BO316" s="221"/>
      <c r="BP316" s="221"/>
      <c r="BQ316" s="221"/>
      <c r="BR316" s="221"/>
      <c r="BS316" s="221"/>
      <c r="BT316" s="221"/>
      <c r="BU316" s="222"/>
    </row>
    <row r="317" spans="2:73" x14ac:dyDescent="0.25">
      <c r="B317" s="215">
        <f ca="1">'Financial Planning Tool'!H120</f>
        <v>69732</v>
      </c>
      <c r="C317" s="216"/>
      <c r="D317" s="216"/>
      <c r="E317" s="217"/>
      <c r="F317" s="218">
        <f ca="1">'Financial Planning Tool'!I120</f>
        <v>120</v>
      </c>
      <c r="G317" s="186"/>
      <c r="H317" s="186"/>
      <c r="I317" s="219"/>
      <c r="J317" s="220" t="str">
        <f ca="1">'Financial Planning Tool'!J120</f>
        <v/>
      </c>
      <c r="K317" s="221"/>
      <c r="L317" s="221"/>
      <c r="M317" s="221"/>
      <c r="N317" s="221"/>
      <c r="O317" s="221"/>
      <c r="P317" s="221"/>
      <c r="Q317" s="222"/>
      <c r="R317" s="220" t="str">
        <f ca="1">'Financial Planning Tool'!K120</f>
        <v/>
      </c>
      <c r="S317" s="221"/>
      <c r="T317" s="221"/>
      <c r="U317" s="221"/>
      <c r="V317" s="221"/>
      <c r="W317" s="221"/>
      <c r="X317" s="221"/>
      <c r="Y317" s="222"/>
      <c r="Z317" s="220" t="str">
        <f ca="1">'Financial Planning Tool'!L120</f>
        <v/>
      </c>
      <c r="AA317" s="221"/>
      <c r="AB317" s="221"/>
      <c r="AC317" s="221"/>
      <c r="AD317" s="221"/>
      <c r="AE317" s="221"/>
      <c r="AF317" s="221"/>
      <c r="AG317" s="222"/>
      <c r="AH317" s="220" t="str">
        <f ca="1">'Financial Planning Tool'!M120</f>
        <v/>
      </c>
      <c r="AI317" s="221"/>
      <c r="AJ317" s="221"/>
      <c r="AK317" s="221"/>
      <c r="AL317" s="221"/>
      <c r="AM317" s="221"/>
      <c r="AN317" s="221"/>
      <c r="AO317" s="222"/>
      <c r="AP317" s="220">
        <f ca="1">'Financial Planning Tool'!N120</f>
        <v>-2444.7199999999998</v>
      </c>
      <c r="AQ317" s="221"/>
      <c r="AR317" s="221"/>
      <c r="AS317" s="221"/>
      <c r="AT317" s="221"/>
      <c r="AU317" s="221"/>
      <c r="AV317" s="221"/>
      <c r="AW317" s="222"/>
      <c r="AX317" s="220">
        <f ca="1">'Financial Planning Tool'!O120</f>
        <v>-187.65</v>
      </c>
      <c r="AY317" s="221"/>
      <c r="AZ317" s="221"/>
      <c r="BA317" s="221"/>
      <c r="BB317" s="221"/>
      <c r="BC317" s="221"/>
      <c r="BD317" s="221"/>
      <c r="BE317" s="222"/>
      <c r="BF317" s="220">
        <f ca="1">'Financial Planning Tool'!P120</f>
        <v>12668.65</v>
      </c>
      <c r="BG317" s="221"/>
      <c r="BH317" s="221"/>
      <c r="BI317" s="221"/>
      <c r="BJ317" s="221"/>
      <c r="BK317" s="221"/>
      <c r="BL317" s="221"/>
      <c r="BM317" s="222"/>
      <c r="BN317" s="220">
        <f ca="1">'Financial Planning Tool'!Q120</f>
        <v>951.77</v>
      </c>
      <c r="BO317" s="221"/>
      <c r="BP317" s="221"/>
      <c r="BQ317" s="221"/>
      <c r="BR317" s="221"/>
      <c r="BS317" s="221"/>
      <c r="BT317" s="221"/>
      <c r="BU317" s="222"/>
    </row>
    <row r="318" spans="2:73" x14ac:dyDescent="0.25">
      <c r="B318" s="215">
        <f ca="1">'Financial Planning Tool'!H121</f>
        <v>70097</v>
      </c>
      <c r="C318" s="216"/>
      <c r="D318" s="216"/>
      <c r="E318" s="217"/>
      <c r="F318" s="218">
        <f ca="1">'Financial Planning Tool'!I121</f>
        <v>121</v>
      </c>
      <c r="G318" s="186"/>
      <c r="H318" s="186"/>
      <c r="I318" s="219"/>
      <c r="J318" s="220" t="str">
        <f ca="1">'Financial Planning Tool'!J121</f>
        <v/>
      </c>
      <c r="K318" s="221"/>
      <c r="L318" s="221"/>
      <c r="M318" s="221"/>
      <c r="N318" s="221"/>
      <c r="O318" s="221"/>
      <c r="P318" s="221"/>
      <c r="Q318" s="222"/>
      <c r="R318" s="220" t="str">
        <f ca="1">'Financial Planning Tool'!K121</f>
        <v/>
      </c>
      <c r="S318" s="221"/>
      <c r="T318" s="221"/>
      <c r="U318" s="221"/>
      <c r="V318" s="221"/>
      <c r="W318" s="221"/>
      <c r="X318" s="221"/>
      <c r="Y318" s="222"/>
      <c r="Z318" s="220" t="str">
        <f ca="1">'Financial Planning Tool'!L121</f>
        <v/>
      </c>
      <c r="AA318" s="221"/>
      <c r="AB318" s="221"/>
      <c r="AC318" s="221"/>
      <c r="AD318" s="221"/>
      <c r="AE318" s="221"/>
      <c r="AF318" s="221"/>
      <c r="AG318" s="222"/>
      <c r="AH318" s="220" t="str">
        <f ca="1">'Financial Planning Tool'!M121</f>
        <v/>
      </c>
      <c r="AI318" s="221"/>
      <c r="AJ318" s="221"/>
      <c r="AK318" s="221"/>
      <c r="AL318" s="221"/>
      <c r="AM318" s="221"/>
      <c r="AN318" s="221"/>
      <c r="AO318" s="222"/>
      <c r="AP318" s="220">
        <f ca="1">'Financial Planning Tool'!N121</f>
        <v>-2216.34</v>
      </c>
      <c r="AQ318" s="221"/>
      <c r="AR318" s="221"/>
      <c r="AS318" s="221"/>
      <c r="AT318" s="221"/>
      <c r="AU318" s="221"/>
      <c r="AV318" s="221"/>
      <c r="AW318" s="222"/>
      <c r="AX318" s="220">
        <f ca="1">'Financial Planning Tool'!O121</f>
        <v>-163.57</v>
      </c>
      <c r="AY318" s="221"/>
      <c r="AZ318" s="221"/>
      <c r="BA318" s="221"/>
      <c r="BB318" s="221"/>
      <c r="BC318" s="221"/>
      <c r="BD318" s="221"/>
      <c r="BE318" s="222"/>
      <c r="BF318" s="220">
        <f ca="1">'Financial Planning Tool'!P121</f>
        <v>11485.16</v>
      </c>
      <c r="BG318" s="221"/>
      <c r="BH318" s="221"/>
      <c r="BI318" s="221"/>
      <c r="BJ318" s="221"/>
      <c r="BK318" s="221"/>
      <c r="BL318" s="221"/>
      <c r="BM318" s="222"/>
      <c r="BN318" s="220">
        <f ca="1">'Financial Planning Tool'!Q121</f>
        <v>829.67</v>
      </c>
      <c r="BO318" s="221"/>
      <c r="BP318" s="221"/>
      <c r="BQ318" s="221"/>
      <c r="BR318" s="221"/>
      <c r="BS318" s="221"/>
      <c r="BT318" s="221"/>
      <c r="BU318" s="222"/>
    </row>
    <row r="319" spans="2:73" x14ac:dyDescent="0.25">
      <c r="B319" s="215">
        <f ca="1">'Financial Planning Tool'!H122</f>
        <v>70463</v>
      </c>
      <c r="C319" s="216"/>
      <c r="D319" s="216"/>
      <c r="E319" s="217"/>
      <c r="F319" s="218">
        <f ca="1">'Financial Planning Tool'!I122</f>
        <v>122</v>
      </c>
      <c r="G319" s="186"/>
      <c r="H319" s="186"/>
      <c r="I319" s="219"/>
      <c r="J319" s="220" t="str">
        <f ca="1">'Financial Planning Tool'!J122</f>
        <v/>
      </c>
      <c r="K319" s="221"/>
      <c r="L319" s="221"/>
      <c r="M319" s="221"/>
      <c r="N319" s="221"/>
      <c r="O319" s="221"/>
      <c r="P319" s="221"/>
      <c r="Q319" s="222"/>
      <c r="R319" s="220" t="str">
        <f ca="1">'Financial Planning Tool'!K122</f>
        <v/>
      </c>
      <c r="S319" s="221"/>
      <c r="T319" s="221"/>
      <c r="U319" s="221"/>
      <c r="V319" s="221"/>
      <c r="W319" s="221"/>
      <c r="X319" s="221"/>
      <c r="Y319" s="222"/>
      <c r="Z319" s="220" t="str">
        <f ca="1">'Financial Planning Tool'!L122</f>
        <v/>
      </c>
      <c r="AA319" s="221"/>
      <c r="AB319" s="221"/>
      <c r="AC319" s="221"/>
      <c r="AD319" s="221"/>
      <c r="AE319" s="221"/>
      <c r="AF319" s="221"/>
      <c r="AG319" s="222"/>
      <c r="AH319" s="220" t="str">
        <f ca="1">'Financial Planning Tool'!M122</f>
        <v/>
      </c>
      <c r="AI319" s="221"/>
      <c r="AJ319" s="221"/>
      <c r="AK319" s="221"/>
      <c r="AL319" s="221"/>
      <c r="AM319" s="221"/>
      <c r="AN319" s="221"/>
      <c r="AO319" s="222"/>
      <c r="AP319" s="220">
        <f ca="1">'Financial Planning Tool'!N122</f>
        <v>-2009.29</v>
      </c>
      <c r="AQ319" s="221"/>
      <c r="AR319" s="221"/>
      <c r="AS319" s="221"/>
      <c r="AT319" s="221"/>
      <c r="AU319" s="221"/>
      <c r="AV319" s="221"/>
      <c r="AW319" s="222"/>
      <c r="AX319" s="220">
        <f ca="1">'Financial Planning Tool'!O122</f>
        <v>-142.59</v>
      </c>
      <c r="AY319" s="221"/>
      <c r="AZ319" s="221"/>
      <c r="BA319" s="221"/>
      <c r="BB319" s="221"/>
      <c r="BC319" s="221"/>
      <c r="BD319" s="221"/>
      <c r="BE319" s="222"/>
      <c r="BF319" s="220">
        <f ca="1">'Financial Planning Tool'!P122</f>
        <v>10412.23</v>
      </c>
      <c r="BG319" s="221"/>
      <c r="BH319" s="221"/>
      <c r="BI319" s="221"/>
      <c r="BJ319" s="221"/>
      <c r="BK319" s="221"/>
      <c r="BL319" s="221"/>
      <c r="BM319" s="222"/>
      <c r="BN319" s="220">
        <f ca="1">'Financial Planning Tool'!Q122</f>
        <v>723.23</v>
      </c>
      <c r="BO319" s="221"/>
      <c r="BP319" s="221"/>
      <c r="BQ319" s="221"/>
      <c r="BR319" s="221"/>
      <c r="BS319" s="221"/>
      <c r="BT319" s="221"/>
      <c r="BU319" s="222"/>
    </row>
    <row r="320" spans="2:73" x14ac:dyDescent="0.25">
      <c r="B320" s="215">
        <f ca="1">'Financial Planning Tool'!H123</f>
        <v>70828</v>
      </c>
      <c r="C320" s="216"/>
      <c r="D320" s="216"/>
      <c r="E320" s="217"/>
      <c r="F320" s="218">
        <f ca="1">'Financial Planning Tool'!I123</f>
        <v>123</v>
      </c>
      <c r="G320" s="186"/>
      <c r="H320" s="186"/>
      <c r="I320" s="219"/>
      <c r="J320" s="220" t="str">
        <f ca="1">'Financial Planning Tool'!J123</f>
        <v/>
      </c>
      <c r="K320" s="221"/>
      <c r="L320" s="221"/>
      <c r="M320" s="221"/>
      <c r="N320" s="221"/>
      <c r="O320" s="221"/>
      <c r="P320" s="221"/>
      <c r="Q320" s="222"/>
      <c r="R320" s="220" t="str">
        <f ca="1">'Financial Planning Tool'!K123</f>
        <v/>
      </c>
      <c r="S320" s="221"/>
      <c r="T320" s="221"/>
      <c r="U320" s="221"/>
      <c r="V320" s="221"/>
      <c r="W320" s="221"/>
      <c r="X320" s="221"/>
      <c r="Y320" s="222"/>
      <c r="Z320" s="220" t="str">
        <f ca="1">'Financial Planning Tool'!L123</f>
        <v/>
      </c>
      <c r="AA320" s="221"/>
      <c r="AB320" s="221"/>
      <c r="AC320" s="221"/>
      <c r="AD320" s="221"/>
      <c r="AE320" s="221"/>
      <c r="AF320" s="221"/>
      <c r="AG320" s="222"/>
      <c r="AH320" s="220" t="str">
        <f ca="1">'Financial Planning Tool'!M123</f>
        <v/>
      </c>
      <c r="AI320" s="221"/>
      <c r="AJ320" s="221"/>
      <c r="AK320" s="221"/>
      <c r="AL320" s="221"/>
      <c r="AM320" s="221"/>
      <c r="AN320" s="221"/>
      <c r="AO320" s="222"/>
      <c r="AP320" s="220">
        <f ca="1">'Financial Planning Tool'!N123</f>
        <v>-1821.58</v>
      </c>
      <c r="AQ320" s="221"/>
      <c r="AR320" s="221"/>
      <c r="AS320" s="221"/>
      <c r="AT320" s="221"/>
      <c r="AU320" s="221"/>
      <c r="AV320" s="221"/>
      <c r="AW320" s="222"/>
      <c r="AX320" s="220">
        <f ca="1">'Financial Planning Tool'!O123</f>
        <v>-124.3</v>
      </c>
      <c r="AY320" s="221"/>
      <c r="AZ320" s="221"/>
      <c r="BA320" s="221"/>
      <c r="BB320" s="221"/>
      <c r="BC320" s="221"/>
      <c r="BD320" s="221"/>
      <c r="BE320" s="222"/>
      <c r="BF320" s="220">
        <f ca="1">'Financial Planning Tool'!P123</f>
        <v>9439.5300000000007</v>
      </c>
      <c r="BG320" s="221"/>
      <c r="BH320" s="221"/>
      <c r="BI320" s="221"/>
      <c r="BJ320" s="221"/>
      <c r="BK320" s="221"/>
      <c r="BL320" s="221"/>
      <c r="BM320" s="222"/>
      <c r="BN320" s="220">
        <f ca="1">'Financial Planning Tool'!Q123</f>
        <v>630.45000000000005</v>
      </c>
      <c r="BO320" s="221"/>
      <c r="BP320" s="221"/>
      <c r="BQ320" s="221"/>
      <c r="BR320" s="221"/>
      <c r="BS320" s="221"/>
      <c r="BT320" s="221"/>
      <c r="BU320" s="222"/>
    </row>
    <row r="321" spans="2:73" x14ac:dyDescent="0.25">
      <c r="B321" s="215">
        <f ca="1">'Financial Planning Tool'!H124</f>
        <v>71193</v>
      </c>
      <c r="C321" s="216"/>
      <c r="D321" s="216"/>
      <c r="E321" s="217"/>
      <c r="F321" s="218">
        <f ca="1">'Financial Planning Tool'!I124</f>
        <v>124</v>
      </c>
      <c r="G321" s="186"/>
      <c r="H321" s="186"/>
      <c r="I321" s="219"/>
      <c r="J321" s="220" t="str">
        <f ca="1">'Financial Planning Tool'!J124</f>
        <v/>
      </c>
      <c r="K321" s="221"/>
      <c r="L321" s="221"/>
      <c r="M321" s="221"/>
      <c r="N321" s="221"/>
      <c r="O321" s="221"/>
      <c r="P321" s="221"/>
      <c r="Q321" s="222"/>
      <c r="R321" s="220" t="str">
        <f ca="1">'Financial Planning Tool'!K124</f>
        <v/>
      </c>
      <c r="S321" s="221"/>
      <c r="T321" s="221"/>
      <c r="U321" s="221"/>
      <c r="V321" s="221"/>
      <c r="W321" s="221"/>
      <c r="X321" s="221"/>
      <c r="Y321" s="222"/>
      <c r="Z321" s="220" t="str">
        <f ca="1">'Financial Planning Tool'!L124</f>
        <v/>
      </c>
      <c r="AA321" s="221"/>
      <c r="AB321" s="221"/>
      <c r="AC321" s="221"/>
      <c r="AD321" s="221"/>
      <c r="AE321" s="221"/>
      <c r="AF321" s="221"/>
      <c r="AG321" s="222"/>
      <c r="AH321" s="220" t="str">
        <f ca="1">'Financial Planning Tool'!M124</f>
        <v/>
      </c>
      <c r="AI321" s="221"/>
      <c r="AJ321" s="221"/>
      <c r="AK321" s="221"/>
      <c r="AL321" s="221"/>
      <c r="AM321" s="221"/>
      <c r="AN321" s="221"/>
      <c r="AO321" s="222"/>
      <c r="AP321" s="220">
        <f ca="1">'Financial Planning Tool'!N124</f>
        <v>-1651.41</v>
      </c>
      <c r="AQ321" s="221"/>
      <c r="AR321" s="221"/>
      <c r="AS321" s="221"/>
      <c r="AT321" s="221"/>
      <c r="AU321" s="221"/>
      <c r="AV321" s="221"/>
      <c r="AW321" s="222"/>
      <c r="AX321" s="220">
        <f ca="1">'Financial Planning Tool'!O124</f>
        <v>-108.35</v>
      </c>
      <c r="AY321" s="221"/>
      <c r="AZ321" s="221"/>
      <c r="BA321" s="221"/>
      <c r="BB321" s="221"/>
      <c r="BC321" s="221"/>
      <c r="BD321" s="221"/>
      <c r="BE321" s="222"/>
      <c r="BF321" s="220">
        <f ca="1">'Financial Planning Tool'!P124</f>
        <v>8557.7000000000007</v>
      </c>
      <c r="BG321" s="221"/>
      <c r="BH321" s="221"/>
      <c r="BI321" s="221"/>
      <c r="BJ321" s="221"/>
      <c r="BK321" s="221"/>
      <c r="BL321" s="221"/>
      <c r="BM321" s="222"/>
      <c r="BN321" s="220">
        <f ca="1">'Financial Planning Tool'!Q124</f>
        <v>549.57000000000005</v>
      </c>
      <c r="BO321" s="221"/>
      <c r="BP321" s="221"/>
      <c r="BQ321" s="221"/>
      <c r="BR321" s="221"/>
      <c r="BS321" s="221"/>
      <c r="BT321" s="221"/>
      <c r="BU321" s="222"/>
    </row>
    <row r="322" spans="2:73" x14ac:dyDescent="0.25">
      <c r="B322" s="215">
        <f ca="1">'Financial Planning Tool'!H125</f>
        <v>71558</v>
      </c>
      <c r="C322" s="216"/>
      <c r="D322" s="216"/>
      <c r="E322" s="217"/>
      <c r="F322" s="218">
        <f ca="1">'Financial Planning Tool'!I125</f>
        <v>125</v>
      </c>
      <c r="G322" s="186"/>
      <c r="H322" s="186"/>
      <c r="I322" s="219"/>
      <c r="J322" s="220" t="str">
        <f ca="1">'Financial Planning Tool'!J125</f>
        <v/>
      </c>
      <c r="K322" s="221"/>
      <c r="L322" s="221"/>
      <c r="M322" s="221"/>
      <c r="N322" s="221"/>
      <c r="O322" s="221"/>
      <c r="P322" s="221"/>
      <c r="Q322" s="222"/>
      <c r="R322" s="220" t="str">
        <f ca="1">'Financial Planning Tool'!K125</f>
        <v/>
      </c>
      <c r="S322" s="221"/>
      <c r="T322" s="221"/>
      <c r="U322" s="221"/>
      <c r="V322" s="221"/>
      <c r="W322" s="221"/>
      <c r="X322" s="221"/>
      <c r="Y322" s="222"/>
      <c r="Z322" s="220" t="str">
        <f ca="1">'Financial Planning Tool'!L125</f>
        <v/>
      </c>
      <c r="AA322" s="221"/>
      <c r="AB322" s="221"/>
      <c r="AC322" s="221"/>
      <c r="AD322" s="221"/>
      <c r="AE322" s="221"/>
      <c r="AF322" s="221"/>
      <c r="AG322" s="222"/>
      <c r="AH322" s="220" t="str">
        <f ca="1">'Financial Planning Tool'!M125</f>
        <v/>
      </c>
      <c r="AI322" s="221"/>
      <c r="AJ322" s="221"/>
      <c r="AK322" s="221"/>
      <c r="AL322" s="221"/>
      <c r="AM322" s="221"/>
      <c r="AN322" s="221"/>
      <c r="AO322" s="222"/>
      <c r="AP322" s="220">
        <f ca="1">'Financial Planning Tool'!N125</f>
        <v>-1497.14</v>
      </c>
      <c r="AQ322" s="221"/>
      <c r="AR322" s="221"/>
      <c r="AS322" s="221"/>
      <c r="AT322" s="221"/>
      <c r="AU322" s="221"/>
      <c r="AV322" s="221"/>
      <c r="AW322" s="222"/>
      <c r="AX322" s="220">
        <f ca="1">'Financial Planning Tool'!O125</f>
        <v>-94.45</v>
      </c>
      <c r="AY322" s="221"/>
      <c r="AZ322" s="221"/>
      <c r="BA322" s="221"/>
      <c r="BB322" s="221"/>
      <c r="BC322" s="221"/>
      <c r="BD322" s="221"/>
      <c r="BE322" s="222"/>
      <c r="BF322" s="220">
        <f ca="1">'Financial Planning Tool'!P125</f>
        <v>7758.25</v>
      </c>
      <c r="BG322" s="221"/>
      <c r="BH322" s="221"/>
      <c r="BI322" s="221"/>
      <c r="BJ322" s="221"/>
      <c r="BK322" s="221"/>
      <c r="BL322" s="221"/>
      <c r="BM322" s="222"/>
      <c r="BN322" s="220">
        <f ca="1">'Financial Planning Tool'!Q125</f>
        <v>479.07</v>
      </c>
      <c r="BO322" s="221"/>
      <c r="BP322" s="221"/>
      <c r="BQ322" s="221"/>
      <c r="BR322" s="221"/>
      <c r="BS322" s="221"/>
      <c r="BT322" s="221"/>
      <c r="BU322" s="222"/>
    </row>
    <row r="323" spans="2:73" x14ac:dyDescent="0.25">
      <c r="B323" s="215">
        <f ca="1">'Financial Planning Tool'!H126</f>
        <v>71924</v>
      </c>
      <c r="C323" s="216"/>
      <c r="D323" s="216"/>
      <c r="E323" s="217"/>
      <c r="F323" s="218">
        <f ca="1">'Financial Planning Tool'!I126</f>
        <v>126</v>
      </c>
      <c r="G323" s="186"/>
      <c r="H323" s="186"/>
      <c r="I323" s="219"/>
      <c r="J323" s="220" t="str">
        <f ca="1">'Financial Planning Tool'!J126</f>
        <v/>
      </c>
      <c r="K323" s="221"/>
      <c r="L323" s="221"/>
      <c r="M323" s="221"/>
      <c r="N323" s="221"/>
      <c r="O323" s="221"/>
      <c r="P323" s="221"/>
      <c r="Q323" s="222"/>
      <c r="R323" s="220" t="str">
        <f ca="1">'Financial Planning Tool'!K126</f>
        <v/>
      </c>
      <c r="S323" s="221"/>
      <c r="T323" s="221"/>
      <c r="U323" s="221"/>
      <c r="V323" s="221"/>
      <c r="W323" s="221"/>
      <c r="X323" s="221"/>
      <c r="Y323" s="222"/>
      <c r="Z323" s="220" t="str">
        <f ca="1">'Financial Planning Tool'!L126</f>
        <v/>
      </c>
      <c r="AA323" s="221"/>
      <c r="AB323" s="221"/>
      <c r="AC323" s="221"/>
      <c r="AD323" s="221"/>
      <c r="AE323" s="221"/>
      <c r="AF323" s="221"/>
      <c r="AG323" s="222"/>
      <c r="AH323" s="220" t="str">
        <f ca="1">'Financial Planning Tool'!M126</f>
        <v/>
      </c>
      <c r="AI323" s="221"/>
      <c r="AJ323" s="221"/>
      <c r="AK323" s="221"/>
      <c r="AL323" s="221"/>
      <c r="AM323" s="221"/>
      <c r="AN323" s="221"/>
      <c r="AO323" s="222"/>
      <c r="AP323" s="220">
        <f ca="1">'Financial Planning Tool'!N126</f>
        <v>-1357.28</v>
      </c>
      <c r="AQ323" s="221"/>
      <c r="AR323" s="221"/>
      <c r="AS323" s="221"/>
      <c r="AT323" s="221"/>
      <c r="AU323" s="221"/>
      <c r="AV323" s="221"/>
      <c r="AW323" s="222"/>
      <c r="AX323" s="220">
        <f ca="1">'Financial Planning Tool'!O126</f>
        <v>-82.33</v>
      </c>
      <c r="AY323" s="221"/>
      <c r="AZ323" s="221"/>
      <c r="BA323" s="221"/>
      <c r="BB323" s="221"/>
      <c r="BC323" s="221"/>
      <c r="BD323" s="221"/>
      <c r="BE323" s="222"/>
      <c r="BF323" s="220">
        <f ca="1">'Financial Planning Tool'!P126</f>
        <v>7033.48</v>
      </c>
      <c r="BG323" s="221"/>
      <c r="BH323" s="221"/>
      <c r="BI323" s="221"/>
      <c r="BJ323" s="221"/>
      <c r="BK323" s="221"/>
      <c r="BL323" s="221"/>
      <c r="BM323" s="222"/>
      <c r="BN323" s="220">
        <f ca="1">'Financial Planning Tool'!Q126</f>
        <v>417.61</v>
      </c>
      <c r="BO323" s="221"/>
      <c r="BP323" s="221"/>
      <c r="BQ323" s="221"/>
      <c r="BR323" s="221"/>
      <c r="BS323" s="221"/>
      <c r="BT323" s="221"/>
      <c r="BU323" s="222"/>
    </row>
    <row r="324" spans="2:73" x14ac:dyDescent="0.25">
      <c r="B324" s="215">
        <f ca="1">'Financial Planning Tool'!H127</f>
        <v>72289</v>
      </c>
      <c r="C324" s="216"/>
      <c r="D324" s="216"/>
      <c r="E324" s="217"/>
      <c r="F324" s="218">
        <f ca="1">'Financial Planning Tool'!I127</f>
        <v>127</v>
      </c>
      <c r="G324" s="186"/>
      <c r="H324" s="186"/>
      <c r="I324" s="219"/>
      <c r="J324" s="220" t="str">
        <f ca="1">'Financial Planning Tool'!J127</f>
        <v/>
      </c>
      <c r="K324" s="221"/>
      <c r="L324" s="221"/>
      <c r="M324" s="221"/>
      <c r="N324" s="221"/>
      <c r="O324" s="221"/>
      <c r="P324" s="221"/>
      <c r="Q324" s="222"/>
      <c r="R324" s="220" t="str">
        <f ca="1">'Financial Planning Tool'!K127</f>
        <v/>
      </c>
      <c r="S324" s="221"/>
      <c r="T324" s="221"/>
      <c r="U324" s="221"/>
      <c r="V324" s="221"/>
      <c r="W324" s="221"/>
      <c r="X324" s="221"/>
      <c r="Y324" s="222"/>
      <c r="Z324" s="220" t="str">
        <f ca="1">'Financial Planning Tool'!L127</f>
        <v/>
      </c>
      <c r="AA324" s="221"/>
      <c r="AB324" s="221"/>
      <c r="AC324" s="221"/>
      <c r="AD324" s="221"/>
      <c r="AE324" s="221"/>
      <c r="AF324" s="221"/>
      <c r="AG324" s="222"/>
      <c r="AH324" s="220" t="str">
        <f ca="1">'Financial Planning Tool'!M127</f>
        <v/>
      </c>
      <c r="AI324" s="221"/>
      <c r="AJ324" s="221"/>
      <c r="AK324" s="221"/>
      <c r="AL324" s="221"/>
      <c r="AM324" s="221"/>
      <c r="AN324" s="221"/>
      <c r="AO324" s="222"/>
      <c r="AP324" s="220">
        <f ca="1">'Financial Planning Tool'!N127</f>
        <v>-1230.48</v>
      </c>
      <c r="AQ324" s="221"/>
      <c r="AR324" s="221"/>
      <c r="AS324" s="221"/>
      <c r="AT324" s="221"/>
      <c r="AU324" s="221"/>
      <c r="AV324" s="221"/>
      <c r="AW324" s="222"/>
      <c r="AX324" s="220">
        <f ca="1">'Financial Planning Tool'!O127</f>
        <v>-71.77</v>
      </c>
      <c r="AY324" s="221"/>
      <c r="AZ324" s="221"/>
      <c r="BA324" s="221"/>
      <c r="BB324" s="221"/>
      <c r="BC324" s="221"/>
      <c r="BD324" s="221"/>
      <c r="BE324" s="222"/>
      <c r="BF324" s="220">
        <f ca="1">'Financial Planning Tool'!P127</f>
        <v>6376.42</v>
      </c>
      <c r="BG324" s="221"/>
      <c r="BH324" s="221"/>
      <c r="BI324" s="221"/>
      <c r="BJ324" s="221"/>
      <c r="BK324" s="221"/>
      <c r="BL324" s="221"/>
      <c r="BM324" s="222"/>
      <c r="BN324" s="220">
        <f ca="1">'Financial Planning Tool'!Q127</f>
        <v>364.04</v>
      </c>
      <c r="BO324" s="221"/>
      <c r="BP324" s="221"/>
      <c r="BQ324" s="221"/>
      <c r="BR324" s="221"/>
      <c r="BS324" s="221"/>
      <c r="BT324" s="221"/>
      <c r="BU324" s="222"/>
    </row>
    <row r="325" spans="2:73" x14ac:dyDescent="0.25">
      <c r="B325" s="215">
        <f ca="1">'Financial Planning Tool'!H128</f>
        <v>72654</v>
      </c>
      <c r="C325" s="216"/>
      <c r="D325" s="216"/>
      <c r="E325" s="217"/>
      <c r="F325" s="218">
        <f ca="1">'Financial Planning Tool'!I128</f>
        <v>128</v>
      </c>
      <c r="G325" s="186"/>
      <c r="H325" s="186"/>
      <c r="I325" s="219"/>
      <c r="J325" s="220" t="str">
        <f ca="1">'Financial Planning Tool'!J128</f>
        <v/>
      </c>
      <c r="K325" s="221"/>
      <c r="L325" s="221"/>
      <c r="M325" s="221"/>
      <c r="N325" s="221"/>
      <c r="O325" s="221"/>
      <c r="P325" s="221"/>
      <c r="Q325" s="222"/>
      <c r="R325" s="220" t="str">
        <f ca="1">'Financial Planning Tool'!K128</f>
        <v/>
      </c>
      <c r="S325" s="221"/>
      <c r="T325" s="221"/>
      <c r="U325" s="221"/>
      <c r="V325" s="221"/>
      <c r="W325" s="221"/>
      <c r="X325" s="221"/>
      <c r="Y325" s="222"/>
      <c r="Z325" s="220" t="str">
        <f ca="1">'Financial Planning Tool'!L128</f>
        <v/>
      </c>
      <c r="AA325" s="221"/>
      <c r="AB325" s="221"/>
      <c r="AC325" s="221"/>
      <c r="AD325" s="221"/>
      <c r="AE325" s="221"/>
      <c r="AF325" s="221"/>
      <c r="AG325" s="222"/>
      <c r="AH325" s="220" t="str">
        <f ca="1">'Financial Planning Tool'!M128</f>
        <v/>
      </c>
      <c r="AI325" s="221"/>
      <c r="AJ325" s="221"/>
      <c r="AK325" s="221"/>
      <c r="AL325" s="221"/>
      <c r="AM325" s="221"/>
      <c r="AN325" s="221"/>
      <c r="AO325" s="222"/>
      <c r="AP325" s="220">
        <f ca="1">'Financial Planning Tool'!N128</f>
        <v>-1115.53</v>
      </c>
      <c r="AQ325" s="221"/>
      <c r="AR325" s="221"/>
      <c r="AS325" s="221"/>
      <c r="AT325" s="221"/>
      <c r="AU325" s="221"/>
      <c r="AV325" s="221"/>
      <c r="AW325" s="222"/>
      <c r="AX325" s="220">
        <f ca="1">'Financial Planning Tool'!O128</f>
        <v>-62.56</v>
      </c>
      <c r="AY325" s="221"/>
      <c r="AZ325" s="221"/>
      <c r="BA325" s="221"/>
      <c r="BB325" s="221"/>
      <c r="BC325" s="221"/>
      <c r="BD325" s="221"/>
      <c r="BE325" s="222"/>
      <c r="BF325" s="220">
        <f ca="1">'Financial Planning Tool'!P128</f>
        <v>5780.74</v>
      </c>
      <c r="BG325" s="221"/>
      <c r="BH325" s="221"/>
      <c r="BI325" s="221"/>
      <c r="BJ325" s="221"/>
      <c r="BK325" s="221"/>
      <c r="BL325" s="221"/>
      <c r="BM325" s="222"/>
      <c r="BN325" s="220">
        <f ca="1">'Financial Planning Tool'!Q128</f>
        <v>317.33</v>
      </c>
      <c r="BO325" s="221"/>
      <c r="BP325" s="221"/>
      <c r="BQ325" s="221"/>
      <c r="BR325" s="221"/>
      <c r="BS325" s="221"/>
      <c r="BT325" s="221"/>
      <c r="BU325" s="222"/>
    </row>
    <row r="326" spans="2:73" x14ac:dyDescent="0.25">
      <c r="B326" s="215">
        <f ca="1">'Financial Planning Tool'!H129</f>
        <v>73019</v>
      </c>
      <c r="C326" s="216"/>
      <c r="D326" s="216"/>
      <c r="E326" s="217"/>
      <c r="F326" s="218">
        <f ca="1">'Financial Planning Tool'!I129</f>
        <v>129</v>
      </c>
      <c r="G326" s="186"/>
      <c r="H326" s="186"/>
      <c r="I326" s="219"/>
      <c r="J326" s="220" t="str">
        <f ca="1">'Financial Planning Tool'!J129</f>
        <v/>
      </c>
      <c r="K326" s="221"/>
      <c r="L326" s="221"/>
      <c r="M326" s="221"/>
      <c r="N326" s="221"/>
      <c r="O326" s="221"/>
      <c r="P326" s="221"/>
      <c r="Q326" s="222"/>
      <c r="R326" s="220" t="str">
        <f ca="1">'Financial Planning Tool'!K129</f>
        <v/>
      </c>
      <c r="S326" s="221"/>
      <c r="T326" s="221"/>
      <c r="U326" s="221"/>
      <c r="V326" s="221"/>
      <c r="W326" s="221"/>
      <c r="X326" s="221"/>
      <c r="Y326" s="222"/>
      <c r="Z326" s="220" t="str">
        <f ca="1">'Financial Planning Tool'!L129</f>
        <v/>
      </c>
      <c r="AA326" s="221"/>
      <c r="AB326" s="221"/>
      <c r="AC326" s="221"/>
      <c r="AD326" s="221"/>
      <c r="AE326" s="221"/>
      <c r="AF326" s="221"/>
      <c r="AG326" s="222"/>
      <c r="AH326" s="220" t="str">
        <f ca="1">'Financial Planning Tool'!M129</f>
        <v/>
      </c>
      <c r="AI326" s="221"/>
      <c r="AJ326" s="221"/>
      <c r="AK326" s="221"/>
      <c r="AL326" s="221"/>
      <c r="AM326" s="221"/>
      <c r="AN326" s="221"/>
      <c r="AO326" s="222"/>
      <c r="AP326" s="220">
        <f ca="1">'Financial Planning Tool'!N129</f>
        <v>-1011.32</v>
      </c>
      <c r="AQ326" s="221"/>
      <c r="AR326" s="221"/>
      <c r="AS326" s="221"/>
      <c r="AT326" s="221"/>
      <c r="AU326" s="221"/>
      <c r="AV326" s="221"/>
      <c r="AW326" s="222"/>
      <c r="AX326" s="220">
        <f ca="1">'Financial Planning Tool'!O129</f>
        <v>-54.54</v>
      </c>
      <c r="AY326" s="221"/>
      <c r="AZ326" s="221"/>
      <c r="BA326" s="221"/>
      <c r="BB326" s="221"/>
      <c r="BC326" s="221"/>
      <c r="BD326" s="221"/>
      <c r="BE326" s="222"/>
      <c r="BF326" s="220">
        <f ca="1">'Financial Planning Tool'!P129</f>
        <v>5240.71</v>
      </c>
      <c r="BG326" s="221"/>
      <c r="BH326" s="221"/>
      <c r="BI326" s="221"/>
      <c r="BJ326" s="221"/>
      <c r="BK326" s="221"/>
      <c r="BL326" s="221"/>
      <c r="BM326" s="222"/>
      <c r="BN326" s="220">
        <f ca="1">'Financial Planning Tool'!Q129</f>
        <v>276.62</v>
      </c>
      <c r="BO326" s="221"/>
      <c r="BP326" s="221"/>
      <c r="BQ326" s="221"/>
      <c r="BR326" s="221"/>
      <c r="BS326" s="221"/>
      <c r="BT326" s="221"/>
      <c r="BU326" s="222"/>
    </row>
    <row r="327" spans="2:73" x14ac:dyDescent="0.25">
      <c r="B327" s="215">
        <f ca="1">'Financial Planning Tool'!H130</f>
        <v>73384</v>
      </c>
      <c r="C327" s="216"/>
      <c r="D327" s="216"/>
      <c r="E327" s="217"/>
      <c r="F327" s="218">
        <f ca="1">'Financial Planning Tool'!I130</f>
        <v>130</v>
      </c>
      <c r="G327" s="186"/>
      <c r="H327" s="186"/>
      <c r="I327" s="219"/>
      <c r="J327" s="220" t="str">
        <f ca="1">'Financial Planning Tool'!J130</f>
        <v/>
      </c>
      <c r="K327" s="221"/>
      <c r="L327" s="221"/>
      <c r="M327" s="221"/>
      <c r="N327" s="221"/>
      <c r="O327" s="221"/>
      <c r="P327" s="221"/>
      <c r="Q327" s="222"/>
      <c r="R327" s="220" t="str">
        <f ca="1">'Financial Planning Tool'!K130</f>
        <v/>
      </c>
      <c r="S327" s="221"/>
      <c r="T327" s="221"/>
      <c r="U327" s="221"/>
      <c r="V327" s="221"/>
      <c r="W327" s="221"/>
      <c r="X327" s="221"/>
      <c r="Y327" s="222"/>
      <c r="Z327" s="220" t="str">
        <f ca="1">'Financial Planning Tool'!L130</f>
        <v/>
      </c>
      <c r="AA327" s="221"/>
      <c r="AB327" s="221"/>
      <c r="AC327" s="221"/>
      <c r="AD327" s="221"/>
      <c r="AE327" s="221"/>
      <c r="AF327" s="221"/>
      <c r="AG327" s="222"/>
      <c r="AH327" s="220" t="str">
        <f ca="1">'Financial Planning Tool'!M130</f>
        <v/>
      </c>
      <c r="AI327" s="221"/>
      <c r="AJ327" s="221"/>
      <c r="AK327" s="221"/>
      <c r="AL327" s="221"/>
      <c r="AM327" s="221"/>
      <c r="AN327" s="221"/>
      <c r="AO327" s="222"/>
      <c r="AP327" s="220">
        <f ca="1">'Financial Planning Tool'!N130</f>
        <v>-916.84</v>
      </c>
      <c r="AQ327" s="221"/>
      <c r="AR327" s="221"/>
      <c r="AS327" s="221"/>
      <c r="AT327" s="221"/>
      <c r="AU327" s="221"/>
      <c r="AV327" s="221"/>
      <c r="AW327" s="222"/>
      <c r="AX327" s="220">
        <f ca="1">'Financial Planning Tool'!O130</f>
        <v>-47.54</v>
      </c>
      <c r="AY327" s="221"/>
      <c r="AZ327" s="221"/>
      <c r="BA327" s="221"/>
      <c r="BB327" s="221"/>
      <c r="BC327" s="221"/>
      <c r="BD327" s="221"/>
      <c r="BE327" s="222"/>
      <c r="BF327" s="220">
        <f ca="1">'Financial Planning Tool'!P130</f>
        <v>4751.13</v>
      </c>
      <c r="BG327" s="221"/>
      <c r="BH327" s="221"/>
      <c r="BI327" s="221"/>
      <c r="BJ327" s="221"/>
      <c r="BK327" s="221"/>
      <c r="BL327" s="221"/>
      <c r="BM327" s="222"/>
      <c r="BN327" s="220">
        <f ca="1">'Financial Planning Tool'!Q130</f>
        <v>241.14</v>
      </c>
      <c r="BO327" s="221"/>
      <c r="BP327" s="221"/>
      <c r="BQ327" s="221"/>
      <c r="BR327" s="221"/>
      <c r="BS327" s="221"/>
      <c r="BT327" s="221"/>
      <c r="BU327" s="222"/>
    </row>
    <row r="328" spans="2:73" x14ac:dyDescent="0.25">
      <c r="B328" s="215">
        <f ca="1">'Financial Planning Tool'!H131</f>
        <v>73749</v>
      </c>
      <c r="C328" s="216"/>
      <c r="D328" s="216"/>
      <c r="E328" s="217"/>
      <c r="F328" s="218">
        <f ca="1">'Financial Planning Tool'!I131</f>
        <v>131</v>
      </c>
      <c r="G328" s="186"/>
      <c r="H328" s="186"/>
      <c r="I328" s="219"/>
      <c r="J328" s="220" t="str">
        <f ca="1">'Financial Planning Tool'!J131</f>
        <v/>
      </c>
      <c r="K328" s="221"/>
      <c r="L328" s="221"/>
      <c r="M328" s="221"/>
      <c r="N328" s="221"/>
      <c r="O328" s="221"/>
      <c r="P328" s="221"/>
      <c r="Q328" s="222"/>
      <c r="R328" s="220" t="str">
        <f ca="1">'Financial Planning Tool'!K131</f>
        <v/>
      </c>
      <c r="S328" s="221"/>
      <c r="T328" s="221"/>
      <c r="U328" s="221"/>
      <c r="V328" s="221"/>
      <c r="W328" s="221"/>
      <c r="X328" s="221"/>
      <c r="Y328" s="222"/>
      <c r="Z328" s="220" t="str">
        <f ca="1">'Financial Planning Tool'!L131</f>
        <v/>
      </c>
      <c r="AA328" s="221"/>
      <c r="AB328" s="221"/>
      <c r="AC328" s="221"/>
      <c r="AD328" s="221"/>
      <c r="AE328" s="221"/>
      <c r="AF328" s="221"/>
      <c r="AG328" s="222"/>
      <c r="AH328" s="220" t="str">
        <f ca="1">'Financial Planning Tool'!M131</f>
        <v/>
      </c>
      <c r="AI328" s="221"/>
      <c r="AJ328" s="221"/>
      <c r="AK328" s="221"/>
      <c r="AL328" s="221"/>
      <c r="AM328" s="221"/>
      <c r="AN328" s="221"/>
      <c r="AO328" s="222"/>
      <c r="AP328" s="220">
        <f ca="1">'Financial Planning Tool'!N131</f>
        <v>-831.19</v>
      </c>
      <c r="AQ328" s="221"/>
      <c r="AR328" s="221"/>
      <c r="AS328" s="221"/>
      <c r="AT328" s="221"/>
      <c r="AU328" s="221"/>
      <c r="AV328" s="221"/>
      <c r="AW328" s="222"/>
      <c r="AX328" s="220">
        <f ca="1">'Financial Planning Tool'!O131</f>
        <v>-41.44</v>
      </c>
      <c r="AY328" s="221"/>
      <c r="AZ328" s="221"/>
      <c r="BA328" s="221"/>
      <c r="BB328" s="221"/>
      <c r="BC328" s="221"/>
      <c r="BD328" s="221"/>
      <c r="BE328" s="222"/>
      <c r="BF328" s="220">
        <f ca="1">'Financial Planning Tool'!P131</f>
        <v>4307.28</v>
      </c>
      <c r="BG328" s="221"/>
      <c r="BH328" s="221"/>
      <c r="BI328" s="221"/>
      <c r="BJ328" s="221"/>
      <c r="BK328" s="221"/>
      <c r="BL328" s="221"/>
      <c r="BM328" s="222"/>
      <c r="BN328" s="220">
        <f ca="1">'Financial Planning Tool'!Q131</f>
        <v>210.2</v>
      </c>
      <c r="BO328" s="221"/>
      <c r="BP328" s="221"/>
      <c r="BQ328" s="221"/>
      <c r="BR328" s="221"/>
      <c r="BS328" s="221"/>
      <c r="BT328" s="221"/>
      <c r="BU328" s="222"/>
    </row>
    <row r="329" spans="2:73" x14ac:dyDescent="0.25">
      <c r="B329" s="215">
        <f ca="1">'Financial Planning Tool'!H132</f>
        <v>74114</v>
      </c>
      <c r="C329" s="216"/>
      <c r="D329" s="216"/>
      <c r="E329" s="217"/>
      <c r="F329" s="218">
        <f ca="1">'Financial Planning Tool'!I132</f>
        <v>132</v>
      </c>
      <c r="G329" s="186"/>
      <c r="H329" s="186"/>
      <c r="I329" s="219"/>
      <c r="J329" s="220" t="str">
        <f ca="1">'Financial Planning Tool'!J132</f>
        <v/>
      </c>
      <c r="K329" s="221"/>
      <c r="L329" s="221"/>
      <c r="M329" s="221"/>
      <c r="N329" s="221"/>
      <c r="O329" s="221"/>
      <c r="P329" s="221"/>
      <c r="Q329" s="222"/>
      <c r="R329" s="220" t="str">
        <f ca="1">'Financial Planning Tool'!K132</f>
        <v/>
      </c>
      <c r="S329" s="221"/>
      <c r="T329" s="221"/>
      <c r="U329" s="221"/>
      <c r="V329" s="221"/>
      <c r="W329" s="221"/>
      <c r="X329" s="221"/>
      <c r="Y329" s="222"/>
      <c r="Z329" s="220" t="str">
        <f ca="1">'Financial Planning Tool'!L132</f>
        <v/>
      </c>
      <c r="AA329" s="221"/>
      <c r="AB329" s="221"/>
      <c r="AC329" s="221"/>
      <c r="AD329" s="221"/>
      <c r="AE329" s="221"/>
      <c r="AF329" s="221"/>
      <c r="AG329" s="222"/>
      <c r="AH329" s="220" t="str">
        <f ca="1">'Financial Planning Tool'!M132</f>
        <v/>
      </c>
      <c r="AI329" s="221"/>
      <c r="AJ329" s="221"/>
      <c r="AK329" s="221"/>
      <c r="AL329" s="221"/>
      <c r="AM329" s="221"/>
      <c r="AN329" s="221"/>
      <c r="AO329" s="222"/>
      <c r="AP329" s="220">
        <f ca="1">'Financial Planning Tool'!N132</f>
        <v>-753.54</v>
      </c>
      <c r="AQ329" s="221"/>
      <c r="AR329" s="221"/>
      <c r="AS329" s="221"/>
      <c r="AT329" s="221"/>
      <c r="AU329" s="221"/>
      <c r="AV329" s="221"/>
      <c r="AW329" s="222"/>
      <c r="AX329" s="220">
        <f ca="1">'Financial Planning Tool'!O132</f>
        <v>-36.130000000000003</v>
      </c>
      <c r="AY329" s="221"/>
      <c r="AZ329" s="221"/>
      <c r="BA329" s="221"/>
      <c r="BB329" s="221"/>
      <c r="BC329" s="221"/>
      <c r="BD329" s="221"/>
      <c r="BE329" s="222"/>
      <c r="BF329" s="220">
        <f ca="1">'Financial Planning Tool'!P132</f>
        <v>3904.9</v>
      </c>
      <c r="BG329" s="221"/>
      <c r="BH329" s="221"/>
      <c r="BI329" s="221"/>
      <c r="BJ329" s="221"/>
      <c r="BK329" s="221"/>
      <c r="BL329" s="221"/>
      <c r="BM329" s="222"/>
      <c r="BN329" s="220">
        <f ca="1">'Financial Planning Tool'!Q132</f>
        <v>183.24</v>
      </c>
      <c r="BO329" s="221"/>
      <c r="BP329" s="221"/>
      <c r="BQ329" s="221"/>
      <c r="BR329" s="221"/>
      <c r="BS329" s="221"/>
      <c r="BT329" s="221"/>
      <c r="BU329" s="222"/>
    </row>
    <row r="330" spans="2:73" x14ac:dyDescent="0.25">
      <c r="B330" s="215">
        <f ca="1">'Financial Planning Tool'!H133</f>
        <v>74479</v>
      </c>
      <c r="C330" s="216"/>
      <c r="D330" s="216"/>
      <c r="E330" s="217"/>
      <c r="F330" s="218">
        <f ca="1">'Financial Planning Tool'!I133</f>
        <v>133</v>
      </c>
      <c r="G330" s="186"/>
      <c r="H330" s="186"/>
      <c r="I330" s="219"/>
      <c r="J330" s="220" t="str">
        <f ca="1">'Financial Planning Tool'!J133</f>
        <v/>
      </c>
      <c r="K330" s="221"/>
      <c r="L330" s="221"/>
      <c r="M330" s="221"/>
      <c r="N330" s="221"/>
      <c r="O330" s="221"/>
      <c r="P330" s="221"/>
      <c r="Q330" s="222"/>
      <c r="R330" s="220" t="str">
        <f ca="1">'Financial Planning Tool'!K133</f>
        <v/>
      </c>
      <c r="S330" s="221"/>
      <c r="T330" s="221"/>
      <c r="U330" s="221"/>
      <c r="V330" s="221"/>
      <c r="W330" s="221"/>
      <c r="X330" s="221"/>
      <c r="Y330" s="222"/>
      <c r="Z330" s="220" t="str">
        <f ca="1">'Financial Planning Tool'!L133</f>
        <v/>
      </c>
      <c r="AA330" s="221"/>
      <c r="AB330" s="221"/>
      <c r="AC330" s="221"/>
      <c r="AD330" s="221"/>
      <c r="AE330" s="221"/>
      <c r="AF330" s="221"/>
      <c r="AG330" s="222"/>
      <c r="AH330" s="220" t="str">
        <f ca="1">'Financial Planning Tool'!M133</f>
        <v/>
      </c>
      <c r="AI330" s="221"/>
      <c r="AJ330" s="221"/>
      <c r="AK330" s="221"/>
      <c r="AL330" s="221"/>
      <c r="AM330" s="221"/>
      <c r="AN330" s="221"/>
      <c r="AO330" s="222"/>
      <c r="AP330" s="220">
        <f ca="1">'Financial Planning Tool'!N133</f>
        <v>-683.15</v>
      </c>
      <c r="AQ330" s="221"/>
      <c r="AR330" s="221"/>
      <c r="AS330" s="221"/>
      <c r="AT330" s="221"/>
      <c r="AU330" s="221"/>
      <c r="AV330" s="221"/>
      <c r="AW330" s="222"/>
      <c r="AX330" s="220">
        <f ca="1">'Financial Planning Tool'!O133</f>
        <v>-31.49</v>
      </c>
      <c r="AY330" s="221"/>
      <c r="AZ330" s="221"/>
      <c r="BA330" s="221"/>
      <c r="BB330" s="221"/>
      <c r="BC330" s="221"/>
      <c r="BD330" s="221"/>
      <c r="BE330" s="222"/>
      <c r="BF330" s="220">
        <f ca="1">'Financial Planning Tool'!P133</f>
        <v>3540.11</v>
      </c>
      <c r="BG330" s="221"/>
      <c r="BH330" s="221"/>
      <c r="BI330" s="221"/>
      <c r="BJ330" s="221"/>
      <c r="BK330" s="221"/>
      <c r="BL330" s="221"/>
      <c r="BM330" s="222"/>
      <c r="BN330" s="220">
        <f ca="1">'Financial Planning Tool'!Q133</f>
        <v>159.72999999999999</v>
      </c>
      <c r="BO330" s="221"/>
      <c r="BP330" s="221"/>
      <c r="BQ330" s="221"/>
      <c r="BR330" s="221"/>
      <c r="BS330" s="221"/>
      <c r="BT330" s="221"/>
      <c r="BU330" s="222"/>
    </row>
    <row r="331" spans="2:73" x14ac:dyDescent="0.25">
      <c r="B331" s="215">
        <f ca="1">'Financial Planning Tool'!H134</f>
        <v>74845</v>
      </c>
      <c r="C331" s="216"/>
      <c r="D331" s="216"/>
      <c r="E331" s="217"/>
      <c r="F331" s="218">
        <f ca="1">'Financial Planning Tool'!I134</f>
        <v>134</v>
      </c>
      <c r="G331" s="186"/>
      <c r="H331" s="186"/>
      <c r="I331" s="219"/>
      <c r="J331" s="220" t="str">
        <f ca="1">'Financial Planning Tool'!J134</f>
        <v/>
      </c>
      <c r="K331" s="221"/>
      <c r="L331" s="221"/>
      <c r="M331" s="221"/>
      <c r="N331" s="221"/>
      <c r="O331" s="221"/>
      <c r="P331" s="221"/>
      <c r="Q331" s="222"/>
      <c r="R331" s="220" t="str">
        <f ca="1">'Financial Planning Tool'!K134</f>
        <v/>
      </c>
      <c r="S331" s="221"/>
      <c r="T331" s="221"/>
      <c r="U331" s="221"/>
      <c r="V331" s="221"/>
      <c r="W331" s="221"/>
      <c r="X331" s="221"/>
      <c r="Y331" s="222"/>
      <c r="Z331" s="220" t="str">
        <f ca="1">'Financial Planning Tool'!L134</f>
        <v/>
      </c>
      <c r="AA331" s="221"/>
      <c r="AB331" s="221"/>
      <c r="AC331" s="221"/>
      <c r="AD331" s="221"/>
      <c r="AE331" s="221"/>
      <c r="AF331" s="221"/>
      <c r="AG331" s="222"/>
      <c r="AH331" s="220" t="str">
        <f ca="1">'Financial Planning Tool'!M134</f>
        <v/>
      </c>
      <c r="AI331" s="221"/>
      <c r="AJ331" s="221"/>
      <c r="AK331" s="221"/>
      <c r="AL331" s="221"/>
      <c r="AM331" s="221"/>
      <c r="AN331" s="221"/>
      <c r="AO331" s="222"/>
      <c r="AP331" s="220">
        <f ca="1">'Financial Planning Tool'!N134</f>
        <v>-619.33000000000004</v>
      </c>
      <c r="AQ331" s="221"/>
      <c r="AR331" s="221"/>
      <c r="AS331" s="221"/>
      <c r="AT331" s="221"/>
      <c r="AU331" s="221"/>
      <c r="AV331" s="221"/>
      <c r="AW331" s="222"/>
      <c r="AX331" s="220">
        <f ca="1">'Financial Planning Tool'!O134</f>
        <v>-27.45</v>
      </c>
      <c r="AY331" s="221"/>
      <c r="AZ331" s="221"/>
      <c r="BA331" s="221"/>
      <c r="BB331" s="221"/>
      <c r="BC331" s="221"/>
      <c r="BD331" s="221"/>
      <c r="BE331" s="222"/>
      <c r="BF331" s="220">
        <f ca="1">'Financial Planning Tool'!P134</f>
        <v>3209.4</v>
      </c>
      <c r="BG331" s="221"/>
      <c r="BH331" s="221"/>
      <c r="BI331" s="221"/>
      <c r="BJ331" s="221"/>
      <c r="BK331" s="221"/>
      <c r="BL331" s="221"/>
      <c r="BM331" s="222"/>
      <c r="BN331" s="220">
        <f ca="1">'Financial Planning Tool'!Q134</f>
        <v>139.24</v>
      </c>
      <c r="BO331" s="221"/>
      <c r="BP331" s="221"/>
      <c r="BQ331" s="221"/>
      <c r="BR331" s="221"/>
      <c r="BS331" s="221"/>
      <c r="BT331" s="221"/>
      <c r="BU331" s="222"/>
    </row>
    <row r="332" spans="2:73" x14ac:dyDescent="0.25">
      <c r="B332" s="215">
        <f ca="1">'Financial Planning Tool'!H135</f>
        <v>75210</v>
      </c>
      <c r="C332" s="216"/>
      <c r="D332" s="216"/>
      <c r="E332" s="217"/>
      <c r="F332" s="218">
        <f ca="1">'Financial Planning Tool'!I135</f>
        <v>135</v>
      </c>
      <c r="G332" s="186"/>
      <c r="H332" s="186"/>
      <c r="I332" s="219"/>
      <c r="J332" s="220" t="str">
        <f ca="1">'Financial Planning Tool'!J135</f>
        <v/>
      </c>
      <c r="K332" s="221"/>
      <c r="L332" s="221"/>
      <c r="M332" s="221"/>
      <c r="N332" s="221"/>
      <c r="O332" s="221"/>
      <c r="P332" s="221"/>
      <c r="Q332" s="222"/>
      <c r="R332" s="220" t="str">
        <f ca="1">'Financial Planning Tool'!K135</f>
        <v/>
      </c>
      <c r="S332" s="221"/>
      <c r="T332" s="221"/>
      <c r="U332" s="221"/>
      <c r="V332" s="221"/>
      <c r="W332" s="221"/>
      <c r="X332" s="221"/>
      <c r="Y332" s="222"/>
      <c r="Z332" s="220" t="str">
        <f ca="1">'Financial Planning Tool'!L135</f>
        <v/>
      </c>
      <c r="AA332" s="221"/>
      <c r="AB332" s="221"/>
      <c r="AC332" s="221"/>
      <c r="AD332" s="221"/>
      <c r="AE332" s="221"/>
      <c r="AF332" s="221"/>
      <c r="AG332" s="222"/>
      <c r="AH332" s="220" t="str">
        <f ca="1">'Financial Planning Tool'!M135</f>
        <v/>
      </c>
      <c r="AI332" s="221"/>
      <c r="AJ332" s="221"/>
      <c r="AK332" s="221"/>
      <c r="AL332" s="221"/>
      <c r="AM332" s="221"/>
      <c r="AN332" s="221"/>
      <c r="AO332" s="222"/>
      <c r="AP332" s="220">
        <f ca="1">'Financial Planning Tool'!N135</f>
        <v>-561.47</v>
      </c>
      <c r="AQ332" s="221"/>
      <c r="AR332" s="221"/>
      <c r="AS332" s="221"/>
      <c r="AT332" s="221"/>
      <c r="AU332" s="221"/>
      <c r="AV332" s="221"/>
      <c r="AW332" s="222"/>
      <c r="AX332" s="220">
        <f ca="1">'Financial Planning Tool'!O135</f>
        <v>-23.93</v>
      </c>
      <c r="AY332" s="221"/>
      <c r="AZ332" s="221"/>
      <c r="BA332" s="221"/>
      <c r="BB332" s="221"/>
      <c r="BC332" s="221"/>
      <c r="BD332" s="221"/>
      <c r="BE332" s="222"/>
      <c r="BF332" s="220">
        <f ca="1">'Financial Planning Tool'!P135</f>
        <v>2909.58</v>
      </c>
      <c r="BG332" s="221"/>
      <c r="BH332" s="221"/>
      <c r="BI332" s="221"/>
      <c r="BJ332" s="221"/>
      <c r="BK332" s="221"/>
      <c r="BL332" s="221"/>
      <c r="BM332" s="222"/>
      <c r="BN332" s="220">
        <f ca="1">'Financial Planning Tool'!Q135</f>
        <v>121.38</v>
      </c>
      <c r="BO332" s="221"/>
      <c r="BP332" s="221"/>
      <c r="BQ332" s="221"/>
      <c r="BR332" s="221"/>
      <c r="BS332" s="221"/>
      <c r="BT332" s="221"/>
      <c r="BU332" s="222"/>
    </row>
    <row r="333" spans="2:73" x14ac:dyDescent="0.25">
      <c r="B333" s="215">
        <f ca="1">'Financial Planning Tool'!H136</f>
        <v>75575</v>
      </c>
      <c r="C333" s="216"/>
      <c r="D333" s="216"/>
      <c r="E333" s="217"/>
      <c r="F333" s="218">
        <f ca="1">'Financial Planning Tool'!I136</f>
        <v>136</v>
      </c>
      <c r="G333" s="186"/>
      <c r="H333" s="186"/>
      <c r="I333" s="219"/>
      <c r="J333" s="220" t="str">
        <f ca="1">'Financial Planning Tool'!J136</f>
        <v/>
      </c>
      <c r="K333" s="221"/>
      <c r="L333" s="221"/>
      <c r="M333" s="221"/>
      <c r="N333" s="221"/>
      <c r="O333" s="221"/>
      <c r="P333" s="221"/>
      <c r="Q333" s="222"/>
      <c r="R333" s="220" t="str">
        <f ca="1">'Financial Planning Tool'!K136</f>
        <v/>
      </c>
      <c r="S333" s="221"/>
      <c r="T333" s="221"/>
      <c r="U333" s="221"/>
      <c r="V333" s="221"/>
      <c r="W333" s="221"/>
      <c r="X333" s="221"/>
      <c r="Y333" s="222"/>
      <c r="Z333" s="220" t="str">
        <f ca="1">'Financial Planning Tool'!L136</f>
        <v/>
      </c>
      <c r="AA333" s="221"/>
      <c r="AB333" s="221"/>
      <c r="AC333" s="221"/>
      <c r="AD333" s="221"/>
      <c r="AE333" s="221"/>
      <c r="AF333" s="221"/>
      <c r="AG333" s="222"/>
      <c r="AH333" s="220" t="str">
        <f ca="1">'Financial Planning Tool'!M136</f>
        <v/>
      </c>
      <c r="AI333" s="221"/>
      <c r="AJ333" s="221"/>
      <c r="AK333" s="221"/>
      <c r="AL333" s="221"/>
      <c r="AM333" s="221"/>
      <c r="AN333" s="221"/>
      <c r="AO333" s="222"/>
      <c r="AP333" s="220">
        <f ca="1">'Financial Planning Tool'!N136</f>
        <v>-509.02</v>
      </c>
      <c r="AQ333" s="221"/>
      <c r="AR333" s="221"/>
      <c r="AS333" s="221"/>
      <c r="AT333" s="221"/>
      <c r="AU333" s="221"/>
      <c r="AV333" s="221"/>
      <c r="AW333" s="222"/>
      <c r="AX333" s="220">
        <f ca="1">'Financial Planning Tool'!O136</f>
        <v>-20.86</v>
      </c>
      <c r="AY333" s="221"/>
      <c r="AZ333" s="221"/>
      <c r="BA333" s="221"/>
      <c r="BB333" s="221"/>
      <c r="BC333" s="221"/>
      <c r="BD333" s="221"/>
      <c r="BE333" s="222"/>
      <c r="BF333" s="220">
        <f ca="1">'Financial Planning Tool'!P136</f>
        <v>2637.77</v>
      </c>
      <c r="BG333" s="221"/>
      <c r="BH333" s="221"/>
      <c r="BI333" s="221"/>
      <c r="BJ333" s="221"/>
      <c r="BK333" s="221"/>
      <c r="BL333" s="221"/>
      <c r="BM333" s="222"/>
      <c r="BN333" s="220">
        <f ca="1">'Financial Planning Tool'!Q136</f>
        <v>105.8</v>
      </c>
      <c r="BO333" s="221"/>
      <c r="BP333" s="221"/>
      <c r="BQ333" s="221"/>
      <c r="BR333" s="221"/>
      <c r="BS333" s="221"/>
      <c r="BT333" s="221"/>
      <c r="BU333" s="222"/>
    </row>
    <row r="334" spans="2:73" x14ac:dyDescent="0.25">
      <c r="B334" s="215">
        <f ca="1">'Financial Planning Tool'!H137</f>
        <v>75940</v>
      </c>
      <c r="C334" s="216"/>
      <c r="D334" s="216"/>
      <c r="E334" s="217"/>
      <c r="F334" s="218">
        <f ca="1">'Financial Planning Tool'!I137</f>
        <v>137</v>
      </c>
      <c r="G334" s="186"/>
      <c r="H334" s="186"/>
      <c r="I334" s="219"/>
      <c r="J334" s="220" t="str">
        <f ca="1">'Financial Planning Tool'!J137</f>
        <v/>
      </c>
      <c r="K334" s="221"/>
      <c r="L334" s="221"/>
      <c r="M334" s="221"/>
      <c r="N334" s="221"/>
      <c r="O334" s="221"/>
      <c r="P334" s="221"/>
      <c r="Q334" s="222"/>
      <c r="R334" s="220" t="str">
        <f ca="1">'Financial Planning Tool'!K137</f>
        <v/>
      </c>
      <c r="S334" s="221"/>
      <c r="T334" s="221"/>
      <c r="U334" s="221"/>
      <c r="V334" s="221"/>
      <c r="W334" s="221"/>
      <c r="X334" s="221"/>
      <c r="Y334" s="222"/>
      <c r="Z334" s="220" t="str">
        <f ca="1">'Financial Planning Tool'!L137</f>
        <v/>
      </c>
      <c r="AA334" s="221"/>
      <c r="AB334" s="221"/>
      <c r="AC334" s="221"/>
      <c r="AD334" s="221"/>
      <c r="AE334" s="221"/>
      <c r="AF334" s="221"/>
      <c r="AG334" s="222"/>
      <c r="AH334" s="220" t="str">
        <f ca="1">'Financial Planning Tool'!M137</f>
        <v/>
      </c>
      <c r="AI334" s="221"/>
      <c r="AJ334" s="221"/>
      <c r="AK334" s="221"/>
      <c r="AL334" s="221"/>
      <c r="AM334" s="221"/>
      <c r="AN334" s="221"/>
      <c r="AO334" s="222"/>
      <c r="AP334" s="220">
        <f ca="1">'Financial Planning Tool'!N137</f>
        <v>-461.47</v>
      </c>
      <c r="AQ334" s="221"/>
      <c r="AR334" s="221"/>
      <c r="AS334" s="221"/>
      <c r="AT334" s="221"/>
      <c r="AU334" s="221"/>
      <c r="AV334" s="221"/>
      <c r="AW334" s="222"/>
      <c r="AX334" s="220">
        <f ca="1">'Financial Planning Tool'!O137</f>
        <v>-18.18</v>
      </c>
      <c r="AY334" s="221"/>
      <c r="AZ334" s="221"/>
      <c r="BA334" s="221"/>
      <c r="BB334" s="221"/>
      <c r="BC334" s="221"/>
      <c r="BD334" s="221"/>
      <c r="BE334" s="222"/>
      <c r="BF334" s="220">
        <f ca="1">'Financial Planning Tool'!P137</f>
        <v>2391.35</v>
      </c>
      <c r="BG334" s="221"/>
      <c r="BH334" s="221"/>
      <c r="BI334" s="221"/>
      <c r="BJ334" s="221"/>
      <c r="BK334" s="221"/>
      <c r="BL334" s="221"/>
      <c r="BM334" s="222"/>
      <c r="BN334" s="220">
        <f ca="1">'Financial Planning Tool'!Q137</f>
        <v>92.23</v>
      </c>
      <c r="BO334" s="221"/>
      <c r="BP334" s="221"/>
      <c r="BQ334" s="221"/>
      <c r="BR334" s="221"/>
      <c r="BS334" s="221"/>
      <c r="BT334" s="221"/>
      <c r="BU334" s="222"/>
    </row>
    <row r="335" spans="2:73" x14ac:dyDescent="0.25">
      <c r="B335" s="215">
        <f ca="1">'Financial Planning Tool'!H138</f>
        <v>76306</v>
      </c>
      <c r="C335" s="216"/>
      <c r="D335" s="216"/>
      <c r="E335" s="217"/>
      <c r="F335" s="218">
        <f ca="1">'Financial Planning Tool'!I138</f>
        <v>138</v>
      </c>
      <c r="G335" s="186"/>
      <c r="H335" s="186"/>
      <c r="I335" s="219"/>
      <c r="J335" s="220" t="str">
        <f ca="1">'Financial Planning Tool'!J138</f>
        <v/>
      </c>
      <c r="K335" s="221"/>
      <c r="L335" s="221"/>
      <c r="M335" s="221"/>
      <c r="N335" s="221"/>
      <c r="O335" s="221"/>
      <c r="P335" s="221"/>
      <c r="Q335" s="222"/>
      <c r="R335" s="220" t="str">
        <f ca="1">'Financial Planning Tool'!K138</f>
        <v/>
      </c>
      <c r="S335" s="221"/>
      <c r="T335" s="221"/>
      <c r="U335" s="221"/>
      <c r="V335" s="221"/>
      <c r="W335" s="221"/>
      <c r="X335" s="221"/>
      <c r="Y335" s="222"/>
      <c r="Z335" s="220" t="str">
        <f ca="1">'Financial Planning Tool'!L138</f>
        <v/>
      </c>
      <c r="AA335" s="221"/>
      <c r="AB335" s="221"/>
      <c r="AC335" s="221"/>
      <c r="AD335" s="221"/>
      <c r="AE335" s="221"/>
      <c r="AF335" s="221"/>
      <c r="AG335" s="222"/>
      <c r="AH335" s="220" t="str">
        <f ca="1">'Financial Planning Tool'!M138</f>
        <v/>
      </c>
      <c r="AI335" s="221"/>
      <c r="AJ335" s="221"/>
      <c r="AK335" s="221"/>
      <c r="AL335" s="221"/>
      <c r="AM335" s="221"/>
      <c r="AN335" s="221"/>
      <c r="AO335" s="222"/>
      <c r="AP335" s="220">
        <f ca="1">'Financial Planning Tool'!N138</f>
        <v>-418.36</v>
      </c>
      <c r="AQ335" s="221"/>
      <c r="AR335" s="221"/>
      <c r="AS335" s="221"/>
      <c r="AT335" s="221"/>
      <c r="AU335" s="221"/>
      <c r="AV335" s="221"/>
      <c r="AW335" s="222"/>
      <c r="AX335" s="220">
        <f ca="1">'Financial Planning Tool'!O138</f>
        <v>-15.85</v>
      </c>
      <c r="AY335" s="221"/>
      <c r="AZ335" s="221"/>
      <c r="BA335" s="221"/>
      <c r="BB335" s="221"/>
      <c r="BC335" s="221"/>
      <c r="BD335" s="221"/>
      <c r="BE335" s="222"/>
      <c r="BF335" s="220">
        <f ca="1">'Financial Planning Tool'!P138</f>
        <v>2167.9499999999998</v>
      </c>
      <c r="BG335" s="221"/>
      <c r="BH335" s="221"/>
      <c r="BI335" s="221"/>
      <c r="BJ335" s="221"/>
      <c r="BK335" s="221"/>
      <c r="BL335" s="221"/>
      <c r="BM335" s="222"/>
      <c r="BN335" s="220">
        <f ca="1">'Financial Planning Tool'!Q138</f>
        <v>80.400000000000006</v>
      </c>
      <c r="BO335" s="221"/>
      <c r="BP335" s="221"/>
      <c r="BQ335" s="221"/>
      <c r="BR335" s="221"/>
      <c r="BS335" s="221"/>
      <c r="BT335" s="221"/>
      <c r="BU335" s="222"/>
    </row>
    <row r="336" spans="2:73" x14ac:dyDescent="0.25">
      <c r="B336" s="215">
        <f ca="1">'Financial Planning Tool'!H139</f>
        <v>76671</v>
      </c>
      <c r="C336" s="216"/>
      <c r="D336" s="216"/>
      <c r="E336" s="217"/>
      <c r="F336" s="218">
        <f ca="1">'Financial Planning Tool'!I139</f>
        <v>139</v>
      </c>
      <c r="G336" s="186"/>
      <c r="H336" s="186"/>
      <c r="I336" s="219"/>
      <c r="J336" s="220" t="str">
        <f ca="1">'Financial Planning Tool'!J139</f>
        <v/>
      </c>
      <c r="K336" s="221"/>
      <c r="L336" s="221"/>
      <c r="M336" s="221"/>
      <c r="N336" s="221"/>
      <c r="O336" s="221"/>
      <c r="P336" s="221"/>
      <c r="Q336" s="222"/>
      <c r="R336" s="220" t="str">
        <f ca="1">'Financial Planning Tool'!K139</f>
        <v/>
      </c>
      <c r="S336" s="221"/>
      <c r="T336" s="221"/>
      <c r="U336" s="221"/>
      <c r="V336" s="221"/>
      <c r="W336" s="221"/>
      <c r="X336" s="221"/>
      <c r="Y336" s="222"/>
      <c r="Z336" s="220" t="str">
        <f ca="1">'Financial Planning Tool'!L139</f>
        <v/>
      </c>
      <c r="AA336" s="221"/>
      <c r="AB336" s="221"/>
      <c r="AC336" s="221"/>
      <c r="AD336" s="221"/>
      <c r="AE336" s="221"/>
      <c r="AF336" s="221"/>
      <c r="AG336" s="222"/>
      <c r="AH336" s="220" t="str">
        <f ca="1">'Financial Planning Tool'!M139</f>
        <v/>
      </c>
      <c r="AI336" s="221"/>
      <c r="AJ336" s="221"/>
      <c r="AK336" s="221"/>
      <c r="AL336" s="221"/>
      <c r="AM336" s="221"/>
      <c r="AN336" s="221"/>
      <c r="AO336" s="222"/>
      <c r="AP336" s="220">
        <f ca="1">'Financial Planning Tool'!N139</f>
        <v>-379.28</v>
      </c>
      <c r="AQ336" s="221"/>
      <c r="AR336" s="221"/>
      <c r="AS336" s="221"/>
      <c r="AT336" s="221"/>
      <c r="AU336" s="221"/>
      <c r="AV336" s="221"/>
      <c r="AW336" s="222"/>
      <c r="AX336" s="220">
        <f ca="1">'Financial Planning Tool'!O139</f>
        <v>-13.82</v>
      </c>
      <c r="AY336" s="221"/>
      <c r="AZ336" s="221"/>
      <c r="BA336" s="221"/>
      <c r="BB336" s="221"/>
      <c r="BC336" s="221"/>
      <c r="BD336" s="221"/>
      <c r="BE336" s="222"/>
      <c r="BF336" s="220">
        <f ca="1">'Financial Planning Tool'!P139</f>
        <v>1965.43</v>
      </c>
      <c r="BG336" s="221"/>
      <c r="BH336" s="221"/>
      <c r="BI336" s="221"/>
      <c r="BJ336" s="221"/>
      <c r="BK336" s="221"/>
      <c r="BL336" s="221"/>
      <c r="BM336" s="222"/>
      <c r="BN336" s="220">
        <f ca="1">'Financial Planning Tool'!Q139</f>
        <v>70.08</v>
      </c>
      <c r="BO336" s="221"/>
      <c r="BP336" s="221"/>
      <c r="BQ336" s="221"/>
      <c r="BR336" s="221"/>
      <c r="BS336" s="221"/>
      <c r="BT336" s="221"/>
      <c r="BU336" s="222"/>
    </row>
    <row r="337" spans="2:73" x14ac:dyDescent="0.25">
      <c r="B337" s="215">
        <f ca="1">'Financial Planning Tool'!H140</f>
        <v>77036</v>
      </c>
      <c r="C337" s="216"/>
      <c r="D337" s="216"/>
      <c r="E337" s="217"/>
      <c r="F337" s="218">
        <f ca="1">'Financial Planning Tool'!I140</f>
        <v>140</v>
      </c>
      <c r="G337" s="186"/>
      <c r="H337" s="186"/>
      <c r="I337" s="219"/>
      <c r="J337" s="220" t="str">
        <f ca="1">'Financial Planning Tool'!J140</f>
        <v/>
      </c>
      <c r="K337" s="221"/>
      <c r="L337" s="221"/>
      <c r="M337" s="221"/>
      <c r="N337" s="221"/>
      <c r="O337" s="221"/>
      <c r="P337" s="221"/>
      <c r="Q337" s="222"/>
      <c r="R337" s="220" t="str">
        <f ca="1">'Financial Planning Tool'!K140</f>
        <v/>
      </c>
      <c r="S337" s="221"/>
      <c r="T337" s="221"/>
      <c r="U337" s="221"/>
      <c r="V337" s="221"/>
      <c r="W337" s="221"/>
      <c r="X337" s="221"/>
      <c r="Y337" s="222"/>
      <c r="Z337" s="220" t="str">
        <f ca="1">'Financial Planning Tool'!L140</f>
        <v/>
      </c>
      <c r="AA337" s="221"/>
      <c r="AB337" s="221"/>
      <c r="AC337" s="221"/>
      <c r="AD337" s="221"/>
      <c r="AE337" s="221"/>
      <c r="AF337" s="221"/>
      <c r="AG337" s="222"/>
      <c r="AH337" s="220" t="str">
        <f ca="1">'Financial Planning Tool'!M140</f>
        <v/>
      </c>
      <c r="AI337" s="221"/>
      <c r="AJ337" s="221"/>
      <c r="AK337" s="221"/>
      <c r="AL337" s="221"/>
      <c r="AM337" s="221"/>
      <c r="AN337" s="221"/>
      <c r="AO337" s="222"/>
      <c r="AP337" s="220">
        <f ca="1">'Financial Planning Tool'!N140</f>
        <v>-343.84</v>
      </c>
      <c r="AQ337" s="221"/>
      <c r="AR337" s="221"/>
      <c r="AS337" s="221"/>
      <c r="AT337" s="221"/>
      <c r="AU337" s="221"/>
      <c r="AV337" s="221"/>
      <c r="AW337" s="222"/>
      <c r="AX337" s="220">
        <f ca="1">'Financial Planning Tool'!O140</f>
        <v>-12.05</v>
      </c>
      <c r="AY337" s="221"/>
      <c r="AZ337" s="221"/>
      <c r="BA337" s="221"/>
      <c r="BB337" s="221"/>
      <c r="BC337" s="221"/>
      <c r="BD337" s="221"/>
      <c r="BE337" s="222"/>
      <c r="BF337" s="220">
        <f ca="1">'Financial Planning Tool'!P140</f>
        <v>1781.82</v>
      </c>
      <c r="BG337" s="221"/>
      <c r="BH337" s="221"/>
      <c r="BI337" s="221"/>
      <c r="BJ337" s="221"/>
      <c r="BK337" s="221"/>
      <c r="BL337" s="221"/>
      <c r="BM337" s="222"/>
      <c r="BN337" s="220">
        <f ca="1">'Financial Planning Tool'!Q140</f>
        <v>61.09</v>
      </c>
      <c r="BO337" s="221"/>
      <c r="BP337" s="221"/>
      <c r="BQ337" s="221"/>
      <c r="BR337" s="221"/>
      <c r="BS337" s="221"/>
      <c r="BT337" s="221"/>
      <c r="BU337" s="222"/>
    </row>
    <row r="338" spans="2:73" x14ac:dyDescent="0.25">
      <c r="B338" s="215">
        <f ca="1">'Financial Planning Tool'!H141</f>
        <v>77401</v>
      </c>
      <c r="C338" s="216"/>
      <c r="D338" s="216"/>
      <c r="E338" s="217"/>
      <c r="F338" s="218">
        <f ca="1">'Financial Planning Tool'!I141</f>
        <v>141</v>
      </c>
      <c r="G338" s="186"/>
      <c r="H338" s="186"/>
      <c r="I338" s="219"/>
      <c r="J338" s="220" t="str">
        <f ca="1">'Financial Planning Tool'!J141</f>
        <v/>
      </c>
      <c r="K338" s="221"/>
      <c r="L338" s="221"/>
      <c r="M338" s="221"/>
      <c r="N338" s="221"/>
      <c r="O338" s="221"/>
      <c r="P338" s="221"/>
      <c r="Q338" s="222"/>
      <c r="R338" s="220" t="str">
        <f ca="1">'Financial Planning Tool'!K141</f>
        <v/>
      </c>
      <c r="S338" s="221"/>
      <c r="T338" s="221"/>
      <c r="U338" s="221"/>
      <c r="V338" s="221"/>
      <c r="W338" s="221"/>
      <c r="X338" s="221"/>
      <c r="Y338" s="222"/>
      <c r="Z338" s="220" t="str">
        <f ca="1">'Financial Planning Tool'!L141</f>
        <v/>
      </c>
      <c r="AA338" s="221"/>
      <c r="AB338" s="221"/>
      <c r="AC338" s="221"/>
      <c r="AD338" s="221"/>
      <c r="AE338" s="221"/>
      <c r="AF338" s="221"/>
      <c r="AG338" s="222"/>
      <c r="AH338" s="220" t="str">
        <f ca="1">'Financial Planning Tool'!M141</f>
        <v/>
      </c>
      <c r="AI338" s="221"/>
      <c r="AJ338" s="221"/>
      <c r="AK338" s="221"/>
      <c r="AL338" s="221"/>
      <c r="AM338" s="221"/>
      <c r="AN338" s="221"/>
      <c r="AO338" s="222"/>
      <c r="AP338" s="220">
        <f ca="1">'Financial Planning Tool'!N141</f>
        <v>-311.72000000000003</v>
      </c>
      <c r="AQ338" s="221"/>
      <c r="AR338" s="221"/>
      <c r="AS338" s="221"/>
      <c r="AT338" s="221"/>
      <c r="AU338" s="221"/>
      <c r="AV338" s="221"/>
      <c r="AW338" s="222"/>
      <c r="AX338" s="220">
        <f ca="1">'Financial Planning Tool'!O141</f>
        <v>-10.5</v>
      </c>
      <c r="AY338" s="221"/>
      <c r="AZ338" s="221"/>
      <c r="BA338" s="221"/>
      <c r="BB338" s="221"/>
      <c r="BC338" s="221"/>
      <c r="BD338" s="221"/>
      <c r="BE338" s="222"/>
      <c r="BF338" s="220">
        <f ca="1">'Financial Planning Tool'!P141</f>
        <v>1615.36</v>
      </c>
      <c r="BG338" s="221"/>
      <c r="BH338" s="221"/>
      <c r="BI338" s="221"/>
      <c r="BJ338" s="221"/>
      <c r="BK338" s="221"/>
      <c r="BL338" s="221"/>
      <c r="BM338" s="222"/>
      <c r="BN338" s="220">
        <f ca="1">'Financial Planning Tool'!Q141</f>
        <v>53.26</v>
      </c>
      <c r="BO338" s="221"/>
      <c r="BP338" s="221"/>
      <c r="BQ338" s="221"/>
      <c r="BR338" s="221"/>
      <c r="BS338" s="221"/>
      <c r="BT338" s="221"/>
      <c r="BU338" s="222"/>
    </row>
    <row r="339" spans="2:73" x14ac:dyDescent="0.25">
      <c r="B339" s="215">
        <f ca="1">'Financial Planning Tool'!H142</f>
        <v>77767</v>
      </c>
      <c r="C339" s="216"/>
      <c r="D339" s="216"/>
      <c r="E339" s="217"/>
      <c r="F339" s="218">
        <f ca="1">'Financial Planning Tool'!I142</f>
        <v>142</v>
      </c>
      <c r="G339" s="186"/>
      <c r="H339" s="186"/>
      <c r="I339" s="219"/>
      <c r="J339" s="220" t="str">
        <f ca="1">'Financial Planning Tool'!J142</f>
        <v/>
      </c>
      <c r="K339" s="221"/>
      <c r="L339" s="221"/>
      <c r="M339" s="221"/>
      <c r="N339" s="221"/>
      <c r="O339" s="221"/>
      <c r="P339" s="221"/>
      <c r="Q339" s="222"/>
      <c r="R339" s="220" t="str">
        <f ca="1">'Financial Planning Tool'!K142</f>
        <v/>
      </c>
      <c r="S339" s="221"/>
      <c r="T339" s="221"/>
      <c r="U339" s="221"/>
      <c r="V339" s="221"/>
      <c r="W339" s="221"/>
      <c r="X339" s="221"/>
      <c r="Y339" s="222"/>
      <c r="Z339" s="220" t="str">
        <f ca="1">'Financial Planning Tool'!L142</f>
        <v/>
      </c>
      <c r="AA339" s="221"/>
      <c r="AB339" s="221"/>
      <c r="AC339" s="221"/>
      <c r="AD339" s="221"/>
      <c r="AE339" s="221"/>
      <c r="AF339" s="221"/>
      <c r="AG339" s="222"/>
      <c r="AH339" s="220" t="str">
        <f ca="1">'Financial Planning Tool'!M142</f>
        <v/>
      </c>
      <c r="AI339" s="221"/>
      <c r="AJ339" s="221"/>
      <c r="AK339" s="221"/>
      <c r="AL339" s="221"/>
      <c r="AM339" s="221"/>
      <c r="AN339" s="221"/>
      <c r="AO339" s="222"/>
      <c r="AP339" s="220">
        <f ca="1">'Financial Planning Tool'!N142</f>
        <v>-282.60000000000002</v>
      </c>
      <c r="AQ339" s="221"/>
      <c r="AR339" s="221"/>
      <c r="AS339" s="221"/>
      <c r="AT339" s="221"/>
      <c r="AU339" s="221"/>
      <c r="AV339" s="221"/>
      <c r="AW339" s="222"/>
      <c r="AX339" s="220">
        <f ca="1">'Financial Planning Tool'!O142</f>
        <v>-9.15</v>
      </c>
      <c r="AY339" s="221"/>
      <c r="AZ339" s="221"/>
      <c r="BA339" s="221"/>
      <c r="BB339" s="221"/>
      <c r="BC339" s="221"/>
      <c r="BD339" s="221"/>
      <c r="BE339" s="222"/>
      <c r="BF339" s="220">
        <f ca="1">'Financial Planning Tool'!P142</f>
        <v>1464.46</v>
      </c>
      <c r="BG339" s="221"/>
      <c r="BH339" s="221"/>
      <c r="BI339" s="221"/>
      <c r="BJ339" s="221"/>
      <c r="BK339" s="221"/>
      <c r="BL339" s="221"/>
      <c r="BM339" s="222"/>
      <c r="BN339" s="220">
        <f ca="1">'Financial Planning Tool'!Q142</f>
        <v>46.42</v>
      </c>
      <c r="BO339" s="221"/>
      <c r="BP339" s="221"/>
      <c r="BQ339" s="221"/>
      <c r="BR339" s="221"/>
      <c r="BS339" s="221"/>
      <c r="BT339" s="221"/>
      <c r="BU339" s="222"/>
    </row>
    <row r="340" spans="2:73" x14ac:dyDescent="0.25">
      <c r="B340" s="215">
        <f ca="1">'Financial Planning Tool'!H143</f>
        <v>78132</v>
      </c>
      <c r="C340" s="216"/>
      <c r="D340" s="216"/>
      <c r="E340" s="217"/>
      <c r="F340" s="218">
        <f ca="1">'Financial Planning Tool'!I143</f>
        <v>143</v>
      </c>
      <c r="G340" s="186"/>
      <c r="H340" s="186"/>
      <c r="I340" s="219"/>
      <c r="J340" s="220" t="str">
        <f ca="1">'Financial Planning Tool'!J143</f>
        <v/>
      </c>
      <c r="K340" s="221"/>
      <c r="L340" s="221"/>
      <c r="M340" s="221"/>
      <c r="N340" s="221"/>
      <c r="O340" s="221"/>
      <c r="P340" s="221"/>
      <c r="Q340" s="222"/>
      <c r="R340" s="220" t="str">
        <f ca="1">'Financial Planning Tool'!K143</f>
        <v/>
      </c>
      <c r="S340" s="221"/>
      <c r="T340" s="221"/>
      <c r="U340" s="221"/>
      <c r="V340" s="221"/>
      <c r="W340" s="221"/>
      <c r="X340" s="221"/>
      <c r="Y340" s="222"/>
      <c r="Z340" s="220" t="str">
        <f ca="1">'Financial Planning Tool'!L143</f>
        <v/>
      </c>
      <c r="AA340" s="221"/>
      <c r="AB340" s="221"/>
      <c r="AC340" s="221"/>
      <c r="AD340" s="221"/>
      <c r="AE340" s="221"/>
      <c r="AF340" s="221"/>
      <c r="AG340" s="222"/>
      <c r="AH340" s="220" t="str">
        <f ca="1">'Financial Planning Tool'!M143</f>
        <v/>
      </c>
      <c r="AI340" s="221"/>
      <c r="AJ340" s="221"/>
      <c r="AK340" s="221"/>
      <c r="AL340" s="221"/>
      <c r="AM340" s="221"/>
      <c r="AN340" s="221"/>
      <c r="AO340" s="222"/>
      <c r="AP340" s="220">
        <f ca="1">'Financial Planning Tool'!N143</f>
        <v>-256.2</v>
      </c>
      <c r="AQ340" s="221"/>
      <c r="AR340" s="221"/>
      <c r="AS340" s="221"/>
      <c r="AT340" s="221"/>
      <c r="AU340" s="221"/>
      <c r="AV340" s="221"/>
      <c r="AW340" s="222"/>
      <c r="AX340" s="220">
        <f ca="1">'Financial Planning Tool'!O143</f>
        <v>-7.98</v>
      </c>
      <c r="AY340" s="221"/>
      <c r="AZ340" s="221"/>
      <c r="BA340" s="221"/>
      <c r="BB340" s="221"/>
      <c r="BC340" s="221"/>
      <c r="BD340" s="221"/>
      <c r="BE340" s="222"/>
      <c r="BF340" s="220">
        <f ca="1">'Financial Planning Tool'!P143</f>
        <v>1327.65</v>
      </c>
      <c r="BG340" s="221"/>
      <c r="BH340" s="221"/>
      <c r="BI340" s="221"/>
      <c r="BJ340" s="221"/>
      <c r="BK340" s="221"/>
      <c r="BL340" s="221"/>
      <c r="BM340" s="222"/>
      <c r="BN340" s="220">
        <f ca="1">'Financial Planning Tool'!Q143</f>
        <v>40.47</v>
      </c>
      <c r="BO340" s="221"/>
      <c r="BP340" s="221"/>
      <c r="BQ340" s="221"/>
      <c r="BR340" s="221"/>
      <c r="BS340" s="221"/>
      <c r="BT340" s="221"/>
      <c r="BU340" s="222"/>
    </row>
    <row r="341" spans="2:73" x14ac:dyDescent="0.25">
      <c r="B341" s="215">
        <f ca="1">'Financial Planning Tool'!H144</f>
        <v>78497</v>
      </c>
      <c r="C341" s="216"/>
      <c r="D341" s="216"/>
      <c r="E341" s="217"/>
      <c r="F341" s="218">
        <f ca="1">'Financial Planning Tool'!I144</f>
        <v>144</v>
      </c>
      <c r="G341" s="186"/>
      <c r="H341" s="186"/>
      <c r="I341" s="219"/>
      <c r="J341" s="220" t="str">
        <f ca="1">'Financial Planning Tool'!J144</f>
        <v/>
      </c>
      <c r="K341" s="221"/>
      <c r="L341" s="221"/>
      <c r="M341" s="221"/>
      <c r="N341" s="221"/>
      <c r="O341" s="221"/>
      <c r="P341" s="221"/>
      <c r="Q341" s="222"/>
      <c r="R341" s="220" t="str">
        <f ca="1">'Financial Planning Tool'!K144</f>
        <v/>
      </c>
      <c r="S341" s="221"/>
      <c r="T341" s="221"/>
      <c r="U341" s="221"/>
      <c r="V341" s="221"/>
      <c r="W341" s="221"/>
      <c r="X341" s="221"/>
      <c r="Y341" s="222"/>
      <c r="Z341" s="220" t="str">
        <f ca="1">'Financial Planning Tool'!L144</f>
        <v/>
      </c>
      <c r="AA341" s="221"/>
      <c r="AB341" s="221"/>
      <c r="AC341" s="221"/>
      <c r="AD341" s="221"/>
      <c r="AE341" s="221"/>
      <c r="AF341" s="221"/>
      <c r="AG341" s="222"/>
      <c r="AH341" s="220" t="str">
        <f ca="1">'Financial Planning Tool'!M144</f>
        <v/>
      </c>
      <c r="AI341" s="221"/>
      <c r="AJ341" s="221"/>
      <c r="AK341" s="221"/>
      <c r="AL341" s="221"/>
      <c r="AM341" s="221"/>
      <c r="AN341" s="221"/>
      <c r="AO341" s="222"/>
      <c r="AP341" s="220">
        <f ca="1">'Financial Planning Tool'!N144</f>
        <v>-232.27</v>
      </c>
      <c r="AQ341" s="221"/>
      <c r="AR341" s="221"/>
      <c r="AS341" s="221"/>
      <c r="AT341" s="221"/>
      <c r="AU341" s="221"/>
      <c r="AV341" s="221"/>
      <c r="AW341" s="222"/>
      <c r="AX341" s="220">
        <f ca="1">'Financial Planning Tool'!O144</f>
        <v>-6.96</v>
      </c>
      <c r="AY341" s="221"/>
      <c r="AZ341" s="221"/>
      <c r="BA341" s="221"/>
      <c r="BB341" s="221"/>
      <c r="BC341" s="221"/>
      <c r="BD341" s="221"/>
      <c r="BE341" s="222"/>
      <c r="BF341" s="220">
        <f ca="1">'Financial Planning Tool'!P144</f>
        <v>1203.6199999999999</v>
      </c>
      <c r="BG341" s="221"/>
      <c r="BH341" s="221"/>
      <c r="BI341" s="221"/>
      <c r="BJ341" s="221"/>
      <c r="BK341" s="221"/>
      <c r="BL341" s="221"/>
      <c r="BM341" s="222"/>
      <c r="BN341" s="220">
        <f ca="1">'Financial Planning Tool'!Q144</f>
        <v>35.28</v>
      </c>
      <c r="BO341" s="221"/>
      <c r="BP341" s="221"/>
      <c r="BQ341" s="221"/>
      <c r="BR341" s="221"/>
      <c r="BS341" s="221"/>
      <c r="BT341" s="221"/>
      <c r="BU341" s="222"/>
    </row>
    <row r="342" spans="2:73" x14ac:dyDescent="0.25">
      <c r="B342" s="215">
        <f ca="1">'Financial Planning Tool'!H145</f>
        <v>78862</v>
      </c>
      <c r="C342" s="216"/>
      <c r="D342" s="216"/>
      <c r="E342" s="217"/>
      <c r="F342" s="218">
        <f ca="1">'Financial Planning Tool'!I145</f>
        <v>145</v>
      </c>
      <c r="G342" s="186"/>
      <c r="H342" s="186"/>
      <c r="I342" s="219"/>
      <c r="J342" s="220" t="str">
        <f ca="1">'Financial Planning Tool'!J145</f>
        <v/>
      </c>
      <c r="K342" s="221"/>
      <c r="L342" s="221"/>
      <c r="M342" s="221"/>
      <c r="N342" s="221"/>
      <c r="O342" s="221"/>
      <c r="P342" s="221"/>
      <c r="Q342" s="222"/>
      <c r="R342" s="220" t="str">
        <f ca="1">'Financial Planning Tool'!K145</f>
        <v/>
      </c>
      <c r="S342" s="221"/>
      <c r="T342" s="221"/>
      <c r="U342" s="221"/>
      <c r="V342" s="221"/>
      <c r="W342" s="221"/>
      <c r="X342" s="221"/>
      <c r="Y342" s="222"/>
      <c r="Z342" s="220" t="str">
        <f ca="1">'Financial Planning Tool'!L145</f>
        <v/>
      </c>
      <c r="AA342" s="221"/>
      <c r="AB342" s="221"/>
      <c r="AC342" s="221"/>
      <c r="AD342" s="221"/>
      <c r="AE342" s="221"/>
      <c r="AF342" s="221"/>
      <c r="AG342" s="222"/>
      <c r="AH342" s="220" t="str">
        <f ca="1">'Financial Planning Tool'!M145</f>
        <v/>
      </c>
      <c r="AI342" s="221"/>
      <c r="AJ342" s="221"/>
      <c r="AK342" s="221"/>
      <c r="AL342" s="221"/>
      <c r="AM342" s="221"/>
      <c r="AN342" s="221"/>
      <c r="AO342" s="222"/>
      <c r="AP342" s="220">
        <f ca="1">'Financial Planning Tool'!N145</f>
        <v>-210.57</v>
      </c>
      <c r="AQ342" s="221"/>
      <c r="AR342" s="221"/>
      <c r="AS342" s="221"/>
      <c r="AT342" s="221"/>
      <c r="AU342" s="221"/>
      <c r="AV342" s="221"/>
      <c r="AW342" s="222"/>
      <c r="AX342" s="220">
        <f ca="1">'Financial Planning Tool'!O145</f>
        <v>-6.06</v>
      </c>
      <c r="AY342" s="221"/>
      <c r="AZ342" s="221"/>
      <c r="BA342" s="221"/>
      <c r="BB342" s="221"/>
      <c r="BC342" s="221"/>
      <c r="BD342" s="221"/>
      <c r="BE342" s="222"/>
      <c r="BF342" s="220">
        <f ca="1">'Financial Planning Tool'!P145</f>
        <v>1091.18</v>
      </c>
      <c r="BG342" s="221"/>
      <c r="BH342" s="221"/>
      <c r="BI342" s="221"/>
      <c r="BJ342" s="221"/>
      <c r="BK342" s="221"/>
      <c r="BL342" s="221"/>
      <c r="BM342" s="222"/>
      <c r="BN342" s="220">
        <f ca="1">'Financial Planning Tool'!Q145</f>
        <v>30.75</v>
      </c>
      <c r="BO342" s="221"/>
      <c r="BP342" s="221"/>
      <c r="BQ342" s="221"/>
      <c r="BR342" s="221"/>
      <c r="BS342" s="221"/>
      <c r="BT342" s="221"/>
      <c r="BU342" s="222"/>
    </row>
    <row r="343" spans="2:73" x14ac:dyDescent="0.25">
      <c r="B343" s="215">
        <f ca="1">'Financial Planning Tool'!H146</f>
        <v>79228</v>
      </c>
      <c r="C343" s="216"/>
      <c r="D343" s="216"/>
      <c r="E343" s="217"/>
      <c r="F343" s="218">
        <f ca="1">'Financial Planning Tool'!I146</f>
        <v>146</v>
      </c>
      <c r="G343" s="186"/>
      <c r="H343" s="186"/>
      <c r="I343" s="219"/>
      <c r="J343" s="220" t="str">
        <f ca="1">'Financial Planning Tool'!J146</f>
        <v/>
      </c>
      <c r="K343" s="221"/>
      <c r="L343" s="221"/>
      <c r="M343" s="221"/>
      <c r="N343" s="221"/>
      <c r="O343" s="221"/>
      <c r="P343" s="221"/>
      <c r="Q343" s="222"/>
      <c r="R343" s="220" t="str">
        <f ca="1">'Financial Planning Tool'!K146</f>
        <v/>
      </c>
      <c r="S343" s="221"/>
      <c r="T343" s="221"/>
      <c r="U343" s="221"/>
      <c r="V343" s="221"/>
      <c r="W343" s="221"/>
      <c r="X343" s="221"/>
      <c r="Y343" s="222"/>
      <c r="Z343" s="220" t="str">
        <f ca="1">'Financial Planning Tool'!L146</f>
        <v/>
      </c>
      <c r="AA343" s="221"/>
      <c r="AB343" s="221"/>
      <c r="AC343" s="221"/>
      <c r="AD343" s="221"/>
      <c r="AE343" s="221"/>
      <c r="AF343" s="221"/>
      <c r="AG343" s="222"/>
      <c r="AH343" s="220" t="str">
        <f ca="1">'Financial Planning Tool'!M146</f>
        <v/>
      </c>
      <c r="AI343" s="221"/>
      <c r="AJ343" s="221"/>
      <c r="AK343" s="221"/>
      <c r="AL343" s="221"/>
      <c r="AM343" s="221"/>
      <c r="AN343" s="221"/>
      <c r="AO343" s="222"/>
      <c r="AP343" s="220">
        <f ca="1">'Financial Planning Tool'!N146</f>
        <v>-190.9</v>
      </c>
      <c r="AQ343" s="221"/>
      <c r="AR343" s="221"/>
      <c r="AS343" s="221"/>
      <c r="AT343" s="221"/>
      <c r="AU343" s="221"/>
      <c r="AV343" s="221"/>
      <c r="AW343" s="222"/>
      <c r="AX343" s="220">
        <f ca="1">'Financial Planning Tool'!O146</f>
        <v>-5.29</v>
      </c>
      <c r="AY343" s="221"/>
      <c r="AZ343" s="221"/>
      <c r="BA343" s="221"/>
      <c r="BB343" s="221"/>
      <c r="BC343" s="221"/>
      <c r="BD343" s="221"/>
      <c r="BE343" s="222"/>
      <c r="BF343" s="220">
        <f ca="1">'Financial Planning Tool'!P146</f>
        <v>989.24</v>
      </c>
      <c r="BG343" s="221"/>
      <c r="BH343" s="221"/>
      <c r="BI343" s="221"/>
      <c r="BJ343" s="221"/>
      <c r="BK343" s="221"/>
      <c r="BL343" s="221"/>
      <c r="BM343" s="222"/>
      <c r="BN343" s="220">
        <f ca="1">'Financial Planning Tool'!Q146</f>
        <v>26.81</v>
      </c>
      <c r="BO343" s="221"/>
      <c r="BP343" s="221"/>
      <c r="BQ343" s="221"/>
      <c r="BR343" s="221"/>
      <c r="BS343" s="221"/>
      <c r="BT343" s="221"/>
      <c r="BU343" s="222"/>
    </row>
    <row r="344" spans="2:73" x14ac:dyDescent="0.25">
      <c r="B344" s="215">
        <f ca="1">'Financial Planning Tool'!H147</f>
        <v>79593</v>
      </c>
      <c r="C344" s="216"/>
      <c r="D344" s="216"/>
      <c r="E344" s="217"/>
      <c r="F344" s="218">
        <f ca="1">'Financial Planning Tool'!I147</f>
        <v>147</v>
      </c>
      <c r="G344" s="186"/>
      <c r="H344" s="186"/>
      <c r="I344" s="219"/>
      <c r="J344" s="220" t="str">
        <f ca="1">'Financial Planning Tool'!J147</f>
        <v/>
      </c>
      <c r="K344" s="221"/>
      <c r="L344" s="221"/>
      <c r="M344" s="221"/>
      <c r="N344" s="221"/>
      <c r="O344" s="221"/>
      <c r="P344" s="221"/>
      <c r="Q344" s="222"/>
      <c r="R344" s="220" t="str">
        <f ca="1">'Financial Planning Tool'!K147</f>
        <v/>
      </c>
      <c r="S344" s="221"/>
      <c r="T344" s="221"/>
      <c r="U344" s="221"/>
      <c r="V344" s="221"/>
      <c r="W344" s="221"/>
      <c r="X344" s="221"/>
      <c r="Y344" s="222"/>
      <c r="Z344" s="220" t="str">
        <f ca="1">'Financial Planning Tool'!L147</f>
        <v/>
      </c>
      <c r="AA344" s="221"/>
      <c r="AB344" s="221"/>
      <c r="AC344" s="221"/>
      <c r="AD344" s="221"/>
      <c r="AE344" s="221"/>
      <c r="AF344" s="221"/>
      <c r="AG344" s="222"/>
      <c r="AH344" s="220" t="str">
        <f ca="1">'Financial Planning Tool'!M147</f>
        <v/>
      </c>
      <c r="AI344" s="221"/>
      <c r="AJ344" s="221"/>
      <c r="AK344" s="221"/>
      <c r="AL344" s="221"/>
      <c r="AM344" s="221"/>
      <c r="AN344" s="221"/>
      <c r="AO344" s="222"/>
      <c r="AP344" s="220">
        <f ca="1">'Financial Planning Tool'!N147</f>
        <v>-173.06</v>
      </c>
      <c r="AQ344" s="221"/>
      <c r="AR344" s="221"/>
      <c r="AS344" s="221"/>
      <c r="AT344" s="221"/>
      <c r="AU344" s="221"/>
      <c r="AV344" s="221"/>
      <c r="AW344" s="222"/>
      <c r="AX344" s="220">
        <f ca="1">'Financial Planning Tool'!O147</f>
        <v>-4.6100000000000003</v>
      </c>
      <c r="AY344" s="221"/>
      <c r="AZ344" s="221"/>
      <c r="BA344" s="221"/>
      <c r="BB344" s="221"/>
      <c r="BC344" s="221"/>
      <c r="BD344" s="221"/>
      <c r="BE344" s="222"/>
      <c r="BF344" s="220">
        <f ca="1">'Financial Planning Tool'!P147</f>
        <v>896.83</v>
      </c>
      <c r="BG344" s="221"/>
      <c r="BH344" s="221"/>
      <c r="BI344" s="221"/>
      <c r="BJ344" s="221"/>
      <c r="BK344" s="221"/>
      <c r="BL344" s="221"/>
      <c r="BM344" s="222"/>
      <c r="BN344" s="220">
        <f ca="1">'Financial Planning Tool'!Q147</f>
        <v>23.37</v>
      </c>
      <c r="BO344" s="221"/>
      <c r="BP344" s="221"/>
      <c r="BQ344" s="221"/>
      <c r="BR344" s="221"/>
      <c r="BS344" s="221"/>
      <c r="BT344" s="221"/>
      <c r="BU344" s="222"/>
    </row>
    <row r="345" spans="2:73" x14ac:dyDescent="0.25">
      <c r="B345" s="215">
        <f ca="1">'Financial Planning Tool'!H148</f>
        <v>79958</v>
      </c>
      <c r="C345" s="216"/>
      <c r="D345" s="216"/>
      <c r="E345" s="217"/>
      <c r="F345" s="218">
        <f ca="1">'Financial Planning Tool'!I148</f>
        <v>148</v>
      </c>
      <c r="G345" s="186"/>
      <c r="H345" s="186"/>
      <c r="I345" s="219"/>
      <c r="J345" s="220" t="str">
        <f ca="1">'Financial Planning Tool'!J148</f>
        <v/>
      </c>
      <c r="K345" s="221"/>
      <c r="L345" s="221"/>
      <c r="M345" s="221"/>
      <c r="N345" s="221"/>
      <c r="O345" s="221"/>
      <c r="P345" s="221"/>
      <c r="Q345" s="222"/>
      <c r="R345" s="220" t="str">
        <f ca="1">'Financial Planning Tool'!K148</f>
        <v/>
      </c>
      <c r="S345" s="221"/>
      <c r="T345" s="221"/>
      <c r="U345" s="221"/>
      <c r="V345" s="221"/>
      <c r="W345" s="221"/>
      <c r="X345" s="221"/>
      <c r="Y345" s="222"/>
      <c r="Z345" s="220" t="str">
        <f ca="1">'Financial Planning Tool'!L148</f>
        <v/>
      </c>
      <c r="AA345" s="221"/>
      <c r="AB345" s="221"/>
      <c r="AC345" s="221"/>
      <c r="AD345" s="221"/>
      <c r="AE345" s="221"/>
      <c r="AF345" s="221"/>
      <c r="AG345" s="222"/>
      <c r="AH345" s="220" t="str">
        <f ca="1">'Financial Planning Tool'!M148</f>
        <v/>
      </c>
      <c r="AI345" s="221"/>
      <c r="AJ345" s="221"/>
      <c r="AK345" s="221"/>
      <c r="AL345" s="221"/>
      <c r="AM345" s="221"/>
      <c r="AN345" s="221"/>
      <c r="AO345" s="222"/>
      <c r="AP345" s="220">
        <f ca="1">'Financial Planning Tool'!N148</f>
        <v>-156.9</v>
      </c>
      <c r="AQ345" s="221"/>
      <c r="AR345" s="221"/>
      <c r="AS345" s="221"/>
      <c r="AT345" s="221"/>
      <c r="AU345" s="221"/>
      <c r="AV345" s="221"/>
      <c r="AW345" s="222"/>
      <c r="AX345" s="220">
        <f ca="1">'Financial Planning Tool'!O148</f>
        <v>-4.0199999999999996</v>
      </c>
      <c r="AY345" s="221"/>
      <c r="AZ345" s="221"/>
      <c r="BA345" s="221"/>
      <c r="BB345" s="221"/>
      <c r="BC345" s="221"/>
      <c r="BD345" s="221"/>
      <c r="BE345" s="222"/>
      <c r="BF345" s="220">
        <f ca="1">'Financial Planning Tool'!P148</f>
        <v>813.05</v>
      </c>
      <c r="BG345" s="221"/>
      <c r="BH345" s="221"/>
      <c r="BI345" s="221"/>
      <c r="BJ345" s="221"/>
      <c r="BK345" s="221"/>
      <c r="BL345" s="221"/>
      <c r="BM345" s="222"/>
      <c r="BN345" s="220">
        <f ca="1">'Financial Planning Tool'!Q148</f>
        <v>20.37</v>
      </c>
      <c r="BO345" s="221"/>
      <c r="BP345" s="221"/>
      <c r="BQ345" s="221"/>
      <c r="BR345" s="221"/>
      <c r="BS345" s="221"/>
      <c r="BT345" s="221"/>
      <c r="BU345" s="222"/>
    </row>
    <row r="346" spans="2:73" x14ac:dyDescent="0.25">
      <c r="B346" s="215">
        <f ca="1">'Financial Planning Tool'!H149</f>
        <v>80323</v>
      </c>
      <c r="C346" s="216"/>
      <c r="D346" s="216"/>
      <c r="E346" s="217"/>
      <c r="F346" s="218">
        <f ca="1">'Financial Planning Tool'!I149</f>
        <v>149</v>
      </c>
      <c r="G346" s="186"/>
      <c r="H346" s="186"/>
      <c r="I346" s="219"/>
      <c r="J346" s="220" t="str">
        <f ca="1">'Financial Planning Tool'!J149</f>
        <v/>
      </c>
      <c r="K346" s="221"/>
      <c r="L346" s="221"/>
      <c r="M346" s="221"/>
      <c r="N346" s="221"/>
      <c r="O346" s="221"/>
      <c r="P346" s="221"/>
      <c r="Q346" s="222"/>
      <c r="R346" s="220" t="str">
        <f ca="1">'Financial Planning Tool'!K149</f>
        <v/>
      </c>
      <c r="S346" s="221"/>
      <c r="T346" s="221"/>
      <c r="U346" s="221"/>
      <c r="V346" s="221"/>
      <c r="W346" s="221"/>
      <c r="X346" s="221"/>
      <c r="Y346" s="222"/>
      <c r="Z346" s="220" t="str">
        <f ca="1">'Financial Planning Tool'!L149</f>
        <v/>
      </c>
      <c r="AA346" s="221"/>
      <c r="AB346" s="221"/>
      <c r="AC346" s="221"/>
      <c r="AD346" s="221"/>
      <c r="AE346" s="221"/>
      <c r="AF346" s="221"/>
      <c r="AG346" s="222"/>
      <c r="AH346" s="220" t="str">
        <f ca="1">'Financial Planning Tool'!M149</f>
        <v/>
      </c>
      <c r="AI346" s="221"/>
      <c r="AJ346" s="221"/>
      <c r="AK346" s="221"/>
      <c r="AL346" s="221"/>
      <c r="AM346" s="221"/>
      <c r="AN346" s="221"/>
      <c r="AO346" s="222"/>
      <c r="AP346" s="220">
        <f ca="1">'Financial Planning Tool'!N149</f>
        <v>-142.24</v>
      </c>
      <c r="AQ346" s="221"/>
      <c r="AR346" s="221"/>
      <c r="AS346" s="221"/>
      <c r="AT346" s="221"/>
      <c r="AU346" s="221"/>
      <c r="AV346" s="221"/>
      <c r="AW346" s="222"/>
      <c r="AX346" s="220">
        <f ca="1">'Financial Planning Tool'!O149</f>
        <v>-3.5</v>
      </c>
      <c r="AY346" s="221"/>
      <c r="AZ346" s="221"/>
      <c r="BA346" s="221"/>
      <c r="BB346" s="221"/>
      <c r="BC346" s="221"/>
      <c r="BD346" s="221"/>
      <c r="BE346" s="222"/>
      <c r="BF346" s="220">
        <f ca="1">'Financial Planning Tool'!P149</f>
        <v>737.09</v>
      </c>
      <c r="BG346" s="221"/>
      <c r="BH346" s="221"/>
      <c r="BI346" s="221"/>
      <c r="BJ346" s="221"/>
      <c r="BK346" s="221"/>
      <c r="BL346" s="221"/>
      <c r="BM346" s="222"/>
      <c r="BN346" s="220">
        <f ca="1">'Financial Planning Tool'!Q149</f>
        <v>17.760000000000002</v>
      </c>
      <c r="BO346" s="221"/>
      <c r="BP346" s="221"/>
      <c r="BQ346" s="221"/>
      <c r="BR346" s="221"/>
      <c r="BS346" s="221"/>
      <c r="BT346" s="221"/>
      <c r="BU346" s="222"/>
    </row>
    <row r="347" spans="2:73" x14ac:dyDescent="0.25">
      <c r="B347" s="215">
        <f ca="1">'Financial Planning Tool'!H150</f>
        <v>80689</v>
      </c>
      <c r="C347" s="216"/>
      <c r="D347" s="216"/>
      <c r="E347" s="217"/>
      <c r="F347" s="218">
        <f ca="1">'Financial Planning Tool'!I150</f>
        <v>150</v>
      </c>
      <c r="G347" s="186"/>
      <c r="H347" s="186"/>
      <c r="I347" s="219"/>
      <c r="J347" s="220" t="str">
        <f ca="1">'Financial Planning Tool'!J150</f>
        <v/>
      </c>
      <c r="K347" s="221"/>
      <c r="L347" s="221"/>
      <c r="M347" s="221"/>
      <c r="N347" s="221"/>
      <c r="O347" s="221"/>
      <c r="P347" s="221"/>
      <c r="Q347" s="222"/>
      <c r="R347" s="220" t="str">
        <f ca="1">'Financial Planning Tool'!K150</f>
        <v/>
      </c>
      <c r="S347" s="221"/>
      <c r="T347" s="221"/>
      <c r="U347" s="221"/>
      <c r="V347" s="221"/>
      <c r="W347" s="221"/>
      <c r="X347" s="221"/>
      <c r="Y347" s="222"/>
      <c r="Z347" s="220" t="str">
        <f ca="1">'Financial Planning Tool'!L150</f>
        <v/>
      </c>
      <c r="AA347" s="221"/>
      <c r="AB347" s="221"/>
      <c r="AC347" s="221"/>
      <c r="AD347" s="221"/>
      <c r="AE347" s="221"/>
      <c r="AF347" s="221"/>
      <c r="AG347" s="222"/>
      <c r="AH347" s="220" t="str">
        <f ca="1">'Financial Planning Tool'!M150</f>
        <v/>
      </c>
      <c r="AI347" s="221"/>
      <c r="AJ347" s="221"/>
      <c r="AK347" s="221"/>
      <c r="AL347" s="221"/>
      <c r="AM347" s="221"/>
      <c r="AN347" s="221"/>
      <c r="AO347" s="222"/>
      <c r="AP347" s="220">
        <f ca="1">'Financial Planning Tool'!N150</f>
        <v>-128.94999999999999</v>
      </c>
      <c r="AQ347" s="221"/>
      <c r="AR347" s="221"/>
      <c r="AS347" s="221"/>
      <c r="AT347" s="221"/>
      <c r="AU347" s="221"/>
      <c r="AV347" s="221"/>
      <c r="AW347" s="222"/>
      <c r="AX347" s="220">
        <f ca="1">'Financial Planning Tool'!O150</f>
        <v>-3.05</v>
      </c>
      <c r="AY347" s="221"/>
      <c r="AZ347" s="221"/>
      <c r="BA347" s="221"/>
      <c r="BB347" s="221"/>
      <c r="BC347" s="221"/>
      <c r="BD347" s="221"/>
      <c r="BE347" s="222"/>
      <c r="BF347" s="220">
        <f ca="1">'Financial Planning Tool'!P150</f>
        <v>668.24</v>
      </c>
      <c r="BG347" s="221"/>
      <c r="BH347" s="221"/>
      <c r="BI347" s="221"/>
      <c r="BJ347" s="221"/>
      <c r="BK347" s="221"/>
      <c r="BL347" s="221"/>
      <c r="BM347" s="222"/>
      <c r="BN347" s="220">
        <f ca="1">'Financial Planning Tool'!Q150</f>
        <v>15.48</v>
      </c>
      <c r="BO347" s="221"/>
      <c r="BP347" s="221"/>
      <c r="BQ347" s="221"/>
      <c r="BR347" s="221"/>
      <c r="BS347" s="221"/>
      <c r="BT347" s="221"/>
      <c r="BU347" s="222"/>
    </row>
    <row r="348" spans="2:73" x14ac:dyDescent="0.25">
      <c r="B348" s="215">
        <f ca="1">'Financial Planning Tool'!H151</f>
        <v>81054</v>
      </c>
      <c r="C348" s="216"/>
      <c r="D348" s="216"/>
      <c r="E348" s="217"/>
      <c r="F348" s="218">
        <f ca="1">'Financial Planning Tool'!I151</f>
        <v>151</v>
      </c>
      <c r="G348" s="186"/>
      <c r="H348" s="186"/>
      <c r="I348" s="219"/>
      <c r="J348" s="220" t="str">
        <f ca="1">'Financial Planning Tool'!J151</f>
        <v/>
      </c>
      <c r="K348" s="221"/>
      <c r="L348" s="221"/>
      <c r="M348" s="221"/>
      <c r="N348" s="221"/>
      <c r="O348" s="221"/>
      <c r="P348" s="221"/>
      <c r="Q348" s="222"/>
      <c r="R348" s="220" t="str">
        <f ca="1">'Financial Planning Tool'!K151</f>
        <v/>
      </c>
      <c r="S348" s="221"/>
      <c r="T348" s="221"/>
      <c r="U348" s="221"/>
      <c r="V348" s="221"/>
      <c r="W348" s="221"/>
      <c r="X348" s="221"/>
      <c r="Y348" s="222"/>
      <c r="Z348" s="220" t="str">
        <f ca="1">'Financial Planning Tool'!L151</f>
        <v/>
      </c>
      <c r="AA348" s="221"/>
      <c r="AB348" s="221"/>
      <c r="AC348" s="221"/>
      <c r="AD348" s="221"/>
      <c r="AE348" s="221"/>
      <c r="AF348" s="221"/>
      <c r="AG348" s="222"/>
      <c r="AH348" s="220" t="str">
        <f ca="1">'Financial Planning Tool'!M151</f>
        <v/>
      </c>
      <c r="AI348" s="221"/>
      <c r="AJ348" s="221"/>
      <c r="AK348" s="221"/>
      <c r="AL348" s="221"/>
      <c r="AM348" s="221"/>
      <c r="AN348" s="221"/>
      <c r="AO348" s="222"/>
      <c r="AP348" s="220">
        <f ca="1">'Financial Planning Tool'!N151</f>
        <v>-116.91</v>
      </c>
      <c r="AQ348" s="221"/>
      <c r="AR348" s="221"/>
      <c r="AS348" s="221"/>
      <c r="AT348" s="221"/>
      <c r="AU348" s="221"/>
      <c r="AV348" s="221"/>
      <c r="AW348" s="222"/>
      <c r="AX348" s="220">
        <f ca="1">'Financial Planning Tool'!O151</f>
        <v>-2.66</v>
      </c>
      <c r="AY348" s="221"/>
      <c r="AZ348" s="221"/>
      <c r="BA348" s="221"/>
      <c r="BB348" s="221"/>
      <c r="BC348" s="221"/>
      <c r="BD348" s="221"/>
      <c r="BE348" s="222"/>
      <c r="BF348" s="220">
        <f ca="1">'Financial Planning Tool'!P151</f>
        <v>605.80999999999995</v>
      </c>
      <c r="BG348" s="221"/>
      <c r="BH348" s="221"/>
      <c r="BI348" s="221"/>
      <c r="BJ348" s="221"/>
      <c r="BK348" s="221"/>
      <c r="BL348" s="221"/>
      <c r="BM348" s="222"/>
      <c r="BN348" s="220">
        <f ca="1">'Financial Planning Tool'!Q151</f>
        <v>13.49</v>
      </c>
      <c r="BO348" s="221"/>
      <c r="BP348" s="221"/>
      <c r="BQ348" s="221"/>
      <c r="BR348" s="221"/>
      <c r="BS348" s="221"/>
      <c r="BT348" s="221"/>
      <c r="BU348" s="222"/>
    </row>
    <row r="349" spans="2:73" x14ac:dyDescent="0.25">
      <c r="B349" s="215">
        <f ca="1">'Financial Planning Tool'!H152</f>
        <v>81419</v>
      </c>
      <c r="C349" s="216"/>
      <c r="D349" s="216"/>
      <c r="E349" s="217"/>
      <c r="F349" s="218">
        <f ca="1">'Financial Planning Tool'!I152</f>
        <v>152</v>
      </c>
      <c r="G349" s="186"/>
      <c r="H349" s="186"/>
      <c r="I349" s="219"/>
      <c r="J349" s="220" t="str">
        <f ca="1">'Financial Planning Tool'!J152</f>
        <v/>
      </c>
      <c r="K349" s="221"/>
      <c r="L349" s="221"/>
      <c r="M349" s="221"/>
      <c r="N349" s="221"/>
      <c r="O349" s="221"/>
      <c r="P349" s="221"/>
      <c r="Q349" s="222"/>
      <c r="R349" s="220" t="str">
        <f ca="1">'Financial Planning Tool'!K152</f>
        <v/>
      </c>
      <c r="S349" s="221"/>
      <c r="T349" s="221"/>
      <c r="U349" s="221"/>
      <c r="V349" s="221"/>
      <c r="W349" s="221"/>
      <c r="X349" s="221"/>
      <c r="Y349" s="222"/>
      <c r="Z349" s="220" t="str">
        <f ca="1">'Financial Planning Tool'!L152</f>
        <v/>
      </c>
      <c r="AA349" s="221"/>
      <c r="AB349" s="221"/>
      <c r="AC349" s="221"/>
      <c r="AD349" s="221"/>
      <c r="AE349" s="221"/>
      <c r="AF349" s="221"/>
      <c r="AG349" s="222"/>
      <c r="AH349" s="220" t="str">
        <f ca="1">'Financial Planning Tool'!M152</f>
        <v/>
      </c>
      <c r="AI349" s="221"/>
      <c r="AJ349" s="221"/>
      <c r="AK349" s="221"/>
      <c r="AL349" s="221"/>
      <c r="AM349" s="221"/>
      <c r="AN349" s="221"/>
      <c r="AO349" s="222"/>
      <c r="AP349" s="220">
        <f ca="1">'Financial Planning Tool'!N152</f>
        <v>-105.98</v>
      </c>
      <c r="AQ349" s="221"/>
      <c r="AR349" s="221"/>
      <c r="AS349" s="221"/>
      <c r="AT349" s="221"/>
      <c r="AU349" s="221"/>
      <c r="AV349" s="221"/>
      <c r="AW349" s="222"/>
      <c r="AX349" s="220">
        <f ca="1">'Financial Planning Tool'!O152</f>
        <v>-2.3199999999999998</v>
      </c>
      <c r="AY349" s="221"/>
      <c r="AZ349" s="221"/>
      <c r="BA349" s="221"/>
      <c r="BB349" s="221"/>
      <c r="BC349" s="221"/>
      <c r="BD349" s="221"/>
      <c r="BE349" s="222"/>
      <c r="BF349" s="220">
        <f ca="1">'Financial Planning Tool'!P152</f>
        <v>549.22</v>
      </c>
      <c r="BG349" s="221"/>
      <c r="BH349" s="221"/>
      <c r="BI349" s="221"/>
      <c r="BJ349" s="221"/>
      <c r="BK349" s="221"/>
      <c r="BL349" s="221"/>
      <c r="BM349" s="222"/>
      <c r="BN349" s="220">
        <f ca="1">'Financial Planning Tool'!Q152</f>
        <v>11.76</v>
      </c>
      <c r="BO349" s="221"/>
      <c r="BP349" s="221"/>
      <c r="BQ349" s="221"/>
      <c r="BR349" s="221"/>
      <c r="BS349" s="221"/>
      <c r="BT349" s="221"/>
      <c r="BU349" s="222"/>
    </row>
    <row r="350" spans="2:73" x14ac:dyDescent="0.25">
      <c r="B350" s="215">
        <f ca="1">'Financial Planning Tool'!H153</f>
        <v>81784</v>
      </c>
      <c r="C350" s="216"/>
      <c r="D350" s="216"/>
      <c r="E350" s="217"/>
      <c r="F350" s="218">
        <f ca="1">'Financial Planning Tool'!I153</f>
        <v>153</v>
      </c>
      <c r="G350" s="186"/>
      <c r="H350" s="186"/>
      <c r="I350" s="219"/>
      <c r="J350" s="220" t="str">
        <f ca="1">'Financial Planning Tool'!J153</f>
        <v/>
      </c>
      <c r="K350" s="221"/>
      <c r="L350" s="221"/>
      <c r="M350" s="221"/>
      <c r="N350" s="221"/>
      <c r="O350" s="221"/>
      <c r="P350" s="221"/>
      <c r="Q350" s="222"/>
      <c r="R350" s="220" t="str">
        <f ca="1">'Financial Planning Tool'!K153</f>
        <v/>
      </c>
      <c r="S350" s="221"/>
      <c r="T350" s="221"/>
      <c r="U350" s="221"/>
      <c r="V350" s="221"/>
      <c r="W350" s="221"/>
      <c r="X350" s="221"/>
      <c r="Y350" s="222"/>
      <c r="Z350" s="220" t="str">
        <f ca="1">'Financial Planning Tool'!L153</f>
        <v/>
      </c>
      <c r="AA350" s="221"/>
      <c r="AB350" s="221"/>
      <c r="AC350" s="221"/>
      <c r="AD350" s="221"/>
      <c r="AE350" s="221"/>
      <c r="AF350" s="221"/>
      <c r="AG350" s="222"/>
      <c r="AH350" s="220" t="str">
        <f ca="1">'Financial Planning Tool'!M153</f>
        <v/>
      </c>
      <c r="AI350" s="221"/>
      <c r="AJ350" s="221"/>
      <c r="AK350" s="221"/>
      <c r="AL350" s="221"/>
      <c r="AM350" s="221"/>
      <c r="AN350" s="221"/>
      <c r="AO350" s="222"/>
      <c r="AP350" s="220">
        <f ca="1">'Financial Planning Tool'!N153</f>
        <v>-96.08</v>
      </c>
      <c r="AQ350" s="221"/>
      <c r="AR350" s="221"/>
      <c r="AS350" s="221"/>
      <c r="AT350" s="221"/>
      <c r="AU350" s="221"/>
      <c r="AV350" s="221"/>
      <c r="AW350" s="222"/>
      <c r="AX350" s="220">
        <f ca="1">'Financial Planning Tool'!O153</f>
        <v>-2.02</v>
      </c>
      <c r="AY350" s="221"/>
      <c r="AZ350" s="221"/>
      <c r="BA350" s="221"/>
      <c r="BB350" s="221"/>
      <c r="BC350" s="221"/>
      <c r="BD350" s="221"/>
      <c r="BE350" s="222"/>
      <c r="BF350" s="220">
        <f ca="1">'Financial Planning Tool'!P153</f>
        <v>497.91</v>
      </c>
      <c r="BG350" s="221"/>
      <c r="BH350" s="221"/>
      <c r="BI350" s="221"/>
      <c r="BJ350" s="221"/>
      <c r="BK350" s="221"/>
      <c r="BL350" s="221"/>
      <c r="BM350" s="222"/>
      <c r="BN350" s="220">
        <f ca="1">'Financial Planning Tool'!Q153</f>
        <v>10.25</v>
      </c>
      <c r="BO350" s="221"/>
      <c r="BP350" s="221"/>
      <c r="BQ350" s="221"/>
      <c r="BR350" s="221"/>
      <c r="BS350" s="221"/>
      <c r="BT350" s="221"/>
      <c r="BU350" s="222"/>
    </row>
    <row r="351" spans="2:73" x14ac:dyDescent="0.25">
      <c r="B351" s="206">
        <f ca="1">'Financial Planning Tool'!H154</f>
        <v>82150</v>
      </c>
      <c r="C351" s="207"/>
      <c r="D351" s="207"/>
      <c r="E351" s="208"/>
      <c r="F351" s="209">
        <f ca="1">'Financial Planning Tool'!I154</f>
        <v>154</v>
      </c>
      <c r="G351" s="210"/>
      <c r="H351" s="210"/>
      <c r="I351" s="211"/>
      <c r="J351" s="212" t="str">
        <f ca="1">'Financial Planning Tool'!J154</f>
        <v/>
      </c>
      <c r="K351" s="213"/>
      <c r="L351" s="213"/>
      <c r="M351" s="213"/>
      <c r="N351" s="213"/>
      <c r="O351" s="213"/>
      <c r="P351" s="213"/>
      <c r="Q351" s="214"/>
      <c r="R351" s="212" t="str">
        <f ca="1">'Financial Planning Tool'!K154</f>
        <v/>
      </c>
      <c r="S351" s="213"/>
      <c r="T351" s="213"/>
      <c r="U351" s="213"/>
      <c r="V351" s="213"/>
      <c r="W351" s="213"/>
      <c r="X351" s="213"/>
      <c r="Y351" s="214"/>
      <c r="Z351" s="212" t="str">
        <f ca="1">'Financial Planning Tool'!L154</f>
        <v/>
      </c>
      <c r="AA351" s="213"/>
      <c r="AB351" s="213"/>
      <c r="AC351" s="213"/>
      <c r="AD351" s="213"/>
      <c r="AE351" s="213"/>
      <c r="AF351" s="213"/>
      <c r="AG351" s="214"/>
      <c r="AH351" s="212" t="str">
        <f ca="1">'Financial Planning Tool'!M154</f>
        <v/>
      </c>
      <c r="AI351" s="213"/>
      <c r="AJ351" s="213"/>
      <c r="AK351" s="213"/>
      <c r="AL351" s="213"/>
      <c r="AM351" s="213"/>
      <c r="AN351" s="213"/>
      <c r="AO351" s="214"/>
      <c r="AP351" s="212">
        <f ca="1">'Financial Planning Tool'!N154</f>
        <v>-160.06</v>
      </c>
      <c r="AQ351" s="213"/>
      <c r="AR351" s="213"/>
      <c r="AS351" s="213"/>
      <c r="AT351" s="213"/>
      <c r="AU351" s="213"/>
      <c r="AV351" s="213"/>
      <c r="AW351" s="214"/>
      <c r="AX351" s="212">
        <f ca="1">'Financial Planning Tool'!O154</f>
        <v>-3.21</v>
      </c>
      <c r="AY351" s="213"/>
      <c r="AZ351" s="213"/>
      <c r="BA351" s="213"/>
      <c r="BB351" s="213"/>
      <c r="BC351" s="213"/>
      <c r="BD351" s="213"/>
      <c r="BE351" s="214"/>
      <c r="BF351" s="212">
        <f ca="1">'Financial Planning Tool'!P154</f>
        <v>377.91</v>
      </c>
      <c r="BG351" s="213"/>
      <c r="BH351" s="213"/>
      <c r="BI351" s="213"/>
      <c r="BJ351" s="213"/>
      <c r="BK351" s="213"/>
      <c r="BL351" s="213"/>
      <c r="BM351" s="214"/>
      <c r="BN351" s="212">
        <f ca="1">'Financial Planning Tool'!Q154</f>
        <v>7.48</v>
      </c>
      <c r="BO351" s="213"/>
      <c r="BP351" s="213"/>
      <c r="BQ351" s="213"/>
      <c r="BR351" s="213"/>
      <c r="BS351" s="213"/>
      <c r="BT351" s="213"/>
      <c r="BU351" s="214"/>
    </row>
    <row r="353" spans="2:73" x14ac:dyDescent="0.25">
      <c r="B353" s="191" t="s">
        <v>159</v>
      </c>
      <c r="C353" s="191"/>
      <c r="D353" s="191"/>
      <c r="E353" s="191"/>
      <c r="F353" s="191"/>
      <c r="G353" s="191"/>
      <c r="H353" s="191"/>
      <c r="I353" s="191"/>
      <c r="J353" s="191"/>
      <c r="K353" s="191"/>
      <c r="L353" s="191"/>
      <c r="M353" s="191"/>
      <c r="N353" s="191"/>
      <c r="O353" s="191"/>
      <c r="P353" s="191"/>
      <c r="Q353" s="191"/>
      <c r="R353" s="191"/>
      <c r="S353" s="191"/>
      <c r="T353" s="191"/>
      <c r="U353" s="191"/>
      <c r="V353" s="191"/>
      <c r="W353" s="191"/>
      <c r="X353" s="191"/>
      <c r="Y353" s="191"/>
      <c r="Z353" s="191"/>
      <c r="AA353" s="191"/>
      <c r="AB353" s="191"/>
      <c r="AC353" s="191"/>
      <c r="AD353" s="191"/>
      <c r="AE353" s="191"/>
      <c r="AF353" s="191"/>
      <c r="AG353" s="191"/>
      <c r="AH353" s="191"/>
      <c r="AI353" s="191"/>
      <c r="AJ353" s="191"/>
      <c r="AK353" s="191"/>
      <c r="AL353" s="191"/>
      <c r="AM353" s="191"/>
      <c r="AN353" s="191"/>
      <c r="AO353" s="191"/>
      <c r="AP353" s="191"/>
      <c r="AQ353" s="191"/>
      <c r="AR353" s="191"/>
      <c r="AS353" s="191"/>
      <c r="AT353" s="191"/>
      <c r="AU353" s="191"/>
      <c r="AV353" s="191"/>
      <c r="AW353" s="191"/>
      <c r="AX353" s="191"/>
      <c r="AY353" s="191"/>
      <c r="AZ353" s="191"/>
      <c r="BA353" s="191"/>
      <c r="BB353" s="191"/>
      <c r="BC353" s="191"/>
      <c r="BD353" s="191"/>
      <c r="BE353" s="191"/>
      <c r="BF353" s="191"/>
      <c r="BG353" s="191"/>
      <c r="BH353" s="191"/>
      <c r="BI353" s="191"/>
      <c r="BJ353" s="191"/>
      <c r="BK353" s="191"/>
      <c r="BL353" s="191"/>
      <c r="BM353" s="191"/>
      <c r="BN353" s="191"/>
      <c r="BO353" s="191"/>
      <c r="BP353" s="191"/>
      <c r="BQ353" s="191"/>
      <c r="BR353" s="191"/>
      <c r="BS353" s="191"/>
      <c r="BT353" s="191"/>
      <c r="BU353" s="191"/>
    </row>
    <row r="354" spans="2:73" x14ac:dyDescent="0.25">
      <c r="B354" s="175" t="s">
        <v>39</v>
      </c>
      <c r="C354" s="175"/>
      <c r="D354" s="175"/>
      <c r="E354" s="175"/>
      <c r="F354" s="223" t="s">
        <v>40</v>
      </c>
      <c r="G354" s="223"/>
      <c r="H354" s="223"/>
      <c r="I354" s="223"/>
      <c r="J354" s="170" t="s">
        <v>41</v>
      </c>
      <c r="K354" s="170"/>
      <c r="L354" s="170"/>
      <c r="M354" s="170"/>
      <c r="N354" s="170"/>
      <c r="O354" s="170"/>
      <c r="P354" s="170"/>
      <c r="Q354" s="170"/>
      <c r="R354" s="170"/>
      <c r="S354" s="170"/>
      <c r="T354" s="170"/>
      <c r="U354" s="170"/>
      <c r="V354" s="170"/>
      <c r="W354" s="170"/>
      <c r="X354" s="170"/>
      <c r="Y354" s="170"/>
      <c r="Z354" s="170" t="s">
        <v>42</v>
      </c>
      <c r="AA354" s="170"/>
      <c r="AB354" s="170"/>
      <c r="AC354" s="170"/>
      <c r="AD354" s="170"/>
      <c r="AE354" s="170"/>
      <c r="AF354" s="170"/>
      <c r="AG354" s="170"/>
      <c r="AH354" s="170"/>
      <c r="AI354" s="170"/>
      <c r="AJ354" s="170"/>
      <c r="AK354" s="170"/>
      <c r="AL354" s="170"/>
      <c r="AM354" s="170"/>
      <c r="AN354" s="170"/>
      <c r="AO354" s="170"/>
      <c r="AP354" s="170" t="s">
        <v>80</v>
      </c>
      <c r="AQ354" s="170"/>
      <c r="AR354" s="170"/>
      <c r="AS354" s="170"/>
      <c r="AT354" s="170"/>
      <c r="AU354" s="170"/>
      <c r="AV354" s="170"/>
      <c r="AW354" s="170"/>
      <c r="AX354" s="170"/>
      <c r="AY354" s="170"/>
      <c r="AZ354" s="170"/>
      <c r="BA354" s="170"/>
      <c r="BB354" s="170"/>
      <c r="BC354" s="170"/>
      <c r="BD354" s="170"/>
      <c r="BE354" s="170"/>
      <c r="BF354" s="224" t="s">
        <v>161</v>
      </c>
      <c r="BG354" s="225"/>
      <c r="BH354" s="225"/>
      <c r="BI354" s="225"/>
      <c r="BJ354" s="225"/>
      <c r="BK354" s="225"/>
      <c r="BL354" s="225"/>
      <c r="BM354" s="225"/>
      <c r="BN354" s="225"/>
      <c r="BO354" s="225"/>
      <c r="BP354" s="225"/>
      <c r="BQ354" s="225"/>
      <c r="BR354" s="225"/>
      <c r="BS354" s="225"/>
      <c r="BT354" s="225"/>
      <c r="BU354" s="226"/>
    </row>
    <row r="355" spans="2:73" x14ac:dyDescent="0.25">
      <c r="B355" s="175"/>
      <c r="C355" s="175"/>
      <c r="D355" s="175"/>
      <c r="E355" s="175"/>
      <c r="F355" s="223"/>
      <c r="G355" s="223"/>
      <c r="H355" s="223"/>
      <c r="I355" s="223"/>
      <c r="J355" s="170" t="s">
        <v>43</v>
      </c>
      <c r="K355" s="170"/>
      <c r="L355" s="170"/>
      <c r="M355" s="170"/>
      <c r="N355" s="170"/>
      <c r="O355" s="170"/>
      <c r="P355" s="170"/>
      <c r="Q355" s="170"/>
      <c r="R355" s="170" t="s">
        <v>44</v>
      </c>
      <c r="S355" s="170"/>
      <c r="T355" s="170"/>
      <c r="U355" s="170"/>
      <c r="V355" s="170"/>
      <c r="W355" s="170"/>
      <c r="X355" s="170"/>
      <c r="Y355" s="170"/>
      <c r="Z355" s="170" t="s">
        <v>43</v>
      </c>
      <c r="AA355" s="170"/>
      <c r="AB355" s="170"/>
      <c r="AC355" s="170"/>
      <c r="AD355" s="170"/>
      <c r="AE355" s="170"/>
      <c r="AF355" s="170"/>
      <c r="AG355" s="170"/>
      <c r="AH355" s="170" t="s">
        <v>44</v>
      </c>
      <c r="AI355" s="170"/>
      <c r="AJ355" s="170"/>
      <c r="AK355" s="170"/>
      <c r="AL355" s="170"/>
      <c r="AM355" s="170"/>
      <c r="AN355" s="170"/>
      <c r="AO355" s="170"/>
      <c r="AP355" s="170" t="s">
        <v>43</v>
      </c>
      <c r="AQ355" s="170"/>
      <c r="AR355" s="170"/>
      <c r="AS355" s="170"/>
      <c r="AT355" s="170"/>
      <c r="AU355" s="170"/>
      <c r="AV355" s="170"/>
      <c r="AW355" s="170"/>
      <c r="AX355" s="170" t="s">
        <v>44</v>
      </c>
      <c r="AY355" s="170"/>
      <c r="AZ355" s="170"/>
      <c r="BA355" s="170"/>
      <c r="BB355" s="170"/>
      <c r="BC355" s="170"/>
      <c r="BD355" s="170"/>
      <c r="BE355" s="170"/>
      <c r="BF355" s="170" t="s">
        <v>43</v>
      </c>
      <c r="BG355" s="170"/>
      <c r="BH355" s="170"/>
      <c r="BI355" s="170"/>
      <c r="BJ355" s="170"/>
      <c r="BK355" s="170"/>
      <c r="BL355" s="170"/>
      <c r="BM355" s="170"/>
      <c r="BN355" s="224" t="s">
        <v>44</v>
      </c>
      <c r="BO355" s="225"/>
      <c r="BP355" s="225"/>
      <c r="BQ355" s="225"/>
      <c r="BR355" s="225"/>
      <c r="BS355" s="225"/>
      <c r="BT355" s="225"/>
      <c r="BU355" s="226"/>
    </row>
    <row r="356" spans="2:73" x14ac:dyDescent="0.25">
      <c r="B356" s="227">
        <f ca="1">'Financial Planning Tool'!T55</f>
        <v>45991</v>
      </c>
      <c r="C356" s="228"/>
      <c r="D356" s="228"/>
      <c r="E356" s="229"/>
      <c r="F356" s="230">
        <f ca="1">'Financial Planning Tool'!U55</f>
        <v>55</v>
      </c>
      <c r="G356" s="231"/>
      <c r="H356" s="231"/>
      <c r="I356" s="232"/>
      <c r="J356" s="233">
        <f>IF('Financial Planning Tool'!V55="","",'Financial Planning Tool'!V55)</f>
        <v>500000</v>
      </c>
      <c r="K356" s="234"/>
      <c r="L356" s="234"/>
      <c r="M356" s="234"/>
      <c r="N356" s="234"/>
      <c r="O356" s="234"/>
      <c r="P356" s="234"/>
      <c r="Q356" s="235"/>
      <c r="R356" s="233">
        <f>IF('Financial Planning Tool'!W55="","",'Financial Planning Tool'!W55)</f>
        <v>500000</v>
      </c>
      <c r="S356" s="234"/>
      <c r="T356" s="234"/>
      <c r="U356" s="234"/>
      <c r="V356" s="234"/>
      <c r="W356" s="234"/>
      <c r="X356" s="234"/>
      <c r="Y356" s="235"/>
      <c r="Z356" s="233" t="str">
        <f>IF('Financial Planning Tool'!X55="","",'Financial Planning Tool'!X55)</f>
        <v/>
      </c>
      <c r="AA356" s="234"/>
      <c r="AB356" s="234"/>
      <c r="AC356" s="234"/>
      <c r="AD356" s="234"/>
      <c r="AE356" s="234"/>
      <c r="AF356" s="234"/>
      <c r="AG356" s="235"/>
      <c r="AH356" s="233" t="str">
        <f>IF('Financial Planning Tool'!Y55="","",'Financial Planning Tool'!Y55)</f>
        <v/>
      </c>
      <c r="AI356" s="234"/>
      <c r="AJ356" s="234"/>
      <c r="AK356" s="234"/>
      <c r="AL356" s="234"/>
      <c r="AM356" s="234"/>
      <c r="AN356" s="234"/>
      <c r="AO356" s="235"/>
      <c r="AP356" s="233" t="str">
        <f>IF('Financial Planning Tool'!Z55="","",'Financial Planning Tool'!Z55)</f>
        <v/>
      </c>
      <c r="AQ356" s="234"/>
      <c r="AR356" s="234"/>
      <c r="AS356" s="234"/>
      <c r="AT356" s="234"/>
      <c r="AU356" s="234"/>
      <c r="AV356" s="234"/>
      <c r="AW356" s="235"/>
      <c r="AX356" s="233" t="str">
        <f>IF('Financial Planning Tool'!AA55="","",'Financial Planning Tool'!AA55)</f>
        <v/>
      </c>
      <c r="AY356" s="234"/>
      <c r="AZ356" s="234"/>
      <c r="BA356" s="234"/>
      <c r="BB356" s="234"/>
      <c r="BC356" s="234"/>
      <c r="BD356" s="234"/>
      <c r="BE356" s="235"/>
      <c r="BF356" s="233">
        <f>'Financial Planning Tool'!AB55</f>
        <v>540000</v>
      </c>
      <c r="BG356" s="234"/>
      <c r="BH356" s="234"/>
      <c r="BI356" s="234"/>
      <c r="BJ356" s="234"/>
      <c r="BK356" s="234"/>
      <c r="BL356" s="234"/>
      <c r="BM356" s="235"/>
      <c r="BN356" s="233">
        <f>'Financial Planning Tool'!AC55</f>
        <v>519230.77</v>
      </c>
      <c r="BO356" s="234"/>
      <c r="BP356" s="234"/>
      <c r="BQ356" s="234"/>
      <c r="BR356" s="234"/>
      <c r="BS356" s="234"/>
      <c r="BT356" s="234"/>
      <c r="BU356" s="235"/>
    </row>
    <row r="357" spans="2:73" x14ac:dyDescent="0.25">
      <c r="B357" s="215">
        <f ca="1">'Financial Planning Tool'!T56</f>
        <v>46356</v>
      </c>
      <c r="C357" s="216"/>
      <c r="D357" s="216"/>
      <c r="E357" s="217"/>
      <c r="F357" s="218">
        <f ca="1">'Financial Planning Tool'!U56</f>
        <v>56</v>
      </c>
      <c r="G357" s="186"/>
      <c r="H357" s="186"/>
      <c r="I357" s="219"/>
      <c r="J357" s="220" t="str">
        <f>IF('Financial Planning Tool'!V56="","",'Financial Planning Tool'!V56)</f>
        <v/>
      </c>
      <c r="K357" s="221"/>
      <c r="L357" s="221"/>
      <c r="M357" s="221"/>
      <c r="N357" s="221"/>
      <c r="O357" s="221"/>
      <c r="P357" s="221"/>
      <c r="Q357" s="222"/>
      <c r="R357" s="220" t="str">
        <f>IF('Financial Planning Tool'!W56="","",'Financial Planning Tool'!W56)</f>
        <v/>
      </c>
      <c r="S357" s="221"/>
      <c r="T357" s="221"/>
      <c r="U357" s="221"/>
      <c r="V357" s="221"/>
      <c r="W357" s="221"/>
      <c r="X357" s="221"/>
      <c r="Y357" s="222"/>
      <c r="Z357" s="220" t="str">
        <f>IF('Financial Planning Tool'!X56="","",'Financial Planning Tool'!X56)</f>
        <v/>
      </c>
      <c r="AA357" s="221"/>
      <c r="AB357" s="221"/>
      <c r="AC357" s="221"/>
      <c r="AD357" s="221"/>
      <c r="AE357" s="221"/>
      <c r="AF357" s="221"/>
      <c r="AG357" s="222"/>
      <c r="AH357" s="220" t="str">
        <f>IF('Financial Planning Tool'!Y56="","",'Financial Planning Tool'!Y56)</f>
        <v/>
      </c>
      <c r="AI357" s="221"/>
      <c r="AJ357" s="221"/>
      <c r="AK357" s="221"/>
      <c r="AL357" s="221"/>
      <c r="AM357" s="221"/>
      <c r="AN357" s="221"/>
      <c r="AO357" s="222"/>
      <c r="AP357" s="220" t="str">
        <f>IF('Financial Planning Tool'!Z56="","",'Financial Planning Tool'!Z56)</f>
        <v/>
      </c>
      <c r="AQ357" s="221"/>
      <c r="AR357" s="221"/>
      <c r="AS357" s="221"/>
      <c r="AT357" s="221"/>
      <c r="AU357" s="221"/>
      <c r="AV357" s="221"/>
      <c r="AW357" s="222"/>
      <c r="AX357" s="220" t="str">
        <f>IF('Financial Planning Tool'!AA56="","",'Financial Planning Tool'!AA56)</f>
        <v/>
      </c>
      <c r="AY357" s="221"/>
      <c r="AZ357" s="221"/>
      <c r="BA357" s="221"/>
      <c r="BB357" s="221"/>
      <c r="BC357" s="221"/>
      <c r="BD357" s="221"/>
      <c r="BE357" s="222"/>
      <c r="BF357" s="220">
        <f>'Financial Planning Tool'!AB56</f>
        <v>583200</v>
      </c>
      <c r="BG357" s="221"/>
      <c r="BH357" s="221"/>
      <c r="BI357" s="221"/>
      <c r="BJ357" s="221"/>
      <c r="BK357" s="221"/>
      <c r="BL357" s="221"/>
      <c r="BM357" s="222"/>
      <c r="BN357" s="220">
        <f>'Financial Planning Tool'!AC56</f>
        <v>539201.18000000005</v>
      </c>
      <c r="BO357" s="221"/>
      <c r="BP357" s="221"/>
      <c r="BQ357" s="221"/>
      <c r="BR357" s="221"/>
      <c r="BS357" s="221"/>
      <c r="BT357" s="221"/>
      <c r="BU357" s="222"/>
    </row>
    <row r="358" spans="2:73" x14ac:dyDescent="0.25">
      <c r="B358" s="215">
        <f ca="1">'Financial Planning Tool'!T57</f>
        <v>46721</v>
      </c>
      <c r="C358" s="216"/>
      <c r="D358" s="216"/>
      <c r="E358" s="217"/>
      <c r="F358" s="218">
        <f ca="1">'Financial Planning Tool'!U57</f>
        <v>57</v>
      </c>
      <c r="G358" s="186"/>
      <c r="H358" s="186"/>
      <c r="I358" s="219"/>
      <c r="J358" s="220" t="str">
        <f>IF('Financial Planning Tool'!V57="","",'Financial Planning Tool'!V57)</f>
        <v/>
      </c>
      <c r="K358" s="221"/>
      <c r="L358" s="221"/>
      <c r="M358" s="221"/>
      <c r="N358" s="221"/>
      <c r="O358" s="221"/>
      <c r="P358" s="221"/>
      <c r="Q358" s="222"/>
      <c r="R358" s="220" t="str">
        <f>IF('Financial Planning Tool'!W57="","",'Financial Planning Tool'!W57)</f>
        <v/>
      </c>
      <c r="S358" s="221"/>
      <c r="T358" s="221"/>
      <c r="U358" s="221"/>
      <c r="V358" s="221"/>
      <c r="W358" s="221"/>
      <c r="X358" s="221"/>
      <c r="Y358" s="222"/>
      <c r="Z358" s="220" t="str">
        <f>IF('Financial Planning Tool'!X57="","",'Financial Planning Tool'!X57)</f>
        <v/>
      </c>
      <c r="AA358" s="221"/>
      <c r="AB358" s="221"/>
      <c r="AC358" s="221"/>
      <c r="AD358" s="221"/>
      <c r="AE358" s="221"/>
      <c r="AF358" s="221"/>
      <c r="AG358" s="222"/>
      <c r="AH358" s="220" t="str">
        <f>IF('Financial Planning Tool'!Y57="","",'Financial Planning Tool'!Y57)</f>
        <v/>
      </c>
      <c r="AI358" s="221"/>
      <c r="AJ358" s="221"/>
      <c r="AK358" s="221"/>
      <c r="AL358" s="221"/>
      <c r="AM358" s="221"/>
      <c r="AN358" s="221"/>
      <c r="AO358" s="222"/>
      <c r="AP358" s="220" t="str">
        <f>IF('Financial Planning Tool'!Z57="","",'Financial Planning Tool'!Z57)</f>
        <v/>
      </c>
      <c r="AQ358" s="221"/>
      <c r="AR358" s="221"/>
      <c r="AS358" s="221"/>
      <c r="AT358" s="221"/>
      <c r="AU358" s="221"/>
      <c r="AV358" s="221"/>
      <c r="AW358" s="222"/>
      <c r="AX358" s="220" t="str">
        <f>IF('Financial Planning Tool'!AA57="","",'Financial Planning Tool'!AA57)</f>
        <v/>
      </c>
      <c r="AY358" s="221"/>
      <c r="AZ358" s="221"/>
      <c r="BA358" s="221"/>
      <c r="BB358" s="221"/>
      <c r="BC358" s="221"/>
      <c r="BD358" s="221"/>
      <c r="BE358" s="222"/>
      <c r="BF358" s="220">
        <f>'Financial Planning Tool'!AB57</f>
        <v>629856</v>
      </c>
      <c r="BG358" s="221"/>
      <c r="BH358" s="221"/>
      <c r="BI358" s="221"/>
      <c r="BJ358" s="221"/>
      <c r="BK358" s="221"/>
      <c r="BL358" s="221"/>
      <c r="BM358" s="222"/>
      <c r="BN358" s="220">
        <f>'Financial Planning Tool'!AC57</f>
        <v>559939.68999999994</v>
      </c>
      <c r="BO358" s="221"/>
      <c r="BP358" s="221"/>
      <c r="BQ358" s="221"/>
      <c r="BR358" s="221"/>
      <c r="BS358" s="221"/>
      <c r="BT358" s="221"/>
      <c r="BU358" s="222"/>
    </row>
    <row r="359" spans="2:73" x14ac:dyDescent="0.25">
      <c r="B359" s="215">
        <f ca="1">'Financial Planning Tool'!T58</f>
        <v>47087</v>
      </c>
      <c r="C359" s="216"/>
      <c r="D359" s="216"/>
      <c r="E359" s="217"/>
      <c r="F359" s="218">
        <f ca="1">'Financial Planning Tool'!U58</f>
        <v>58</v>
      </c>
      <c r="G359" s="186"/>
      <c r="H359" s="186"/>
      <c r="I359" s="219"/>
      <c r="J359" s="220" t="str">
        <f>IF('Financial Planning Tool'!V58="","",'Financial Planning Tool'!V58)</f>
        <v/>
      </c>
      <c r="K359" s="221"/>
      <c r="L359" s="221"/>
      <c r="M359" s="221"/>
      <c r="N359" s="221"/>
      <c r="O359" s="221"/>
      <c r="P359" s="221"/>
      <c r="Q359" s="222"/>
      <c r="R359" s="220" t="str">
        <f>IF('Financial Planning Tool'!W58="","",'Financial Planning Tool'!W58)</f>
        <v/>
      </c>
      <c r="S359" s="221"/>
      <c r="T359" s="221"/>
      <c r="U359" s="221"/>
      <c r="V359" s="221"/>
      <c r="W359" s="221"/>
      <c r="X359" s="221"/>
      <c r="Y359" s="222"/>
      <c r="Z359" s="220" t="str">
        <f>IF('Financial Planning Tool'!X58="","",'Financial Planning Tool'!X58)</f>
        <v/>
      </c>
      <c r="AA359" s="221"/>
      <c r="AB359" s="221"/>
      <c r="AC359" s="221"/>
      <c r="AD359" s="221"/>
      <c r="AE359" s="221"/>
      <c r="AF359" s="221"/>
      <c r="AG359" s="222"/>
      <c r="AH359" s="220" t="str">
        <f>IF('Financial Planning Tool'!Y58="","",'Financial Planning Tool'!Y58)</f>
        <v/>
      </c>
      <c r="AI359" s="221"/>
      <c r="AJ359" s="221"/>
      <c r="AK359" s="221"/>
      <c r="AL359" s="221"/>
      <c r="AM359" s="221"/>
      <c r="AN359" s="221"/>
      <c r="AO359" s="222"/>
      <c r="AP359" s="220" t="str">
        <f>IF('Financial Planning Tool'!Z58="","",'Financial Planning Tool'!Z58)</f>
        <v/>
      </c>
      <c r="AQ359" s="221"/>
      <c r="AR359" s="221"/>
      <c r="AS359" s="221"/>
      <c r="AT359" s="221"/>
      <c r="AU359" s="221"/>
      <c r="AV359" s="221"/>
      <c r="AW359" s="222"/>
      <c r="AX359" s="220" t="str">
        <f>IF('Financial Planning Tool'!AA58="","",'Financial Planning Tool'!AA58)</f>
        <v/>
      </c>
      <c r="AY359" s="221"/>
      <c r="AZ359" s="221"/>
      <c r="BA359" s="221"/>
      <c r="BB359" s="221"/>
      <c r="BC359" s="221"/>
      <c r="BD359" s="221"/>
      <c r="BE359" s="222"/>
      <c r="BF359" s="220">
        <f>'Financial Planning Tool'!AB58</f>
        <v>680244.48</v>
      </c>
      <c r="BG359" s="221"/>
      <c r="BH359" s="221"/>
      <c r="BI359" s="221"/>
      <c r="BJ359" s="221"/>
      <c r="BK359" s="221"/>
      <c r="BL359" s="221"/>
      <c r="BM359" s="222"/>
      <c r="BN359" s="220">
        <f>'Financial Planning Tool'!AC58</f>
        <v>581475.82999999996</v>
      </c>
      <c r="BO359" s="221"/>
      <c r="BP359" s="221"/>
      <c r="BQ359" s="221"/>
      <c r="BR359" s="221"/>
      <c r="BS359" s="221"/>
      <c r="BT359" s="221"/>
      <c r="BU359" s="222"/>
    </row>
    <row r="360" spans="2:73" x14ac:dyDescent="0.25">
      <c r="B360" s="215">
        <f ca="1">'Financial Planning Tool'!T59</f>
        <v>47452</v>
      </c>
      <c r="C360" s="216"/>
      <c r="D360" s="216"/>
      <c r="E360" s="217"/>
      <c r="F360" s="218">
        <f ca="1">'Financial Planning Tool'!U59</f>
        <v>59</v>
      </c>
      <c r="G360" s="186"/>
      <c r="H360" s="186"/>
      <c r="I360" s="219"/>
      <c r="J360" s="220" t="str">
        <f>IF('Financial Planning Tool'!V59="","",'Financial Planning Tool'!V59)</f>
        <v/>
      </c>
      <c r="K360" s="221"/>
      <c r="L360" s="221"/>
      <c r="M360" s="221"/>
      <c r="N360" s="221"/>
      <c r="O360" s="221"/>
      <c r="P360" s="221"/>
      <c r="Q360" s="222"/>
      <c r="R360" s="220" t="str">
        <f>IF('Financial Planning Tool'!W59="","",'Financial Planning Tool'!W59)</f>
        <v/>
      </c>
      <c r="S360" s="221"/>
      <c r="T360" s="221"/>
      <c r="U360" s="221"/>
      <c r="V360" s="221"/>
      <c r="W360" s="221"/>
      <c r="X360" s="221"/>
      <c r="Y360" s="222"/>
      <c r="Z360" s="220" t="str">
        <f>IF('Financial Planning Tool'!X59="","",'Financial Planning Tool'!X59)</f>
        <v/>
      </c>
      <c r="AA360" s="221"/>
      <c r="AB360" s="221"/>
      <c r="AC360" s="221"/>
      <c r="AD360" s="221"/>
      <c r="AE360" s="221"/>
      <c r="AF360" s="221"/>
      <c r="AG360" s="222"/>
      <c r="AH360" s="220" t="str">
        <f>IF('Financial Planning Tool'!Y59="","",'Financial Planning Tool'!Y59)</f>
        <v/>
      </c>
      <c r="AI360" s="221"/>
      <c r="AJ360" s="221"/>
      <c r="AK360" s="221"/>
      <c r="AL360" s="221"/>
      <c r="AM360" s="221"/>
      <c r="AN360" s="221"/>
      <c r="AO360" s="222"/>
      <c r="AP360" s="220" t="str">
        <f>IF('Financial Planning Tool'!Z59="","",'Financial Planning Tool'!Z59)</f>
        <v/>
      </c>
      <c r="AQ360" s="221"/>
      <c r="AR360" s="221"/>
      <c r="AS360" s="221"/>
      <c r="AT360" s="221"/>
      <c r="AU360" s="221"/>
      <c r="AV360" s="221"/>
      <c r="AW360" s="222"/>
      <c r="AX360" s="220" t="str">
        <f>IF('Financial Planning Tool'!AA59="","",'Financial Planning Tool'!AA59)</f>
        <v/>
      </c>
      <c r="AY360" s="221"/>
      <c r="AZ360" s="221"/>
      <c r="BA360" s="221"/>
      <c r="BB360" s="221"/>
      <c r="BC360" s="221"/>
      <c r="BD360" s="221"/>
      <c r="BE360" s="222"/>
      <c r="BF360" s="220">
        <f>'Financial Planning Tool'!AB59</f>
        <v>734664.04</v>
      </c>
      <c r="BG360" s="221"/>
      <c r="BH360" s="221"/>
      <c r="BI360" s="221"/>
      <c r="BJ360" s="221"/>
      <c r="BK360" s="221"/>
      <c r="BL360" s="221"/>
      <c r="BM360" s="222"/>
      <c r="BN360" s="220">
        <f>'Financial Planning Tool'!AC59</f>
        <v>603840.29</v>
      </c>
      <c r="BO360" s="221"/>
      <c r="BP360" s="221"/>
      <c r="BQ360" s="221"/>
      <c r="BR360" s="221"/>
      <c r="BS360" s="221"/>
      <c r="BT360" s="221"/>
      <c r="BU360" s="222"/>
    </row>
    <row r="361" spans="2:73" x14ac:dyDescent="0.25">
      <c r="B361" s="215">
        <f ca="1">'Financial Planning Tool'!T60</f>
        <v>47817</v>
      </c>
      <c r="C361" s="216"/>
      <c r="D361" s="216"/>
      <c r="E361" s="217"/>
      <c r="F361" s="218">
        <f ca="1">'Financial Planning Tool'!U60</f>
        <v>60</v>
      </c>
      <c r="G361" s="186"/>
      <c r="H361" s="186"/>
      <c r="I361" s="219"/>
      <c r="J361" s="220" t="str">
        <f>IF('Financial Planning Tool'!V60="","",'Financial Planning Tool'!V60)</f>
        <v/>
      </c>
      <c r="K361" s="221"/>
      <c r="L361" s="221"/>
      <c r="M361" s="221"/>
      <c r="N361" s="221"/>
      <c r="O361" s="221"/>
      <c r="P361" s="221"/>
      <c r="Q361" s="222"/>
      <c r="R361" s="220" t="str">
        <f>IF('Financial Planning Tool'!W60="","",'Financial Planning Tool'!W60)</f>
        <v/>
      </c>
      <c r="S361" s="221"/>
      <c r="T361" s="221"/>
      <c r="U361" s="221"/>
      <c r="V361" s="221"/>
      <c r="W361" s="221"/>
      <c r="X361" s="221"/>
      <c r="Y361" s="222"/>
      <c r="Z361" s="220" t="str">
        <f>IF('Financial Planning Tool'!X60="","",'Financial Planning Tool'!X60)</f>
        <v/>
      </c>
      <c r="AA361" s="221"/>
      <c r="AB361" s="221"/>
      <c r="AC361" s="221"/>
      <c r="AD361" s="221"/>
      <c r="AE361" s="221"/>
      <c r="AF361" s="221"/>
      <c r="AG361" s="222"/>
      <c r="AH361" s="220" t="str">
        <f>IF('Financial Planning Tool'!Y60="","",'Financial Planning Tool'!Y60)</f>
        <v/>
      </c>
      <c r="AI361" s="221"/>
      <c r="AJ361" s="221"/>
      <c r="AK361" s="221"/>
      <c r="AL361" s="221"/>
      <c r="AM361" s="221"/>
      <c r="AN361" s="221"/>
      <c r="AO361" s="222"/>
      <c r="AP361" s="220" t="str">
        <f>IF('Financial Planning Tool'!Z60="","",'Financial Planning Tool'!Z60)</f>
        <v/>
      </c>
      <c r="AQ361" s="221"/>
      <c r="AR361" s="221"/>
      <c r="AS361" s="221"/>
      <c r="AT361" s="221"/>
      <c r="AU361" s="221"/>
      <c r="AV361" s="221"/>
      <c r="AW361" s="222"/>
      <c r="AX361" s="220" t="str">
        <f>IF('Financial Planning Tool'!AA60="","",'Financial Planning Tool'!AA60)</f>
        <v/>
      </c>
      <c r="AY361" s="221"/>
      <c r="AZ361" s="221"/>
      <c r="BA361" s="221"/>
      <c r="BB361" s="221"/>
      <c r="BC361" s="221"/>
      <c r="BD361" s="221"/>
      <c r="BE361" s="222"/>
      <c r="BF361" s="220">
        <f>'Financial Planning Tool'!AB60</f>
        <v>793437.16</v>
      </c>
      <c r="BG361" s="221"/>
      <c r="BH361" s="221"/>
      <c r="BI361" s="221"/>
      <c r="BJ361" s="221"/>
      <c r="BK361" s="221"/>
      <c r="BL361" s="221"/>
      <c r="BM361" s="222"/>
      <c r="BN361" s="220">
        <f>'Financial Planning Tool'!AC60</f>
        <v>627064.91</v>
      </c>
      <c r="BO361" s="221"/>
      <c r="BP361" s="221"/>
      <c r="BQ361" s="221"/>
      <c r="BR361" s="221"/>
      <c r="BS361" s="221"/>
      <c r="BT361" s="221"/>
      <c r="BU361" s="222"/>
    </row>
    <row r="362" spans="2:73" x14ac:dyDescent="0.25">
      <c r="B362" s="215">
        <f ca="1">'Financial Planning Tool'!T61</f>
        <v>48182</v>
      </c>
      <c r="C362" s="216"/>
      <c r="D362" s="216"/>
      <c r="E362" s="217"/>
      <c r="F362" s="218">
        <f ca="1">'Financial Planning Tool'!U61</f>
        <v>61</v>
      </c>
      <c r="G362" s="186"/>
      <c r="H362" s="186"/>
      <c r="I362" s="219"/>
      <c r="J362" s="220" t="str">
        <f>IF('Financial Planning Tool'!V61="","",'Financial Planning Tool'!V61)</f>
        <v/>
      </c>
      <c r="K362" s="221"/>
      <c r="L362" s="221"/>
      <c r="M362" s="221"/>
      <c r="N362" s="221"/>
      <c r="O362" s="221"/>
      <c r="P362" s="221"/>
      <c r="Q362" s="222"/>
      <c r="R362" s="220" t="str">
        <f>IF('Financial Planning Tool'!W61="","",'Financial Planning Tool'!W61)</f>
        <v/>
      </c>
      <c r="S362" s="221"/>
      <c r="T362" s="221"/>
      <c r="U362" s="221"/>
      <c r="V362" s="221"/>
      <c r="W362" s="221"/>
      <c r="X362" s="221"/>
      <c r="Y362" s="222"/>
      <c r="Z362" s="220" t="str">
        <f>IF('Financial Planning Tool'!X61="","",'Financial Planning Tool'!X61)</f>
        <v/>
      </c>
      <c r="AA362" s="221"/>
      <c r="AB362" s="221"/>
      <c r="AC362" s="221"/>
      <c r="AD362" s="221"/>
      <c r="AE362" s="221"/>
      <c r="AF362" s="221"/>
      <c r="AG362" s="222"/>
      <c r="AH362" s="220" t="str">
        <f>IF('Financial Planning Tool'!Y61="","",'Financial Planning Tool'!Y61)</f>
        <v/>
      </c>
      <c r="AI362" s="221"/>
      <c r="AJ362" s="221"/>
      <c r="AK362" s="221"/>
      <c r="AL362" s="221"/>
      <c r="AM362" s="221"/>
      <c r="AN362" s="221"/>
      <c r="AO362" s="222"/>
      <c r="AP362" s="220" t="str">
        <f>IF('Financial Planning Tool'!Z61="","",'Financial Planning Tool'!Z61)</f>
        <v/>
      </c>
      <c r="AQ362" s="221"/>
      <c r="AR362" s="221"/>
      <c r="AS362" s="221"/>
      <c r="AT362" s="221"/>
      <c r="AU362" s="221"/>
      <c r="AV362" s="221"/>
      <c r="AW362" s="222"/>
      <c r="AX362" s="220" t="str">
        <f>IF('Financial Planning Tool'!AA61="","",'Financial Planning Tool'!AA61)</f>
        <v/>
      </c>
      <c r="AY362" s="221"/>
      <c r="AZ362" s="221"/>
      <c r="BA362" s="221"/>
      <c r="BB362" s="221"/>
      <c r="BC362" s="221"/>
      <c r="BD362" s="221"/>
      <c r="BE362" s="222"/>
      <c r="BF362" s="220">
        <f>'Financial Planning Tool'!AB61</f>
        <v>856912.13</v>
      </c>
      <c r="BG362" s="221"/>
      <c r="BH362" s="221"/>
      <c r="BI362" s="221"/>
      <c r="BJ362" s="221"/>
      <c r="BK362" s="221"/>
      <c r="BL362" s="221"/>
      <c r="BM362" s="222"/>
      <c r="BN362" s="220">
        <f>'Financial Planning Tool'!AC61</f>
        <v>651182.80000000005</v>
      </c>
      <c r="BO362" s="221"/>
      <c r="BP362" s="221"/>
      <c r="BQ362" s="221"/>
      <c r="BR362" s="221"/>
      <c r="BS362" s="221"/>
      <c r="BT362" s="221"/>
      <c r="BU362" s="222"/>
    </row>
    <row r="363" spans="2:73" x14ac:dyDescent="0.25">
      <c r="B363" s="215">
        <f ca="1">'Financial Planning Tool'!T62</f>
        <v>48548</v>
      </c>
      <c r="C363" s="216"/>
      <c r="D363" s="216"/>
      <c r="E363" s="217"/>
      <c r="F363" s="218">
        <f ca="1">'Financial Planning Tool'!U62</f>
        <v>62</v>
      </c>
      <c r="G363" s="186"/>
      <c r="H363" s="186"/>
      <c r="I363" s="219"/>
      <c r="J363" s="220" t="str">
        <f>IF('Financial Planning Tool'!V62="","",'Financial Planning Tool'!V62)</f>
        <v/>
      </c>
      <c r="K363" s="221"/>
      <c r="L363" s="221"/>
      <c r="M363" s="221"/>
      <c r="N363" s="221"/>
      <c r="O363" s="221"/>
      <c r="P363" s="221"/>
      <c r="Q363" s="222"/>
      <c r="R363" s="220" t="str">
        <f>IF('Financial Planning Tool'!W62="","",'Financial Planning Tool'!W62)</f>
        <v/>
      </c>
      <c r="S363" s="221"/>
      <c r="T363" s="221"/>
      <c r="U363" s="221"/>
      <c r="V363" s="221"/>
      <c r="W363" s="221"/>
      <c r="X363" s="221"/>
      <c r="Y363" s="222"/>
      <c r="Z363" s="220" t="str">
        <f>IF('Financial Planning Tool'!X62="","",'Financial Planning Tool'!X62)</f>
        <v/>
      </c>
      <c r="AA363" s="221"/>
      <c r="AB363" s="221"/>
      <c r="AC363" s="221"/>
      <c r="AD363" s="221"/>
      <c r="AE363" s="221"/>
      <c r="AF363" s="221"/>
      <c r="AG363" s="222"/>
      <c r="AH363" s="220" t="str">
        <f>IF('Financial Planning Tool'!Y62="","",'Financial Planning Tool'!Y62)</f>
        <v/>
      </c>
      <c r="AI363" s="221"/>
      <c r="AJ363" s="221"/>
      <c r="AK363" s="221"/>
      <c r="AL363" s="221"/>
      <c r="AM363" s="221"/>
      <c r="AN363" s="221"/>
      <c r="AO363" s="222"/>
      <c r="AP363" s="220" t="str">
        <f>IF('Financial Planning Tool'!Z62="","",'Financial Planning Tool'!Z62)</f>
        <v/>
      </c>
      <c r="AQ363" s="221"/>
      <c r="AR363" s="221"/>
      <c r="AS363" s="221"/>
      <c r="AT363" s="221"/>
      <c r="AU363" s="221"/>
      <c r="AV363" s="221"/>
      <c r="AW363" s="222"/>
      <c r="AX363" s="220" t="str">
        <f>IF('Financial Planning Tool'!AA62="","",'Financial Planning Tool'!AA62)</f>
        <v/>
      </c>
      <c r="AY363" s="221"/>
      <c r="AZ363" s="221"/>
      <c r="BA363" s="221"/>
      <c r="BB363" s="221"/>
      <c r="BC363" s="221"/>
      <c r="BD363" s="221"/>
      <c r="BE363" s="222"/>
      <c r="BF363" s="220">
        <f>'Financial Planning Tool'!AB62</f>
        <v>925465.11</v>
      </c>
      <c r="BG363" s="221"/>
      <c r="BH363" s="221"/>
      <c r="BI363" s="221"/>
      <c r="BJ363" s="221"/>
      <c r="BK363" s="221"/>
      <c r="BL363" s="221"/>
      <c r="BM363" s="222"/>
      <c r="BN363" s="220">
        <f>'Financial Planning Tool'!AC62</f>
        <v>676228.29</v>
      </c>
      <c r="BO363" s="221"/>
      <c r="BP363" s="221"/>
      <c r="BQ363" s="221"/>
      <c r="BR363" s="221"/>
      <c r="BS363" s="221"/>
      <c r="BT363" s="221"/>
      <c r="BU363" s="222"/>
    </row>
    <row r="364" spans="2:73" x14ac:dyDescent="0.25">
      <c r="B364" s="215">
        <f ca="1">'Financial Planning Tool'!T63</f>
        <v>48913</v>
      </c>
      <c r="C364" s="216"/>
      <c r="D364" s="216"/>
      <c r="E364" s="217"/>
      <c r="F364" s="218">
        <f ca="1">'Financial Planning Tool'!U63</f>
        <v>63</v>
      </c>
      <c r="G364" s="186"/>
      <c r="H364" s="186"/>
      <c r="I364" s="219"/>
      <c r="J364" s="220" t="str">
        <f>IF('Financial Planning Tool'!V63="","",'Financial Planning Tool'!V63)</f>
        <v/>
      </c>
      <c r="K364" s="221"/>
      <c r="L364" s="221"/>
      <c r="M364" s="221"/>
      <c r="N364" s="221"/>
      <c r="O364" s="221"/>
      <c r="P364" s="221"/>
      <c r="Q364" s="222"/>
      <c r="R364" s="220" t="str">
        <f>IF('Financial Planning Tool'!W63="","",'Financial Planning Tool'!W63)</f>
        <v/>
      </c>
      <c r="S364" s="221"/>
      <c r="T364" s="221"/>
      <c r="U364" s="221"/>
      <c r="V364" s="221"/>
      <c r="W364" s="221"/>
      <c r="X364" s="221"/>
      <c r="Y364" s="222"/>
      <c r="Z364" s="220" t="str">
        <f>IF('Financial Planning Tool'!X63="","",'Financial Planning Tool'!X63)</f>
        <v/>
      </c>
      <c r="AA364" s="221"/>
      <c r="AB364" s="221"/>
      <c r="AC364" s="221"/>
      <c r="AD364" s="221"/>
      <c r="AE364" s="221"/>
      <c r="AF364" s="221"/>
      <c r="AG364" s="222"/>
      <c r="AH364" s="220" t="str">
        <f>IF('Financial Planning Tool'!Y63="","",'Financial Planning Tool'!Y63)</f>
        <v/>
      </c>
      <c r="AI364" s="221"/>
      <c r="AJ364" s="221"/>
      <c r="AK364" s="221"/>
      <c r="AL364" s="221"/>
      <c r="AM364" s="221"/>
      <c r="AN364" s="221"/>
      <c r="AO364" s="222"/>
      <c r="AP364" s="220" t="str">
        <f>IF('Financial Planning Tool'!Z63="","",'Financial Planning Tool'!Z63)</f>
        <v/>
      </c>
      <c r="AQ364" s="221"/>
      <c r="AR364" s="221"/>
      <c r="AS364" s="221"/>
      <c r="AT364" s="221"/>
      <c r="AU364" s="221"/>
      <c r="AV364" s="221"/>
      <c r="AW364" s="222"/>
      <c r="AX364" s="220" t="str">
        <f>IF('Financial Planning Tool'!AA63="","",'Financial Planning Tool'!AA63)</f>
        <v/>
      </c>
      <c r="AY364" s="221"/>
      <c r="AZ364" s="221"/>
      <c r="BA364" s="221"/>
      <c r="BB364" s="221"/>
      <c r="BC364" s="221"/>
      <c r="BD364" s="221"/>
      <c r="BE364" s="222"/>
      <c r="BF364" s="220">
        <f>'Financial Planning Tool'!AB63</f>
        <v>999502.31</v>
      </c>
      <c r="BG364" s="221"/>
      <c r="BH364" s="221"/>
      <c r="BI364" s="221"/>
      <c r="BJ364" s="221"/>
      <c r="BK364" s="221"/>
      <c r="BL364" s="221"/>
      <c r="BM364" s="222"/>
      <c r="BN364" s="220">
        <f>'Financial Planning Tool'!AC63</f>
        <v>702237.07</v>
      </c>
      <c r="BO364" s="221"/>
      <c r="BP364" s="221"/>
      <c r="BQ364" s="221"/>
      <c r="BR364" s="221"/>
      <c r="BS364" s="221"/>
      <c r="BT364" s="221"/>
      <c r="BU364" s="222"/>
    </row>
    <row r="365" spans="2:73" x14ac:dyDescent="0.25">
      <c r="B365" s="215">
        <f ca="1">'Financial Planning Tool'!T64</f>
        <v>49278</v>
      </c>
      <c r="C365" s="216"/>
      <c r="D365" s="216"/>
      <c r="E365" s="217"/>
      <c r="F365" s="218">
        <f ca="1">'Financial Planning Tool'!U64</f>
        <v>64</v>
      </c>
      <c r="G365" s="186"/>
      <c r="H365" s="186"/>
      <c r="I365" s="219"/>
      <c r="J365" s="220" t="str">
        <f>IF('Financial Planning Tool'!V64="","",'Financial Planning Tool'!V64)</f>
        <v/>
      </c>
      <c r="K365" s="221"/>
      <c r="L365" s="221"/>
      <c r="M365" s="221"/>
      <c r="N365" s="221"/>
      <c r="O365" s="221"/>
      <c r="P365" s="221"/>
      <c r="Q365" s="222"/>
      <c r="R365" s="220" t="str">
        <f>IF('Financial Planning Tool'!W64="","",'Financial Planning Tool'!W64)</f>
        <v/>
      </c>
      <c r="S365" s="221"/>
      <c r="T365" s="221"/>
      <c r="U365" s="221"/>
      <c r="V365" s="221"/>
      <c r="W365" s="221"/>
      <c r="X365" s="221"/>
      <c r="Y365" s="222"/>
      <c r="Z365" s="220" t="str">
        <f>IF('Financial Planning Tool'!X64="","",'Financial Planning Tool'!X64)</f>
        <v/>
      </c>
      <c r="AA365" s="221"/>
      <c r="AB365" s="221"/>
      <c r="AC365" s="221"/>
      <c r="AD365" s="221"/>
      <c r="AE365" s="221"/>
      <c r="AF365" s="221"/>
      <c r="AG365" s="222"/>
      <c r="AH365" s="220" t="str">
        <f>IF('Financial Planning Tool'!Y64="","",'Financial Planning Tool'!Y64)</f>
        <v/>
      </c>
      <c r="AI365" s="221"/>
      <c r="AJ365" s="221"/>
      <c r="AK365" s="221"/>
      <c r="AL365" s="221"/>
      <c r="AM365" s="221"/>
      <c r="AN365" s="221"/>
      <c r="AO365" s="222"/>
      <c r="AP365" s="220" t="str">
        <f>IF('Financial Planning Tool'!Z64="","",'Financial Planning Tool'!Z64)</f>
        <v/>
      </c>
      <c r="AQ365" s="221"/>
      <c r="AR365" s="221"/>
      <c r="AS365" s="221"/>
      <c r="AT365" s="221"/>
      <c r="AU365" s="221"/>
      <c r="AV365" s="221"/>
      <c r="AW365" s="222"/>
      <c r="AX365" s="220" t="str">
        <f>IF('Financial Planning Tool'!AA64="","",'Financial Planning Tool'!AA64)</f>
        <v/>
      </c>
      <c r="AY365" s="221"/>
      <c r="AZ365" s="221"/>
      <c r="BA365" s="221"/>
      <c r="BB365" s="221"/>
      <c r="BC365" s="221"/>
      <c r="BD365" s="221"/>
      <c r="BE365" s="222"/>
      <c r="BF365" s="220">
        <f>'Financial Planning Tool'!AB64</f>
        <v>1079462.5</v>
      </c>
      <c r="BG365" s="221"/>
      <c r="BH365" s="221"/>
      <c r="BI365" s="221"/>
      <c r="BJ365" s="221"/>
      <c r="BK365" s="221"/>
      <c r="BL365" s="221"/>
      <c r="BM365" s="222"/>
      <c r="BN365" s="220">
        <f>'Financial Planning Tool'!AC64</f>
        <v>729246.19</v>
      </c>
      <c r="BO365" s="221"/>
      <c r="BP365" s="221"/>
      <c r="BQ365" s="221"/>
      <c r="BR365" s="221"/>
      <c r="BS365" s="221"/>
      <c r="BT365" s="221"/>
      <c r="BU365" s="222"/>
    </row>
    <row r="366" spans="2:73" x14ac:dyDescent="0.25">
      <c r="B366" s="215">
        <f ca="1">'Financial Planning Tool'!T65</f>
        <v>49643</v>
      </c>
      <c r="C366" s="216"/>
      <c r="D366" s="216"/>
      <c r="E366" s="217"/>
      <c r="F366" s="218">
        <f ca="1">'Financial Planning Tool'!U65</f>
        <v>65</v>
      </c>
      <c r="G366" s="186"/>
      <c r="H366" s="186"/>
      <c r="I366" s="219"/>
      <c r="J366" s="220" t="str">
        <f>IF('Financial Planning Tool'!V65="","",'Financial Planning Tool'!V65)</f>
        <v/>
      </c>
      <c r="K366" s="221"/>
      <c r="L366" s="221"/>
      <c r="M366" s="221"/>
      <c r="N366" s="221"/>
      <c r="O366" s="221"/>
      <c r="P366" s="221"/>
      <c r="Q366" s="222"/>
      <c r="R366" s="220" t="str">
        <f>IF('Financial Planning Tool'!W65="","",'Financial Planning Tool'!W65)</f>
        <v/>
      </c>
      <c r="S366" s="221"/>
      <c r="T366" s="221"/>
      <c r="U366" s="221"/>
      <c r="V366" s="221"/>
      <c r="W366" s="221"/>
      <c r="X366" s="221"/>
      <c r="Y366" s="222"/>
      <c r="Z366" s="220" t="str">
        <f>IF('Financial Planning Tool'!X65="","",'Financial Planning Tool'!X65)</f>
        <v/>
      </c>
      <c r="AA366" s="221"/>
      <c r="AB366" s="221"/>
      <c r="AC366" s="221"/>
      <c r="AD366" s="221"/>
      <c r="AE366" s="221"/>
      <c r="AF366" s="221"/>
      <c r="AG366" s="222"/>
      <c r="AH366" s="220" t="str">
        <f>IF('Financial Planning Tool'!Y65="","",'Financial Planning Tool'!Y65)</f>
        <v/>
      </c>
      <c r="AI366" s="221"/>
      <c r="AJ366" s="221"/>
      <c r="AK366" s="221"/>
      <c r="AL366" s="221"/>
      <c r="AM366" s="221"/>
      <c r="AN366" s="221"/>
      <c r="AO366" s="222"/>
      <c r="AP366" s="220" t="str">
        <f>IF('Financial Planning Tool'!Z65="","",'Financial Planning Tool'!Z65)</f>
        <v/>
      </c>
      <c r="AQ366" s="221"/>
      <c r="AR366" s="221"/>
      <c r="AS366" s="221"/>
      <c r="AT366" s="221"/>
      <c r="AU366" s="221"/>
      <c r="AV366" s="221"/>
      <c r="AW366" s="222"/>
      <c r="AX366" s="220" t="str">
        <f>IF('Financial Planning Tool'!AA65="","",'Financial Planning Tool'!AA65)</f>
        <v/>
      </c>
      <c r="AY366" s="221"/>
      <c r="AZ366" s="221"/>
      <c r="BA366" s="221"/>
      <c r="BB366" s="221"/>
      <c r="BC366" s="221"/>
      <c r="BD366" s="221"/>
      <c r="BE366" s="222"/>
      <c r="BF366" s="220">
        <f>'Financial Planning Tool'!AB65</f>
        <v>1165819.5</v>
      </c>
      <c r="BG366" s="221"/>
      <c r="BH366" s="221"/>
      <c r="BI366" s="221"/>
      <c r="BJ366" s="221"/>
      <c r="BK366" s="221"/>
      <c r="BL366" s="221"/>
      <c r="BM366" s="222"/>
      <c r="BN366" s="220">
        <f>'Financial Planning Tool'!AC65</f>
        <v>757294.12</v>
      </c>
      <c r="BO366" s="221"/>
      <c r="BP366" s="221"/>
      <c r="BQ366" s="221"/>
      <c r="BR366" s="221"/>
      <c r="BS366" s="221"/>
      <c r="BT366" s="221"/>
      <c r="BU366" s="222"/>
    </row>
    <row r="367" spans="2:73" x14ac:dyDescent="0.25">
      <c r="B367" s="215">
        <f ca="1">'Financial Planning Tool'!T66</f>
        <v>50009</v>
      </c>
      <c r="C367" s="216"/>
      <c r="D367" s="216"/>
      <c r="E367" s="217"/>
      <c r="F367" s="218">
        <f ca="1">'Financial Planning Tool'!U66</f>
        <v>66</v>
      </c>
      <c r="G367" s="186"/>
      <c r="H367" s="186"/>
      <c r="I367" s="219"/>
      <c r="J367" s="220" t="str">
        <f>IF('Financial Planning Tool'!V66="","",'Financial Planning Tool'!V66)</f>
        <v/>
      </c>
      <c r="K367" s="221"/>
      <c r="L367" s="221"/>
      <c r="M367" s="221"/>
      <c r="N367" s="221"/>
      <c r="O367" s="221"/>
      <c r="P367" s="221"/>
      <c r="Q367" s="222"/>
      <c r="R367" s="220" t="str">
        <f>IF('Financial Planning Tool'!W66="","",'Financial Planning Tool'!W66)</f>
        <v/>
      </c>
      <c r="S367" s="221"/>
      <c r="T367" s="221"/>
      <c r="U367" s="221"/>
      <c r="V367" s="221"/>
      <c r="W367" s="221"/>
      <c r="X367" s="221"/>
      <c r="Y367" s="222"/>
      <c r="Z367" s="220" t="str">
        <f>IF('Financial Planning Tool'!X66="","",'Financial Planning Tool'!X66)</f>
        <v/>
      </c>
      <c r="AA367" s="221"/>
      <c r="AB367" s="221"/>
      <c r="AC367" s="221"/>
      <c r="AD367" s="221"/>
      <c r="AE367" s="221"/>
      <c r="AF367" s="221"/>
      <c r="AG367" s="222"/>
      <c r="AH367" s="220" t="str">
        <f>IF('Financial Planning Tool'!Y66="","",'Financial Planning Tool'!Y66)</f>
        <v/>
      </c>
      <c r="AI367" s="221"/>
      <c r="AJ367" s="221"/>
      <c r="AK367" s="221"/>
      <c r="AL367" s="221"/>
      <c r="AM367" s="221"/>
      <c r="AN367" s="221"/>
      <c r="AO367" s="222"/>
      <c r="AP367" s="220" t="str">
        <f>IF('Financial Planning Tool'!Z66="","",'Financial Planning Tool'!Z66)</f>
        <v/>
      </c>
      <c r="AQ367" s="221"/>
      <c r="AR367" s="221"/>
      <c r="AS367" s="221"/>
      <c r="AT367" s="221"/>
      <c r="AU367" s="221"/>
      <c r="AV367" s="221"/>
      <c r="AW367" s="222"/>
      <c r="AX367" s="220" t="str">
        <f>IF('Financial Planning Tool'!AA66="","",'Financial Planning Tool'!AA66)</f>
        <v/>
      </c>
      <c r="AY367" s="221"/>
      <c r="AZ367" s="221"/>
      <c r="BA367" s="221"/>
      <c r="BB367" s="221"/>
      <c r="BC367" s="221"/>
      <c r="BD367" s="221"/>
      <c r="BE367" s="222"/>
      <c r="BF367" s="220">
        <f>'Financial Planning Tool'!AB66</f>
        <v>1259085.06</v>
      </c>
      <c r="BG367" s="221"/>
      <c r="BH367" s="221"/>
      <c r="BI367" s="221"/>
      <c r="BJ367" s="221"/>
      <c r="BK367" s="221"/>
      <c r="BL367" s="221"/>
      <c r="BM367" s="222"/>
      <c r="BN367" s="220">
        <f>'Financial Planning Tool'!AC66</f>
        <v>786420.81</v>
      </c>
      <c r="BO367" s="221"/>
      <c r="BP367" s="221"/>
      <c r="BQ367" s="221"/>
      <c r="BR367" s="221"/>
      <c r="BS367" s="221"/>
      <c r="BT367" s="221"/>
      <c r="BU367" s="222"/>
    </row>
    <row r="368" spans="2:73" x14ac:dyDescent="0.25">
      <c r="B368" s="215">
        <f ca="1">'Financial Planning Tool'!T67</f>
        <v>50374</v>
      </c>
      <c r="C368" s="216"/>
      <c r="D368" s="216"/>
      <c r="E368" s="217"/>
      <c r="F368" s="218">
        <f ca="1">'Financial Planning Tool'!U67</f>
        <v>67</v>
      </c>
      <c r="G368" s="186"/>
      <c r="H368" s="186"/>
      <c r="I368" s="219"/>
      <c r="J368" s="220" t="str">
        <f>IF('Financial Planning Tool'!V67="","",'Financial Planning Tool'!V67)</f>
        <v/>
      </c>
      <c r="K368" s="221"/>
      <c r="L368" s="221"/>
      <c r="M368" s="221"/>
      <c r="N368" s="221"/>
      <c r="O368" s="221"/>
      <c r="P368" s="221"/>
      <c r="Q368" s="222"/>
      <c r="R368" s="220" t="str">
        <f>IF('Financial Planning Tool'!W67="","",'Financial Planning Tool'!W67)</f>
        <v/>
      </c>
      <c r="S368" s="221"/>
      <c r="T368" s="221"/>
      <c r="U368" s="221"/>
      <c r="V368" s="221"/>
      <c r="W368" s="221"/>
      <c r="X368" s="221"/>
      <c r="Y368" s="222"/>
      <c r="Z368" s="220" t="str">
        <f>IF('Financial Planning Tool'!X67="","",'Financial Planning Tool'!X67)</f>
        <v/>
      </c>
      <c r="AA368" s="221"/>
      <c r="AB368" s="221"/>
      <c r="AC368" s="221"/>
      <c r="AD368" s="221"/>
      <c r="AE368" s="221"/>
      <c r="AF368" s="221"/>
      <c r="AG368" s="222"/>
      <c r="AH368" s="220" t="str">
        <f>IF('Financial Planning Tool'!Y67="","",'Financial Planning Tool'!Y67)</f>
        <v/>
      </c>
      <c r="AI368" s="221"/>
      <c r="AJ368" s="221"/>
      <c r="AK368" s="221"/>
      <c r="AL368" s="221"/>
      <c r="AM368" s="221"/>
      <c r="AN368" s="221"/>
      <c r="AO368" s="222"/>
      <c r="AP368" s="220" t="str">
        <f>IF('Financial Planning Tool'!Z67="","",'Financial Planning Tool'!Z67)</f>
        <v/>
      </c>
      <c r="AQ368" s="221"/>
      <c r="AR368" s="221"/>
      <c r="AS368" s="221"/>
      <c r="AT368" s="221"/>
      <c r="AU368" s="221"/>
      <c r="AV368" s="221"/>
      <c r="AW368" s="222"/>
      <c r="AX368" s="220" t="str">
        <f>IF('Financial Planning Tool'!AA67="","",'Financial Planning Tool'!AA67)</f>
        <v/>
      </c>
      <c r="AY368" s="221"/>
      <c r="AZ368" s="221"/>
      <c r="BA368" s="221"/>
      <c r="BB368" s="221"/>
      <c r="BC368" s="221"/>
      <c r="BD368" s="221"/>
      <c r="BE368" s="222"/>
      <c r="BF368" s="220">
        <f>'Financial Planning Tool'!AB67</f>
        <v>1359811.86</v>
      </c>
      <c r="BG368" s="221"/>
      <c r="BH368" s="221"/>
      <c r="BI368" s="221"/>
      <c r="BJ368" s="221"/>
      <c r="BK368" s="221"/>
      <c r="BL368" s="221"/>
      <c r="BM368" s="222"/>
      <c r="BN368" s="220">
        <f>'Financial Planning Tool'!AC67</f>
        <v>816667.77</v>
      </c>
      <c r="BO368" s="221"/>
      <c r="BP368" s="221"/>
      <c r="BQ368" s="221"/>
      <c r="BR368" s="221"/>
      <c r="BS368" s="221"/>
      <c r="BT368" s="221"/>
      <c r="BU368" s="222"/>
    </row>
    <row r="369" spans="2:73" x14ac:dyDescent="0.25">
      <c r="B369" s="215">
        <f ca="1">'Financial Planning Tool'!T68</f>
        <v>50739</v>
      </c>
      <c r="C369" s="216"/>
      <c r="D369" s="216"/>
      <c r="E369" s="217"/>
      <c r="F369" s="218">
        <f ca="1">'Financial Planning Tool'!U68</f>
        <v>68</v>
      </c>
      <c r="G369" s="186"/>
      <c r="H369" s="186"/>
      <c r="I369" s="219"/>
      <c r="J369" s="220" t="str">
        <f>IF('Financial Planning Tool'!V68="","",'Financial Planning Tool'!V68)</f>
        <v/>
      </c>
      <c r="K369" s="221"/>
      <c r="L369" s="221"/>
      <c r="M369" s="221"/>
      <c r="N369" s="221"/>
      <c r="O369" s="221"/>
      <c r="P369" s="221"/>
      <c r="Q369" s="222"/>
      <c r="R369" s="220" t="str">
        <f>IF('Financial Planning Tool'!W68="","",'Financial Planning Tool'!W68)</f>
        <v/>
      </c>
      <c r="S369" s="221"/>
      <c r="T369" s="221"/>
      <c r="U369" s="221"/>
      <c r="V369" s="221"/>
      <c r="W369" s="221"/>
      <c r="X369" s="221"/>
      <c r="Y369" s="222"/>
      <c r="Z369" s="220" t="str">
        <f>IF('Financial Planning Tool'!X68="","",'Financial Planning Tool'!X68)</f>
        <v/>
      </c>
      <c r="AA369" s="221"/>
      <c r="AB369" s="221"/>
      <c r="AC369" s="221"/>
      <c r="AD369" s="221"/>
      <c r="AE369" s="221"/>
      <c r="AF369" s="221"/>
      <c r="AG369" s="222"/>
      <c r="AH369" s="220" t="str">
        <f>IF('Financial Planning Tool'!Y68="","",'Financial Planning Tool'!Y68)</f>
        <v/>
      </c>
      <c r="AI369" s="221"/>
      <c r="AJ369" s="221"/>
      <c r="AK369" s="221"/>
      <c r="AL369" s="221"/>
      <c r="AM369" s="221"/>
      <c r="AN369" s="221"/>
      <c r="AO369" s="222"/>
      <c r="AP369" s="220" t="str">
        <f>IF('Financial Planning Tool'!Z68="","",'Financial Planning Tool'!Z68)</f>
        <v/>
      </c>
      <c r="AQ369" s="221"/>
      <c r="AR369" s="221"/>
      <c r="AS369" s="221"/>
      <c r="AT369" s="221"/>
      <c r="AU369" s="221"/>
      <c r="AV369" s="221"/>
      <c r="AW369" s="222"/>
      <c r="AX369" s="220" t="str">
        <f>IF('Financial Planning Tool'!AA68="","",'Financial Planning Tool'!AA68)</f>
        <v/>
      </c>
      <c r="AY369" s="221"/>
      <c r="AZ369" s="221"/>
      <c r="BA369" s="221"/>
      <c r="BB369" s="221"/>
      <c r="BC369" s="221"/>
      <c r="BD369" s="221"/>
      <c r="BE369" s="222"/>
      <c r="BF369" s="220">
        <f>'Financial Planning Tool'!AB68</f>
        <v>1468596.81</v>
      </c>
      <c r="BG369" s="221"/>
      <c r="BH369" s="221"/>
      <c r="BI369" s="221"/>
      <c r="BJ369" s="221"/>
      <c r="BK369" s="221"/>
      <c r="BL369" s="221"/>
      <c r="BM369" s="222"/>
      <c r="BN369" s="220">
        <f>'Financial Planning Tool'!AC68</f>
        <v>848078.07</v>
      </c>
      <c r="BO369" s="221"/>
      <c r="BP369" s="221"/>
      <c r="BQ369" s="221"/>
      <c r="BR369" s="221"/>
      <c r="BS369" s="221"/>
      <c r="BT369" s="221"/>
      <c r="BU369" s="222"/>
    </row>
    <row r="370" spans="2:73" x14ac:dyDescent="0.25">
      <c r="B370" s="215">
        <f ca="1">'Financial Planning Tool'!T69</f>
        <v>51104</v>
      </c>
      <c r="C370" s="216"/>
      <c r="D370" s="216"/>
      <c r="E370" s="217"/>
      <c r="F370" s="218">
        <f ca="1">'Financial Planning Tool'!U69</f>
        <v>69</v>
      </c>
      <c r="G370" s="186"/>
      <c r="H370" s="186"/>
      <c r="I370" s="219"/>
      <c r="J370" s="220" t="str">
        <f>IF('Financial Planning Tool'!V69="","",'Financial Planning Tool'!V69)</f>
        <v/>
      </c>
      <c r="K370" s="221"/>
      <c r="L370" s="221"/>
      <c r="M370" s="221"/>
      <c r="N370" s="221"/>
      <c r="O370" s="221"/>
      <c r="P370" s="221"/>
      <c r="Q370" s="222"/>
      <c r="R370" s="220" t="str">
        <f>IF('Financial Planning Tool'!W69="","",'Financial Planning Tool'!W69)</f>
        <v/>
      </c>
      <c r="S370" s="221"/>
      <c r="T370" s="221"/>
      <c r="U370" s="221"/>
      <c r="V370" s="221"/>
      <c r="W370" s="221"/>
      <c r="X370" s="221"/>
      <c r="Y370" s="222"/>
      <c r="Z370" s="220" t="str">
        <f>IF('Financial Planning Tool'!X69="","",'Financial Planning Tool'!X69)</f>
        <v/>
      </c>
      <c r="AA370" s="221"/>
      <c r="AB370" s="221"/>
      <c r="AC370" s="221"/>
      <c r="AD370" s="221"/>
      <c r="AE370" s="221"/>
      <c r="AF370" s="221"/>
      <c r="AG370" s="222"/>
      <c r="AH370" s="220" t="str">
        <f>IF('Financial Planning Tool'!Y69="","",'Financial Planning Tool'!Y69)</f>
        <v/>
      </c>
      <c r="AI370" s="221"/>
      <c r="AJ370" s="221"/>
      <c r="AK370" s="221"/>
      <c r="AL370" s="221"/>
      <c r="AM370" s="221"/>
      <c r="AN370" s="221"/>
      <c r="AO370" s="222"/>
      <c r="AP370" s="220" t="str">
        <f>IF('Financial Planning Tool'!Z69="","",'Financial Planning Tool'!Z69)</f>
        <v/>
      </c>
      <c r="AQ370" s="221"/>
      <c r="AR370" s="221"/>
      <c r="AS370" s="221"/>
      <c r="AT370" s="221"/>
      <c r="AU370" s="221"/>
      <c r="AV370" s="221"/>
      <c r="AW370" s="222"/>
      <c r="AX370" s="220" t="str">
        <f>IF('Financial Planning Tool'!AA69="","",'Financial Planning Tool'!AA69)</f>
        <v/>
      </c>
      <c r="AY370" s="221"/>
      <c r="AZ370" s="221"/>
      <c r="BA370" s="221"/>
      <c r="BB370" s="221"/>
      <c r="BC370" s="221"/>
      <c r="BD370" s="221"/>
      <c r="BE370" s="222"/>
      <c r="BF370" s="220">
        <f>'Financial Planning Tool'!AB69</f>
        <v>1586084.56</v>
      </c>
      <c r="BG370" s="221"/>
      <c r="BH370" s="221"/>
      <c r="BI370" s="221"/>
      <c r="BJ370" s="221"/>
      <c r="BK370" s="221"/>
      <c r="BL370" s="221"/>
      <c r="BM370" s="222"/>
      <c r="BN370" s="220">
        <f>'Financial Planning Tool'!AC69</f>
        <v>880696.45</v>
      </c>
      <c r="BO370" s="221"/>
      <c r="BP370" s="221"/>
      <c r="BQ370" s="221"/>
      <c r="BR370" s="221"/>
      <c r="BS370" s="221"/>
      <c r="BT370" s="221"/>
      <c r="BU370" s="222"/>
    </row>
    <row r="371" spans="2:73" x14ac:dyDescent="0.25">
      <c r="B371" s="215">
        <f ca="1">'Financial Planning Tool'!T70</f>
        <v>51470</v>
      </c>
      <c r="C371" s="216"/>
      <c r="D371" s="216"/>
      <c r="E371" s="217"/>
      <c r="F371" s="218">
        <f ca="1">'Financial Planning Tool'!U70</f>
        <v>70</v>
      </c>
      <c r="G371" s="186"/>
      <c r="H371" s="186"/>
      <c r="I371" s="219"/>
      <c r="J371" s="220" t="str">
        <f>IF('Financial Planning Tool'!V70="","",'Financial Planning Tool'!V70)</f>
        <v/>
      </c>
      <c r="K371" s="221"/>
      <c r="L371" s="221"/>
      <c r="M371" s="221"/>
      <c r="N371" s="221"/>
      <c r="O371" s="221"/>
      <c r="P371" s="221"/>
      <c r="Q371" s="222"/>
      <c r="R371" s="220" t="str">
        <f>IF('Financial Planning Tool'!W70="","",'Financial Planning Tool'!W70)</f>
        <v/>
      </c>
      <c r="S371" s="221"/>
      <c r="T371" s="221"/>
      <c r="U371" s="221"/>
      <c r="V371" s="221"/>
      <c r="W371" s="221"/>
      <c r="X371" s="221"/>
      <c r="Y371" s="222"/>
      <c r="Z371" s="220" t="str">
        <f>IF('Financial Planning Tool'!X70="","",'Financial Planning Tool'!X70)</f>
        <v/>
      </c>
      <c r="AA371" s="221"/>
      <c r="AB371" s="221"/>
      <c r="AC371" s="221"/>
      <c r="AD371" s="221"/>
      <c r="AE371" s="221"/>
      <c r="AF371" s="221"/>
      <c r="AG371" s="222"/>
      <c r="AH371" s="220" t="str">
        <f>IF('Financial Planning Tool'!Y70="","",'Financial Planning Tool'!Y70)</f>
        <v/>
      </c>
      <c r="AI371" s="221"/>
      <c r="AJ371" s="221"/>
      <c r="AK371" s="221"/>
      <c r="AL371" s="221"/>
      <c r="AM371" s="221"/>
      <c r="AN371" s="221"/>
      <c r="AO371" s="222"/>
      <c r="AP371" s="220" t="str">
        <f>IF('Financial Planning Tool'!Z70="","",'Financial Planning Tool'!Z70)</f>
        <v/>
      </c>
      <c r="AQ371" s="221"/>
      <c r="AR371" s="221"/>
      <c r="AS371" s="221"/>
      <c r="AT371" s="221"/>
      <c r="AU371" s="221"/>
      <c r="AV371" s="221"/>
      <c r="AW371" s="222"/>
      <c r="AX371" s="220" t="str">
        <f>IF('Financial Planning Tool'!AA70="","",'Financial Planning Tool'!AA70)</f>
        <v/>
      </c>
      <c r="AY371" s="221"/>
      <c r="AZ371" s="221"/>
      <c r="BA371" s="221"/>
      <c r="BB371" s="221"/>
      <c r="BC371" s="221"/>
      <c r="BD371" s="221"/>
      <c r="BE371" s="222"/>
      <c r="BF371" s="220">
        <f>'Financial Planning Tool'!AB70</f>
        <v>1712971.32</v>
      </c>
      <c r="BG371" s="221"/>
      <c r="BH371" s="221"/>
      <c r="BI371" s="221"/>
      <c r="BJ371" s="221"/>
      <c r="BK371" s="221"/>
      <c r="BL371" s="221"/>
      <c r="BM371" s="222"/>
      <c r="BN371" s="220">
        <f>'Financial Planning Tool'!AC70</f>
        <v>914569.39</v>
      </c>
      <c r="BO371" s="221"/>
      <c r="BP371" s="221"/>
      <c r="BQ371" s="221"/>
      <c r="BR371" s="221"/>
      <c r="BS371" s="221"/>
      <c r="BT371" s="221"/>
      <c r="BU371" s="222"/>
    </row>
    <row r="372" spans="2:73" x14ac:dyDescent="0.25">
      <c r="B372" s="215">
        <f ca="1">'Financial Planning Tool'!T71</f>
        <v>51835</v>
      </c>
      <c r="C372" s="216"/>
      <c r="D372" s="216"/>
      <c r="E372" s="217"/>
      <c r="F372" s="218">
        <f ca="1">'Financial Planning Tool'!U71</f>
        <v>71</v>
      </c>
      <c r="G372" s="186"/>
      <c r="H372" s="186"/>
      <c r="I372" s="219"/>
      <c r="J372" s="220" t="str">
        <f>IF('Financial Planning Tool'!V71="","",'Financial Planning Tool'!V71)</f>
        <v/>
      </c>
      <c r="K372" s="221"/>
      <c r="L372" s="221"/>
      <c r="M372" s="221"/>
      <c r="N372" s="221"/>
      <c r="O372" s="221"/>
      <c r="P372" s="221"/>
      <c r="Q372" s="222"/>
      <c r="R372" s="220" t="str">
        <f>IF('Financial Planning Tool'!W71="","",'Financial Planning Tool'!W71)</f>
        <v/>
      </c>
      <c r="S372" s="221"/>
      <c r="T372" s="221"/>
      <c r="U372" s="221"/>
      <c r="V372" s="221"/>
      <c r="W372" s="221"/>
      <c r="X372" s="221"/>
      <c r="Y372" s="222"/>
      <c r="Z372" s="220" t="str">
        <f>IF('Financial Planning Tool'!X71="","",'Financial Planning Tool'!X71)</f>
        <v/>
      </c>
      <c r="AA372" s="221"/>
      <c r="AB372" s="221"/>
      <c r="AC372" s="221"/>
      <c r="AD372" s="221"/>
      <c r="AE372" s="221"/>
      <c r="AF372" s="221"/>
      <c r="AG372" s="222"/>
      <c r="AH372" s="220" t="str">
        <f>IF('Financial Planning Tool'!Y71="","",'Financial Planning Tool'!Y71)</f>
        <v/>
      </c>
      <c r="AI372" s="221"/>
      <c r="AJ372" s="221"/>
      <c r="AK372" s="221"/>
      <c r="AL372" s="221"/>
      <c r="AM372" s="221"/>
      <c r="AN372" s="221"/>
      <c r="AO372" s="222"/>
      <c r="AP372" s="220" t="str">
        <f>IF('Financial Planning Tool'!Z71="","",'Financial Planning Tool'!Z71)</f>
        <v/>
      </c>
      <c r="AQ372" s="221"/>
      <c r="AR372" s="221"/>
      <c r="AS372" s="221"/>
      <c r="AT372" s="221"/>
      <c r="AU372" s="221"/>
      <c r="AV372" s="221"/>
      <c r="AW372" s="222"/>
      <c r="AX372" s="220" t="str">
        <f>IF('Financial Planning Tool'!AA71="","",'Financial Planning Tool'!AA71)</f>
        <v/>
      </c>
      <c r="AY372" s="221"/>
      <c r="AZ372" s="221"/>
      <c r="BA372" s="221"/>
      <c r="BB372" s="221"/>
      <c r="BC372" s="221"/>
      <c r="BD372" s="221"/>
      <c r="BE372" s="222"/>
      <c r="BF372" s="220">
        <f>'Financial Planning Tool'!AB71</f>
        <v>1850009.03</v>
      </c>
      <c r="BG372" s="221"/>
      <c r="BH372" s="221"/>
      <c r="BI372" s="221"/>
      <c r="BJ372" s="221"/>
      <c r="BK372" s="221"/>
      <c r="BL372" s="221"/>
      <c r="BM372" s="222"/>
      <c r="BN372" s="220">
        <f>'Financial Planning Tool'!AC71</f>
        <v>949745.14</v>
      </c>
      <c r="BO372" s="221"/>
      <c r="BP372" s="221"/>
      <c r="BQ372" s="221"/>
      <c r="BR372" s="221"/>
      <c r="BS372" s="221"/>
      <c r="BT372" s="221"/>
      <c r="BU372" s="222"/>
    </row>
    <row r="373" spans="2:73" x14ac:dyDescent="0.25">
      <c r="B373" s="215">
        <f ca="1">'Financial Planning Tool'!T72</f>
        <v>52200</v>
      </c>
      <c r="C373" s="216"/>
      <c r="D373" s="216"/>
      <c r="E373" s="217"/>
      <c r="F373" s="218">
        <f ca="1">'Financial Planning Tool'!U72</f>
        <v>72</v>
      </c>
      <c r="G373" s="186"/>
      <c r="H373" s="186"/>
      <c r="I373" s="219"/>
      <c r="J373" s="220" t="str">
        <f>IF('Financial Planning Tool'!V72="","",'Financial Planning Tool'!V72)</f>
        <v/>
      </c>
      <c r="K373" s="221"/>
      <c r="L373" s="221"/>
      <c r="M373" s="221"/>
      <c r="N373" s="221"/>
      <c r="O373" s="221"/>
      <c r="P373" s="221"/>
      <c r="Q373" s="222"/>
      <c r="R373" s="220" t="str">
        <f>IF('Financial Planning Tool'!W72="","",'Financial Planning Tool'!W72)</f>
        <v/>
      </c>
      <c r="S373" s="221"/>
      <c r="T373" s="221"/>
      <c r="U373" s="221"/>
      <c r="V373" s="221"/>
      <c r="W373" s="221"/>
      <c r="X373" s="221"/>
      <c r="Y373" s="222"/>
      <c r="Z373" s="220" t="str">
        <f>IF('Financial Planning Tool'!X72="","",'Financial Planning Tool'!X72)</f>
        <v/>
      </c>
      <c r="AA373" s="221"/>
      <c r="AB373" s="221"/>
      <c r="AC373" s="221"/>
      <c r="AD373" s="221"/>
      <c r="AE373" s="221"/>
      <c r="AF373" s="221"/>
      <c r="AG373" s="222"/>
      <c r="AH373" s="220" t="str">
        <f>IF('Financial Planning Tool'!Y72="","",'Financial Planning Tool'!Y72)</f>
        <v/>
      </c>
      <c r="AI373" s="221"/>
      <c r="AJ373" s="221"/>
      <c r="AK373" s="221"/>
      <c r="AL373" s="221"/>
      <c r="AM373" s="221"/>
      <c r="AN373" s="221"/>
      <c r="AO373" s="222"/>
      <c r="AP373" s="220" t="str">
        <f>IF('Financial Planning Tool'!Z72="","",'Financial Planning Tool'!Z72)</f>
        <v/>
      </c>
      <c r="AQ373" s="221"/>
      <c r="AR373" s="221"/>
      <c r="AS373" s="221"/>
      <c r="AT373" s="221"/>
      <c r="AU373" s="221"/>
      <c r="AV373" s="221"/>
      <c r="AW373" s="222"/>
      <c r="AX373" s="220" t="str">
        <f>IF('Financial Planning Tool'!AA72="","",'Financial Planning Tool'!AA72)</f>
        <v/>
      </c>
      <c r="AY373" s="221"/>
      <c r="AZ373" s="221"/>
      <c r="BA373" s="221"/>
      <c r="BB373" s="221"/>
      <c r="BC373" s="221"/>
      <c r="BD373" s="221"/>
      <c r="BE373" s="222"/>
      <c r="BF373" s="220">
        <f>'Financial Planning Tool'!AB72</f>
        <v>1998009.75</v>
      </c>
      <c r="BG373" s="221"/>
      <c r="BH373" s="221"/>
      <c r="BI373" s="221"/>
      <c r="BJ373" s="221"/>
      <c r="BK373" s="221"/>
      <c r="BL373" s="221"/>
      <c r="BM373" s="222"/>
      <c r="BN373" s="220">
        <f>'Financial Planning Tool'!AC72</f>
        <v>986273.8</v>
      </c>
      <c r="BO373" s="221"/>
      <c r="BP373" s="221"/>
      <c r="BQ373" s="221"/>
      <c r="BR373" s="221"/>
      <c r="BS373" s="221"/>
      <c r="BT373" s="221"/>
      <c r="BU373" s="222"/>
    </row>
    <row r="374" spans="2:73" x14ac:dyDescent="0.25">
      <c r="B374" s="215">
        <f ca="1">'Financial Planning Tool'!T73</f>
        <v>52565</v>
      </c>
      <c r="C374" s="216"/>
      <c r="D374" s="216"/>
      <c r="E374" s="217"/>
      <c r="F374" s="218">
        <f ca="1">'Financial Planning Tool'!U73</f>
        <v>73</v>
      </c>
      <c r="G374" s="186"/>
      <c r="H374" s="186"/>
      <c r="I374" s="219"/>
      <c r="J374" s="220" t="str">
        <f>IF('Financial Planning Tool'!V73="","",'Financial Planning Tool'!V73)</f>
        <v/>
      </c>
      <c r="K374" s="221"/>
      <c r="L374" s="221"/>
      <c r="M374" s="221"/>
      <c r="N374" s="221"/>
      <c r="O374" s="221"/>
      <c r="P374" s="221"/>
      <c r="Q374" s="222"/>
      <c r="R374" s="220" t="str">
        <f>IF('Financial Planning Tool'!W73="","",'Financial Planning Tool'!W73)</f>
        <v/>
      </c>
      <c r="S374" s="221"/>
      <c r="T374" s="221"/>
      <c r="U374" s="221"/>
      <c r="V374" s="221"/>
      <c r="W374" s="221"/>
      <c r="X374" s="221"/>
      <c r="Y374" s="222"/>
      <c r="Z374" s="220" t="str">
        <f>IF('Financial Planning Tool'!X73="","",'Financial Planning Tool'!X73)</f>
        <v/>
      </c>
      <c r="AA374" s="221"/>
      <c r="AB374" s="221"/>
      <c r="AC374" s="221"/>
      <c r="AD374" s="221"/>
      <c r="AE374" s="221"/>
      <c r="AF374" s="221"/>
      <c r="AG374" s="222"/>
      <c r="AH374" s="220" t="str">
        <f>IF('Financial Planning Tool'!Y73="","",'Financial Planning Tool'!Y73)</f>
        <v/>
      </c>
      <c r="AI374" s="221"/>
      <c r="AJ374" s="221"/>
      <c r="AK374" s="221"/>
      <c r="AL374" s="221"/>
      <c r="AM374" s="221"/>
      <c r="AN374" s="221"/>
      <c r="AO374" s="222"/>
      <c r="AP374" s="220" t="str">
        <f>IF('Financial Planning Tool'!Z73="","",'Financial Planning Tool'!Z73)</f>
        <v/>
      </c>
      <c r="AQ374" s="221"/>
      <c r="AR374" s="221"/>
      <c r="AS374" s="221"/>
      <c r="AT374" s="221"/>
      <c r="AU374" s="221"/>
      <c r="AV374" s="221"/>
      <c r="AW374" s="222"/>
      <c r="AX374" s="220" t="str">
        <f>IF('Financial Planning Tool'!AA73="","",'Financial Planning Tool'!AA73)</f>
        <v/>
      </c>
      <c r="AY374" s="221"/>
      <c r="AZ374" s="221"/>
      <c r="BA374" s="221"/>
      <c r="BB374" s="221"/>
      <c r="BC374" s="221"/>
      <c r="BD374" s="221"/>
      <c r="BE374" s="222"/>
      <c r="BF374" s="220">
        <f>'Financial Planning Tool'!AB73</f>
        <v>2157850.5299999998</v>
      </c>
      <c r="BG374" s="221"/>
      <c r="BH374" s="221"/>
      <c r="BI374" s="221"/>
      <c r="BJ374" s="221"/>
      <c r="BK374" s="221"/>
      <c r="BL374" s="221"/>
      <c r="BM374" s="222"/>
      <c r="BN374" s="220">
        <f>'Financial Planning Tool'!AC73</f>
        <v>1024207.41</v>
      </c>
      <c r="BO374" s="221"/>
      <c r="BP374" s="221"/>
      <c r="BQ374" s="221"/>
      <c r="BR374" s="221"/>
      <c r="BS374" s="221"/>
      <c r="BT374" s="221"/>
      <c r="BU374" s="222"/>
    </row>
    <row r="375" spans="2:73" x14ac:dyDescent="0.25">
      <c r="B375" s="215">
        <f ca="1">'Financial Planning Tool'!T74</f>
        <v>52931</v>
      </c>
      <c r="C375" s="216"/>
      <c r="D375" s="216"/>
      <c r="E375" s="217"/>
      <c r="F375" s="218">
        <f ca="1">'Financial Planning Tool'!U74</f>
        <v>74</v>
      </c>
      <c r="G375" s="186"/>
      <c r="H375" s="186"/>
      <c r="I375" s="219"/>
      <c r="J375" s="220" t="str">
        <f>IF('Financial Planning Tool'!V74="","",'Financial Planning Tool'!V74)</f>
        <v/>
      </c>
      <c r="K375" s="221"/>
      <c r="L375" s="221"/>
      <c r="M375" s="221"/>
      <c r="N375" s="221"/>
      <c r="O375" s="221"/>
      <c r="P375" s="221"/>
      <c r="Q375" s="222"/>
      <c r="R375" s="220" t="str">
        <f>IF('Financial Planning Tool'!W74="","",'Financial Planning Tool'!W74)</f>
        <v/>
      </c>
      <c r="S375" s="221"/>
      <c r="T375" s="221"/>
      <c r="U375" s="221"/>
      <c r="V375" s="221"/>
      <c r="W375" s="221"/>
      <c r="X375" s="221"/>
      <c r="Y375" s="222"/>
      <c r="Z375" s="220" t="str">
        <f>IF('Financial Planning Tool'!X74="","",'Financial Planning Tool'!X74)</f>
        <v/>
      </c>
      <c r="AA375" s="221"/>
      <c r="AB375" s="221"/>
      <c r="AC375" s="221"/>
      <c r="AD375" s="221"/>
      <c r="AE375" s="221"/>
      <c r="AF375" s="221"/>
      <c r="AG375" s="222"/>
      <c r="AH375" s="220" t="str">
        <f>IF('Financial Planning Tool'!Y74="","",'Financial Planning Tool'!Y74)</f>
        <v/>
      </c>
      <c r="AI375" s="221"/>
      <c r="AJ375" s="221"/>
      <c r="AK375" s="221"/>
      <c r="AL375" s="221"/>
      <c r="AM375" s="221"/>
      <c r="AN375" s="221"/>
      <c r="AO375" s="222"/>
      <c r="AP375" s="220" t="str">
        <f>IF('Financial Planning Tool'!Z74="","",'Financial Planning Tool'!Z74)</f>
        <v/>
      </c>
      <c r="AQ375" s="221"/>
      <c r="AR375" s="221"/>
      <c r="AS375" s="221"/>
      <c r="AT375" s="221"/>
      <c r="AU375" s="221"/>
      <c r="AV375" s="221"/>
      <c r="AW375" s="222"/>
      <c r="AX375" s="220" t="str">
        <f>IF('Financial Planning Tool'!AA74="","",'Financial Planning Tool'!AA74)</f>
        <v/>
      </c>
      <c r="AY375" s="221"/>
      <c r="AZ375" s="221"/>
      <c r="BA375" s="221"/>
      <c r="BB375" s="221"/>
      <c r="BC375" s="221"/>
      <c r="BD375" s="221"/>
      <c r="BE375" s="222"/>
      <c r="BF375" s="220">
        <f>'Financial Planning Tool'!AB74</f>
        <v>2330478.5699999998</v>
      </c>
      <c r="BG375" s="221"/>
      <c r="BH375" s="221"/>
      <c r="BI375" s="221"/>
      <c r="BJ375" s="221"/>
      <c r="BK375" s="221"/>
      <c r="BL375" s="221"/>
      <c r="BM375" s="222"/>
      <c r="BN375" s="220">
        <f>'Financial Planning Tool'!AC74</f>
        <v>1063600</v>
      </c>
      <c r="BO375" s="221"/>
      <c r="BP375" s="221"/>
      <c r="BQ375" s="221"/>
      <c r="BR375" s="221"/>
      <c r="BS375" s="221"/>
      <c r="BT375" s="221"/>
      <c r="BU375" s="222"/>
    </row>
    <row r="376" spans="2:73" x14ac:dyDescent="0.25">
      <c r="B376" s="215">
        <f ca="1">'Financial Planning Tool'!T75</f>
        <v>53296</v>
      </c>
      <c r="C376" s="216"/>
      <c r="D376" s="216"/>
      <c r="E376" s="217"/>
      <c r="F376" s="218">
        <f ca="1">'Financial Planning Tool'!U75</f>
        <v>75</v>
      </c>
      <c r="G376" s="186"/>
      <c r="H376" s="186"/>
      <c r="I376" s="219"/>
      <c r="J376" s="220" t="str">
        <f>IF('Financial Planning Tool'!V75="","",'Financial Planning Tool'!V75)</f>
        <v/>
      </c>
      <c r="K376" s="221"/>
      <c r="L376" s="221"/>
      <c r="M376" s="221"/>
      <c r="N376" s="221"/>
      <c r="O376" s="221"/>
      <c r="P376" s="221"/>
      <c r="Q376" s="222"/>
      <c r="R376" s="220" t="str">
        <f>IF('Financial Planning Tool'!W75="","",'Financial Planning Tool'!W75)</f>
        <v/>
      </c>
      <c r="S376" s="221"/>
      <c r="T376" s="221"/>
      <c r="U376" s="221"/>
      <c r="V376" s="221"/>
      <c r="W376" s="221"/>
      <c r="X376" s="221"/>
      <c r="Y376" s="222"/>
      <c r="Z376" s="220" t="str">
        <f>IF('Financial Planning Tool'!X75="","",'Financial Planning Tool'!X75)</f>
        <v/>
      </c>
      <c r="AA376" s="221"/>
      <c r="AB376" s="221"/>
      <c r="AC376" s="221"/>
      <c r="AD376" s="221"/>
      <c r="AE376" s="221"/>
      <c r="AF376" s="221"/>
      <c r="AG376" s="222"/>
      <c r="AH376" s="220" t="str">
        <f>IF('Financial Planning Tool'!Y75="","",'Financial Planning Tool'!Y75)</f>
        <v/>
      </c>
      <c r="AI376" s="221"/>
      <c r="AJ376" s="221"/>
      <c r="AK376" s="221"/>
      <c r="AL376" s="221"/>
      <c r="AM376" s="221"/>
      <c r="AN376" s="221"/>
      <c r="AO376" s="222"/>
      <c r="AP376" s="220" t="str">
        <f>IF('Financial Planning Tool'!Z75="","",'Financial Planning Tool'!Z75)</f>
        <v/>
      </c>
      <c r="AQ376" s="221"/>
      <c r="AR376" s="221"/>
      <c r="AS376" s="221"/>
      <c r="AT376" s="221"/>
      <c r="AU376" s="221"/>
      <c r="AV376" s="221"/>
      <c r="AW376" s="222"/>
      <c r="AX376" s="220" t="str">
        <f>IF('Financial Planning Tool'!AA75="","",'Financial Planning Tool'!AA75)</f>
        <v/>
      </c>
      <c r="AY376" s="221"/>
      <c r="AZ376" s="221"/>
      <c r="BA376" s="221"/>
      <c r="BB376" s="221"/>
      <c r="BC376" s="221"/>
      <c r="BD376" s="221"/>
      <c r="BE376" s="222"/>
      <c r="BF376" s="220">
        <f>'Financial Planning Tool'!AB75</f>
        <v>2516916.86</v>
      </c>
      <c r="BG376" s="221"/>
      <c r="BH376" s="221"/>
      <c r="BI376" s="221"/>
      <c r="BJ376" s="221"/>
      <c r="BK376" s="221"/>
      <c r="BL376" s="221"/>
      <c r="BM376" s="222"/>
      <c r="BN376" s="220">
        <f>'Financial Planning Tool'!AC75</f>
        <v>1104507.69</v>
      </c>
      <c r="BO376" s="221"/>
      <c r="BP376" s="221"/>
      <c r="BQ376" s="221"/>
      <c r="BR376" s="221"/>
      <c r="BS376" s="221"/>
      <c r="BT376" s="221"/>
      <c r="BU376" s="222"/>
    </row>
    <row r="377" spans="2:73" x14ac:dyDescent="0.25">
      <c r="B377" s="215">
        <f ca="1">'Financial Planning Tool'!T76</f>
        <v>53661</v>
      </c>
      <c r="C377" s="216"/>
      <c r="D377" s="216"/>
      <c r="E377" s="217"/>
      <c r="F377" s="218">
        <f ca="1">'Financial Planning Tool'!U76</f>
        <v>76</v>
      </c>
      <c r="G377" s="186"/>
      <c r="H377" s="186"/>
      <c r="I377" s="219"/>
      <c r="J377" s="220" t="str">
        <f>IF('Financial Planning Tool'!V76="","",'Financial Planning Tool'!V76)</f>
        <v/>
      </c>
      <c r="K377" s="221"/>
      <c r="L377" s="221"/>
      <c r="M377" s="221"/>
      <c r="N377" s="221"/>
      <c r="O377" s="221"/>
      <c r="P377" s="221"/>
      <c r="Q377" s="222"/>
      <c r="R377" s="220" t="str">
        <f>IF('Financial Planning Tool'!W76="","",'Financial Planning Tool'!W76)</f>
        <v/>
      </c>
      <c r="S377" s="221"/>
      <c r="T377" s="221"/>
      <c r="U377" s="221"/>
      <c r="V377" s="221"/>
      <c r="W377" s="221"/>
      <c r="X377" s="221"/>
      <c r="Y377" s="222"/>
      <c r="Z377" s="220" t="str">
        <f>IF('Financial Planning Tool'!X76="","",'Financial Planning Tool'!X76)</f>
        <v/>
      </c>
      <c r="AA377" s="221"/>
      <c r="AB377" s="221"/>
      <c r="AC377" s="221"/>
      <c r="AD377" s="221"/>
      <c r="AE377" s="221"/>
      <c r="AF377" s="221"/>
      <c r="AG377" s="222"/>
      <c r="AH377" s="220" t="str">
        <f>IF('Financial Planning Tool'!Y76="","",'Financial Planning Tool'!Y76)</f>
        <v/>
      </c>
      <c r="AI377" s="221"/>
      <c r="AJ377" s="221"/>
      <c r="AK377" s="221"/>
      <c r="AL377" s="221"/>
      <c r="AM377" s="221"/>
      <c r="AN377" s="221"/>
      <c r="AO377" s="222"/>
      <c r="AP377" s="220" t="str">
        <f>IF('Financial Planning Tool'!Z76="","",'Financial Planning Tool'!Z76)</f>
        <v/>
      </c>
      <c r="AQ377" s="221"/>
      <c r="AR377" s="221"/>
      <c r="AS377" s="221"/>
      <c r="AT377" s="221"/>
      <c r="AU377" s="221"/>
      <c r="AV377" s="221"/>
      <c r="AW377" s="222"/>
      <c r="AX377" s="220" t="str">
        <f>IF('Financial Planning Tool'!AA76="","",'Financial Planning Tool'!AA76)</f>
        <v/>
      </c>
      <c r="AY377" s="221"/>
      <c r="AZ377" s="221"/>
      <c r="BA377" s="221"/>
      <c r="BB377" s="221"/>
      <c r="BC377" s="221"/>
      <c r="BD377" s="221"/>
      <c r="BE377" s="222"/>
      <c r="BF377" s="220">
        <f>'Financial Planning Tool'!AB76</f>
        <v>2718270.21</v>
      </c>
      <c r="BG377" s="221"/>
      <c r="BH377" s="221"/>
      <c r="BI377" s="221"/>
      <c r="BJ377" s="221"/>
      <c r="BK377" s="221"/>
      <c r="BL377" s="221"/>
      <c r="BM377" s="222"/>
      <c r="BN377" s="220">
        <f>'Financial Planning Tool'!AC76</f>
        <v>1146988.76</v>
      </c>
      <c r="BO377" s="221"/>
      <c r="BP377" s="221"/>
      <c r="BQ377" s="221"/>
      <c r="BR377" s="221"/>
      <c r="BS377" s="221"/>
      <c r="BT377" s="221"/>
      <c r="BU377" s="222"/>
    </row>
    <row r="378" spans="2:73" x14ac:dyDescent="0.25">
      <c r="B378" s="215">
        <f ca="1">'Financial Planning Tool'!T77</f>
        <v>54026</v>
      </c>
      <c r="C378" s="216"/>
      <c r="D378" s="216"/>
      <c r="E378" s="217"/>
      <c r="F378" s="218">
        <f ca="1">'Financial Planning Tool'!U77</f>
        <v>77</v>
      </c>
      <c r="G378" s="186"/>
      <c r="H378" s="186"/>
      <c r="I378" s="219"/>
      <c r="J378" s="220" t="str">
        <f>IF('Financial Planning Tool'!V77="","",'Financial Planning Tool'!V77)</f>
        <v/>
      </c>
      <c r="K378" s="221"/>
      <c r="L378" s="221"/>
      <c r="M378" s="221"/>
      <c r="N378" s="221"/>
      <c r="O378" s="221"/>
      <c r="P378" s="221"/>
      <c r="Q378" s="222"/>
      <c r="R378" s="220" t="str">
        <f>IF('Financial Planning Tool'!W77="","",'Financial Planning Tool'!W77)</f>
        <v/>
      </c>
      <c r="S378" s="221"/>
      <c r="T378" s="221"/>
      <c r="U378" s="221"/>
      <c r="V378" s="221"/>
      <c r="W378" s="221"/>
      <c r="X378" s="221"/>
      <c r="Y378" s="222"/>
      <c r="Z378" s="220" t="str">
        <f>IF('Financial Planning Tool'!X77="","",'Financial Planning Tool'!X77)</f>
        <v/>
      </c>
      <c r="AA378" s="221"/>
      <c r="AB378" s="221"/>
      <c r="AC378" s="221"/>
      <c r="AD378" s="221"/>
      <c r="AE378" s="221"/>
      <c r="AF378" s="221"/>
      <c r="AG378" s="222"/>
      <c r="AH378" s="220" t="str">
        <f>IF('Financial Planning Tool'!Y77="","",'Financial Planning Tool'!Y77)</f>
        <v/>
      </c>
      <c r="AI378" s="221"/>
      <c r="AJ378" s="221"/>
      <c r="AK378" s="221"/>
      <c r="AL378" s="221"/>
      <c r="AM378" s="221"/>
      <c r="AN378" s="221"/>
      <c r="AO378" s="222"/>
      <c r="AP378" s="220" t="str">
        <f>IF('Financial Planning Tool'!Z77="","",'Financial Planning Tool'!Z77)</f>
        <v/>
      </c>
      <c r="AQ378" s="221"/>
      <c r="AR378" s="221"/>
      <c r="AS378" s="221"/>
      <c r="AT378" s="221"/>
      <c r="AU378" s="221"/>
      <c r="AV378" s="221"/>
      <c r="AW378" s="222"/>
      <c r="AX378" s="220" t="str">
        <f>IF('Financial Planning Tool'!AA77="","",'Financial Planning Tool'!AA77)</f>
        <v/>
      </c>
      <c r="AY378" s="221"/>
      <c r="AZ378" s="221"/>
      <c r="BA378" s="221"/>
      <c r="BB378" s="221"/>
      <c r="BC378" s="221"/>
      <c r="BD378" s="221"/>
      <c r="BE378" s="222"/>
      <c r="BF378" s="220">
        <f>'Financial Planning Tool'!AB77</f>
        <v>2935731.82</v>
      </c>
      <c r="BG378" s="221"/>
      <c r="BH378" s="221"/>
      <c r="BI378" s="221"/>
      <c r="BJ378" s="221"/>
      <c r="BK378" s="221"/>
      <c r="BL378" s="221"/>
      <c r="BM378" s="222"/>
      <c r="BN378" s="220">
        <f>'Financial Planning Tool'!AC77</f>
        <v>1191103.71</v>
      </c>
      <c r="BO378" s="221"/>
      <c r="BP378" s="221"/>
      <c r="BQ378" s="221"/>
      <c r="BR378" s="221"/>
      <c r="BS378" s="221"/>
      <c r="BT378" s="221"/>
      <c r="BU378" s="222"/>
    </row>
    <row r="379" spans="2:73" x14ac:dyDescent="0.25">
      <c r="B379" s="215">
        <f ca="1">'Financial Planning Tool'!T78</f>
        <v>54392</v>
      </c>
      <c r="C379" s="216"/>
      <c r="D379" s="216"/>
      <c r="E379" s="217"/>
      <c r="F379" s="218">
        <f ca="1">'Financial Planning Tool'!U78</f>
        <v>78</v>
      </c>
      <c r="G379" s="186"/>
      <c r="H379" s="186"/>
      <c r="I379" s="219"/>
      <c r="J379" s="220" t="str">
        <f>IF('Financial Planning Tool'!V78="","",'Financial Planning Tool'!V78)</f>
        <v/>
      </c>
      <c r="K379" s="221"/>
      <c r="L379" s="221"/>
      <c r="M379" s="221"/>
      <c r="N379" s="221"/>
      <c r="O379" s="221"/>
      <c r="P379" s="221"/>
      <c r="Q379" s="222"/>
      <c r="R379" s="220" t="str">
        <f>IF('Financial Planning Tool'!W78="","",'Financial Planning Tool'!W78)</f>
        <v/>
      </c>
      <c r="S379" s="221"/>
      <c r="T379" s="221"/>
      <c r="U379" s="221"/>
      <c r="V379" s="221"/>
      <c r="W379" s="221"/>
      <c r="X379" s="221"/>
      <c r="Y379" s="222"/>
      <c r="Z379" s="220" t="str">
        <f>IF('Financial Planning Tool'!X78="","",'Financial Planning Tool'!X78)</f>
        <v/>
      </c>
      <c r="AA379" s="221"/>
      <c r="AB379" s="221"/>
      <c r="AC379" s="221"/>
      <c r="AD379" s="221"/>
      <c r="AE379" s="221"/>
      <c r="AF379" s="221"/>
      <c r="AG379" s="222"/>
      <c r="AH379" s="220" t="str">
        <f>IF('Financial Planning Tool'!Y78="","",'Financial Planning Tool'!Y78)</f>
        <v/>
      </c>
      <c r="AI379" s="221"/>
      <c r="AJ379" s="221"/>
      <c r="AK379" s="221"/>
      <c r="AL379" s="221"/>
      <c r="AM379" s="221"/>
      <c r="AN379" s="221"/>
      <c r="AO379" s="222"/>
      <c r="AP379" s="220" t="str">
        <f>IF('Financial Planning Tool'!Z78="","",'Financial Planning Tool'!Z78)</f>
        <v/>
      </c>
      <c r="AQ379" s="221"/>
      <c r="AR379" s="221"/>
      <c r="AS379" s="221"/>
      <c r="AT379" s="221"/>
      <c r="AU379" s="221"/>
      <c r="AV379" s="221"/>
      <c r="AW379" s="222"/>
      <c r="AX379" s="220" t="str">
        <f>IF('Financial Planning Tool'!AA78="","",'Financial Planning Tool'!AA78)</f>
        <v/>
      </c>
      <c r="AY379" s="221"/>
      <c r="AZ379" s="221"/>
      <c r="BA379" s="221"/>
      <c r="BB379" s="221"/>
      <c r="BC379" s="221"/>
      <c r="BD379" s="221"/>
      <c r="BE379" s="222"/>
      <c r="BF379" s="220">
        <f>'Financial Planning Tool'!AB78</f>
        <v>3170590.37</v>
      </c>
      <c r="BG379" s="221"/>
      <c r="BH379" s="221"/>
      <c r="BI379" s="221"/>
      <c r="BJ379" s="221"/>
      <c r="BK379" s="221"/>
      <c r="BL379" s="221"/>
      <c r="BM379" s="222"/>
      <c r="BN379" s="220">
        <f>'Financial Planning Tool'!AC78</f>
        <v>1236915.3899999999</v>
      </c>
      <c r="BO379" s="221"/>
      <c r="BP379" s="221"/>
      <c r="BQ379" s="221"/>
      <c r="BR379" s="221"/>
      <c r="BS379" s="221"/>
      <c r="BT379" s="221"/>
      <c r="BU379" s="222"/>
    </row>
    <row r="380" spans="2:73" x14ac:dyDescent="0.25">
      <c r="B380" s="215">
        <f ca="1">'Financial Planning Tool'!T79</f>
        <v>54757</v>
      </c>
      <c r="C380" s="216"/>
      <c r="D380" s="216"/>
      <c r="E380" s="217"/>
      <c r="F380" s="218">
        <f ca="1">'Financial Planning Tool'!U79</f>
        <v>79</v>
      </c>
      <c r="G380" s="186"/>
      <c r="H380" s="186"/>
      <c r="I380" s="219"/>
      <c r="J380" s="220" t="str">
        <f>IF('Financial Planning Tool'!V79="","",'Financial Planning Tool'!V79)</f>
        <v/>
      </c>
      <c r="K380" s="221"/>
      <c r="L380" s="221"/>
      <c r="M380" s="221"/>
      <c r="N380" s="221"/>
      <c r="O380" s="221"/>
      <c r="P380" s="221"/>
      <c r="Q380" s="222"/>
      <c r="R380" s="220" t="str">
        <f>IF('Financial Planning Tool'!W79="","",'Financial Planning Tool'!W79)</f>
        <v/>
      </c>
      <c r="S380" s="221"/>
      <c r="T380" s="221"/>
      <c r="U380" s="221"/>
      <c r="V380" s="221"/>
      <c r="W380" s="221"/>
      <c r="X380" s="221"/>
      <c r="Y380" s="222"/>
      <c r="Z380" s="220" t="str">
        <f>IF('Financial Planning Tool'!X79="","",'Financial Planning Tool'!X79)</f>
        <v/>
      </c>
      <c r="AA380" s="221"/>
      <c r="AB380" s="221"/>
      <c r="AC380" s="221"/>
      <c r="AD380" s="221"/>
      <c r="AE380" s="221"/>
      <c r="AF380" s="221"/>
      <c r="AG380" s="222"/>
      <c r="AH380" s="220" t="str">
        <f>IF('Financial Planning Tool'!Y79="","",'Financial Planning Tool'!Y79)</f>
        <v/>
      </c>
      <c r="AI380" s="221"/>
      <c r="AJ380" s="221"/>
      <c r="AK380" s="221"/>
      <c r="AL380" s="221"/>
      <c r="AM380" s="221"/>
      <c r="AN380" s="221"/>
      <c r="AO380" s="222"/>
      <c r="AP380" s="220" t="str">
        <f>IF('Financial Planning Tool'!Z79="","",'Financial Planning Tool'!Z79)</f>
        <v/>
      </c>
      <c r="AQ380" s="221"/>
      <c r="AR380" s="221"/>
      <c r="AS380" s="221"/>
      <c r="AT380" s="221"/>
      <c r="AU380" s="221"/>
      <c r="AV380" s="221"/>
      <c r="AW380" s="222"/>
      <c r="AX380" s="220" t="str">
        <f>IF('Financial Planning Tool'!AA79="","",'Financial Planning Tool'!AA79)</f>
        <v/>
      </c>
      <c r="AY380" s="221"/>
      <c r="AZ380" s="221"/>
      <c r="BA380" s="221"/>
      <c r="BB380" s="221"/>
      <c r="BC380" s="221"/>
      <c r="BD380" s="221"/>
      <c r="BE380" s="222"/>
      <c r="BF380" s="220">
        <f>'Financial Planning Tool'!AB79</f>
        <v>3424237.6</v>
      </c>
      <c r="BG380" s="221"/>
      <c r="BH380" s="221"/>
      <c r="BI380" s="221"/>
      <c r="BJ380" s="221"/>
      <c r="BK380" s="221"/>
      <c r="BL380" s="221"/>
      <c r="BM380" s="222"/>
      <c r="BN380" s="220">
        <f>'Financial Planning Tool'!AC79</f>
        <v>1284489.06</v>
      </c>
      <c r="BO380" s="221"/>
      <c r="BP380" s="221"/>
      <c r="BQ380" s="221"/>
      <c r="BR380" s="221"/>
      <c r="BS380" s="221"/>
      <c r="BT380" s="221"/>
      <c r="BU380" s="222"/>
    </row>
    <row r="381" spans="2:73" x14ac:dyDescent="0.25">
      <c r="B381" s="215">
        <f ca="1">'Financial Planning Tool'!T80</f>
        <v>55122</v>
      </c>
      <c r="C381" s="216"/>
      <c r="D381" s="216"/>
      <c r="E381" s="217"/>
      <c r="F381" s="218">
        <f ca="1">'Financial Planning Tool'!U80</f>
        <v>80</v>
      </c>
      <c r="G381" s="186"/>
      <c r="H381" s="186"/>
      <c r="I381" s="219"/>
      <c r="J381" s="220" t="str">
        <f>IF('Financial Planning Tool'!V80="","",'Financial Planning Tool'!V80)</f>
        <v/>
      </c>
      <c r="K381" s="221"/>
      <c r="L381" s="221"/>
      <c r="M381" s="221"/>
      <c r="N381" s="221"/>
      <c r="O381" s="221"/>
      <c r="P381" s="221"/>
      <c r="Q381" s="222"/>
      <c r="R381" s="220" t="str">
        <f>IF('Financial Planning Tool'!W80="","",'Financial Planning Tool'!W80)</f>
        <v/>
      </c>
      <c r="S381" s="221"/>
      <c r="T381" s="221"/>
      <c r="U381" s="221"/>
      <c r="V381" s="221"/>
      <c r="W381" s="221"/>
      <c r="X381" s="221"/>
      <c r="Y381" s="222"/>
      <c r="Z381" s="220" t="str">
        <f>IF('Financial Planning Tool'!X80="","",'Financial Planning Tool'!X80)</f>
        <v/>
      </c>
      <c r="AA381" s="221"/>
      <c r="AB381" s="221"/>
      <c r="AC381" s="221"/>
      <c r="AD381" s="221"/>
      <c r="AE381" s="221"/>
      <c r="AF381" s="221"/>
      <c r="AG381" s="222"/>
      <c r="AH381" s="220" t="str">
        <f>IF('Financial Planning Tool'!Y80="","",'Financial Planning Tool'!Y80)</f>
        <v/>
      </c>
      <c r="AI381" s="221"/>
      <c r="AJ381" s="221"/>
      <c r="AK381" s="221"/>
      <c r="AL381" s="221"/>
      <c r="AM381" s="221"/>
      <c r="AN381" s="221"/>
      <c r="AO381" s="222"/>
      <c r="AP381" s="220" t="str">
        <f>IF('Financial Planning Tool'!Z80="","",'Financial Planning Tool'!Z80)</f>
        <v/>
      </c>
      <c r="AQ381" s="221"/>
      <c r="AR381" s="221"/>
      <c r="AS381" s="221"/>
      <c r="AT381" s="221"/>
      <c r="AU381" s="221"/>
      <c r="AV381" s="221"/>
      <c r="AW381" s="222"/>
      <c r="AX381" s="220" t="str">
        <f>IF('Financial Planning Tool'!AA80="","",'Financial Planning Tool'!AA80)</f>
        <v/>
      </c>
      <c r="AY381" s="221"/>
      <c r="AZ381" s="221"/>
      <c r="BA381" s="221"/>
      <c r="BB381" s="221"/>
      <c r="BC381" s="221"/>
      <c r="BD381" s="221"/>
      <c r="BE381" s="222"/>
      <c r="BF381" s="220">
        <f>'Financial Planning Tool'!AB80</f>
        <v>3698176.61</v>
      </c>
      <c r="BG381" s="221"/>
      <c r="BH381" s="221"/>
      <c r="BI381" s="221"/>
      <c r="BJ381" s="221"/>
      <c r="BK381" s="221"/>
      <c r="BL381" s="221"/>
      <c r="BM381" s="222"/>
      <c r="BN381" s="220">
        <f>'Financial Planning Tool'!AC80</f>
        <v>1333892.48</v>
      </c>
      <c r="BO381" s="221"/>
      <c r="BP381" s="221"/>
      <c r="BQ381" s="221"/>
      <c r="BR381" s="221"/>
      <c r="BS381" s="221"/>
      <c r="BT381" s="221"/>
      <c r="BU381" s="222"/>
    </row>
    <row r="382" spans="2:73" x14ac:dyDescent="0.25">
      <c r="B382" s="215">
        <f ca="1">'Financial Planning Tool'!T81</f>
        <v>55487</v>
      </c>
      <c r="C382" s="216"/>
      <c r="D382" s="216"/>
      <c r="E382" s="217"/>
      <c r="F382" s="218">
        <f ca="1">'Financial Planning Tool'!U81</f>
        <v>81</v>
      </c>
      <c r="G382" s="186"/>
      <c r="H382" s="186"/>
      <c r="I382" s="219"/>
      <c r="J382" s="220" t="str">
        <f>IF('Financial Planning Tool'!V81="","",'Financial Planning Tool'!V81)</f>
        <v/>
      </c>
      <c r="K382" s="221"/>
      <c r="L382" s="221"/>
      <c r="M382" s="221"/>
      <c r="N382" s="221"/>
      <c r="O382" s="221"/>
      <c r="P382" s="221"/>
      <c r="Q382" s="222"/>
      <c r="R382" s="220" t="str">
        <f>IF('Financial Planning Tool'!W81="","",'Financial Planning Tool'!W81)</f>
        <v/>
      </c>
      <c r="S382" s="221"/>
      <c r="T382" s="221"/>
      <c r="U382" s="221"/>
      <c r="V382" s="221"/>
      <c r="W382" s="221"/>
      <c r="X382" s="221"/>
      <c r="Y382" s="222"/>
      <c r="Z382" s="220" t="str">
        <f>IF('Financial Planning Tool'!X81="","",'Financial Planning Tool'!X81)</f>
        <v/>
      </c>
      <c r="AA382" s="221"/>
      <c r="AB382" s="221"/>
      <c r="AC382" s="221"/>
      <c r="AD382" s="221"/>
      <c r="AE382" s="221"/>
      <c r="AF382" s="221"/>
      <c r="AG382" s="222"/>
      <c r="AH382" s="220" t="str">
        <f>IF('Financial Planning Tool'!Y81="","",'Financial Planning Tool'!Y81)</f>
        <v/>
      </c>
      <c r="AI382" s="221"/>
      <c r="AJ382" s="221"/>
      <c r="AK382" s="221"/>
      <c r="AL382" s="221"/>
      <c r="AM382" s="221"/>
      <c r="AN382" s="221"/>
      <c r="AO382" s="222"/>
      <c r="AP382" s="220" t="str">
        <f>IF('Financial Planning Tool'!Z81="","",'Financial Planning Tool'!Z81)</f>
        <v/>
      </c>
      <c r="AQ382" s="221"/>
      <c r="AR382" s="221"/>
      <c r="AS382" s="221"/>
      <c r="AT382" s="221"/>
      <c r="AU382" s="221"/>
      <c r="AV382" s="221"/>
      <c r="AW382" s="222"/>
      <c r="AX382" s="220" t="str">
        <f>IF('Financial Planning Tool'!AA81="","",'Financial Planning Tool'!AA81)</f>
        <v/>
      </c>
      <c r="AY382" s="221"/>
      <c r="AZ382" s="221"/>
      <c r="BA382" s="221"/>
      <c r="BB382" s="221"/>
      <c r="BC382" s="221"/>
      <c r="BD382" s="221"/>
      <c r="BE382" s="222"/>
      <c r="BF382" s="220">
        <f>'Financial Planning Tool'!AB81</f>
        <v>3994030.73</v>
      </c>
      <c r="BG382" s="221"/>
      <c r="BH382" s="221"/>
      <c r="BI382" s="221"/>
      <c r="BJ382" s="221"/>
      <c r="BK382" s="221"/>
      <c r="BL382" s="221"/>
      <c r="BM382" s="222"/>
      <c r="BN382" s="220">
        <f>'Financial Planning Tool'!AC81</f>
        <v>1385196.04</v>
      </c>
      <c r="BO382" s="221"/>
      <c r="BP382" s="221"/>
      <c r="BQ382" s="221"/>
      <c r="BR382" s="221"/>
      <c r="BS382" s="221"/>
      <c r="BT382" s="221"/>
      <c r="BU382" s="222"/>
    </row>
    <row r="383" spans="2:73" x14ac:dyDescent="0.25">
      <c r="B383" s="215">
        <f ca="1">'Financial Planning Tool'!T82</f>
        <v>55853</v>
      </c>
      <c r="C383" s="216"/>
      <c r="D383" s="216"/>
      <c r="E383" s="217"/>
      <c r="F383" s="218">
        <f ca="1">'Financial Planning Tool'!U82</f>
        <v>82</v>
      </c>
      <c r="G383" s="186"/>
      <c r="H383" s="186"/>
      <c r="I383" s="219"/>
      <c r="J383" s="220" t="str">
        <f>IF('Financial Planning Tool'!V82="","",'Financial Planning Tool'!V82)</f>
        <v/>
      </c>
      <c r="K383" s="221"/>
      <c r="L383" s="221"/>
      <c r="M383" s="221"/>
      <c r="N383" s="221"/>
      <c r="O383" s="221"/>
      <c r="P383" s="221"/>
      <c r="Q383" s="222"/>
      <c r="R383" s="220" t="str">
        <f>IF('Financial Planning Tool'!W82="","",'Financial Planning Tool'!W82)</f>
        <v/>
      </c>
      <c r="S383" s="221"/>
      <c r="T383" s="221"/>
      <c r="U383" s="221"/>
      <c r="V383" s="221"/>
      <c r="W383" s="221"/>
      <c r="X383" s="221"/>
      <c r="Y383" s="222"/>
      <c r="Z383" s="220" t="str">
        <f>IF('Financial Planning Tool'!X82="","",'Financial Planning Tool'!X82)</f>
        <v/>
      </c>
      <c r="AA383" s="221"/>
      <c r="AB383" s="221"/>
      <c r="AC383" s="221"/>
      <c r="AD383" s="221"/>
      <c r="AE383" s="221"/>
      <c r="AF383" s="221"/>
      <c r="AG383" s="222"/>
      <c r="AH383" s="220" t="str">
        <f>IF('Financial Planning Tool'!Y82="","",'Financial Planning Tool'!Y82)</f>
        <v/>
      </c>
      <c r="AI383" s="221"/>
      <c r="AJ383" s="221"/>
      <c r="AK383" s="221"/>
      <c r="AL383" s="221"/>
      <c r="AM383" s="221"/>
      <c r="AN383" s="221"/>
      <c r="AO383" s="222"/>
      <c r="AP383" s="220" t="str">
        <f>IF('Financial Planning Tool'!Z82="","",'Financial Planning Tool'!Z82)</f>
        <v/>
      </c>
      <c r="AQ383" s="221"/>
      <c r="AR383" s="221"/>
      <c r="AS383" s="221"/>
      <c r="AT383" s="221"/>
      <c r="AU383" s="221"/>
      <c r="AV383" s="221"/>
      <c r="AW383" s="222"/>
      <c r="AX383" s="220" t="str">
        <f>IF('Financial Planning Tool'!AA82="","",'Financial Planning Tool'!AA82)</f>
        <v/>
      </c>
      <c r="AY383" s="221"/>
      <c r="AZ383" s="221"/>
      <c r="BA383" s="221"/>
      <c r="BB383" s="221"/>
      <c r="BC383" s="221"/>
      <c r="BD383" s="221"/>
      <c r="BE383" s="222"/>
      <c r="BF383" s="220">
        <f>'Financial Planning Tool'!AB82</f>
        <v>4313553.1900000004</v>
      </c>
      <c r="BG383" s="221"/>
      <c r="BH383" s="221"/>
      <c r="BI383" s="221"/>
      <c r="BJ383" s="221"/>
      <c r="BK383" s="221"/>
      <c r="BL383" s="221"/>
      <c r="BM383" s="222"/>
      <c r="BN383" s="220">
        <f>'Financial Planning Tool'!AC82</f>
        <v>1438472.81</v>
      </c>
      <c r="BO383" s="221"/>
      <c r="BP383" s="221"/>
      <c r="BQ383" s="221"/>
      <c r="BR383" s="221"/>
      <c r="BS383" s="221"/>
      <c r="BT383" s="221"/>
      <c r="BU383" s="222"/>
    </row>
    <row r="384" spans="2:73" x14ac:dyDescent="0.25">
      <c r="B384" s="215">
        <f ca="1">'Financial Planning Tool'!T83</f>
        <v>56218</v>
      </c>
      <c r="C384" s="216"/>
      <c r="D384" s="216"/>
      <c r="E384" s="217"/>
      <c r="F384" s="218">
        <f ca="1">'Financial Planning Tool'!U83</f>
        <v>83</v>
      </c>
      <c r="G384" s="186"/>
      <c r="H384" s="186"/>
      <c r="I384" s="219"/>
      <c r="J384" s="220" t="str">
        <f>IF('Financial Planning Tool'!V83="","",'Financial Planning Tool'!V83)</f>
        <v/>
      </c>
      <c r="K384" s="221"/>
      <c r="L384" s="221"/>
      <c r="M384" s="221"/>
      <c r="N384" s="221"/>
      <c r="O384" s="221"/>
      <c r="P384" s="221"/>
      <c r="Q384" s="222"/>
      <c r="R384" s="220" t="str">
        <f>IF('Financial Planning Tool'!W83="","",'Financial Planning Tool'!W83)</f>
        <v/>
      </c>
      <c r="S384" s="221"/>
      <c r="T384" s="221"/>
      <c r="U384" s="221"/>
      <c r="V384" s="221"/>
      <c r="W384" s="221"/>
      <c r="X384" s="221"/>
      <c r="Y384" s="222"/>
      <c r="Z384" s="220" t="str">
        <f>IF('Financial Planning Tool'!X83="","",'Financial Planning Tool'!X83)</f>
        <v/>
      </c>
      <c r="AA384" s="221"/>
      <c r="AB384" s="221"/>
      <c r="AC384" s="221"/>
      <c r="AD384" s="221"/>
      <c r="AE384" s="221"/>
      <c r="AF384" s="221"/>
      <c r="AG384" s="222"/>
      <c r="AH384" s="220" t="str">
        <f>IF('Financial Planning Tool'!Y83="","",'Financial Planning Tool'!Y83)</f>
        <v/>
      </c>
      <c r="AI384" s="221"/>
      <c r="AJ384" s="221"/>
      <c r="AK384" s="221"/>
      <c r="AL384" s="221"/>
      <c r="AM384" s="221"/>
      <c r="AN384" s="221"/>
      <c r="AO384" s="222"/>
      <c r="AP384" s="220" t="str">
        <f>IF('Financial Planning Tool'!Z83="","",'Financial Planning Tool'!Z83)</f>
        <v/>
      </c>
      <c r="AQ384" s="221"/>
      <c r="AR384" s="221"/>
      <c r="AS384" s="221"/>
      <c r="AT384" s="221"/>
      <c r="AU384" s="221"/>
      <c r="AV384" s="221"/>
      <c r="AW384" s="222"/>
      <c r="AX384" s="220" t="str">
        <f>IF('Financial Planning Tool'!AA83="","",'Financial Planning Tool'!AA83)</f>
        <v/>
      </c>
      <c r="AY384" s="221"/>
      <c r="AZ384" s="221"/>
      <c r="BA384" s="221"/>
      <c r="BB384" s="221"/>
      <c r="BC384" s="221"/>
      <c r="BD384" s="221"/>
      <c r="BE384" s="222"/>
      <c r="BF384" s="220">
        <f>'Financial Planning Tool'!AB83</f>
        <v>4658637.45</v>
      </c>
      <c r="BG384" s="221"/>
      <c r="BH384" s="221"/>
      <c r="BI384" s="221"/>
      <c r="BJ384" s="221"/>
      <c r="BK384" s="221"/>
      <c r="BL384" s="221"/>
      <c r="BM384" s="222"/>
      <c r="BN384" s="220">
        <f>'Financial Planning Tool'!AC83</f>
        <v>1493798.69</v>
      </c>
      <c r="BO384" s="221"/>
      <c r="BP384" s="221"/>
      <c r="BQ384" s="221"/>
      <c r="BR384" s="221"/>
      <c r="BS384" s="221"/>
      <c r="BT384" s="221"/>
      <c r="BU384" s="222"/>
    </row>
    <row r="385" spans="2:73" x14ac:dyDescent="0.25">
      <c r="B385" s="215">
        <f ca="1">'Financial Planning Tool'!T84</f>
        <v>56583</v>
      </c>
      <c r="C385" s="216"/>
      <c r="D385" s="216"/>
      <c r="E385" s="217"/>
      <c r="F385" s="218">
        <f ca="1">'Financial Planning Tool'!U84</f>
        <v>84</v>
      </c>
      <c r="G385" s="186"/>
      <c r="H385" s="186"/>
      <c r="I385" s="219"/>
      <c r="J385" s="220" t="str">
        <f>IF('Financial Planning Tool'!V84="","",'Financial Planning Tool'!V84)</f>
        <v/>
      </c>
      <c r="K385" s="221"/>
      <c r="L385" s="221"/>
      <c r="M385" s="221"/>
      <c r="N385" s="221"/>
      <c r="O385" s="221"/>
      <c r="P385" s="221"/>
      <c r="Q385" s="222"/>
      <c r="R385" s="220" t="str">
        <f>IF('Financial Planning Tool'!W84="","",'Financial Planning Tool'!W84)</f>
        <v/>
      </c>
      <c r="S385" s="221"/>
      <c r="T385" s="221"/>
      <c r="U385" s="221"/>
      <c r="V385" s="221"/>
      <c r="W385" s="221"/>
      <c r="X385" s="221"/>
      <c r="Y385" s="222"/>
      <c r="Z385" s="220" t="str">
        <f>IF('Financial Planning Tool'!X84="","",'Financial Planning Tool'!X84)</f>
        <v/>
      </c>
      <c r="AA385" s="221"/>
      <c r="AB385" s="221"/>
      <c r="AC385" s="221"/>
      <c r="AD385" s="221"/>
      <c r="AE385" s="221"/>
      <c r="AF385" s="221"/>
      <c r="AG385" s="222"/>
      <c r="AH385" s="220" t="str">
        <f>IF('Financial Planning Tool'!Y84="","",'Financial Planning Tool'!Y84)</f>
        <v/>
      </c>
      <c r="AI385" s="221"/>
      <c r="AJ385" s="221"/>
      <c r="AK385" s="221"/>
      <c r="AL385" s="221"/>
      <c r="AM385" s="221"/>
      <c r="AN385" s="221"/>
      <c r="AO385" s="222"/>
      <c r="AP385" s="220" t="str">
        <f>IF('Financial Planning Tool'!Z84="","",'Financial Planning Tool'!Z84)</f>
        <v/>
      </c>
      <c r="AQ385" s="221"/>
      <c r="AR385" s="221"/>
      <c r="AS385" s="221"/>
      <c r="AT385" s="221"/>
      <c r="AU385" s="221"/>
      <c r="AV385" s="221"/>
      <c r="AW385" s="222"/>
      <c r="AX385" s="220" t="str">
        <f>IF('Financial Planning Tool'!AA84="","",'Financial Planning Tool'!AA84)</f>
        <v/>
      </c>
      <c r="AY385" s="221"/>
      <c r="AZ385" s="221"/>
      <c r="BA385" s="221"/>
      <c r="BB385" s="221"/>
      <c r="BC385" s="221"/>
      <c r="BD385" s="221"/>
      <c r="BE385" s="222"/>
      <c r="BF385" s="220">
        <f>'Financial Planning Tool'!AB84</f>
        <v>5031328.4400000004</v>
      </c>
      <c r="BG385" s="221"/>
      <c r="BH385" s="221"/>
      <c r="BI385" s="221"/>
      <c r="BJ385" s="221"/>
      <c r="BK385" s="221"/>
      <c r="BL385" s="221"/>
      <c r="BM385" s="222"/>
      <c r="BN385" s="220">
        <f>'Financial Planning Tool'!AC84</f>
        <v>1551252.48</v>
      </c>
      <c r="BO385" s="221"/>
      <c r="BP385" s="221"/>
      <c r="BQ385" s="221"/>
      <c r="BR385" s="221"/>
      <c r="BS385" s="221"/>
      <c r="BT385" s="221"/>
      <c r="BU385" s="222"/>
    </row>
    <row r="386" spans="2:73" x14ac:dyDescent="0.25">
      <c r="B386" s="215">
        <f ca="1">'Financial Planning Tool'!T85</f>
        <v>56948</v>
      </c>
      <c r="C386" s="216"/>
      <c r="D386" s="216"/>
      <c r="E386" s="217"/>
      <c r="F386" s="218">
        <f ca="1">'Financial Planning Tool'!U85</f>
        <v>85</v>
      </c>
      <c r="G386" s="186"/>
      <c r="H386" s="186"/>
      <c r="I386" s="219"/>
      <c r="J386" s="220" t="str">
        <f>IF('Financial Planning Tool'!V85="","",'Financial Planning Tool'!V85)</f>
        <v/>
      </c>
      <c r="K386" s="221"/>
      <c r="L386" s="221"/>
      <c r="M386" s="221"/>
      <c r="N386" s="221"/>
      <c r="O386" s="221"/>
      <c r="P386" s="221"/>
      <c r="Q386" s="222"/>
      <c r="R386" s="220" t="str">
        <f>IF('Financial Planning Tool'!W85="","",'Financial Planning Tool'!W85)</f>
        <v/>
      </c>
      <c r="S386" s="221"/>
      <c r="T386" s="221"/>
      <c r="U386" s="221"/>
      <c r="V386" s="221"/>
      <c r="W386" s="221"/>
      <c r="X386" s="221"/>
      <c r="Y386" s="222"/>
      <c r="Z386" s="220" t="str">
        <f>IF('Financial Planning Tool'!X85="","",'Financial Planning Tool'!X85)</f>
        <v/>
      </c>
      <c r="AA386" s="221"/>
      <c r="AB386" s="221"/>
      <c r="AC386" s="221"/>
      <c r="AD386" s="221"/>
      <c r="AE386" s="221"/>
      <c r="AF386" s="221"/>
      <c r="AG386" s="222"/>
      <c r="AH386" s="220" t="str">
        <f>IF('Financial Planning Tool'!Y85="","",'Financial Planning Tool'!Y85)</f>
        <v/>
      </c>
      <c r="AI386" s="221"/>
      <c r="AJ386" s="221"/>
      <c r="AK386" s="221"/>
      <c r="AL386" s="221"/>
      <c r="AM386" s="221"/>
      <c r="AN386" s="221"/>
      <c r="AO386" s="222"/>
      <c r="AP386" s="220" t="str">
        <f>IF('Financial Planning Tool'!Z85="","",'Financial Planning Tool'!Z85)</f>
        <v/>
      </c>
      <c r="AQ386" s="221"/>
      <c r="AR386" s="221"/>
      <c r="AS386" s="221"/>
      <c r="AT386" s="221"/>
      <c r="AU386" s="221"/>
      <c r="AV386" s="221"/>
      <c r="AW386" s="222"/>
      <c r="AX386" s="220" t="str">
        <f>IF('Financial Planning Tool'!AA85="","",'Financial Planning Tool'!AA85)</f>
        <v/>
      </c>
      <c r="AY386" s="221"/>
      <c r="AZ386" s="221"/>
      <c r="BA386" s="221"/>
      <c r="BB386" s="221"/>
      <c r="BC386" s="221"/>
      <c r="BD386" s="221"/>
      <c r="BE386" s="222"/>
      <c r="BF386" s="220">
        <f>'Financial Planning Tool'!AB85</f>
        <v>5433834.7199999997</v>
      </c>
      <c r="BG386" s="221"/>
      <c r="BH386" s="221"/>
      <c r="BI386" s="221"/>
      <c r="BJ386" s="221"/>
      <c r="BK386" s="221"/>
      <c r="BL386" s="221"/>
      <c r="BM386" s="222"/>
      <c r="BN386" s="220">
        <f>'Financial Planning Tool'!AC85</f>
        <v>1610916.04</v>
      </c>
      <c r="BO386" s="221"/>
      <c r="BP386" s="221"/>
      <c r="BQ386" s="221"/>
      <c r="BR386" s="221"/>
      <c r="BS386" s="221"/>
      <c r="BT386" s="221"/>
      <c r="BU386" s="222"/>
    </row>
    <row r="387" spans="2:73" x14ac:dyDescent="0.25">
      <c r="B387" s="215">
        <f ca="1">'Financial Planning Tool'!T86</f>
        <v>57314</v>
      </c>
      <c r="C387" s="216"/>
      <c r="D387" s="216"/>
      <c r="E387" s="217"/>
      <c r="F387" s="218">
        <f ca="1">'Financial Planning Tool'!U86</f>
        <v>86</v>
      </c>
      <c r="G387" s="186"/>
      <c r="H387" s="186"/>
      <c r="I387" s="219"/>
      <c r="J387" s="220" t="str">
        <f>IF('Financial Planning Tool'!V86="","",'Financial Planning Tool'!V86)</f>
        <v/>
      </c>
      <c r="K387" s="221"/>
      <c r="L387" s="221"/>
      <c r="M387" s="221"/>
      <c r="N387" s="221"/>
      <c r="O387" s="221"/>
      <c r="P387" s="221"/>
      <c r="Q387" s="222"/>
      <c r="R387" s="220" t="str">
        <f>IF('Financial Planning Tool'!W86="","",'Financial Planning Tool'!W86)</f>
        <v/>
      </c>
      <c r="S387" s="221"/>
      <c r="T387" s="221"/>
      <c r="U387" s="221"/>
      <c r="V387" s="221"/>
      <c r="W387" s="221"/>
      <c r="X387" s="221"/>
      <c r="Y387" s="222"/>
      <c r="Z387" s="220" t="str">
        <f>IF('Financial Planning Tool'!X86="","",'Financial Planning Tool'!X86)</f>
        <v/>
      </c>
      <c r="AA387" s="221"/>
      <c r="AB387" s="221"/>
      <c r="AC387" s="221"/>
      <c r="AD387" s="221"/>
      <c r="AE387" s="221"/>
      <c r="AF387" s="221"/>
      <c r="AG387" s="222"/>
      <c r="AH387" s="220" t="str">
        <f>IF('Financial Planning Tool'!Y86="","",'Financial Planning Tool'!Y86)</f>
        <v/>
      </c>
      <c r="AI387" s="221"/>
      <c r="AJ387" s="221"/>
      <c r="AK387" s="221"/>
      <c r="AL387" s="221"/>
      <c r="AM387" s="221"/>
      <c r="AN387" s="221"/>
      <c r="AO387" s="222"/>
      <c r="AP387" s="220" t="str">
        <f>IF('Financial Planning Tool'!Z86="","",'Financial Planning Tool'!Z86)</f>
        <v/>
      </c>
      <c r="AQ387" s="221"/>
      <c r="AR387" s="221"/>
      <c r="AS387" s="221"/>
      <c r="AT387" s="221"/>
      <c r="AU387" s="221"/>
      <c r="AV387" s="221"/>
      <c r="AW387" s="222"/>
      <c r="AX387" s="220" t="str">
        <f>IF('Financial Planning Tool'!AA86="","",'Financial Planning Tool'!AA86)</f>
        <v/>
      </c>
      <c r="AY387" s="221"/>
      <c r="AZ387" s="221"/>
      <c r="BA387" s="221"/>
      <c r="BB387" s="221"/>
      <c r="BC387" s="221"/>
      <c r="BD387" s="221"/>
      <c r="BE387" s="222"/>
      <c r="BF387" s="220">
        <f>'Financial Planning Tool'!AB86</f>
        <v>5868541.5</v>
      </c>
      <c r="BG387" s="221"/>
      <c r="BH387" s="221"/>
      <c r="BI387" s="221"/>
      <c r="BJ387" s="221"/>
      <c r="BK387" s="221"/>
      <c r="BL387" s="221"/>
      <c r="BM387" s="222"/>
      <c r="BN387" s="220">
        <f>'Financial Planning Tool'!AC86</f>
        <v>1672874.35</v>
      </c>
      <c r="BO387" s="221"/>
      <c r="BP387" s="221"/>
      <c r="BQ387" s="221"/>
      <c r="BR387" s="221"/>
      <c r="BS387" s="221"/>
      <c r="BT387" s="221"/>
      <c r="BU387" s="222"/>
    </row>
    <row r="388" spans="2:73" x14ac:dyDescent="0.25">
      <c r="B388" s="215">
        <f ca="1">'Financial Planning Tool'!T87</f>
        <v>57679</v>
      </c>
      <c r="C388" s="216"/>
      <c r="D388" s="216"/>
      <c r="E388" s="217"/>
      <c r="F388" s="218">
        <f ca="1">'Financial Planning Tool'!U87</f>
        <v>87</v>
      </c>
      <c r="G388" s="186"/>
      <c r="H388" s="186"/>
      <c r="I388" s="219"/>
      <c r="J388" s="220" t="str">
        <f>IF('Financial Planning Tool'!V87="","",'Financial Planning Tool'!V87)</f>
        <v/>
      </c>
      <c r="K388" s="221"/>
      <c r="L388" s="221"/>
      <c r="M388" s="221"/>
      <c r="N388" s="221"/>
      <c r="O388" s="221"/>
      <c r="P388" s="221"/>
      <c r="Q388" s="222"/>
      <c r="R388" s="220" t="str">
        <f>IF('Financial Planning Tool'!W87="","",'Financial Planning Tool'!W87)</f>
        <v/>
      </c>
      <c r="S388" s="221"/>
      <c r="T388" s="221"/>
      <c r="U388" s="221"/>
      <c r="V388" s="221"/>
      <c r="W388" s="221"/>
      <c r="X388" s="221"/>
      <c r="Y388" s="222"/>
      <c r="Z388" s="220" t="str">
        <f>IF('Financial Planning Tool'!X87="","",'Financial Planning Tool'!X87)</f>
        <v/>
      </c>
      <c r="AA388" s="221"/>
      <c r="AB388" s="221"/>
      <c r="AC388" s="221"/>
      <c r="AD388" s="221"/>
      <c r="AE388" s="221"/>
      <c r="AF388" s="221"/>
      <c r="AG388" s="222"/>
      <c r="AH388" s="220" t="str">
        <f>IF('Financial Planning Tool'!Y87="","",'Financial Planning Tool'!Y87)</f>
        <v/>
      </c>
      <c r="AI388" s="221"/>
      <c r="AJ388" s="221"/>
      <c r="AK388" s="221"/>
      <c r="AL388" s="221"/>
      <c r="AM388" s="221"/>
      <c r="AN388" s="221"/>
      <c r="AO388" s="222"/>
      <c r="AP388" s="220" t="str">
        <f>IF('Financial Planning Tool'!Z87="","",'Financial Planning Tool'!Z87)</f>
        <v/>
      </c>
      <c r="AQ388" s="221"/>
      <c r="AR388" s="221"/>
      <c r="AS388" s="221"/>
      <c r="AT388" s="221"/>
      <c r="AU388" s="221"/>
      <c r="AV388" s="221"/>
      <c r="AW388" s="222"/>
      <c r="AX388" s="220" t="str">
        <f>IF('Financial Planning Tool'!AA87="","",'Financial Planning Tool'!AA87)</f>
        <v/>
      </c>
      <c r="AY388" s="221"/>
      <c r="AZ388" s="221"/>
      <c r="BA388" s="221"/>
      <c r="BB388" s="221"/>
      <c r="BC388" s="221"/>
      <c r="BD388" s="221"/>
      <c r="BE388" s="222"/>
      <c r="BF388" s="220">
        <f>'Financial Planning Tool'!AB87</f>
        <v>6338024.8200000003</v>
      </c>
      <c r="BG388" s="221"/>
      <c r="BH388" s="221"/>
      <c r="BI388" s="221"/>
      <c r="BJ388" s="221"/>
      <c r="BK388" s="221"/>
      <c r="BL388" s="221"/>
      <c r="BM388" s="222"/>
      <c r="BN388" s="220">
        <f>'Financial Planning Tool'!AC87</f>
        <v>1737215.67</v>
      </c>
      <c r="BO388" s="221"/>
      <c r="BP388" s="221"/>
      <c r="BQ388" s="221"/>
      <c r="BR388" s="221"/>
      <c r="BS388" s="221"/>
      <c r="BT388" s="221"/>
      <c r="BU388" s="222"/>
    </row>
    <row r="389" spans="2:73" x14ac:dyDescent="0.25">
      <c r="B389" s="215">
        <f ca="1">'Financial Planning Tool'!T88</f>
        <v>58044</v>
      </c>
      <c r="C389" s="216"/>
      <c r="D389" s="216"/>
      <c r="E389" s="217"/>
      <c r="F389" s="218">
        <f ca="1">'Financial Planning Tool'!U88</f>
        <v>88</v>
      </c>
      <c r="G389" s="186"/>
      <c r="H389" s="186"/>
      <c r="I389" s="219"/>
      <c r="J389" s="220" t="str">
        <f>IF('Financial Planning Tool'!V88="","",'Financial Planning Tool'!V88)</f>
        <v/>
      </c>
      <c r="K389" s="221"/>
      <c r="L389" s="221"/>
      <c r="M389" s="221"/>
      <c r="N389" s="221"/>
      <c r="O389" s="221"/>
      <c r="P389" s="221"/>
      <c r="Q389" s="222"/>
      <c r="R389" s="220" t="str">
        <f>IF('Financial Planning Tool'!W88="","",'Financial Planning Tool'!W88)</f>
        <v/>
      </c>
      <c r="S389" s="221"/>
      <c r="T389" s="221"/>
      <c r="U389" s="221"/>
      <c r="V389" s="221"/>
      <c r="W389" s="221"/>
      <c r="X389" s="221"/>
      <c r="Y389" s="222"/>
      <c r="Z389" s="220" t="str">
        <f>IF('Financial Planning Tool'!X88="","",'Financial Planning Tool'!X88)</f>
        <v/>
      </c>
      <c r="AA389" s="221"/>
      <c r="AB389" s="221"/>
      <c r="AC389" s="221"/>
      <c r="AD389" s="221"/>
      <c r="AE389" s="221"/>
      <c r="AF389" s="221"/>
      <c r="AG389" s="222"/>
      <c r="AH389" s="220" t="str">
        <f>IF('Financial Planning Tool'!Y88="","",'Financial Planning Tool'!Y88)</f>
        <v/>
      </c>
      <c r="AI389" s="221"/>
      <c r="AJ389" s="221"/>
      <c r="AK389" s="221"/>
      <c r="AL389" s="221"/>
      <c r="AM389" s="221"/>
      <c r="AN389" s="221"/>
      <c r="AO389" s="222"/>
      <c r="AP389" s="220" t="str">
        <f>IF('Financial Planning Tool'!Z88="","",'Financial Planning Tool'!Z88)</f>
        <v/>
      </c>
      <c r="AQ389" s="221"/>
      <c r="AR389" s="221"/>
      <c r="AS389" s="221"/>
      <c r="AT389" s="221"/>
      <c r="AU389" s="221"/>
      <c r="AV389" s="221"/>
      <c r="AW389" s="222"/>
      <c r="AX389" s="220" t="str">
        <f>IF('Financial Planning Tool'!AA88="","",'Financial Planning Tool'!AA88)</f>
        <v/>
      </c>
      <c r="AY389" s="221"/>
      <c r="AZ389" s="221"/>
      <c r="BA389" s="221"/>
      <c r="BB389" s="221"/>
      <c r="BC389" s="221"/>
      <c r="BD389" s="221"/>
      <c r="BE389" s="222"/>
      <c r="BF389" s="220">
        <f>'Financial Planning Tool'!AB88</f>
        <v>6845066.7999999998</v>
      </c>
      <c r="BG389" s="221"/>
      <c r="BH389" s="221"/>
      <c r="BI389" s="221"/>
      <c r="BJ389" s="221"/>
      <c r="BK389" s="221"/>
      <c r="BL389" s="221"/>
      <c r="BM389" s="222"/>
      <c r="BN389" s="220">
        <f>'Financial Planning Tool'!AC88</f>
        <v>1804031.66</v>
      </c>
      <c r="BO389" s="221"/>
      <c r="BP389" s="221"/>
      <c r="BQ389" s="221"/>
      <c r="BR389" s="221"/>
      <c r="BS389" s="221"/>
      <c r="BT389" s="221"/>
      <c r="BU389" s="222"/>
    </row>
    <row r="390" spans="2:73" x14ac:dyDescent="0.25">
      <c r="B390" s="215">
        <f ca="1">'Financial Planning Tool'!T89</f>
        <v>58409</v>
      </c>
      <c r="C390" s="216"/>
      <c r="D390" s="216"/>
      <c r="E390" s="217"/>
      <c r="F390" s="218">
        <f ca="1">'Financial Planning Tool'!U89</f>
        <v>89</v>
      </c>
      <c r="G390" s="186"/>
      <c r="H390" s="186"/>
      <c r="I390" s="219"/>
      <c r="J390" s="220" t="str">
        <f>IF('Financial Planning Tool'!V89="","",'Financial Planning Tool'!V89)</f>
        <v/>
      </c>
      <c r="K390" s="221"/>
      <c r="L390" s="221"/>
      <c r="M390" s="221"/>
      <c r="N390" s="221"/>
      <c r="O390" s="221"/>
      <c r="P390" s="221"/>
      <c r="Q390" s="222"/>
      <c r="R390" s="220" t="str">
        <f>IF('Financial Planning Tool'!W89="","",'Financial Planning Tool'!W89)</f>
        <v/>
      </c>
      <c r="S390" s="221"/>
      <c r="T390" s="221"/>
      <c r="U390" s="221"/>
      <c r="V390" s="221"/>
      <c r="W390" s="221"/>
      <c r="X390" s="221"/>
      <c r="Y390" s="222"/>
      <c r="Z390" s="220" t="str">
        <f>IF('Financial Planning Tool'!X89="","",'Financial Planning Tool'!X89)</f>
        <v/>
      </c>
      <c r="AA390" s="221"/>
      <c r="AB390" s="221"/>
      <c r="AC390" s="221"/>
      <c r="AD390" s="221"/>
      <c r="AE390" s="221"/>
      <c r="AF390" s="221"/>
      <c r="AG390" s="222"/>
      <c r="AH390" s="220" t="str">
        <f>IF('Financial Planning Tool'!Y89="","",'Financial Planning Tool'!Y89)</f>
        <v/>
      </c>
      <c r="AI390" s="221"/>
      <c r="AJ390" s="221"/>
      <c r="AK390" s="221"/>
      <c r="AL390" s="221"/>
      <c r="AM390" s="221"/>
      <c r="AN390" s="221"/>
      <c r="AO390" s="222"/>
      <c r="AP390" s="220" t="str">
        <f>IF('Financial Planning Tool'!Z89="","",'Financial Planning Tool'!Z89)</f>
        <v/>
      </c>
      <c r="AQ390" s="221"/>
      <c r="AR390" s="221"/>
      <c r="AS390" s="221"/>
      <c r="AT390" s="221"/>
      <c r="AU390" s="221"/>
      <c r="AV390" s="221"/>
      <c r="AW390" s="222"/>
      <c r="AX390" s="220" t="str">
        <f>IF('Financial Planning Tool'!AA89="","",'Financial Planning Tool'!AA89)</f>
        <v/>
      </c>
      <c r="AY390" s="221"/>
      <c r="AZ390" s="221"/>
      <c r="BA390" s="221"/>
      <c r="BB390" s="221"/>
      <c r="BC390" s="221"/>
      <c r="BD390" s="221"/>
      <c r="BE390" s="222"/>
      <c r="BF390" s="220">
        <f>'Financial Planning Tool'!AB89</f>
        <v>7392672.1500000004</v>
      </c>
      <c r="BG390" s="221"/>
      <c r="BH390" s="221"/>
      <c r="BI390" s="221"/>
      <c r="BJ390" s="221"/>
      <c r="BK390" s="221"/>
      <c r="BL390" s="221"/>
      <c r="BM390" s="222"/>
      <c r="BN390" s="220">
        <f>'Financial Planning Tool'!AC89</f>
        <v>1873417.49</v>
      </c>
      <c r="BO390" s="221"/>
      <c r="BP390" s="221"/>
      <c r="BQ390" s="221"/>
      <c r="BR390" s="221"/>
      <c r="BS390" s="221"/>
      <c r="BT390" s="221"/>
      <c r="BU390" s="222"/>
    </row>
    <row r="391" spans="2:73" x14ac:dyDescent="0.25">
      <c r="B391" s="215">
        <f ca="1">'Financial Planning Tool'!T90</f>
        <v>58775</v>
      </c>
      <c r="C391" s="216"/>
      <c r="D391" s="216"/>
      <c r="E391" s="217"/>
      <c r="F391" s="218">
        <f ca="1">'Financial Planning Tool'!U90</f>
        <v>90</v>
      </c>
      <c r="G391" s="186"/>
      <c r="H391" s="186"/>
      <c r="I391" s="219"/>
      <c r="J391" s="220" t="str">
        <f>IF('Financial Planning Tool'!V90="","",'Financial Planning Tool'!V90)</f>
        <v/>
      </c>
      <c r="K391" s="221"/>
      <c r="L391" s="221"/>
      <c r="M391" s="221"/>
      <c r="N391" s="221"/>
      <c r="O391" s="221"/>
      <c r="P391" s="221"/>
      <c r="Q391" s="222"/>
      <c r="R391" s="220" t="str">
        <f>IF('Financial Planning Tool'!W90="","",'Financial Planning Tool'!W90)</f>
        <v/>
      </c>
      <c r="S391" s="221"/>
      <c r="T391" s="221"/>
      <c r="U391" s="221"/>
      <c r="V391" s="221"/>
      <c r="W391" s="221"/>
      <c r="X391" s="221"/>
      <c r="Y391" s="222"/>
      <c r="Z391" s="220" t="str">
        <f>IF('Financial Planning Tool'!X90="","",'Financial Planning Tool'!X90)</f>
        <v/>
      </c>
      <c r="AA391" s="221"/>
      <c r="AB391" s="221"/>
      <c r="AC391" s="221"/>
      <c r="AD391" s="221"/>
      <c r="AE391" s="221"/>
      <c r="AF391" s="221"/>
      <c r="AG391" s="222"/>
      <c r="AH391" s="220" t="str">
        <f>IF('Financial Planning Tool'!Y90="","",'Financial Planning Tool'!Y90)</f>
        <v/>
      </c>
      <c r="AI391" s="221"/>
      <c r="AJ391" s="221"/>
      <c r="AK391" s="221"/>
      <c r="AL391" s="221"/>
      <c r="AM391" s="221"/>
      <c r="AN391" s="221"/>
      <c r="AO391" s="222"/>
      <c r="AP391" s="220" t="str">
        <f>IF('Financial Planning Tool'!Z90="","",'Financial Planning Tool'!Z90)</f>
        <v/>
      </c>
      <c r="AQ391" s="221"/>
      <c r="AR391" s="221"/>
      <c r="AS391" s="221"/>
      <c r="AT391" s="221"/>
      <c r="AU391" s="221"/>
      <c r="AV391" s="221"/>
      <c r="AW391" s="222"/>
      <c r="AX391" s="220" t="str">
        <f>IF('Financial Planning Tool'!AA90="","",'Financial Planning Tool'!AA90)</f>
        <v/>
      </c>
      <c r="AY391" s="221"/>
      <c r="AZ391" s="221"/>
      <c r="BA391" s="221"/>
      <c r="BB391" s="221"/>
      <c r="BC391" s="221"/>
      <c r="BD391" s="221"/>
      <c r="BE391" s="222"/>
      <c r="BF391" s="220">
        <f>'Financial Planning Tool'!AB90</f>
        <v>7984085.9199999999</v>
      </c>
      <c r="BG391" s="221"/>
      <c r="BH391" s="221"/>
      <c r="BI391" s="221"/>
      <c r="BJ391" s="221"/>
      <c r="BK391" s="221"/>
      <c r="BL391" s="221"/>
      <c r="BM391" s="222"/>
      <c r="BN391" s="220">
        <f>'Financial Planning Tool'!AC90</f>
        <v>1945472.01</v>
      </c>
      <c r="BO391" s="221"/>
      <c r="BP391" s="221"/>
      <c r="BQ391" s="221"/>
      <c r="BR391" s="221"/>
      <c r="BS391" s="221"/>
      <c r="BT391" s="221"/>
      <c r="BU391" s="222"/>
    </row>
    <row r="392" spans="2:73" x14ac:dyDescent="0.25">
      <c r="B392" s="215">
        <f ca="1">'Financial Planning Tool'!T91</f>
        <v>59140</v>
      </c>
      <c r="C392" s="216"/>
      <c r="D392" s="216"/>
      <c r="E392" s="217"/>
      <c r="F392" s="218">
        <f ca="1">'Financial Planning Tool'!U91</f>
        <v>91</v>
      </c>
      <c r="G392" s="186"/>
      <c r="H392" s="186"/>
      <c r="I392" s="219"/>
      <c r="J392" s="220" t="str">
        <f>IF('Financial Planning Tool'!V91="","",'Financial Planning Tool'!V91)</f>
        <v/>
      </c>
      <c r="K392" s="221"/>
      <c r="L392" s="221"/>
      <c r="M392" s="221"/>
      <c r="N392" s="221"/>
      <c r="O392" s="221"/>
      <c r="P392" s="221"/>
      <c r="Q392" s="222"/>
      <c r="R392" s="220" t="str">
        <f>IF('Financial Planning Tool'!W91="","",'Financial Planning Tool'!W91)</f>
        <v/>
      </c>
      <c r="S392" s="221"/>
      <c r="T392" s="221"/>
      <c r="U392" s="221"/>
      <c r="V392" s="221"/>
      <c r="W392" s="221"/>
      <c r="X392" s="221"/>
      <c r="Y392" s="222"/>
      <c r="Z392" s="220" t="str">
        <f>IF('Financial Planning Tool'!X91="","",'Financial Planning Tool'!X91)</f>
        <v/>
      </c>
      <c r="AA392" s="221"/>
      <c r="AB392" s="221"/>
      <c r="AC392" s="221"/>
      <c r="AD392" s="221"/>
      <c r="AE392" s="221"/>
      <c r="AF392" s="221"/>
      <c r="AG392" s="222"/>
      <c r="AH392" s="220" t="str">
        <f>IF('Financial Planning Tool'!Y91="","",'Financial Planning Tool'!Y91)</f>
        <v/>
      </c>
      <c r="AI392" s="221"/>
      <c r="AJ392" s="221"/>
      <c r="AK392" s="221"/>
      <c r="AL392" s="221"/>
      <c r="AM392" s="221"/>
      <c r="AN392" s="221"/>
      <c r="AO392" s="222"/>
      <c r="AP392" s="220" t="str">
        <f>IF('Financial Planning Tool'!Z91="","",'Financial Planning Tool'!Z91)</f>
        <v/>
      </c>
      <c r="AQ392" s="221"/>
      <c r="AR392" s="221"/>
      <c r="AS392" s="221"/>
      <c r="AT392" s="221"/>
      <c r="AU392" s="221"/>
      <c r="AV392" s="221"/>
      <c r="AW392" s="222"/>
      <c r="AX392" s="220" t="str">
        <f>IF('Financial Planning Tool'!AA91="","",'Financial Planning Tool'!AA91)</f>
        <v/>
      </c>
      <c r="AY392" s="221"/>
      <c r="AZ392" s="221"/>
      <c r="BA392" s="221"/>
      <c r="BB392" s="221"/>
      <c r="BC392" s="221"/>
      <c r="BD392" s="221"/>
      <c r="BE392" s="222"/>
      <c r="BF392" s="220">
        <f>'Financial Planning Tool'!AB91</f>
        <v>8622812.7899999991</v>
      </c>
      <c r="BG392" s="221"/>
      <c r="BH392" s="221"/>
      <c r="BI392" s="221"/>
      <c r="BJ392" s="221"/>
      <c r="BK392" s="221"/>
      <c r="BL392" s="221"/>
      <c r="BM392" s="222"/>
      <c r="BN392" s="220">
        <f>'Financial Planning Tool'!AC91</f>
        <v>2020297.86</v>
      </c>
      <c r="BO392" s="221"/>
      <c r="BP392" s="221"/>
      <c r="BQ392" s="221"/>
      <c r="BR392" s="221"/>
      <c r="BS392" s="221"/>
      <c r="BT392" s="221"/>
      <c r="BU392" s="222"/>
    </row>
    <row r="393" spans="2:73" x14ac:dyDescent="0.25">
      <c r="B393" s="215">
        <f ca="1">'Financial Planning Tool'!T92</f>
        <v>59505</v>
      </c>
      <c r="C393" s="216"/>
      <c r="D393" s="216"/>
      <c r="E393" s="217"/>
      <c r="F393" s="218">
        <f ca="1">'Financial Planning Tool'!U92</f>
        <v>92</v>
      </c>
      <c r="G393" s="186"/>
      <c r="H393" s="186"/>
      <c r="I393" s="219"/>
      <c r="J393" s="220" t="str">
        <f>IF('Financial Planning Tool'!V92="","",'Financial Planning Tool'!V92)</f>
        <v/>
      </c>
      <c r="K393" s="221"/>
      <c r="L393" s="221"/>
      <c r="M393" s="221"/>
      <c r="N393" s="221"/>
      <c r="O393" s="221"/>
      <c r="P393" s="221"/>
      <c r="Q393" s="222"/>
      <c r="R393" s="220" t="str">
        <f>IF('Financial Planning Tool'!W92="","",'Financial Planning Tool'!W92)</f>
        <v/>
      </c>
      <c r="S393" s="221"/>
      <c r="T393" s="221"/>
      <c r="U393" s="221"/>
      <c r="V393" s="221"/>
      <c r="W393" s="221"/>
      <c r="X393" s="221"/>
      <c r="Y393" s="222"/>
      <c r="Z393" s="220" t="str">
        <f>IF('Financial Planning Tool'!X92="","",'Financial Planning Tool'!X92)</f>
        <v/>
      </c>
      <c r="AA393" s="221"/>
      <c r="AB393" s="221"/>
      <c r="AC393" s="221"/>
      <c r="AD393" s="221"/>
      <c r="AE393" s="221"/>
      <c r="AF393" s="221"/>
      <c r="AG393" s="222"/>
      <c r="AH393" s="220" t="str">
        <f>IF('Financial Planning Tool'!Y92="","",'Financial Planning Tool'!Y92)</f>
        <v/>
      </c>
      <c r="AI393" s="221"/>
      <c r="AJ393" s="221"/>
      <c r="AK393" s="221"/>
      <c r="AL393" s="221"/>
      <c r="AM393" s="221"/>
      <c r="AN393" s="221"/>
      <c r="AO393" s="222"/>
      <c r="AP393" s="220" t="str">
        <f>IF('Financial Planning Tool'!Z92="","",'Financial Planning Tool'!Z92)</f>
        <v/>
      </c>
      <c r="AQ393" s="221"/>
      <c r="AR393" s="221"/>
      <c r="AS393" s="221"/>
      <c r="AT393" s="221"/>
      <c r="AU393" s="221"/>
      <c r="AV393" s="221"/>
      <c r="AW393" s="222"/>
      <c r="AX393" s="220" t="str">
        <f>IF('Financial Planning Tool'!AA92="","",'Financial Planning Tool'!AA92)</f>
        <v/>
      </c>
      <c r="AY393" s="221"/>
      <c r="AZ393" s="221"/>
      <c r="BA393" s="221"/>
      <c r="BB393" s="221"/>
      <c r="BC393" s="221"/>
      <c r="BD393" s="221"/>
      <c r="BE393" s="222"/>
      <c r="BF393" s="220">
        <f>'Financial Planning Tool'!AB92</f>
        <v>9312637.8200000003</v>
      </c>
      <c r="BG393" s="221"/>
      <c r="BH393" s="221"/>
      <c r="BI393" s="221"/>
      <c r="BJ393" s="221"/>
      <c r="BK393" s="221"/>
      <c r="BL393" s="221"/>
      <c r="BM393" s="222"/>
      <c r="BN393" s="220">
        <f>'Financial Planning Tool'!AC92</f>
        <v>2098001.62</v>
      </c>
      <c r="BO393" s="221"/>
      <c r="BP393" s="221"/>
      <c r="BQ393" s="221"/>
      <c r="BR393" s="221"/>
      <c r="BS393" s="221"/>
      <c r="BT393" s="221"/>
      <c r="BU393" s="222"/>
    </row>
    <row r="394" spans="2:73" x14ac:dyDescent="0.25">
      <c r="B394" s="215">
        <f ca="1">'Financial Planning Tool'!T93</f>
        <v>59870</v>
      </c>
      <c r="C394" s="216"/>
      <c r="D394" s="216"/>
      <c r="E394" s="217"/>
      <c r="F394" s="218">
        <f ca="1">'Financial Planning Tool'!U93</f>
        <v>93</v>
      </c>
      <c r="G394" s="186"/>
      <c r="H394" s="186"/>
      <c r="I394" s="219"/>
      <c r="J394" s="220" t="str">
        <f>IF('Financial Planning Tool'!V93="","",'Financial Planning Tool'!V93)</f>
        <v/>
      </c>
      <c r="K394" s="221"/>
      <c r="L394" s="221"/>
      <c r="M394" s="221"/>
      <c r="N394" s="221"/>
      <c r="O394" s="221"/>
      <c r="P394" s="221"/>
      <c r="Q394" s="222"/>
      <c r="R394" s="220" t="str">
        <f>IF('Financial Planning Tool'!W93="","",'Financial Planning Tool'!W93)</f>
        <v/>
      </c>
      <c r="S394" s="221"/>
      <c r="T394" s="221"/>
      <c r="U394" s="221"/>
      <c r="V394" s="221"/>
      <c r="W394" s="221"/>
      <c r="X394" s="221"/>
      <c r="Y394" s="222"/>
      <c r="Z394" s="220" t="str">
        <f>IF('Financial Planning Tool'!X93="","",'Financial Planning Tool'!X93)</f>
        <v/>
      </c>
      <c r="AA394" s="221"/>
      <c r="AB394" s="221"/>
      <c r="AC394" s="221"/>
      <c r="AD394" s="221"/>
      <c r="AE394" s="221"/>
      <c r="AF394" s="221"/>
      <c r="AG394" s="222"/>
      <c r="AH394" s="220" t="str">
        <f>IF('Financial Planning Tool'!Y93="","",'Financial Planning Tool'!Y93)</f>
        <v/>
      </c>
      <c r="AI394" s="221"/>
      <c r="AJ394" s="221"/>
      <c r="AK394" s="221"/>
      <c r="AL394" s="221"/>
      <c r="AM394" s="221"/>
      <c r="AN394" s="221"/>
      <c r="AO394" s="222"/>
      <c r="AP394" s="220" t="str">
        <f>IF('Financial Planning Tool'!Z93="","",'Financial Planning Tool'!Z93)</f>
        <v/>
      </c>
      <c r="AQ394" s="221"/>
      <c r="AR394" s="221"/>
      <c r="AS394" s="221"/>
      <c r="AT394" s="221"/>
      <c r="AU394" s="221"/>
      <c r="AV394" s="221"/>
      <c r="AW394" s="222"/>
      <c r="AX394" s="220" t="str">
        <f>IF('Financial Planning Tool'!AA93="","",'Financial Planning Tool'!AA93)</f>
        <v/>
      </c>
      <c r="AY394" s="221"/>
      <c r="AZ394" s="221"/>
      <c r="BA394" s="221"/>
      <c r="BB394" s="221"/>
      <c r="BC394" s="221"/>
      <c r="BD394" s="221"/>
      <c r="BE394" s="222"/>
      <c r="BF394" s="220">
        <f>'Financial Planning Tool'!AB93</f>
        <v>10057648.84</v>
      </c>
      <c r="BG394" s="221"/>
      <c r="BH394" s="221"/>
      <c r="BI394" s="221"/>
      <c r="BJ394" s="221"/>
      <c r="BK394" s="221"/>
      <c r="BL394" s="221"/>
      <c r="BM394" s="222"/>
      <c r="BN394" s="220">
        <f>'Financial Planning Tool'!AC93</f>
        <v>2178693.9900000002</v>
      </c>
      <c r="BO394" s="221"/>
      <c r="BP394" s="221"/>
      <c r="BQ394" s="221"/>
      <c r="BR394" s="221"/>
      <c r="BS394" s="221"/>
      <c r="BT394" s="221"/>
      <c r="BU394" s="222"/>
    </row>
    <row r="395" spans="2:73" x14ac:dyDescent="0.25">
      <c r="B395" s="215">
        <f ca="1">'Financial Planning Tool'!T94</f>
        <v>60236</v>
      </c>
      <c r="C395" s="216"/>
      <c r="D395" s="216"/>
      <c r="E395" s="217"/>
      <c r="F395" s="218">
        <f ca="1">'Financial Planning Tool'!U94</f>
        <v>94</v>
      </c>
      <c r="G395" s="186"/>
      <c r="H395" s="186"/>
      <c r="I395" s="219"/>
      <c r="J395" s="220" t="str">
        <f>IF('Financial Planning Tool'!V94="","",'Financial Planning Tool'!V94)</f>
        <v/>
      </c>
      <c r="K395" s="221"/>
      <c r="L395" s="221"/>
      <c r="M395" s="221"/>
      <c r="N395" s="221"/>
      <c r="O395" s="221"/>
      <c r="P395" s="221"/>
      <c r="Q395" s="222"/>
      <c r="R395" s="220" t="str">
        <f>IF('Financial Planning Tool'!W94="","",'Financial Planning Tool'!W94)</f>
        <v/>
      </c>
      <c r="S395" s="221"/>
      <c r="T395" s="221"/>
      <c r="U395" s="221"/>
      <c r="V395" s="221"/>
      <c r="W395" s="221"/>
      <c r="X395" s="221"/>
      <c r="Y395" s="222"/>
      <c r="Z395" s="220" t="str">
        <f>IF('Financial Planning Tool'!X94="","",'Financial Planning Tool'!X94)</f>
        <v/>
      </c>
      <c r="AA395" s="221"/>
      <c r="AB395" s="221"/>
      <c r="AC395" s="221"/>
      <c r="AD395" s="221"/>
      <c r="AE395" s="221"/>
      <c r="AF395" s="221"/>
      <c r="AG395" s="222"/>
      <c r="AH395" s="220" t="str">
        <f>IF('Financial Planning Tool'!Y94="","",'Financial Planning Tool'!Y94)</f>
        <v/>
      </c>
      <c r="AI395" s="221"/>
      <c r="AJ395" s="221"/>
      <c r="AK395" s="221"/>
      <c r="AL395" s="221"/>
      <c r="AM395" s="221"/>
      <c r="AN395" s="221"/>
      <c r="AO395" s="222"/>
      <c r="AP395" s="220" t="str">
        <f>IF('Financial Planning Tool'!Z94="","",'Financial Planning Tool'!Z94)</f>
        <v/>
      </c>
      <c r="AQ395" s="221"/>
      <c r="AR395" s="221"/>
      <c r="AS395" s="221"/>
      <c r="AT395" s="221"/>
      <c r="AU395" s="221"/>
      <c r="AV395" s="221"/>
      <c r="AW395" s="222"/>
      <c r="AX395" s="220" t="str">
        <f>IF('Financial Planning Tool'!AA94="","",'Financial Planning Tool'!AA94)</f>
        <v/>
      </c>
      <c r="AY395" s="221"/>
      <c r="AZ395" s="221"/>
      <c r="BA395" s="221"/>
      <c r="BB395" s="221"/>
      <c r="BC395" s="221"/>
      <c r="BD395" s="221"/>
      <c r="BE395" s="222"/>
      <c r="BF395" s="220">
        <f>'Financial Planning Tool'!AB94</f>
        <v>10862260.75</v>
      </c>
      <c r="BG395" s="221"/>
      <c r="BH395" s="221"/>
      <c r="BI395" s="221"/>
      <c r="BJ395" s="221"/>
      <c r="BK395" s="221"/>
      <c r="BL395" s="221"/>
      <c r="BM395" s="222"/>
      <c r="BN395" s="220">
        <f>'Financial Planning Tool'!AC94</f>
        <v>2262489.91</v>
      </c>
      <c r="BO395" s="221"/>
      <c r="BP395" s="221"/>
      <c r="BQ395" s="221"/>
      <c r="BR395" s="221"/>
      <c r="BS395" s="221"/>
      <c r="BT395" s="221"/>
      <c r="BU395" s="222"/>
    </row>
    <row r="396" spans="2:73" x14ac:dyDescent="0.25">
      <c r="B396" s="215">
        <f ca="1">'Financial Planning Tool'!T95</f>
        <v>60601</v>
      </c>
      <c r="C396" s="216"/>
      <c r="D396" s="216"/>
      <c r="E396" s="217"/>
      <c r="F396" s="218">
        <f ca="1">'Financial Planning Tool'!U95</f>
        <v>95</v>
      </c>
      <c r="G396" s="186"/>
      <c r="H396" s="186"/>
      <c r="I396" s="219"/>
      <c r="J396" s="220" t="str">
        <f>IF('Financial Planning Tool'!V95="","",'Financial Planning Tool'!V95)</f>
        <v/>
      </c>
      <c r="K396" s="221"/>
      <c r="L396" s="221"/>
      <c r="M396" s="221"/>
      <c r="N396" s="221"/>
      <c r="O396" s="221"/>
      <c r="P396" s="221"/>
      <c r="Q396" s="222"/>
      <c r="R396" s="220" t="str">
        <f>IF('Financial Planning Tool'!W95="","",'Financial Planning Tool'!W95)</f>
        <v/>
      </c>
      <c r="S396" s="221"/>
      <c r="T396" s="221"/>
      <c r="U396" s="221"/>
      <c r="V396" s="221"/>
      <c r="W396" s="221"/>
      <c r="X396" s="221"/>
      <c r="Y396" s="222"/>
      <c r="Z396" s="220" t="str">
        <f>IF('Financial Planning Tool'!X95="","",'Financial Planning Tool'!X95)</f>
        <v/>
      </c>
      <c r="AA396" s="221"/>
      <c r="AB396" s="221"/>
      <c r="AC396" s="221"/>
      <c r="AD396" s="221"/>
      <c r="AE396" s="221"/>
      <c r="AF396" s="221"/>
      <c r="AG396" s="222"/>
      <c r="AH396" s="220" t="str">
        <f>IF('Financial Planning Tool'!Y95="","",'Financial Planning Tool'!Y95)</f>
        <v/>
      </c>
      <c r="AI396" s="221"/>
      <c r="AJ396" s="221"/>
      <c r="AK396" s="221"/>
      <c r="AL396" s="221"/>
      <c r="AM396" s="221"/>
      <c r="AN396" s="221"/>
      <c r="AO396" s="222"/>
      <c r="AP396" s="220" t="str">
        <f>IF('Financial Planning Tool'!Z95="","",'Financial Planning Tool'!Z95)</f>
        <v/>
      </c>
      <c r="AQ396" s="221"/>
      <c r="AR396" s="221"/>
      <c r="AS396" s="221"/>
      <c r="AT396" s="221"/>
      <c r="AU396" s="221"/>
      <c r="AV396" s="221"/>
      <c r="AW396" s="222"/>
      <c r="AX396" s="220" t="str">
        <f>IF('Financial Planning Tool'!AA95="","",'Financial Planning Tool'!AA95)</f>
        <v/>
      </c>
      <c r="AY396" s="221"/>
      <c r="AZ396" s="221"/>
      <c r="BA396" s="221"/>
      <c r="BB396" s="221"/>
      <c r="BC396" s="221"/>
      <c r="BD396" s="221"/>
      <c r="BE396" s="222"/>
      <c r="BF396" s="220">
        <f>'Financial Planning Tool'!AB95</f>
        <v>11731241.609999999</v>
      </c>
      <c r="BG396" s="221"/>
      <c r="BH396" s="221"/>
      <c r="BI396" s="221"/>
      <c r="BJ396" s="221"/>
      <c r="BK396" s="221"/>
      <c r="BL396" s="221"/>
      <c r="BM396" s="222"/>
      <c r="BN396" s="220">
        <f>'Financial Planning Tool'!AC95</f>
        <v>2349508.7599999998</v>
      </c>
      <c r="BO396" s="221"/>
      <c r="BP396" s="221"/>
      <c r="BQ396" s="221"/>
      <c r="BR396" s="221"/>
      <c r="BS396" s="221"/>
      <c r="BT396" s="221"/>
      <c r="BU396" s="222"/>
    </row>
    <row r="397" spans="2:73" x14ac:dyDescent="0.25">
      <c r="B397" s="215">
        <f ca="1">'Financial Planning Tool'!T96</f>
        <v>60966</v>
      </c>
      <c r="C397" s="216"/>
      <c r="D397" s="216"/>
      <c r="E397" s="217"/>
      <c r="F397" s="218">
        <f ca="1">'Financial Planning Tool'!U96</f>
        <v>96</v>
      </c>
      <c r="G397" s="186"/>
      <c r="H397" s="186"/>
      <c r="I397" s="219"/>
      <c r="J397" s="220" t="str">
        <f>IF('Financial Planning Tool'!V96="","",'Financial Planning Tool'!V96)</f>
        <v/>
      </c>
      <c r="K397" s="221"/>
      <c r="L397" s="221"/>
      <c r="M397" s="221"/>
      <c r="N397" s="221"/>
      <c r="O397" s="221"/>
      <c r="P397" s="221"/>
      <c r="Q397" s="222"/>
      <c r="R397" s="220" t="str">
        <f>IF('Financial Planning Tool'!W96="","",'Financial Planning Tool'!W96)</f>
        <v/>
      </c>
      <c r="S397" s="221"/>
      <c r="T397" s="221"/>
      <c r="U397" s="221"/>
      <c r="V397" s="221"/>
      <c r="W397" s="221"/>
      <c r="X397" s="221"/>
      <c r="Y397" s="222"/>
      <c r="Z397" s="220" t="str">
        <f>IF('Financial Planning Tool'!X96="","",'Financial Planning Tool'!X96)</f>
        <v/>
      </c>
      <c r="AA397" s="221"/>
      <c r="AB397" s="221"/>
      <c r="AC397" s="221"/>
      <c r="AD397" s="221"/>
      <c r="AE397" s="221"/>
      <c r="AF397" s="221"/>
      <c r="AG397" s="222"/>
      <c r="AH397" s="220" t="str">
        <f>IF('Financial Planning Tool'!Y96="","",'Financial Planning Tool'!Y96)</f>
        <v/>
      </c>
      <c r="AI397" s="221"/>
      <c r="AJ397" s="221"/>
      <c r="AK397" s="221"/>
      <c r="AL397" s="221"/>
      <c r="AM397" s="221"/>
      <c r="AN397" s="221"/>
      <c r="AO397" s="222"/>
      <c r="AP397" s="220" t="str">
        <f>IF('Financial Planning Tool'!Z96="","",'Financial Planning Tool'!Z96)</f>
        <v/>
      </c>
      <c r="AQ397" s="221"/>
      <c r="AR397" s="221"/>
      <c r="AS397" s="221"/>
      <c r="AT397" s="221"/>
      <c r="AU397" s="221"/>
      <c r="AV397" s="221"/>
      <c r="AW397" s="222"/>
      <c r="AX397" s="220" t="str">
        <f>IF('Financial Planning Tool'!AA96="","",'Financial Planning Tool'!AA96)</f>
        <v/>
      </c>
      <c r="AY397" s="221"/>
      <c r="AZ397" s="221"/>
      <c r="BA397" s="221"/>
      <c r="BB397" s="221"/>
      <c r="BC397" s="221"/>
      <c r="BD397" s="221"/>
      <c r="BE397" s="222"/>
      <c r="BF397" s="220">
        <f>'Financial Planning Tool'!AB96</f>
        <v>12669740.939999999</v>
      </c>
      <c r="BG397" s="221"/>
      <c r="BH397" s="221"/>
      <c r="BI397" s="221"/>
      <c r="BJ397" s="221"/>
      <c r="BK397" s="221"/>
      <c r="BL397" s="221"/>
      <c r="BM397" s="222"/>
      <c r="BN397" s="220">
        <f>'Financial Planning Tool'!AC96</f>
        <v>2439874.48</v>
      </c>
      <c r="BO397" s="221"/>
      <c r="BP397" s="221"/>
      <c r="BQ397" s="221"/>
      <c r="BR397" s="221"/>
      <c r="BS397" s="221"/>
      <c r="BT397" s="221"/>
      <c r="BU397" s="222"/>
    </row>
    <row r="398" spans="2:73" x14ac:dyDescent="0.25">
      <c r="B398" s="215">
        <f ca="1">'Financial Planning Tool'!T97</f>
        <v>61331</v>
      </c>
      <c r="C398" s="216"/>
      <c r="D398" s="216"/>
      <c r="E398" s="217"/>
      <c r="F398" s="218">
        <f ca="1">'Financial Planning Tool'!U97</f>
        <v>97</v>
      </c>
      <c r="G398" s="186"/>
      <c r="H398" s="186"/>
      <c r="I398" s="219"/>
      <c r="J398" s="220" t="str">
        <f>IF('Financial Planning Tool'!V97="","",'Financial Planning Tool'!V97)</f>
        <v/>
      </c>
      <c r="K398" s="221"/>
      <c r="L398" s="221"/>
      <c r="M398" s="221"/>
      <c r="N398" s="221"/>
      <c r="O398" s="221"/>
      <c r="P398" s="221"/>
      <c r="Q398" s="222"/>
      <c r="R398" s="220" t="str">
        <f>IF('Financial Planning Tool'!W97="","",'Financial Planning Tool'!W97)</f>
        <v/>
      </c>
      <c r="S398" s="221"/>
      <c r="T398" s="221"/>
      <c r="U398" s="221"/>
      <c r="V398" s="221"/>
      <c r="W398" s="221"/>
      <c r="X398" s="221"/>
      <c r="Y398" s="222"/>
      <c r="Z398" s="220" t="str">
        <f>IF('Financial Planning Tool'!X97="","",'Financial Planning Tool'!X97)</f>
        <v/>
      </c>
      <c r="AA398" s="221"/>
      <c r="AB398" s="221"/>
      <c r="AC398" s="221"/>
      <c r="AD398" s="221"/>
      <c r="AE398" s="221"/>
      <c r="AF398" s="221"/>
      <c r="AG398" s="222"/>
      <c r="AH398" s="220" t="str">
        <f>IF('Financial Planning Tool'!Y97="","",'Financial Planning Tool'!Y97)</f>
        <v/>
      </c>
      <c r="AI398" s="221"/>
      <c r="AJ398" s="221"/>
      <c r="AK398" s="221"/>
      <c r="AL398" s="221"/>
      <c r="AM398" s="221"/>
      <c r="AN398" s="221"/>
      <c r="AO398" s="222"/>
      <c r="AP398" s="220" t="str">
        <f>IF('Financial Planning Tool'!Z97="","",'Financial Planning Tool'!Z97)</f>
        <v/>
      </c>
      <c r="AQ398" s="221"/>
      <c r="AR398" s="221"/>
      <c r="AS398" s="221"/>
      <c r="AT398" s="221"/>
      <c r="AU398" s="221"/>
      <c r="AV398" s="221"/>
      <c r="AW398" s="222"/>
      <c r="AX398" s="220" t="str">
        <f>IF('Financial Planning Tool'!AA97="","",'Financial Planning Tool'!AA97)</f>
        <v/>
      </c>
      <c r="AY398" s="221"/>
      <c r="AZ398" s="221"/>
      <c r="BA398" s="221"/>
      <c r="BB398" s="221"/>
      <c r="BC398" s="221"/>
      <c r="BD398" s="221"/>
      <c r="BE398" s="222"/>
      <c r="BF398" s="220">
        <f>'Financial Planning Tool'!AB97</f>
        <v>13683320.210000001</v>
      </c>
      <c r="BG398" s="221"/>
      <c r="BH398" s="221"/>
      <c r="BI398" s="221"/>
      <c r="BJ398" s="221"/>
      <c r="BK398" s="221"/>
      <c r="BL398" s="221"/>
      <c r="BM398" s="222"/>
      <c r="BN398" s="220">
        <f>'Financial Planning Tool'!AC97</f>
        <v>2533715.7999999998</v>
      </c>
      <c r="BO398" s="221"/>
      <c r="BP398" s="221"/>
      <c r="BQ398" s="221"/>
      <c r="BR398" s="221"/>
      <c r="BS398" s="221"/>
      <c r="BT398" s="221"/>
      <c r="BU398" s="222"/>
    </row>
    <row r="399" spans="2:73" x14ac:dyDescent="0.25">
      <c r="B399" s="215">
        <f ca="1">'Financial Planning Tool'!T98</f>
        <v>61697</v>
      </c>
      <c r="C399" s="216"/>
      <c r="D399" s="216"/>
      <c r="E399" s="217"/>
      <c r="F399" s="218">
        <f ca="1">'Financial Planning Tool'!U98</f>
        <v>98</v>
      </c>
      <c r="G399" s="186"/>
      <c r="H399" s="186"/>
      <c r="I399" s="219"/>
      <c r="J399" s="220" t="str">
        <f>IF('Financial Planning Tool'!V98="","",'Financial Planning Tool'!V98)</f>
        <v/>
      </c>
      <c r="K399" s="221"/>
      <c r="L399" s="221"/>
      <c r="M399" s="221"/>
      <c r="N399" s="221"/>
      <c r="O399" s="221"/>
      <c r="P399" s="221"/>
      <c r="Q399" s="222"/>
      <c r="R399" s="220" t="str">
        <f>IF('Financial Planning Tool'!W98="","",'Financial Planning Tool'!W98)</f>
        <v/>
      </c>
      <c r="S399" s="221"/>
      <c r="T399" s="221"/>
      <c r="U399" s="221"/>
      <c r="V399" s="221"/>
      <c r="W399" s="221"/>
      <c r="X399" s="221"/>
      <c r="Y399" s="222"/>
      <c r="Z399" s="220" t="str">
        <f>IF('Financial Planning Tool'!X98="","",'Financial Planning Tool'!X98)</f>
        <v/>
      </c>
      <c r="AA399" s="221"/>
      <c r="AB399" s="221"/>
      <c r="AC399" s="221"/>
      <c r="AD399" s="221"/>
      <c r="AE399" s="221"/>
      <c r="AF399" s="221"/>
      <c r="AG399" s="222"/>
      <c r="AH399" s="220" t="str">
        <f>IF('Financial Planning Tool'!Y98="","",'Financial Planning Tool'!Y98)</f>
        <v/>
      </c>
      <c r="AI399" s="221"/>
      <c r="AJ399" s="221"/>
      <c r="AK399" s="221"/>
      <c r="AL399" s="221"/>
      <c r="AM399" s="221"/>
      <c r="AN399" s="221"/>
      <c r="AO399" s="222"/>
      <c r="AP399" s="220" t="str">
        <f>IF('Financial Planning Tool'!Z98="","",'Financial Planning Tool'!Z98)</f>
        <v/>
      </c>
      <c r="AQ399" s="221"/>
      <c r="AR399" s="221"/>
      <c r="AS399" s="221"/>
      <c r="AT399" s="221"/>
      <c r="AU399" s="221"/>
      <c r="AV399" s="221"/>
      <c r="AW399" s="222"/>
      <c r="AX399" s="220" t="str">
        <f>IF('Financial Planning Tool'!AA98="","",'Financial Planning Tool'!AA98)</f>
        <v/>
      </c>
      <c r="AY399" s="221"/>
      <c r="AZ399" s="221"/>
      <c r="BA399" s="221"/>
      <c r="BB399" s="221"/>
      <c r="BC399" s="221"/>
      <c r="BD399" s="221"/>
      <c r="BE399" s="222"/>
      <c r="BF399" s="220">
        <f>'Financial Planning Tool'!AB98</f>
        <v>14777985.83</v>
      </c>
      <c r="BG399" s="221"/>
      <c r="BH399" s="221"/>
      <c r="BI399" s="221"/>
      <c r="BJ399" s="221"/>
      <c r="BK399" s="221"/>
      <c r="BL399" s="221"/>
      <c r="BM399" s="222"/>
      <c r="BN399" s="220">
        <f>'Financial Planning Tool'!AC98</f>
        <v>2631166.41</v>
      </c>
      <c r="BO399" s="221"/>
      <c r="BP399" s="221"/>
      <c r="BQ399" s="221"/>
      <c r="BR399" s="221"/>
      <c r="BS399" s="221"/>
      <c r="BT399" s="221"/>
      <c r="BU399" s="222"/>
    </row>
    <row r="400" spans="2:73" x14ac:dyDescent="0.25">
      <c r="B400" s="215">
        <f ca="1">'Financial Planning Tool'!T99</f>
        <v>62062</v>
      </c>
      <c r="C400" s="216"/>
      <c r="D400" s="216"/>
      <c r="E400" s="217"/>
      <c r="F400" s="218">
        <f ca="1">'Financial Planning Tool'!U99</f>
        <v>99</v>
      </c>
      <c r="G400" s="186"/>
      <c r="H400" s="186"/>
      <c r="I400" s="219"/>
      <c r="J400" s="220" t="str">
        <f>IF('Financial Planning Tool'!V99="","",'Financial Planning Tool'!V99)</f>
        <v/>
      </c>
      <c r="K400" s="221"/>
      <c r="L400" s="221"/>
      <c r="M400" s="221"/>
      <c r="N400" s="221"/>
      <c r="O400" s="221"/>
      <c r="P400" s="221"/>
      <c r="Q400" s="222"/>
      <c r="R400" s="220" t="str">
        <f>IF('Financial Planning Tool'!W99="","",'Financial Planning Tool'!W99)</f>
        <v/>
      </c>
      <c r="S400" s="221"/>
      <c r="T400" s="221"/>
      <c r="U400" s="221"/>
      <c r="V400" s="221"/>
      <c r="W400" s="221"/>
      <c r="X400" s="221"/>
      <c r="Y400" s="222"/>
      <c r="Z400" s="220" t="str">
        <f>IF('Financial Planning Tool'!X99="","",'Financial Planning Tool'!X99)</f>
        <v/>
      </c>
      <c r="AA400" s="221"/>
      <c r="AB400" s="221"/>
      <c r="AC400" s="221"/>
      <c r="AD400" s="221"/>
      <c r="AE400" s="221"/>
      <c r="AF400" s="221"/>
      <c r="AG400" s="222"/>
      <c r="AH400" s="220" t="str">
        <f>IF('Financial Planning Tool'!Y99="","",'Financial Planning Tool'!Y99)</f>
        <v/>
      </c>
      <c r="AI400" s="221"/>
      <c r="AJ400" s="221"/>
      <c r="AK400" s="221"/>
      <c r="AL400" s="221"/>
      <c r="AM400" s="221"/>
      <c r="AN400" s="221"/>
      <c r="AO400" s="222"/>
      <c r="AP400" s="220" t="str">
        <f>IF('Financial Planning Tool'!Z99="","",'Financial Planning Tool'!Z99)</f>
        <v/>
      </c>
      <c r="AQ400" s="221"/>
      <c r="AR400" s="221"/>
      <c r="AS400" s="221"/>
      <c r="AT400" s="221"/>
      <c r="AU400" s="221"/>
      <c r="AV400" s="221"/>
      <c r="AW400" s="222"/>
      <c r="AX400" s="220" t="str">
        <f>IF('Financial Planning Tool'!AA99="","",'Financial Planning Tool'!AA99)</f>
        <v/>
      </c>
      <c r="AY400" s="221"/>
      <c r="AZ400" s="221"/>
      <c r="BA400" s="221"/>
      <c r="BB400" s="221"/>
      <c r="BC400" s="221"/>
      <c r="BD400" s="221"/>
      <c r="BE400" s="222"/>
      <c r="BF400" s="220">
        <f>'Financial Planning Tool'!AB99</f>
        <v>15960224.699999999</v>
      </c>
      <c r="BG400" s="221"/>
      <c r="BH400" s="221"/>
      <c r="BI400" s="221"/>
      <c r="BJ400" s="221"/>
      <c r="BK400" s="221"/>
      <c r="BL400" s="221"/>
      <c r="BM400" s="222"/>
      <c r="BN400" s="220">
        <f>'Financial Planning Tool'!AC99</f>
        <v>2732365.12</v>
      </c>
      <c r="BO400" s="221"/>
      <c r="BP400" s="221"/>
      <c r="BQ400" s="221"/>
      <c r="BR400" s="221"/>
      <c r="BS400" s="221"/>
      <c r="BT400" s="221"/>
      <c r="BU400" s="222"/>
    </row>
    <row r="401" spans="2:73" x14ac:dyDescent="0.25">
      <c r="B401" s="215">
        <f ca="1">'Financial Planning Tool'!T100</f>
        <v>62427</v>
      </c>
      <c r="C401" s="216"/>
      <c r="D401" s="216"/>
      <c r="E401" s="217"/>
      <c r="F401" s="218">
        <f ca="1">'Financial Planning Tool'!U100</f>
        <v>100</v>
      </c>
      <c r="G401" s="186"/>
      <c r="H401" s="186"/>
      <c r="I401" s="219"/>
      <c r="J401" s="220" t="str">
        <f>IF('Financial Planning Tool'!V100="","",'Financial Planning Tool'!V100)</f>
        <v/>
      </c>
      <c r="K401" s="221"/>
      <c r="L401" s="221"/>
      <c r="M401" s="221"/>
      <c r="N401" s="221"/>
      <c r="O401" s="221"/>
      <c r="P401" s="221"/>
      <c r="Q401" s="222"/>
      <c r="R401" s="220" t="str">
        <f>IF('Financial Planning Tool'!W100="","",'Financial Planning Tool'!W100)</f>
        <v/>
      </c>
      <c r="S401" s="221"/>
      <c r="T401" s="221"/>
      <c r="U401" s="221"/>
      <c r="V401" s="221"/>
      <c r="W401" s="221"/>
      <c r="X401" s="221"/>
      <c r="Y401" s="222"/>
      <c r="Z401" s="220" t="str">
        <f>IF('Financial Planning Tool'!X100="","",'Financial Planning Tool'!X100)</f>
        <v/>
      </c>
      <c r="AA401" s="221"/>
      <c r="AB401" s="221"/>
      <c r="AC401" s="221"/>
      <c r="AD401" s="221"/>
      <c r="AE401" s="221"/>
      <c r="AF401" s="221"/>
      <c r="AG401" s="222"/>
      <c r="AH401" s="220" t="str">
        <f>IF('Financial Planning Tool'!Y100="","",'Financial Planning Tool'!Y100)</f>
        <v/>
      </c>
      <c r="AI401" s="221"/>
      <c r="AJ401" s="221"/>
      <c r="AK401" s="221"/>
      <c r="AL401" s="221"/>
      <c r="AM401" s="221"/>
      <c r="AN401" s="221"/>
      <c r="AO401" s="222"/>
      <c r="AP401" s="220" t="str">
        <f>IF('Financial Planning Tool'!Z100="","",'Financial Planning Tool'!Z100)</f>
        <v/>
      </c>
      <c r="AQ401" s="221"/>
      <c r="AR401" s="221"/>
      <c r="AS401" s="221"/>
      <c r="AT401" s="221"/>
      <c r="AU401" s="221"/>
      <c r="AV401" s="221"/>
      <c r="AW401" s="222"/>
      <c r="AX401" s="220" t="str">
        <f>IF('Financial Planning Tool'!AA100="","",'Financial Planning Tool'!AA100)</f>
        <v/>
      </c>
      <c r="AY401" s="221"/>
      <c r="AZ401" s="221"/>
      <c r="BA401" s="221"/>
      <c r="BB401" s="221"/>
      <c r="BC401" s="221"/>
      <c r="BD401" s="221"/>
      <c r="BE401" s="222"/>
      <c r="BF401" s="220">
        <f>'Financial Planning Tool'!AB100</f>
        <v>17237042.670000002</v>
      </c>
      <c r="BG401" s="221"/>
      <c r="BH401" s="221"/>
      <c r="BI401" s="221"/>
      <c r="BJ401" s="221"/>
      <c r="BK401" s="221"/>
      <c r="BL401" s="221"/>
      <c r="BM401" s="222"/>
      <c r="BN401" s="220">
        <f>'Financial Planning Tool'!AC100</f>
        <v>2837456.09</v>
      </c>
      <c r="BO401" s="221"/>
      <c r="BP401" s="221"/>
      <c r="BQ401" s="221"/>
      <c r="BR401" s="221"/>
      <c r="BS401" s="221"/>
      <c r="BT401" s="221"/>
      <c r="BU401" s="222"/>
    </row>
    <row r="402" spans="2:73" x14ac:dyDescent="0.25">
      <c r="B402" s="215">
        <f ca="1">'Financial Planning Tool'!T101</f>
        <v>62792</v>
      </c>
      <c r="C402" s="216"/>
      <c r="D402" s="216"/>
      <c r="E402" s="217"/>
      <c r="F402" s="218">
        <f ca="1">'Financial Planning Tool'!U101</f>
        <v>101</v>
      </c>
      <c r="G402" s="186"/>
      <c r="H402" s="186"/>
      <c r="I402" s="219"/>
      <c r="J402" s="220" t="str">
        <f>IF('Financial Planning Tool'!V101="","",'Financial Planning Tool'!V101)</f>
        <v/>
      </c>
      <c r="K402" s="221"/>
      <c r="L402" s="221"/>
      <c r="M402" s="221"/>
      <c r="N402" s="221"/>
      <c r="O402" s="221"/>
      <c r="P402" s="221"/>
      <c r="Q402" s="222"/>
      <c r="R402" s="220" t="str">
        <f>IF('Financial Planning Tool'!W101="","",'Financial Planning Tool'!W101)</f>
        <v/>
      </c>
      <c r="S402" s="221"/>
      <c r="T402" s="221"/>
      <c r="U402" s="221"/>
      <c r="V402" s="221"/>
      <c r="W402" s="221"/>
      <c r="X402" s="221"/>
      <c r="Y402" s="222"/>
      <c r="Z402" s="220" t="str">
        <f>IF('Financial Planning Tool'!X101="","",'Financial Planning Tool'!X101)</f>
        <v/>
      </c>
      <c r="AA402" s="221"/>
      <c r="AB402" s="221"/>
      <c r="AC402" s="221"/>
      <c r="AD402" s="221"/>
      <c r="AE402" s="221"/>
      <c r="AF402" s="221"/>
      <c r="AG402" s="222"/>
      <c r="AH402" s="220" t="str">
        <f>IF('Financial Planning Tool'!Y101="","",'Financial Planning Tool'!Y101)</f>
        <v/>
      </c>
      <c r="AI402" s="221"/>
      <c r="AJ402" s="221"/>
      <c r="AK402" s="221"/>
      <c r="AL402" s="221"/>
      <c r="AM402" s="221"/>
      <c r="AN402" s="221"/>
      <c r="AO402" s="222"/>
      <c r="AP402" s="220" t="str">
        <f>IF('Financial Planning Tool'!Z101="","",'Financial Planning Tool'!Z101)</f>
        <v/>
      </c>
      <c r="AQ402" s="221"/>
      <c r="AR402" s="221"/>
      <c r="AS402" s="221"/>
      <c r="AT402" s="221"/>
      <c r="AU402" s="221"/>
      <c r="AV402" s="221"/>
      <c r="AW402" s="222"/>
      <c r="AX402" s="220" t="str">
        <f>IF('Financial Planning Tool'!AA101="","",'Financial Planning Tool'!AA101)</f>
        <v/>
      </c>
      <c r="AY402" s="221"/>
      <c r="AZ402" s="221"/>
      <c r="BA402" s="221"/>
      <c r="BB402" s="221"/>
      <c r="BC402" s="221"/>
      <c r="BD402" s="221"/>
      <c r="BE402" s="222"/>
      <c r="BF402" s="220">
        <f>'Financial Planning Tool'!AB101</f>
        <v>18616006.079999998</v>
      </c>
      <c r="BG402" s="221"/>
      <c r="BH402" s="221"/>
      <c r="BI402" s="221"/>
      <c r="BJ402" s="221"/>
      <c r="BK402" s="221"/>
      <c r="BL402" s="221"/>
      <c r="BM402" s="222"/>
      <c r="BN402" s="220">
        <f>'Financial Planning Tool'!AC101</f>
        <v>2946589.01</v>
      </c>
      <c r="BO402" s="221"/>
      <c r="BP402" s="221"/>
      <c r="BQ402" s="221"/>
      <c r="BR402" s="221"/>
      <c r="BS402" s="221"/>
      <c r="BT402" s="221"/>
      <c r="BU402" s="222"/>
    </row>
    <row r="403" spans="2:73" x14ac:dyDescent="0.25">
      <c r="B403" s="215">
        <f ca="1">'Financial Planning Tool'!T102</f>
        <v>63158</v>
      </c>
      <c r="C403" s="216"/>
      <c r="D403" s="216"/>
      <c r="E403" s="217"/>
      <c r="F403" s="218">
        <f ca="1">'Financial Planning Tool'!U102</f>
        <v>102</v>
      </c>
      <c r="G403" s="186"/>
      <c r="H403" s="186"/>
      <c r="I403" s="219"/>
      <c r="J403" s="220" t="str">
        <f>IF('Financial Planning Tool'!V102="","",'Financial Planning Tool'!V102)</f>
        <v/>
      </c>
      <c r="K403" s="221"/>
      <c r="L403" s="221"/>
      <c r="M403" s="221"/>
      <c r="N403" s="221"/>
      <c r="O403" s="221"/>
      <c r="P403" s="221"/>
      <c r="Q403" s="222"/>
      <c r="R403" s="220" t="str">
        <f>IF('Financial Planning Tool'!W102="","",'Financial Planning Tool'!W102)</f>
        <v/>
      </c>
      <c r="S403" s="221"/>
      <c r="T403" s="221"/>
      <c r="U403" s="221"/>
      <c r="V403" s="221"/>
      <c r="W403" s="221"/>
      <c r="X403" s="221"/>
      <c r="Y403" s="222"/>
      <c r="Z403" s="220" t="str">
        <f>IF('Financial Planning Tool'!X102="","",'Financial Planning Tool'!X102)</f>
        <v/>
      </c>
      <c r="AA403" s="221"/>
      <c r="AB403" s="221"/>
      <c r="AC403" s="221"/>
      <c r="AD403" s="221"/>
      <c r="AE403" s="221"/>
      <c r="AF403" s="221"/>
      <c r="AG403" s="222"/>
      <c r="AH403" s="220" t="str">
        <f>IF('Financial Planning Tool'!Y102="","",'Financial Planning Tool'!Y102)</f>
        <v/>
      </c>
      <c r="AI403" s="221"/>
      <c r="AJ403" s="221"/>
      <c r="AK403" s="221"/>
      <c r="AL403" s="221"/>
      <c r="AM403" s="221"/>
      <c r="AN403" s="221"/>
      <c r="AO403" s="222"/>
      <c r="AP403" s="220" t="str">
        <f>IF('Financial Planning Tool'!Z102="","",'Financial Planning Tool'!Z102)</f>
        <v/>
      </c>
      <c r="AQ403" s="221"/>
      <c r="AR403" s="221"/>
      <c r="AS403" s="221"/>
      <c r="AT403" s="221"/>
      <c r="AU403" s="221"/>
      <c r="AV403" s="221"/>
      <c r="AW403" s="222"/>
      <c r="AX403" s="220" t="str">
        <f>IF('Financial Planning Tool'!AA102="","",'Financial Planning Tool'!AA102)</f>
        <v/>
      </c>
      <c r="AY403" s="221"/>
      <c r="AZ403" s="221"/>
      <c r="BA403" s="221"/>
      <c r="BB403" s="221"/>
      <c r="BC403" s="221"/>
      <c r="BD403" s="221"/>
      <c r="BE403" s="222"/>
      <c r="BF403" s="220">
        <f>'Financial Planning Tool'!AB102</f>
        <v>20105286.57</v>
      </c>
      <c r="BG403" s="221"/>
      <c r="BH403" s="221"/>
      <c r="BI403" s="221"/>
      <c r="BJ403" s="221"/>
      <c r="BK403" s="221"/>
      <c r="BL403" s="221"/>
      <c r="BM403" s="222"/>
      <c r="BN403" s="220">
        <f>'Financial Planning Tool'!AC102</f>
        <v>3059919.36</v>
      </c>
      <c r="BO403" s="221"/>
      <c r="BP403" s="221"/>
      <c r="BQ403" s="221"/>
      <c r="BR403" s="221"/>
      <c r="BS403" s="221"/>
      <c r="BT403" s="221"/>
      <c r="BU403" s="222"/>
    </row>
    <row r="404" spans="2:73" x14ac:dyDescent="0.25">
      <c r="B404" s="215">
        <f ca="1">'Financial Planning Tool'!T103</f>
        <v>63523</v>
      </c>
      <c r="C404" s="216"/>
      <c r="D404" s="216"/>
      <c r="E404" s="217"/>
      <c r="F404" s="218">
        <f ca="1">'Financial Planning Tool'!U103</f>
        <v>103</v>
      </c>
      <c r="G404" s="186"/>
      <c r="H404" s="186"/>
      <c r="I404" s="219"/>
      <c r="J404" s="220" t="str">
        <f>IF('Financial Planning Tool'!V103="","",'Financial Planning Tool'!V103)</f>
        <v/>
      </c>
      <c r="K404" s="221"/>
      <c r="L404" s="221"/>
      <c r="M404" s="221"/>
      <c r="N404" s="221"/>
      <c r="O404" s="221"/>
      <c r="P404" s="221"/>
      <c r="Q404" s="222"/>
      <c r="R404" s="220" t="str">
        <f>IF('Financial Planning Tool'!W103="","",'Financial Planning Tool'!W103)</f>
        <v/>
      </c>
      <c r="S404" s="221"/>
      <c r="T404" s="221"/>
      <c r="U404" s="221"/>
      <c r="V404" s="221"/>
      <c r="W404" s="221"/>
      <c r="X404" s="221"/>
      <c r="Y404" s="222"/>
      <c r="Z404" s="220" t="str">
        <f>IF('Financial Planning Tool'!X103="","",'Financial Planning Tool'!X103)</f>
        <v/>
      </c>
      <c r="AA404" s="221"/>
      <c r="AB404" s="221"/>
      <c r="AC404" s="221"/>
      <c r="AD404" s="221"/>
      <c r="AE404" s="221"/>
      <c r="AF404" s="221"/>
      <c r="AG404" s="222"/>
      <c r="AH404" s="220" t="str">
        <f>IF('Financial Planning Tool'!Y103="","",'Financial Planning Tool'!Y103)</f>
        <v/>
      </c>
      <c r="AI404" s="221"/>
      <c r="AJ404" s="221"/>
      <c r="AK404" s="221"/>
      <c r="AL404" s="221"/>
      <c r="AM404" s="221"/>
      <c r="AN404" s="221"/>
      <c r="AO404" s="222"/>
      <c r="AP404" s="220" t="str">
        <f>IF('Financial Planning Tool'!Z103="","",'Financial Planning Tool'!Z103)</f>
        <v/>
      </c>
      <c r="AQ404" s="221"/>
      <c r="AR404" s="221"/>
      <c r="AS404" s="221"/>
      <c r="AT404" s="221"/>
      <c r="AU404" s="221"/>
      <c r="AV404" s="221"/>
      <c r="AW404" s="222"/>
      <c r="AX404" s="220" t="str">
        <f>IF('Financial Planning Tool'!AA103="","",'Financial Planning Tool'!AA103)</f>
        <v/>
      </c>
      <c r="AY404" s="221"/>
      <c r="AZ404" s="221"/>
      <c r="BA404" s="221"/>
      <c r="BB404" s="221"/>
      <c r="BC404" s="221"/>
      <c r="BD404" s="221"/>
      <c r="BE404" s="222"/>
      <c r="BF404" s="220">
        <f>'Financial Planning Tool'!AB103</f>
        <v>21713709.5</v>
      </c>
      <c r="BG404" s="221"/>
      <c r="BH404" s="221"/>
      <c r="BI404" s="221"/>
      <c r="BJ404" s="221"/>
      <c r="BK404" s="221"/>
      <c r="BL404" s="221"/>
      <c r="BM404" s="222"/>
      <c r="BN404" s="220">
        <f>'Financial Planning Tool'!AC103</f>
        <v>3177608.57</v>
      </c>
      <c r="BO404" s="221"/>
      <c r="BP404" s="221"/>
      <c r="BQ404" s="221"/>
      <c r="BR404" s="221"/>
      <c r="BS404" s="221"/>
      <c r="BT404" s="221"/>
      <c r="BU404" s="222"/>
    </row>
    <row r="405" spans="2:73" x14ac:dyDescent="0.25">
      <c r="B405" s="215">
        <f ca="1">'Financial Planning Tool'!T104</f>
        <v>63888</v>
      </c>
      <c r="C405" s="216"/>
      <c r="D405" s="216"/>
      <c r="E405" s="217"/>
      <c r="F405" s="218">
        <f ca="1">'Financial Planning Tool'!U104</f>
        <v>104</v>
      </c>
      <c r="G405" s="186"/>
      <c r="H405" s="186"/>
      <c r="I405" s="219"/>
      <c r="J405" s="220" t="str">
        <f>IF('Financial Planning Tool'!V104="","",'Financial Planning Tool'!V104)</f>
        <v/>
      </c>
      <c r="K405" s="221"/>
      <c r="L405" s="221"/>
      <c r="M405" s="221"/>
      <c r="N405" s="221"/>
      <c r="O405" s="221"/>
      <c r="P405" s="221"/>
      <c r="Q405" s="222"/>
      <c r="R405" s="220" t="str">
        <f>IF('Financial Planning Tool'!W104="","",'Financial Planning Tool'!W104)</f>
        <v/>
      </c>
      <c r="S405" s="221"/>
      <c r="T405" s="221"/>
      <c r="U405" s="221"/>
      <c r="V405" s="221"/>
      <c r="W405" s="221"/>
      <c r="X405" s="221"/>
      <c r="Y405" s="222"/>
      <c r="Z405" s="220" t="str">
        <f>IF('Financial Planning Tool'!X104="","",'Financial Planning Tool'!X104)</f>
        <v/>
      </c>
      <c r="AA405" s="221"/>
      <c r="AB405" s="221"/>
      <c r="AC405" s="221"/>
      <c r="AD405" s="221"/>
      <c r="AE405" s="221"/>
      <c r="AF405" s="221"/>
      <c r="AG405" s="222"/>
      <c r="AH405" s="220" t="str">
        <f>IF('Financial Planning Tool'!Y104="","",'Financial Planning Tool'!Y104)</f>
        <v/>
      </c>
      <c r="AI405" s="221"/>
      <c r="AJ405" s="221"/>
      <c r="AK405" s="221"/>
      <c r="AL405" s="221"/>
      <c r="AM405" s="221"/>
      <c r="AN405" s="221"/>
      <c r="AO405" s="222"/>
      <c r="AP405" s="220" t="str">
        <f>IF('Financial Planning Tool'!Z104="","",'Financial Planning Tool'!Z104)</f>
        <v/>
      </c>
      <c r="AQ405" s="221"/>
      <c r="AR405" s="221"/>
      <c r="AS405" s="221"/>
      <c r="AT405" s="221"/>
      <c r="AU405" s="221"/>
      <c r="AV405" s="221"/>
      <c r="AW405" s="222"/>
      <c r="AX405" s="220" t="str">
        <f>IF('Financial Planning Tool'!AA104="","",'Financial Planning Tool'!AA104)</f>
        <v/>
      </c>
      <c r="AY405" s="221"/>
      <c r="AZ405" s="221"/>
      <c r="BA405" s="221"/>
      <c r="BB405" s="221"/>
      <c r="BC405" s="221"/>
      <c r="BD405" s="221"/>
      <c r="BE405" s="222"/>
      <c r="BF405" s="220">
        <f>'Financial Planning Tool'!AB104</f>
        <v>23450806.260000002</v>
      </c>
      <c r="BG405" s="221"/>
      <c r="BH405" s="221"/>
      <c r="BI405" s="221"/>
      <c r="BJ405" s="221"/>
      <c r="BK405" s="221"/>
      <c r="BL405" s="221"/>
      <c r="BM405" s="222"/>
      <c r="BN405" s="220">
        <f>'Financial Planning Tool'!AC104</f>
        <v>3299824.28</v>
      </c>
      <c r="BO405" s="221"/>
      <c r="BP405" s="221"/>
      <c r="BQ405" s="221"/>
      <c r="BR405" s="221"/>
      <c r="BS405" s="221"/>
      <c r="BT405" s="221"/>
      <c r="BU405" s="222"/>
    </row>
    <row r="406" spans="2:73" x14ac:dyDescent="0.25">
      <c r="B406" s="215">
        <f ca="1">'Financial Planning Tool'!T105</f>
        <v>64253</v>
      </c>
      <c r="C406" s="216"/>
      <c r="D406" s="216"/>
      <c r="E406" s="217"/>
      <c r="F406" s="218">
        <f ca="1">'Financial Planning Tool'!U105</f>
        <v>105</v>
      </c>
      <c r="G406" s="186"/>
      <c r="H406" s="186"/>
      <c r="I406" s="219"/>
      <c r="J406" s="220" t="str">
        <f>IF('Financial Planning Tool'!V105="","",'Financial Planning Tool'!V105)</f>
        <v/>
      </c>
      <c r="K406" s="221"/>
      <c r="L406" s="221"/>
      <c r="M406" s="221"/>
      <c r="N406" s="221"/>
      <c r="O406" s="221"/>
      <c r="P406" s="221"/>
      <c r="Q406" s="222"/>
      <c r="R406" s="220" t="str">
        <f>IF('Financial Planning Tool'!W105="","",'Financial Planning Tool'!W105)</f>
        <v/>
      </c>
      <c r="S406" s="221"/>
      <c r="T406" s="221"/>
      <c r="U406" s="221"/>
      <c r="V406" s="221"/>
      <c r="W406" s="221"/>
      <c r="X406" s="221"/>
      <c r="Y406" s="222"/>
      <c r="Z406" s="220" t="str">
        <f>IF('Financial Planning Tool'!X105="","",'Financial Planning Tool'!X105)</f>
        <v/>
      </c>
      <c r="AA406" s="221"/>
      <c r="AB406" s="221"/>
      <c r="AC406" s="221"/>
      <c r="AD406" s="221"/>
      <c r="AE406" s="221"/>
      <c r="AF406" s="221"/>
      <c r="AG406" s="222"/>
      <c r="AH406" s="220" t="str">
        <f>IF('Financial Planning Tool'!Y105="","",'Financial Planning Tool'!Y105)</f>
        <v/>
      </c>
      <c r="AI406" s="221"/>
      <c r="AJ406" s="221"/>
      <c r="AK406" s="221"/>
      <c r="AL406" s="221"/>
      <c r="AM406" s="221"/>
      <c r="AN406" s="221"/>
      <c r="AO406" s="222"/>
      <c r="AP406" s="220" t="str">
        <f>IF('Financial Planning Tool'!Z105="","",'Financial Planning Tool'!Z105)</f>
        <v/>
      </c>
      <c r="AQ406" s="221"/>
      <c r="AR406" s="221"/>
      <c r="AS406" s="221"/>
      <c r="AT406" s="221"/>
      <c r="AU406" s="221"/>
      <c r="AV406" s="221"/>
      <c r="AW406" s="222"/>
      <c r="AX406" s="220" t="str">
        <f>IF('Financial Planning Tool'!AA105="","",'Financial Planning Tool'!AA105)</f>
        <v/>
      </c>
      <c r="AY406" s="221"/>
      <c r="AZ406" s="221"/>
      <c r="BA406" s="221"/>
      <c r="BB406" s="221"/>
      <c r="BC406" s="221"/>
      <c r="BD406" s="221"/>
      <c r="BE406" s="222"/>
      <c r="BF406" s="220">
        <f>'Financial Planning Tool'!AB105</f>
        <v>25326870.760000002</v>
      </c>
      <c r="BG406" s="221"/>
      <c r="BH406" s="221"/>
      <c r="BI406" s="221"/>
      <c r="BJ406" s="221"/>
      <c r="BK406" s="221"/>
      <c r="BL406" s="221"/>
      <c r="BM406" s="222"/>
      <c r="BN406" s="220">
        <f>'Financial Planning Tool'!AC105</f>
        <v>3426740.6</v>
      </c>
      <c r="BO406" s="221"/>
      <c r="BP406" s="221"/>
      <c r="BQ406" s="221"/>
      <c r="BR406" s="221"/>
      <c r="BS406" s="221"/>
      <c r="BT406" s="221"/>
      <c r="BU406" s="222"/>
    </row>
    <row r="407" spans="2:73" x14ac:dyDescent="0.25">
      <c r="B407" s="215">
        <f ca="1">'Financial Planning Tool'!T106</f>
        <v>64619</v>
      </c>
      <c r="C407" s="216"/>
      <c r="D407" s="216"/>
      <c r="E407" s="217"/>
      <c r="F407" s="218">
        <f ca="1">'Financial Planning Tool'!U106</f>
        <v>106</v>
      </c>
      <c r="G407" s="186"/>
      <c r="H407" s="186"/>
      <c r="I407" s="219"/>
      <c r="J407" s="220" t="str">
        <f>IF('Financial Planning Tool'!V106="","",'Financial Planning Tool'!V106)</f>
        <v/>
      </c>
      <c r="K407" s="221"/>
      <c r="L407" s="221"/>
      <c r="M407" s="221"/>
      <c r="N407" s="221"/>
      <c r="O407" s="221"/>
      <c r="P407" s="221"/>
      <c r="Q407" s="222"/>
      <c r="R407" s="220" t="str">
        <f>IF('Financial Planning Tool'!W106="","",'Financial Planning Tool'!W106)</f>
        <v/>
      </c>
      <c r="S407" s="221"/>
      <c r="T407" s="221"/>
      <c r="U407" s="221"/>
      <c r="V407" s="221"/>
      <c r="W407" s="221"/>
      <c r="X407" s="221"/>
      <c r="Y407" s="222"/>
      <c r="Z407" s="220" t="str">
        <f>IF('Financial Planning Tool'!X106="","",'Financial Planning Tool'!X106)</f>
        <v/>
      </c>
      <c r="AA407" s="221"/>
      <c r="AB407" s="221"/>
      <c r="AC407" s="221"/>
      <c r="AD407" s="221"/>
      <c r="AE407" s="221"/>
      <c r="AF407" s="221"/>
      <c r="AG407" s="222"/>
      <c r="AH407" s="220" t="str">
        <f>IF('Financial Planning Tool'!Y106="","",'Financial Planning Tool'!Y106)</f>
        <v/>
      </c>
      <c r="AI407" s="221"/>
      <c r="AJ407" s="221"/>
      <c r="AK407" s="221"/>
      <c r="AL407" s="221"/>
      <c r="AM407" s="221"/>
      <c r="AN407" s="221"/>
      <c r="AO407" s="222"/>
      <c r="AP407" s="220" t="str">
        <f>IF('Financial Planning Tool'!Z106="","",'Financial Planning Tool'!Z106)</f>
        <v/>
      </c>
      <c r="AQ407" s="221"/>
      <c r="AR407" s="221"/>
      <c r="AS407" s="221"/>
      <c r="AT407" s="221"/>
      <c r="AU407" s="221"/>
      <c r="AV407" s="221"/>
      <c r="AW407" s="222"/>
      <c r="AX407" s="220" t="str">
        <f>IF('Financial Planning Tool'!AA106="","",'Financial Planning Tool'!AA106)</f>
        <v/>
      </c>
      <c r="AY407" s="221"/>
      <c r="AZ407" s="221"/>
      <c r="BA407" s="221"/>
      <c r="BB407" s="221"/>
      <c r="BC407" s="221"/>
      <c r="BD407" s="221"/>
      <c r="BE407" s="222"/>
      <c r="BF407" s="220">
        <f>'Financial Planning Tool'!AB106</f>
        <v>27353020.420000002</v>
      </c>
      <c r="BG407" s="221"/>
      <c r="BH407" s="221"/>
      <c r="BI407" s="221"/>
      <c r="BJ407" s="221"/>
      <c r="BK407" s="221"/>
      <c r="BL407" s="221"/>
      <c r="BM407" s="222"/>
      <c r="BN407" s="220">
        <f>'Financial Planning Tool'!AC106</f>
        <v>3558538.31</v>
      </c>
      <c r="BO407" s="221"/>
      <c r="BP407" s="221"/>
      <c r="BQ407" s="221"/>
      <c r="BR407" s="221"/>
      <c r="BS407" s="221"/>
      <c r="BT407" s="221"/>
      <c r="BU407" s="222"/>
    </row>
    <row r="408" spans="2:73" x14ac:dyDescent="0.25">
      <c r="B408" s="215">
        <f ca="1">'Financial Planning Tool'!T107</f>
        <v>64984</v>
      </c>
      <c r="C408" s="216"/>
      <c r="D408" s="216"/>
      <c r="E408" s="217"/>
      <c r="F408" s="218">
        <f ca="1">'Financial Planning Tool'!U107</f>
        <v>107</v>
      </c>
      <c r="G408" s="186"/>
      <c r="H408" s="186"/>
      <c r="I408" s="219"/>
      <c r="J408" s="220" t="str">
        <f>IF('Financial Planning Tool'!V107="","",'Financial Planning Tool'!V107)</f>
        <v/>
      </c>
      <c r="K408" s="221"/>
      <c r="L408" s="221"/>
      <c r="M408" s="221"/>
      <c r="N408" s="221"/>
      <c r="O408" s="221"/>
      <c r="P408" s="221"/>
      <c r="Q408" s="222"/>
      <c r="R408" s="220" t="str">
        <f>IF('Financial Planning Tool'!W107="","",'Financial Planning Tool'!W107)</f>
        <v/>
      </c>
      <c r="S408" s="221"/>
      <c r="T408" s="221"/>
      <c r="U408" s="221"/>
      <c r="V408" s="221"/>
      <c r="W408" s="221"/>
      <c r="X408" s="221"/>
      <c r="Y408" s="222"/>
      <c r="Z408" s="220" t="str">
        <f>IF('Financial Planning Tool'!X107="","",'Financial Planning Tool'!X107)</f>
        <v/>
      </c>
      <c r="AA408" s="221"/>
      <c r="AB408" s="221"/>
      <c r="AC408" s="221"/>
      <c r="AD408" s="221"/>
      <c r="AE408" s="221"/>
      <c r="AF408" s="221"/>
      <c r="AG408" s="222"/>
      <c r="AH408" s="220" t="str">
        <f>IF('Financial Planning Tool'!Y107="","",'Financial Planning Tool'!Y107)</f>
        <v/>
      </c>
      <c r="AI408" s="221"/>
      <c r="AJ408" s="221"/>
      <c r="AK408" s="221"/>
      <c r="AL408" s="221"/>
      <c r="AM408" s="221"/>
      <c r="AN408" s="221"/>
      <c r="AO408" s="222"/>
      <c r="AP408" s="220" t="str">
        <f>IF('Financial Planning Tool'!Z107="","",'Financial Planning Tool'!Z107)</f>
        <v/>
      </c>
      <c r="AQ408" s="221"/>
      <c r="AR408" s="221"/>
      <c r="AS408" s="221"/>
      <c r="AT408" s="221"/>
      <c r="AU408" s="221"/>
      <c r="AV408" s="221"/>
      <c r="AW408" s="222"/>
      <c r="AX408" s="220" t="str">
        <f>IF('Financial Planning Tool'!AA107="","",'Financial Planning Tool'!AA107)</f>
        <v/>
      </c>
      <c r="AY408" s="221"/>
      <c r="AZ408" s="221"/>
      <c r="BA408" s="221"/>
      <c r="BB408" s="221"/>
      <c r="BC408" s="221"/>
      <c r="BD408" s="221"/>
      <c r="BE408" s="222"/>
      <c r="BF408" s="220">
        <f>'Financial Planning Tool'!AB107</f>
        <v>29541262.050000001</v>
      </c>
      <c r="BG408" s="221"/>
      <c r="BH408" s="221"/>
      <c r="BI408" s="221"/>
      <c r="BJ408" s="221"/>
      <c r="BK408" s="221"/>
      <c r="BL408" s="221"/>
      <c r="BM408" s="222"/>
      <c r="BN408" s="220">
        <f>'Financial Planning Tool'!AC107</f>
        <v>3695405.17</v>
      </c>
      <c r="BO408" s="221"/>
      <c r="BP408" s="221"/>
      <c r="BQ408" s="221"/>
      <c r="BR408" s="221"/>
      <c r="BS408" s="221"/>
      <c r="BT408" s="221"/>
      <c r="BU408" s="222"/>
    </row>
    <row r="409" spans="2:73" x14ac:dyDescent="0.25">
      <c r="B409" s="215">
        <f ca="1">'Financial Planning Tool'!T108</f>
        <v>65349</v>
      </c>
      <c r="C409" s="216"/>
      <c r="D409" s="216"/>
      <c r="E409" s="217"/>
      <c r="F409" s="218">
        <f ca="1">'Financial Planning Tool'!U108</f>
        <v>108</v>
      </c>
      <c r="G409" s="186"/>
      <c r="H409" s="186"/>
      <c r="I409" s="219"/>
      <c r="J409" s="220" t="str">
        <f>IF('Financial Planning Tool'!V108="","",'Financial Planning Tool'!V108)</f>
        <v/>
      </c>
      <c r="K409" s="221"/>
      <c r="L409" s="221"/>
      <c r="M409" s="221"/>
      <c r="N409" s="221"/>
      <c r="O409" s="221"/>
      <c r="P409" s="221"/>
      <c r="Q409" s="222"/>
      <c r="R409" s="220" t="str">
        <f>IF('Financial Planning Tool'!W108="","",'Financial Planning Tool'!W108)</f>
        <v/>
      </c>
      <c r="S409" s="221"/>
      <c r="T409" s="221"/>
      <c r="U409" s="221"/>
      <c r="V409" s="221"/>
      <c r="W409" s="221"/>
      <c r="X409" s="221"/>
      <c r="Y409" s="222"/>
      <c r="Z409" s="220" t="str">
        <f>IF('Financial Planning Tool'!X108="","",'Financial Planning Tool'!X108)</f>
        <v/>
      </c>
      <c r="AA409" s="221"/>
      <c r="AB409" s="221"/>
      <c r="AC409" s="221"/>
      <c r="AD409" s="221"/>
      <c r="AE409" s="221"/>
      <c r="AF409" s="221"/>
      <c r="AG409" s="222"/>
      <c r="AH409" s="220" t="str">
        <f>IF('Financial Planning Tool'!Y108="","",'Financial Planning Tool'!Y108)</f>
        <v/>
      </c>
      <c r="AI409" s="221"/>
      <c r="AJ409" s="221"/>
      <c r="AK409" s="221"/>
      <c r="AL409" s="221"/>
      <c r="AM409" s="221"/>
      <c r="AN409" s="221"/>
      <c r="AO409" s="222"/>
      <c r="AP409" s="220" t="str">
        <f>IF('Financial Planning Tool'!Z108="","",'Financial Planning Tool'!Z108)</f>
        <v/>
      </c>
      <c r="AQ409" s="221"/>
      <c r="AR409" s="221"/>
      <c r="AS409" s="221"/>
      <c r="AT409" s="221"/>
      <c r="AU409" s="221"/>
      <c r="AV409" s="221"/>
      <c r="AW409" s="222"/>
      <c r="AX409" s="220" t="str">
        <f>IF('Financial Planning Tool'!AA108="","",'Financial Planning Tool'!AA108)</f>
        <v/>
      </c>
      <c r="AY409" s="221"/>
      <c r="AZ409" s="221"/>
      <c r="BA409" s="221"/>
      <c r="BB409" s="221"/>
      <c r="BC409" s="221"/>
      <c r="BD409" s="221"/>
      <c r="BE409" s="222"/>
      <c r="BF409" s="220">
        <f>'Financial Planning Tool'!AB108</f>
        <v>31904563.02</v>
      </c>
      <c r="BG409" s="221"/>
      <c r="BH409" s="221"/>
      <c r="BI409" s="221"/>
      <c r="BJ409" s="221"/>
      <c r="BK409" s="221"/>
      <c r="BL409" s="221"/>
      <c r="BM409" s="222"/>
      <c r="BN409" s="220">
        <f>'Financial Planning Tool'!AC108</f>
        <v>3837536.14</v>
      </c>
      <c r="BO409" s="221"/>
      <c r="BP409" s="221"/>
      <c r="BQ409" s="221"/>
      <c r="BR409" s="221"/>
      <c r="BS409" s="221"/>
      <c r="BT409" s="221"/>
      <c r="BU409" s="222"/>
    </row>
    <row r="410" spans="2:73" x14ac:dyDescent="0.25">
      <c r="B410" s="215">
        <f ca="1">'Financial Planning Tool'!T109</f>
        <v>65714</v>
      </c>
      <c r="C410" s="216"/>
      <c r="D410" s="216"/>
      <c r="E410" s="217"/>
      <c r="F410" s="218">
        <f ca="1">'Financial Planning Tool'!U109</f>
        <v>109</v>
      </c>
      <c r="G410" s="186"/>
      <c r="H410" s="186"/>
      <c r="I410" s="219"/>
      <c r="J410" s="220" t="str">
        <f>IF('Financial Planning Tool'!V109="","",'Financial Planning Tool'!V109)</f>
        <v/>
      </c>
      <c r="K410" s="221"/>
      <c r="L410" s="221"/>
      <c r="M410" s="221"/>
      <c r="N410" s="221"/>
      <c r="O410" s="221"/>
      <c r="P410" s="221"/>
      <c r="Q410" s="222"/>
      <c r="R410" s="220" t="str">
        <f>IF('Financial Planning Tool'!W109="","",'Financial Planning Tool'!W109)</f>
        <v/>
      </c>
      <c r="S410" s="221"/>
      <c r="T410" s="221"/>
      <c r="U410" s="221"/>
      <c r="V410" s="221"/>
      <c r="W410" s="221"/>
      <c r="X410" s="221"/>
      <c r="Y410" s="222"/>
      <c r="Z410" s="220" t="str">
        <f>IF('Financial Planning Tool'!X109="","",'Financial Planning Tool'!X109)</f>
        <v/>
      </c>
      <c r="AA410" s="221"/>
      <c r="AB410" s="221"/>
      <c r="AC410" s="221"/>
      <c r="AD410" s="221"/>
      <c r="AE410" s="221"/>
      <c r="AF410" s="221"/>
      <c r="AG410" s="222"/>
      <c r="AH410" s="220" t="str">
        <f>IF('Financial Planning Tool'!Y109="","",'Financial Planning Tool'!Y109)</f>
        <v/>
      </c>
      <c r="AI410" s="221"/>
      <c r="AJ410" s="221"/>
      <c r="AK410" s="221"/>
      <c r="AL410" s="221"/>
      <c r="AM410" s="221"/>
      <c r="AN410" s="221"/>
      <c r="AO410" s="222"/>
      <c r="AP410" s="220" t="str">
        <f>IF('Financial Planning Tool'!Z109="","",'Financial Planning Tool'!Z109)</f>
        <v/>
      </c>
      <c r="AQ410" s="221"/>
      <c r="AR410" s="221"/>
      <c r="AS410" s="221"/>
      <c r="AT410" s="221"/>
      <c r="AU410" s="221"/>
      <c r="AV410" s="221"/>
      <c r="AW410" s="222"/>
      <c r="AX410" s="220" t="str">
        <f>IF('Financial Planning Tool'!AA109="","",'Financial Planning Tool'!AA109)</f>
        <v/>
      </c>
      <c r="AY410" s="221"/>
      <c r="AZ410" s="221"/>
      <c r="BA410" s="221"/>
      <c r="BB410" s="221"/>
      <c r="BC410" s="221"/>
      <c r="BD410" s="221"/>
      <c r="BE410" s="222"/>
      <c r="BF410" s="220">
        <f>'Financial Planning Tool'!AB109</f>
        <v>34456928.060000002</v>
      </c>
      <c r="BG410" s="221"/>
      <c r="BH410" s="221"/>
      <c r="BI410" s="221"/>
      <c r="BJ410" s="221"/>
      <c r="BK410" s="221"/>
      <c r="BL410" s="221"/>
      <c r="BM410" s="222"/>
      <c r="BN410" s="220">
        <f>'Financial Planning Tool'!AC109</f>
        <v>3985133.68</v>
      </c>
      <c r="BO410" s="221"/>
      <c r="BP410" s="221"/>
      <c r="BQ410" s="221"/>
      <c r="BR410" s="221"/>
      <c r="BS410" s="221"/>
      <c r="BT410" s="221"/>
      <c r="BU410" s="222"/>
    </row>
    <row r="411" spans="2:73" x14ac:dyDescent="0.25">
      <c r="B411" s="215">
        <f ca="1">'Financial Planning Tool'!T110</f>
        <v>66080</v>
      </c>
      <c r="C411" s="216"/>
      <c r="D411" s="216"/>
      <c r="E411" s="217"/>
      <c r="F411" s="218">
        <f ca="1">'Financial Planning Tool'!U110</f>
        <v>110</v>
      </c>
      <c r="G411" s="186"/>
      <c r="H411" s="186"/>
      <c r="I411" s="219"/>
      <c r="J411" s="220" t="str">
        <f>IF('Financial Planning Tool'!V110="","",'Financial Planning Tool'!V110)</f>
        <v/>
      </c>
      <c r="K411" s="221"/>
      <c r="L411" s="221"/>
      <c r="M411" s="221"/>
      <c r="N411" s="221"/>
      <c r="O411" s="221"/>
      <c r="P411" s="221"/>
      <c r="Q411" s="222"/>
      <c r="R411" s="220" t="str">
        <f>IF('Financial Planning Tool'!W110="","",'Financial Planning Tool'!W110)</f>
        <v/>
      </c>
      <c r="S411" s="221"/>
      <c r="T411" s="221"/>
      <c r="U411" s="221"/>
      <c r="V411" s="221"/>
      <c r="W411" s="221"/>
      <c r="X411" s="221"/>
      <c r="Y411" s="222"/>
      <c r="Z411" s="220" t="str">
        <f>IF('Financial Planning Tool'!X110="","",'Financial Planning Tool'!X110)</f>
        <v/>
      </c>
      <c r="AA411" s="221"/>
      <c r="AB411" s="221"/>
      <c r="AC411" s="221"/>
      <c r="AD411" s="221"/>
      <c r="AE411" s="221"/>
      <c r="AF411" s="221"/>
      <c r="AG411" s="222"/>
      <c r="AH411" s="220" t="str">
        <f>IF('Financial Planning Tool'!Y110="","",'Financial Planning Tool'!Y110)</f>
        <v/>
      </c>
      <c r="AI411" s="221"/>
      <c r="AJ411" s="221"/>
      <c r="AK411" s="221"/>
      <c r="AL411" s="221"/>
      <c r="AM411" s="221"/>
      <c r="AN411" s="221"/>
      <c r="AO411" s="222"/>
      <c r="AP411" s="220" t="str">
        <f>IF('Financial Planning Tool'!Z110="","",'Financial Planning Tool'!Z110)</f>
        <v/>
      </c>
      <c r="AQ411" s="221"/>
      <c r="AR411" s="221"/>
      <c r="AS411" s="221"/>
      <c r="AT411" s="221"/>
      <c r="AU411" s="221"/>
      <c r="AV411" s="221"/>
      <c r="AW411" s="222"/>
      <c r="AX411" s="220" t="str">
        <f>IF('Financial Planning Tool'!AA110="","",'Financial Planning Tool'!AA110)</f>
        <v/>
      </c>
      <c r="AY411" s="221"/>
      <c r="AZ411" s="221"/>
      <c r="BA411" s="221"/>
      <c r="BB411" s="221"/>
      <c r="BC411" s="221"/>
      <c r="BD411" s="221"/>
      <c r="BE411" s="222"/>
      <c r="BF411" s="220">
        <f>'Financial Planning Tool'!AB110</f>
        <v>37213482.299999997</v>
      </c>
      <c r="BG411" s="221"/>
      <c r="BH411" s="221"/>
      <c r="BI411" s="221"/>
      <c r="BJ411" s="221"/>
      <c r="BK411" s="221"/>
      <c r="BL411" s="221"/>
      <c r="BM411" s="222"/>
      <c r="BN411" s="220">
        <f>'Financial Planning Tool'!AC110</f>
        <v>4138408.06</v>
      </c>
      <c r="BO411" s="221"/>
      <c r="BP411" s="221"/>
      <c r="BQ411" s="221"/>
      <c r="BR411" s="221"/>
      <c r="BS411" s="221"/>
      <c r="BT411" s="221"/>
      <c r="BU411" s="222"/>
    </row>
    <row r="412" spans="2:73" x14ac:dyDescent="0.25">
      <c r="B412" s="215">
        <f ca="1">'Financial Planning Tool'!T111</f>
        <v>66445</v>
      </c>
      <c r="C412" s="216"/>
      <c r="D412" s="216"/>
      <c r="E412" s="217"/>
      <c r="F412" s="218">
        <f ca="1">'Financial Planning Tool'!U111</f>
        <v>111</v>
      </c>
      <c r="G412" s="186"/>
      <c r="H412" s="186"/>
      <c r="I412" s="219"/>
      <c r="J412" s="220" t="str">
        <f>IF('Financial Planning Tool'!V111="","",'Financial Planning Tool'!V111)</f>
        <v/>
      </c>
      <c r="K412" s="221"/>
      <c r="L412" s="221"/>
      <c r="M412" s="221"/>
      <c r="N412" s="221"/>
      <c r="O412" s="221"/>
      <c r="P412" s="221"/>
      <c r="Q412" s="222"/>
      <c r="R412" s="220" t="str">
        <f>IF('Financial Planning Tool'!W111="","",'Financial Planning Tool'!W111)</f>
        <v/>
      </c>
      <c r="S412" s="221"/>
      <c r="T412" s="221"/>
      <c r="U412" s="221"/>
      <c r="V412" s="221"/>
      <c r="W412" s="221"/>
      <c r="X412" s="221"/>
      <c r="Y412" s="222"/>
      <c r="Z412" s="220" t="str">
        <f>IF('Financial Planning Tool'!X111="","",'Financial Planning Tool'!X111)</f>
        <v/>
      </c>
      <c r="AA412" s="221"/>
      <c r="AB412" s="221"/>
      <c r="AC412" s="221"/>
      <c r="AD412" s="221"/>
      <c r="AE412" s="221"/>
      <c r="AF412" s="221"/>
      <c r="AG412" s="222"/>
      <c r="AH412" s="220" t="str">
        <f>IF('Financial Planning Tool'!Y111="","",'Financial Planning Tool'!Y111)</f>
        <v/>
      </c>
      <c r="AI412" s="221"/>
      <c r="AJ412" s="221"/>
      <c r="AK412" s="221"/>
      <c r="AL412" s="221"/>
      <c r="AM412" s="221"/>
      <c r="AN412" s="221"/>
      <c r="AO412" s="222"/>
      <c r="AP412" s="220" t="str">
        <f>IF('Financial Planning Tool'!Z111="","",'Financial Planning Tool'!Z111)</f>
        <v/>
      </c>
      <c r="AQ412" s="221"/>
      <c r="AR412" s="221"/>
      <c r="AS412" s="221"/>
      <c r="AT412" s="221"/>
      <c r="AU412" s="221"/>
      <c r="AV412" s="221"/>
      <c r="AW412" s="222"/>
      <c r="AX412" s="220" t="str">
        <f>IF('Financial Planning Tool'!AA111="","",'Financial Planning Tool'!AA111)</f>
        <v/>
      </c>
      <c r="AY412" s="221"/>
      <c r="AZ412" s="221"/>
      <c r="BA412" s="221"/>
      <c r="BB412" s="221"/>
      <c r="BC412" s="221"/>
      <c r="BD412" s="221"/>
      <c r="BE412" s="222"/>
      <c r="BF412" s="220">
        <f>'Financial Planning Tool'!AB111</f>
        <v>40190560.890000001</v>
      </c>
      <c r="BG412" s="221"/>
      <c r="BH412" s="221"/>
      <c r="BI412" s="221"/>
      <c r="BJ412" s="221"/>
      <c r="BK412" s="221"/>
      <c r="BL412" s="221"/>
      <c r="BM412" s="222"/>
      <c r="BN412" s="220">
        <f>'Financial Planning Tool'!AC111</f>
        <v>4297577.5999999996</v>
      </c>
      <c r="BO412" s="221"/>
      <c r="BP412" s="221"/>
      <c r="BQ412" s="221"/>
      <c r="BR412" s="221"/>
      <c r="BS412" s="221"/>
      <c r="BT412" s="221"/>
      <c r="BU412" s="222"/>
    </row>
    <row r="413" spans="2:73" x14ac:dyDescent="0.25">
      <c r="B413" s="215">
        <f ca="1">'Financial Planning Tool'!T112</f>
        <v>66810</v>
      </c>
      <c r="C413" s="216"/>
      <c r="D413" s="216"/>
      <c r="E413" s="217"/>
      <c r="F413" s="218">
        <f ca="1">'Financial Planning Tool'!U112</f>
        <v>112</v>
      </c>
      <c r="G413" s="186"/>
      <c r="H413" s="186"/>
      <c r="I413" s="219"/>
      <c r="J413" s="220" t="str">
        <f>IF('Financial Planning Tool'!V112="","",'Financial Planning Tool'!V112)</f>
        <v/>
      </c>
      <c r="K413" s="221"/>
      <c r="L413" s="221"/>
      <c r="M413" s="221"/>
      <c r="N413" s="221"/>
      <c r="O413" s="221"/>
      <c r="P413" s="221"/>
      <c r="Q413" s="222"/>
      <c r="R413" s="220" t="str">
        <f>IF('Financial Planning Tool'!W112="","",'Financial Planning Tool'!W112)</f>
        <v/>
      </c>
      <c r="S413" s="221"/>
      <c r="T413" s="221"/>
      <c r="U413" s="221"/>
      <c r="V413" s="221"/>
      <c r="W413" s="221"/>
      <c r="X413" s="221"/>
      <c r="Y413" s="222"/>
      <c r="Z413" s="220" t="str">
        <f>IF('Financial Planning Tool'!X112="","",'Financial Planning Tool'!X112)</f>
        <v/>
      </c>
      <c r="AA413" s="221"/>
      <c r="AB413" s="221"/>
      <c r="AC413" s="221"/>
      <c r="AD413" s="221"/>
      <c r="AE413" s="221"/>
      <c r="AF413" s="221"/>
      <c r="AG413" s="222"/>
      <c r="AH413" s="220" t="str">
        <f>IF('Financial Planning Tool'!Y112="","",'Financial Planning Tool'!Y112)</f>
        <v/>
      </c>
      <c r="AI413" s="221"/>
      <c r="AJ413" s="221"/>
      <c r="AK413" s="221"/>
      <c r="AL413" s="221"/>
      <c r="AM413" s="221"/>
      <c r="AN413" s="221"/>
      <c r="AO413" s="222"/>
      <c r="AP413" s="220" t="str">
        <f>IF('Financial Planning Tool'!Z112="","",'Financial Planning Tool'!Z112)</f>
        <v/>
      </c>
      <c r="AQ413" s="221"/>
      <c r="AR413" s="221"/>
      <c r="AS413" s="221"/>
      <c r="AT413" s="221"/>
      <c r="AU413" s="221"/>
      <c r="AV413" s="221"/>
      <c r="AW413" s="222"/>
      <c r="AX413" s="220" t="str">
        <f>IF('Financial Planning Tool'!AA112="","",'Financial Planning Tool'!AA112)</f>
        <v/>
      </c>
      <c r="AY413" s="221"/>
      <c r="AZ413" s="221"/>
      <c r="BA413" s="221"/>
      <c r="BB413" s="221"/>
      <c r="BC413" s="221"/>
      <c r="BD413" s="221"/>
      <c r="BE413" s="222"/>
      <c r="BF413" s="220">
        <f>'Financial Planning Tool'!AB112</f>
        <v>43405805.759999998</v>
      </c>
      <c r="BG413" s="221"/>
      <c r="BH413" s="221"/>
      <c r="BI413" s="221"/>
      <c r="BJ413" s="221"/>
      <c r="BK413" s="221"/>
      <c r="BL413" s="221"/>
      <c r="BM413" s="222"/>
      <c r="BN413" s="220">
        <f>'Financial Planning Tool'!AC112</f>
        <v>4462869.04</v>
      </c>
      <c r="BO413" s="221"/>
      <c r="BP413" s="221"/>
      <c r="BQ413" s="221"/>
      <c r="BR413" s="221"/>
      <c r="BS413" s="221"/>
      <c r="BT413" s="221"/>
      <c r="BU413" s="222"/>
    </row>
    <row r="414" spans="2:73" x14ac:dyDescent="0.25">
      <c r="B414" s="215">
        <f ca="1">'Financial Planning Tool'!T113</f>
        <v>67175</v>
      </c>
      <c r="C414" s="216"/>
      <c r="D414" s="216"/>
      <c r="E414" s="217"/>
      <c r="F414" s="218">
        <f ca="1">'Financial Planning Tool'!U113</f>
        <v>113</v>
      </c>
      <c r="G414" s="186"/>
      <c r="H414" s="186"/>
      <c r="I414" s="219"/>
      <c r="J414" s="220" t="str">
        <f>IF('Financial Planning Tool'!V113="","",'Financial Planning Tool'!V113)</f>
        <v/>
      </c>
      <c r="K414" s="221"/>
      <c r="L414" s="221"/>
      <c r="M414" s="221"/>
      <c r="N414" s="221"/>
      <c r="O414" s="221"/>
      <c r="P414" s="221"/>
      <c r="Q414" s="222"/>
      <c r="R414" s="220" t="str">
        <f>IF('Financial Planning Tool'!W113="","",'Financial Planning Tool'!W113)</f>
        <v/>
      </c>
      <c r="S414" s="221"/>
      <c r="T414" s="221"/>
      <c r="U414" s="221"/>
      <c r="V414" s="221"/>
      <c r="W414" s="221"/>
      <c r="X414" s="221"/>
      <c r="Y414" s="222"/>
      <c r="Z414" s="220" t="str">
        <f>IF('Financial Planning Tool'!X113="","",'Financial Planning Tool'!X113)</f>
        <v/>
      </c>
      <c r="AA414" s="221"/>
      <c r="AB414" s="221"/>
      <c r="AC414" s="221"/>
      <c r="AD414" s="221"/>
      <c r="AE414" s="221"/>
      <c r="AF414" s="221"/>
      <c r="AG414" s="222"/>
      <c r="AH414" s="220" t="str">
        <f>IF('Financial Planning Tool'!Y113="","",'Financial Planning Tool'!Y113)</f>
        <v/>
      </c>
      <c r="AI414" s="221"/>
      <c r="AJ414" s="221"/>
      <c r="AK414" s="221"/>
      <c r="AL414" s="221"/>
      <c r="AM414" s="221"/>
      <c r="AN414" s="221"/>
      <c r="AO414" s="222"/>
      <c r="AP414" s="220" t="str">
        <f>IF('Financial Planning Tool'!Z113="","",'Financial Planning Tool'!Z113)</f>
        <v/>
      </c>
      <c r="AQ414" s="221"/>
      <c r="AR414" s="221"/>
      <c r="AS414" s="221"/>
      <c r="AT414" s="221"/>
      <c r="AU414" s="221"/>
      <c r="AV414" s="221"/>
      <c r="AW414" s="222"/>
      <c r="AX414" s="220" t="str">
        <f>IF('Financial Planning Tool'!AA113="","",'Financial Planning Tool'!AA113)</f>
        <v/>
      </c>
      <c r="AY414" s="221"/>
      <c r="AZ414" s="221"/>
      <c r="BA414" s="221"/>
      <c r="BB414" s="221"/>
      <c r="BC414" s="221"/>
      <c r="BD414" s="221"/>
      <c r="BE414" s="222"/>
      <c r="BF414" s="220">
        <f>'Financial Planning Tool'!AB113</f>
        <v>46878270.219999999</v>
      </c>
      <c r="BG414" s="221"/>
      <c r="BH414" s="221"/>
      <c r="BI414" s="221"/>
      <c r="BJ414" s="221"/>
      <c r="BK414" s="221"/>
      <c r="BL414" s="221"/>
      <c r="BM414" s="222"/>
      <c r="BN414" s="220">
        <f>'Financial Planning Tool'!AC113</f>
        <v>4634517.8499999996</v>
      </c>
      <c r="BO414" s="221"/>
      <c r="BP414" s="221"/>
      <c r="BQ414" s="221"/>
      <c r="BR414" s="221"/>
      <c r="BS414" s="221"/>
      <c r="BT414" s="221"/>
      <c r="BU414" s="222"/>
    </row>
    <row r="415" spans="2:73" x14ac:dyDescent="0.25">
      <c r="B415" s="215">
        <f ca="1">'Financial Planning Tool'!T114</f>
        <v>67541</v>
      </c>
      <c r="C415" s="216"/>
      <c r="D415" s="216"/>
      <c r="E415" s="217"/>
      <c r="F415" s="218">
        <f ca="1">'Financial Planning Tool'!U114</f>
        <v>114</v>
      </c>
      <c r="G415" s="186"/>
      <c r="H415" s="186"/>
      <c r="I415" s="219"/>
      <c r="J415" s="220" t="str">
        <f>IF('Financial Planning Tool'!V114="","",'Financial Planning Tool'!V114)</f>
        <v/>
      </c>
      <c r="K415" s="221"/>
      <c r="L415" s="221"/>
      <c r="M415" s="221"/>
      <c r="N415" s="221"/>
      <c r="O415" s="221"/>
      <c r="P415" s="221"/>
      <c r="Q415" s="222"/>
      <c r="R415" s="220" t="str">
        <f>IF('Financial Planning Tool'!W114="","",'Financial Planning Tool'!W114)</f>
        <v/>
      </c>
      <c r="S415" s="221"/>
      <c r="T415" s="221"/>
      <c r="U415" s="221"/>
      <c r="V415" s="221"/>
      <c r="W415" s="221"/>
      <c r="X415" s="221"/>
      <c r="Y415" s="222"/>
      <c r="Z415" s="220" t="str">
        <f>IF('Financial Planning Tool'!X114="","",'Financial Planning Tool'!X114)</f>
        <v/>
      </c>
      <c r="AA415" s="221"/>
      <c r="AB415" s="221"/>
      <c r="AC415" s="221"/>
      <c r="AD415" s="221"/>
      <c r="AE415" s="221"/>
      <c r="AF415" s="221"/>
      <c r="AG415" s="222"/>
      <c r="AH415" s="220" t="str">
        <f>IF('Financial Planning Tool'!Y114="","",'Financial Planning Tool'!Y114)</f>
        <v/>
      </c>
      <c r="AI415" s="221"/>
      <c r="AJ415" s="221"/>
      <c r="AK415" s="221"/>
      <c r="AL415" s="221"/>
      <c r="AM415" s="221"/>
      <c r="AN415" s="221"/>
      <c r="AO415" s="222"/>
      <c r="AP415" s="220" t="str">
        <f>IF('Financial Planning Tool'!Z114="","",'Financial Planning Tool'!Z114)</f>
        <v/>
      </c>
      <c r="AQ415" s="221"/>
      <c r="AR415" s="221"/>
      <c r="AS415" s="221"/>
      <c r="AT415" s="221"/>
      <c r="AU415" s="221"/>
      <c r="AV415" s="221"/>
      <c r="AW415" s="222"/>
      <c r="AX415" s="220" t="str">
        <f>IF('Financial Planning Tool'!AA114="","",'Financial Planning Tool'!AA114)</f>
        <v/>
      </c>
      <c r="AY415" s="221"/>
      <c r="AZ415" s="221"/>
      <c r="BA415" s="221"/>
      <c r="BB415" s="221"/>
      <c r="BC415" s="221"/>
      <c r="BD415" s="221"/>
      <c r="BE415" s="222"/>
      <c r="BF415" s="220">
        <f>'Financial Planning Tool'!AB114</f>
        <v>50628531.829999998</v>
      </c>
      <c r="BG415" s="221"/>
      <c r="BH415" s="221"/>
      <c r="BI415" s="221"/>
      <c r="BJ415" s="221"/>
      <c r="BK415" s="221"/>
      <c r="BL415" s="221"/>
      <c r="BM415" s="222"/>
      <c r="BN415" s="220">
        <f>'Financial Planning Tool'!AC114</f>
        <v>4812768.54</v>
      </c>
      <c r="BO415" s="221"/>
      <c r="BP415" s="221"/>
      <c r="BQ415" s="221"/>
      <c r="BR415" s="221"/>
      <c r="BS415" s="221"/>
      <c r="BT415" s="221"/>
      <c r="BU415" s="222"/>
    </row>
    <row r="416" spans="2:73" x14ac:dyDescent="0.25">
      <c r="B416" s="215">
        <f ca="1">'Financial Planning Tool'!T115</f>
        <v>67906</v>
      </c>
      <c r="C416" s="216"/>
      <c r="D416" s="216"/>
      <c r="E416" s="217"/>
      <c r="F416" s="218">
        <f ca="1">'Financial Planning Tool'!U115</f>
        <v>115</v>
      </c>
      <c r="G416" s="186"/>
      <c r="H416" s="186"/>
      <c r="I416" s="219"/>
      <c r="J416" s="220" t="str">
        <f>IF('Financial Planning Tool'!V115="","",'Financial Planning Tool'!V115)</f>
        <v/>
      </c>
      <c r="K416" s="221"/>
      <c r="L416" s="221"/>
      <c r="M416" s="221"/>
      <c r="N416" s="221"/>
      <c r="O416" s="221"/>
      <c r="P416" s="221"/>
      <c r="Q416" s="222"/>
      <c r="R416" s="220" t="str">
        <f>IF('Financial Planning Tool'!W115="","",'Financial Planning Tool'!W115)</f>
        <v/>
      </c>
      <c r="S416" s="221"/>
      <c r="T416" s="221"/>
      <c r="U416" s="221"/>
      <c r="V416" s="221"/>
      <c r="W416" s="221"/>
      <c r="X416" s="221"/>
      <c r="Y416" s="222"/>
      <c r="Z416" s="220" t="str">
        <f>IF('Financial Planning Tool'!X115="","",'Financial Planning Tool'!X115)</f>
        <v/>
      </c>
      <c r="AA416" s="221"/>
      <c r="AB416" s="221"/>
      <c r="AC416" s="221"/>
      <c r="AD416" s="221"/>
      <c r="AE416" s="221"/>
      <c r="AF416" s="221"/>
      <c r="AG416" s="222"/>
      <c r="AH416" s="220" t="str">
        <f>IF('Financial Planning Tool'!Y115="","",'Financial Planning Tool'!Y115)</f>
        <v/>
      </c>
      <c r="AI416" s="221"/>
      <c r="AJ416" s="221"/>
      <c r="AK416" s="221"/>
      <c r="AL416" s="221"/>
      <c r="AM416" s="221"/>
      <c r="AN416" s="221"/>
      <c r="AO416" s="222"/>
      <c r="AP416" s="220" t="str">
        <f>IF('Financial Planning Tool'!Z115="","",'Financial Planning Tool'!Z115)</f>
        <v/>
      </c>
      <c r="AQ416" s="221"/>
      <c r="AR416" s="221"/>
      <c r="AS416" s="221"/>
      <c r="AT416" s="221"/>
      <c r="AU416" s="221"/>
      <c r="AV416" s="221"/>
      <c r="AW416" s="222"/>
      <c r="AX416" s="220" t="str">
        <f>IF('Financial Planning Tool'!AA115="","",'Financial Planning Tool'!AA115)</f>
        <v/>
      </c>
      <c r="AY416" s="221"/>
      <c r="AZ416" s="221"/>
      <c r="BA416" s="221"/>
      <c r="BB416" s="221"/>
      <c r="BC416" s="221"/>
      <c r="BD416" s="221"/>
      <c r="BE416" s="222"/>
      <c r="BF416" s="220">
        <f>'Financial Planning Tool'!AB115</f>
        <v>54678814.380000003</v>
      </c>
      <c r="BG416" s="221"/>
      <c r="BH416" s="221"/>
      <c r="BI416" s="221"/>
      <c r="BJ416" s="221"/>
      <c r="BK416" s="221"/>
      <c r="BL416" s="221"/>
      <c r="BM416" s="222"/>
      <c r="BN416" s="220">
        <f>'Financial Planning Tool'!AC115</f>
        <v>4997875.0199999996</v>
      </c>
      <c r="BO416" s="221"/>
      <c r="BP416" s="221"/>
      <c r="BQ416" s="221"/>
      <c r="BR416" s="221"/>
      <c r="BS416" s="221"/>
      <c r="BT416" s="221"/>
      <c r="BU416" s="222"/>
    </row>
    <row r="417" spans="2:73" x14ac:dyDescent="0.25">
      <c r="B417" s="215">
        <f ca="1">'Financial Planning Tool'!T116</f>
        <v>68271</v>
      </c>
      <c r="C417" s="216"/>
      <c r="D417" s="216"/>
      <c r="E417" s="217"/>
      <c r="F417" s="218">
        <f ca="1">'Financial Planning Tool'!U116</f>
        <v>116</v>
      </c>
      <c r="G417" s="186"/>
      <c r="H417" s="186"/>
      <c r="I417" s="219"/>
      <c r="J417" s="220" t="str">
        <f>IF('Financial Planning Tool'!V116="","",'Financial Planning Tool'!V116)</f>
        <v/>
      </c>
      <c r="K417" s="221"/>
      <c r="L417" s="221"/>
      <c r="M417" s="221"/>
      <c r="N417" s="221"/>
      <c r="O417" s="221"/>
      <c r="P417" s="221"/>
      <c r="Q417" s="222"/>
      <c r="R417" s="220" t="str">
        <f>IF('Financial Planning Tool'!W116="","",'Financial Planning Tool'!W116)</f>
        <v/>
      </c>
      <c r="S417" s="221"/>
      <c r="T417" s="221"/>
      <c r="U417" s="221"/>
      <c r="V417" s="221"/>
      <c r="W417" s="221"/>
      <c r="X417" s="221"/>
      <c r="Y417" s="222"/>
      <c r="Z417" s="220" t="str">
        <f>IF('Financial Planning Tool'!X116="","",'Financial Planning Tool'!X116)</f>
        <v/>
      </c>
      <c r="AA417" s="221"/>
      <c r="AB417" s="221"/>
      <c r="AC417" s="221"/>
      <c r="AD417" s="221"/>
      <c r="AE417" s="221"/>
      <c r="AF417" s="221"/>
      <c r="AG417" s="222"/>
      <c r="AH417" s="220" t="str">
        <f>IF('Financial Planning Tool'!Y116="","",'Financial Planning Tool'!Y116)</f>
        <v/>
      </c>
      <c r="AI417" s="221"/>
      <c r="AJ417" s="221"/>
      <c r="AK417" s="221"/>
      <c r="AL417" s="221"/>
      <c r="AM417" s="221"/>
      <c r="AN417" s="221"/>
      <c r="AO417" s="222"/>
      <c r="AP417" s="220" t="str">
        <f>IF('Financial Planning Tool'!Z116="","",'Financial Planning Tool'!Z116)</f>
        <v/>
      </c>
      <c r="AQ417" s="221"/>
      <c r="AR417" s="221"/>
      <c r="AS417" s="221"/>
      <c r="AT417" s="221"/>
      <c r="AU417" s="221"/>
      <c r="AV417" s="221"/>
      <c r="AW417" s="222"/>
      <c r="AX417" s="220" t="str">
        <f>IF('Financial Planning Tool'!AA116="","",'Financial Planning Tool'!AA116)</f>
        <v/>
      </c>
      <c r="AY417" s="221"/>
      <c r="AZ417" s="221"/>
      <c r="BA417" s="221"/>
      <c r="BB417" s="221"/>
      <c r="BC417" s="221"/>
      <c r="BD417" s="221"/>
      <c r="BE417" s="222"/>
      <c r="BF417" s="220">
        <f>'Financial Planning Tool'!AB116</f>
        <v>59053119.530000001</v>
      </c>
      <c r="BG417" s="221"/>
      <c r="BH417" s="221"/>
      <c r="BI417" s="221"/>
      <c r="BJ417" s="221"/>
      <c r="BK417" s="221"/>
      <c r="BL417" s="221"/>
      <c r="BM417" s="222"/>
      <c r="BN417" s="220">
        <f>'Financial Planning Tool'!AC116</f>
        <v>5190100.9800000004</v>
      </c>
      <c r="BO417" s="221"/>
      <c r="BP417" s="221"/>
      <c r="BQ417" s="221"/>
      <c r="BR417" s="221"/>
      <c r="BS417" s="221"/>
      <c r="BT417" s="221"/>
      <c r="BU417" s="222"/>
    </row>
    <row r="418" spans="2:73" x14ac:dyDescent="0.25">
      <c r="B418" s="215">
        <f ca="1">'Financial Planning Tool'!T117</f>
        <v>68636</v>
      </c>
      <c r="C418" s="216"/>
      <c r="D418" s="216"/>
      <c r="E418" s="217"/>
      <c r="F418" s="218">
        <f ca="1">'Financial Planning Tool'!U117</f>
        <v>117</v>
      </c>
      <c r="G418" s="186"/>
      <c r="H418" s="186"/>
      <c r="I418" s="219"/>
      <c r="J418" s="220" t="str">
        <f>IF('Financial Planning Tool'!V117="","",'Financial Planning Tool'!V117)</f>
        <v/>
      </c>
      <c r="K418" s="221"/>
      <c r="L418" s="221"/>
      <c r="M418" s="221"/>
      <c r="N418" s="221"/>
      <c r="O418" s="221"/>
      <c r="P418" s="221"/>
      <c r="Q418" s="222"/>
      <c r="R418" s="220" t="str">
        <f>IF('Financial Planning Tool'!W117="","",'Financial Planning Tool'!W117)</f>
        <v/>
      </c>
      <c r="S418" s="221"/>
      <c r="T418" s="221"/>
      <c r="U418" s="221"/>
      <c r="V418" s="221"/>
      <c r="W418" s="221"/>
      <c r="X418" s="221"/>
      <c r="Y418" s="222"/>
      <c r="Z418" s="220" t="str">
        <f>IF('Financial Planning Tool'!X117="","",'Financial Planning Tool'!X117)</f>
        <v/>
      </c>
      <c r="AA418" s="221"/>
      <c r="AB418" s="221"/>
      <c r="AC418" s="221"/>
      <c r="AD418" s="221"/>
      <c r="AE418" s="221"/>
      <c r="AF418" s="221"/>
      <c r="AG418" s="222"/>
      <c r="AH418" s="220" t="str">
        <f>IF('Financial Planning Tool'!Y117="","",'Financial Planning Tool'!Y117)</f>
        <v/>
      </c>
      <c r="AI418" s="221"/>
      <c r="AJ418" s="221"/>
      <c r="AK418" s="221"/>
      <c r="AL418" s="221"/>
      <c r="AM418" s="221"/>
      <c r="AN418" s="221"/>
      <c r="AO418" s="222"/>
      <c r="AP418" s="220" t="str">
        <f>IF('Financial Planning Tool'!Z117="","",'Financial Planning Tool'!Z117)</f>
        <v/>
      </c>
      <c r="AQ418" s="221"/>
      <c r="AR418" s="221"/>
      <c r="AS418" s="221"/>
      <c r="AT418" s="221"/>
      <c r="AU418" s="221"/>
      <c r="AV418" s="221"/>
      <c r="AW418" s="222"/>
      <c r="AX418" s="220" t="str">
        <f>IF('Financial Planning Tool'!AA117="","",'Financial Planning Tool'!AA117)</f>
        <v/>
      </c>
      <c r="AY418" s="221"/>
      <c r="AZ418" s="221"/>
      <c r="BA418" s="221"/>
      <c r="BB418" s="221"/>
      <c r="BC418" s="221"/>
      <c r="BD418" s="221"/>
      <c r="BE418" s="222"/>
      <c r="BF418" s="220">
        <f>'Financial Planning Tool'!AB117</f>
        <v>63777369.090000004</v>
      </c>
      <c r="BG418" s="221"/>
      <c r="BH418" s="221"/>
      <c r="BI418" s="221"/>
      <c r="BJ418" s="221"/>
      <c r="BK418" s="221"/>
      <c r="BL418" s="221"/>
      <c r="BM418" s="222"/>
      <c r="BN418" s="220">
        <f>'Financial Planning Tool'!AC117</f>
        <v>5389720.25</v>
      </c>
      <c r="BO418" s="221"/>
      <c r="BP418" s="221"/>
      <c r="BQ418" s="221"/>
      <c r="BR418" s="221"/>
      <c r="BS418" s="221"/>
      <c r="BT418" s="221"/>
      <c r="BU418" s="222"/>
    </row>
    <row r="419" spans="2:73" x14ac:dyDescent="0.25">
      <c r="B419" s="215">
        <f ca="1">'Financial Planning Tool'!T118</f>
        <v>69002</v>
      </c>
      <c r="C419" s="216"/>
      <c r="D419" s="216"/>
      <c r="E419" s="217"/>
      <c r="F419" s="218">
        <f ca="1">'Financial Planning Tool'!U118</f>
        <v>118</v>
      </c>
      <c r="G419" s="186"/>
      <c r="H419" s="186"/>
      <c r="I419" s="219"/>
      <c r="J419" s="220" t="str">
        <f>IF('Financial Planning Tool'!V118="","",'Financial Planning Tool'!V118)</f>
        <v/>
      </c>
      <c r="K419" s="221"/>
      <c r="L419" s="221"/>
      <c r="M419" s="221"/>
      <c r="N419" s="221"/>
      <c r="O419" s="221"/>
      <c r="P419" s="221"/>
      <c r="Q419" s="222"/>
      <c r="R419" s="220" t="str">
        <f>IF('Financial Planning Tool'!W118="","",'Financial Planning Tool'!W118)</f>
        <v/>
      </c>
      <c r="S419" s="221"/>
      <c r="T419" s="221"/>
      <c r="U419" s="221"/>
      <c r="V419" s="221"/>
      <c r="W419" s="221"/>
      <c r="X419" s="221"/>
      <c r="Y419" s="222"/>
      <c r="Z419" s="220" t="str">
        <f>IF('Financial Planning Tool'!X118="","",'Financial Planning Tool'!X118)</f>
        <v/>
      </c>
      <c r="AA419" s="221"/>
      <c r="AB419" s="221"/>
      <c r="AC419" s="221"/>
      <c r="AD419" s="221"/>
      <c r="AE419" s="221"/>
      <c r="AF419" s="221"/>
      <c r="AG419" s="222"/>
      <c r="AH419" s="220" t="str">
        <f>IF('Financial Planning Tool'!Y118="","",'Financial Planning Tool'!Y118)</f>
        <v/>
      </c>
      <c r="AI419" s="221"/>
      <c r="AJ419" s="221"/>
      <c r="AK419" s="221"/>
      <c r="AL419" s="221"/>
      <c r="AM419" s="221"/>
      <c r="AN419" s="221"/>
      <c r="AO419" s="222"/>
      <c r="AP419" s="220" t="str">
        <f>IF('Financial Planning Tool'!Z118="","",'Financial Planning Tool'!Z118)</f>
        <v/>
      </c>
      <c r="AQ419" s="221"/>
      <c r="AR419" s="221"/>
      <c r="AS419" s="221"/>
      <c r="AT419" s="221"/>
      <c r="AU419" s="221"/>
      <c r="AV419" s="221"/>
      <c r="AW419" s="222"/>
      <c r="AX419" s="220" t="str">
        <f>IF('Financial Planning Tool'!AA118="","",'Financial Planning Tool'!AA118)</f>
        <v/>
      </c>
      <c r="AY419" s="221"/>
      <c r="AZ419" s="221"/>
      <c r="BA419" s="221"/>
      <c r="BB419" s="221"/>
      <c r="BC419" s="221"/>
      <c r="BD419" s="221"/>
      <c r="BE419" s="222"/>
      <c r="BF419" s="220">
        <f>'Financial Planning Tool'!AB118</f>
        <v>68879558.620000005</v>
      </c>
      <c r="BG419" s="221"/>
      <c r="BH419" s="221"/>
      <c r="BI419" s="221"/>
      <c r="BJ419" s="221"/>
      <c r="BK419" s="221"/>
      <c r="BL419" s="221"/>
      <c r="BM419" s="222"/>
      <c r="BN419" s="220">
        <f>'Financial Planning Tool'!AC118</f>
        <v>5597017.1900000004</v>
      </c>
      <c r="BO419" s="221"/>
      <c r="BP419" s="221"/>
      <c r="BQ419" s="221"/>
      <c r="BR419" s="221"/>
      <c r="BS419" s="221"/>
      <c r="BT419" s="221"/>
      <c r="BU419" s="222"/>
    </row>
    <row r="420" spans="2:73" x14ac:dyDescent="0.25">
      <c r="B420" s="215">
        <f ca="1">'Financial Planning Tool'!T119</f>
        <v>69367</v>
      </c>
      <c r="C420" s="216"/>
      <c r="D420" s="216"/>
      <c r="E420" s="217"/>
      <c r="F420" s="218">
        <f ca="1">'Financial Planning Tool'!U119</f>
        <v>119</v>
      </c>
      <c r="G420" s="186"/>
      <c r="H420" s="186"/>
      <c r="I420" s="219"/>
      <c r="J420" s="220" t="str">
        <f>IF('Financial Planning Tool'!V119="","",'Financial Planning Tool'!V119)</f>
        <v/>
      </c>
      <c r="K420" s="221"/>
      <c r="L420" s="221"/>
      <c r="M420" s="221"/>
      <c r="N420" s="221"/>
      <c r="O420" s="221"/>
      <c r="P420" s="221"/>
      <c r="Q420" s="222"/>
      <c r="R420" s="220" t="str">
        <f>IF('Financial Planning Tool'!W119="","",'Financial Planning Tool'!W119)</f>
        <v/>
      </c>
      <c r="S420" s="221"/>
      <c r="T420" s="221"/>
      <c r="U420" s="221"/>
      <c r="V420" s="221"/>
      <c r="W420" s="221"/>
      <c r="X420" s="221"/>
      <c r="Y420" s="222"/>
      <c r="Z420" s="220" t="str">
        <f>IF('Financial Planning Tool'!X119="","",'Financial Planning Tool'!X119)</f>
        <v/>
      </c>
      <c r="AA420" s="221"/>
      <c r="AB420" s="221"/>
      <c r="AC420" s="221"/>
      <c r="AD420" s="221"/>
      <c r="AE420" s="221"/>
      <c r="AF420" s="221"/>
      <c r="AG420" s="222"/>
      <c r="AH420" s="220" t="str">
        <f>IF('Financial Planning Tool'!Y119="","",'Financial Planning Tool'!Y119)</f>
        <v/>
      </c>
      <c r="AI420" s="221"/>
      <c r="AJ420" s="221"/>
      <c r="AK420" s="221"/>
      <c r="AL420" s="221"/>
      <c r="AM420" s="221"/>
      <c r="AN420" s="221"/>
      <c r="AO420" s="222"/>
      <c r="AP420" s="220" t="str">
        <f>IF('Financial Planning Tool'!Z119="","",'Financial Planning Tool'!Z119)</f>
        <v/>
      </c>
      <c r="AQ420" s="221"/>
      <c r="AR420" s="221"/>
      <c r="AS420" s="221"/>
      <c r="AT420" s="221"/>
      <c r="AU420" s="221"/>
      <c r="AV420" s="221"/>
      <c r="AW420" s="222"/>
      <c r="AX420" s="220" t="str">
        <f>IF('Financial Planning Tool'!AA119="","",'Financial Planning Tool'!AA119)</f>
        <v/>
      </c>
      <c r="AY420" s="221"/>
      <c r="AZ420" s="221"/>
      <c r="BA420" s="221"/>
      <c r="BB420" s="221"/>
      <c r="BC420" s="221"/>
      <c r="BD420" s="221"/>
      <c r="BE420" s="222"/>
      <c r="BF420" s="220">
        <f>'Financial Planning Tool'!AB119</f>
        <v>74389923.310000002</v>
      </c>
      <c r="BG420" s="221"/>
      <c r="BH420" s="221"/>
      <c r="BI420" s="221"/>
      <c r="BJ420" s="221"/>
      <c r="BK420" s="221"/>
      <c r="BL420" s="221"/>
      <c r="BM420" s="222"/>
      <c r="BN420" s="220">
        <f>'Financial Planning Tool'!AC119</f>
        <v>5812287.0800000001</v>
      </c>
      <c r="BO420" s="221"/>
      <c r="BP420" s="221"/>
      <c r="BQ420" s="221"/>
      <c r="BR420" s="221"/>
      <c r="BS420" s="221"/>
      <c r="BT420" s="221"/>
      <c r="BU420" s="222"/>
    </row>
    <row r="421" spans="2:73" x14ac:dyDescent="0.25">
      <c r="B421" s="215">
        <f ca="1">'Financial Planning Tool'!T120</f>
        <v>69732</v>
      </c>
      <c r="C421" s="216"/>
      <c r="D421" s="216"/>
      <c r="E421" s="217"/>
      <c r="F421" s="218">
        <f ca="1">'Financial Planning Tool'!U120</f>
        <v>120</v>
      </c>
      <c r="G421" s="186"/>
      <c r="H421" s="186"/>
      <c r="I421" s="219"/>
      <c r="J421" s="220" t="str">
        <f>IF('Financial Planning Tool'!V120="","",'Financial Planning Tool'!V120)</f>
        <v/>
      </c>
      <c r="K421" s="221"/>
      <c r="L421" s="221"/>
      <c r="M421" s="221"/>
      <c r="N421" s="221"/>
      <c r="O421" s="221"/>
      <c r="P421" s="221"/>
      <c r="Q421" s="222"/>
      <c r="R421" s="220" t="str">
        <f>IF('Financial Planning Tool'!W120="","",'Financial Planning Tool'!W120)</f>
        <v/>
      </c>
      <c r="S421" s="221"/>
      <c r="T421" s="221"/>
      <c r="U421" s="221"/>
      <c r="V421" s="221"/>
      <c r="W421" s="221"/>
      <c r="X421" s="221"/>
      <c r="Y421" s="222"/>
      <c r="Z421" s="220" t="str">
        <f>IF('Financial Planning Tool'!X120="","",'Financial Planning Tool'!X120)</f>
        <v/>
      </c>
      <c r="AA421" s="221"/>
      <c r="AB421" s="221"/>
      <c r="AC421" s="221"/>
      <c r="AD421" s="221"/>
      <c r="AE421" s="221"/>
      <c r="AF421" s="221"/>
      <c r="AG421" s="222"/>
      <c r="AH421" s="220" t="str">
        <f>IF('Financial Planning Tool'!Y120="","",'Financial Planning Tool'!Y120)</f>
        <v/>
      </c>
      <c r="AI421" s="221"/>
      <c r="AJ421" s="221"/>
      <c r="AK421" s="221"/>
      <c r="AL421" s="221"/>
      <c r="AM421" s="221"/>
      <c r="AN421" s="221"/>
      <c r="AO421" s="222"/>
      <c r="AP421" s="220" t="str">
        <f>IF('Financial Planning Tool'!Z120="","",'Financial Planning Tool'!Z120)</f>
        <v/>
      </c>
      <c r="AQ421" s="221"/>
      <c r="AR421" s="221"/>
      <c r="AS421" s="221"/>
      <c r="AT421" s="221"/>
      <c r="AU421" s="221"/>
      <c r="AV421" s="221"/>
      <c r="AW421" s="222"/>
      <c r="AX421" s="220" t="str">
        <f>IF('Financial Planning Tool'!AA120="","",'Financial Planning Tool'!AA120)</f>
        <v/>
      </c>
      <c r="AY421" s="221"/>
      <c r="AZ421" s="221"/>
      <c r="BA421" s="221"/>
      <c r="BB421" s="221"/>
      <c r="BC421" s="221"/>
      <c r="BD421" s="221"/>
      <c r="BE421" s="222"/>
      <c r="BF421" s="220">
        <f>'Financial Planning Tool'!AB120</f>
        <v>80341117.180000007</v>
      </c>
      <c r="BG421" s="221"/>
      <c r="BH421" s="221"/>
      <c r="BI421" s="221"/>
      <c r="BJ421" s="221"/>
      <c r="BK421" s="221"/>
      <c r="BL421" s="221"/>
      <c r="BM421" s="222"/>
      <c r="BN421" s="220">
        <f>'Financial Planning Tool'!AC120</f>
        <v>6035836.5800000001</v>
      </c>
      <c r="BO421" s="221"/>
      <c r="BP421" s="221"/>
      <c r="BQ421" s="221"/>
      <c r="BR421" s="221"/>
      <c r="BS421" s="221"/>
      <c r="BT421" s="221"/>
      <c r="BU421" s="222"/>
    </row>
    <row r="422" spans="2:73" x14ac:dyDescent="0.25">
      <c r="B422" s="215">
        <f ca="1">'Financial Planning Tool'!T121</f>
        <v>70097</v>
      </c>
      <c r="C422" s="216"/>
      <c r="D422" s="216"/>
      <c r="E422" s="217"/>
      <c r="F422" s="218">
        <f ca="1">'Financial Planning Tool'!U121</f>
        <v>121</v>
      </c>
      <c r="G422" s="186"/>
      <c r="H422" s="186"/>
      <c r="I422" s="219"/>
      <c r="J422" s="220" t="str">
        <f>IF('Financial Planning Tool'!V121="","",'Financial Planning Tool'!V121)</f>
        <v/>
      </c>
      <c r="K422" s="221"/>
      <c r="L422" s="221"/>
      <c r="M422" s="221"/>
      <c r="N422" s="221"/>
      <c r="O422" s="221"/>
      <c r="P422" s="221"/>
      <c r="Q422" s="222"/>
      <c r="R422" s="220" t="str">
        <f>IF('Financial Planning Tool'!W121="","",'Financial Planning Tool'!W121)</f>
        <v/>
      </c>
      <c r="S422" s="221"/>
      <c r="T422" s="221"/>
      <c r="U422" s="221"/>
      <c r="V422" s="221"/>
      <c r="W422" s="221"/>
      <c r="X422" s="221"/>
      <c r="Y422" s="222"/>
      <c r="Z422" s="220" t="str">
        <f>IF('Financial Planning Tool'!X121="","",'Financial Planning Tool'!X121)</f>
        <v/>
      </c>
      <c r="AA422" s="221"/>
      <c r="AB422" s="221"/>
      <c r="AC422" s="221"/>
      <c r="AD422" s="221"/>
      <c r="AE422" s="221"/>
      <c r="AF422" s="221"/>
      <c r="AG422" s="222"/>
      <c r="AH422" s="220" t="str">
        <f>IF('Financial Planning Tool'!Y121="","",'Financial Planning Tool'!Y121)</f>
        <v/>
      </c>
      <c r="AI422" s="221"/>
      <c r="AJ422" s="221"/>
      <c r="AK422" s="221"/>
      <c r="AL422" s="221"/>
      <c r="AM422" s="221"/>
      <c r="AN422" s="221"/>
      <c r="AO422" s="222"/>
      <c r="AP422" s="220" t="str">
        <f>IF('Financial Planning Tool'!Z121="","",'Financial Planning Tool'!Z121)</f>
        <v/>
      </c>
      <c r="AQ422" s="221"/>
      <c r="AR422" s="221"/>
      <c r="AS422" s="221"/>
      <c r="AT422" s="221"/>
      <c r="AU422" s="221"/>
      <c r="AV422" s="221"/>
      <c r="AW422" s="222"/>
      <c r="AX422" s="220" t="str">
        <f>IF('Financial Planning Tool'!AA121="","",'Financial Planning Tool'!AA121)</f>
        <v/>
      </c>
      <c r="AY422" s="221"/>
      <c r="AZ422" s="221"/>
      <c r="BA422" s="221"/>
      <c r="BB422" s="221"/>
      <c r="BC422" s="221"/>
      <c r="BD422" s="221"/>
      <c r="BE422" s="222"/>
      <c r="BF422" s="220">
        <f>'Financial Planning Tool'!AB121</f>
        <v>86768406.549999997</v>
      </c>
      <c r="BG422" s="221"/>
      <c r="BH422" s="221"/>
      <c r="BI422" s="221"/>
      <c r="BJ422" s="221"/>
      <c r="BK422" s="221"/>
      <c r="BL422" s="221"/>
      <c r="BM422" s="222"/>
      <c r="BN422" s="220">
        <f>'Financial Planning Tool'!AC121</f>
        <v>6267984.1399999997</v>
      </c>
      <c r="BO422" s="221"/>
      <c r="BP422" s="221"/>
      <c r="BQ422" s="221"/>
      <c r="BR422" s="221"/>
      <c r="BS422" s="221"/>
      <c r="BT422" s="221"/>
      <c r="BU422" s="222"/>
    </row>
    <row r="423" spans="2:73" x14ac:dyDescent="0.25">
      <c r="B423" s="215">
        <f ca="1">'Financial Planning Tool'!T122</f>
        <v>70463</v>
      </c>
      <c r="C423" s="216"/>
      <c r="D423" s="216"/>
      <c r="E423" s="217"/>
      <c r="F423" s="218">
        <f ca="1">'Financial Planning Tool'!U122</f>
        <v>122</v>
      </c>
      <c r="G423" s="186"/>
      <c r="H423" s="186"/>
      <c r="I423" s="219"/>
      <c r="J423" s="220" t="str">
        <f>IF('Financial Planning Tool'!V122="","",'Financial Planning Tool'!V122)</f>
        <v/>
      </c>
      <c r="K423" s="221"/>
      <c r="L423" s="221"/>
      <c r="M423" s="221"/>
      <c r="N423" s="221"/>
      <c r="O423" s="221"/>
      <c r="P423" s="221"/>
      <c r="Q423" s="222"/>
      <c r="R423" s="220" t="str">
        <f>IF('Financial Planning Tool'!W122="","",'Financial Planning Tool'!W122)</f>
        <v/>
      </c>
      <c r="S423" s="221"/>
      <c r="T423" s="221"/>
      <c r="U423" s="221"/>
      <c r="V423" s="221"/>
      <c r="W423" s="221"/>
      <c r="X423" s="221"/>
      <c r="Y423" s="222"/>
      <c r="Z423" s="220" t="str">
        <f>IF('Financial Planning Tool'!X122="","",'Financial Planning Tool'!X122)</f>
        <v/>
      </c>
      <c r="AA423" s="221"/>
      <c r="AB423" s="221"/>
      <c r="AC423" s="221"/>
      <c r="AD423" s="221"/>
      <c r="AE423" s="221"/>
      <c r="AF423" s="221"/>
      <c r="AG423" s="222"/>
      <c r="AH423" s="220" t="str">
        <f>IF('Financial Planning Tool'!Y122="","",'Financial Planning Tool'!Y122)</f>
        <v/>
      </c>
      <c r="AI423" s="221"/>
      <c r="AJ423" s="221"/>
      <c r="AK423" s="221"/>
      <c r="AL423" s="221"/>
      <c r="AM423" s="221"/>
      <c r="AN423" s="221"/>
      <c r="AO423" s="222"/>
      <c r="AP423" s="220" t="str">
        <f>IF('Financial Planning Tool'!Z122="","",'Financial Planning Tool'!Z122)</f>
        <v/>
      </c>
      <c r="AQ423" s="221"/>
      <c r="AR423" s="221"/>
      <c r="AS423" s="221"/>
      <c r="AT423" s="221"/>
      <c r="AU423" s="221"/>
      <c r="AV423" s="221"/>
      <c r="AW423" s="222"/>
      <c r="AX423" s="220" t="str">
        <f>IF('Financial Planning Tool'!AA122="","",'Financial Planning Tool'!AA122)</f>
        <v/>
      </c>
      <c r="AY423" s="221"/>
      <c r="AZ423" s="221"/>
      <c r="BA423" s="221"/>
      <c r="BB423" s="221"/>
      <c r="BC423" s="221"/>
      <c r="BD423" s="221"/>
      <c r="BE423" s="222"/>
      <c r="BF423" s="220">
        <f>'Financial Planning Tool'!AB122</f>
        <v>93709879.069999993</v>
      </c>
      <c r="BG423" s="221"/>
      <c r="BH423" s="221"/>
      <c r="BI423" s="221"/>
      <c r="BJ423" s="221"/>
      <c r="BK423" s="221"/>
      <c r="BL423" s="221"/>
      <c r="BM423" s="222"/>
      <c r="BN423" s="220">
        <f>'Financial Planning Tool'!AC122</f>
        <v>6509060.4500000002</v>
      </c>
      <c r="BO423" s="221"/>
      <c r="BP423" s="221"/>
      <c r="BQ423" s="221"/>
      <c r="BR423" s="221"/>
      <c r="BS423" s="221"/>
      <c r="BT423" s="221"/>
      <c r="BU423" s="222"/>
    </row>
    <row r="424" spans="2:73" x14ac:dyDescent="0.25">
      <c r="B424" s="215">
        <f ca="1">'Financial Planning Tool'!T123</f>
        <v>70828</v>
      </c>
      <c r="C424" s="216"/>
      <c r="D424" s="216"/>
      <c r="E424" s="217"/>
      <c r="F424" s="218">
        <f ca="1">'Financial Planning Tool'!U123</f>
        <v>123</v>
      </c>
      <c r="G424" s="186"/>
      <c r="H424" s="186"/>
      <c r="I424" s="219"/>
      <c r="J424" s="220" t="str">
        <f>IF('Financial Planning Tool'!V123="","",'Financial Planning Tool'!V123)</f>
        <v/>
      </c>
      <c r="K424" s="221"/>
      <c r="L424" s="221"/>
      <c r="M424" s="221"/>
      <c r="N424" s="221"/>
      <c r="O424" s="221"/>
      <c r="P424" s="221"/>
      <c r="Q424" s="222"/>
      <c r="R424" s="220" t="str">
        <f>IF('Financial Planning Tool'!W123="","",'Financial Planning Tool'!W123)</f>
        <v/>
      </c>
      <c r="S424" s="221"/>
      <c r="T424" s="221"/>
      <c r="U424" s="221"/>
      <c r="V424" s="221"/>
      <c r="W424" s="221"/>
      <c r="X424" s="221"/>
      <c r="Y424" s="222"/>
      <c r="Z424" s="220" t="str">
        <f>IF('Financial Planning Tool'!X123="","",'Financial Planning Tool'!X123)</f>
        <v/>
      </c>
      <c r="AA424" s="221"/>
      <c r="AB424" s="221"/>
      <c r="AC424" s="221"/>
      <c r="AD424" s="221"/>
      <c r="AE424" s="221"/>
      <c r="AF424" s="221"/>
      <c r="AG424" s="222"/>
      <c r="AH424" s="220" t="str">
        <f>IF('Financial Planning Tool'!Y123="","",'Financial Planning Tool'!Y123)</f>
        <v/>
      </c>
      <c r="AI424" s="221"/>
      <c r="AJ424" s="221"/>
      <c r="AK424" s="221"/>
      <c r="AL424" s="221"/>
      <c r="AM424" s="221"/>
      <c r="AN424" s="221"/>
      <c r="AO424" s="222"/>
      <c r="AP424" s="220" t="str">
        <f>IF('Financial Planning Tool'!Z123="","",'Financial Planning Tool'!Z123)</f>
        <v/>
      </c>
      <c r="AQ424" s="221"/>
      <c r="AR424" s="221"/>
      <c r="AS424" s="221"/>
      <c r="AT424" s="221"/>
      <c r="AU424" s="221"/>
      <c r="AV424" s="221"/>
      <c r="AW424" s="222"/>
      <c r="AX424" s="220" t="str">
        <f>IF('Financial Planning Tool'!AA123="","",'Financial Planning Tool'!AA123)</f>
        <v/>
      </c>
      <c r="AY424" s="221"/>
      <c r="AZ424" s="221"/>
      <c r="BA424" s="221"/>
      <c r="BB424" s="221"/>
      <c r="BC424" s="221"/>
      <c r="BD424" s="221"/>
      <c r="BE424" s="222"/>
      <c r="BF424" s="220">
        <f>'Financial Planning Tool'!AB123</f>
        <v>101206669.40000001</v>
      </c>
      <c r="BG424" s="221"/>
      <c r="BH424" s="221"/>
      <c r="BI424" s="221"/>
      <c r="BJ424" s="221"/>
      <c r="BK424" s="221"/>
      <c r="BL424" s="221"/>
      <c r="BM424" s="222"/>
      <c r="BN424" s="220">
        <f>'Financial Planning Tool'!AC123</f>
        <v>6759408.9299999997</v>
      </c>
      <c r="BO424" s="221"/>
      <c r="BP424" s="221"/>
      <c r="BQ424" s="221"/>
      <c r="BR424" s="221"/>
      <c r="BS424" s="221"/>
      <c r="BT424" s="221"/>
      <c r="BU424" s="222"/>
    </row>
    <row r="425" spans="2:73" x14ac:dyDescent="0.25">
      <c r="B425" s="215">
        <f ca="1">'Financial Planning Tool'!T124</f>
        <v>71193</v>
      </c>
      <c r="C425" s="216"/>
      <c r="D425" s="216"/>
      <c r="E425" s="217"/>
      <c r="F425" s="218">
        <f ca="1">'Financial Planning Tool'!U124</f>
        <v>124</v>
      </c>
      <c r="G425" s="186"/>
      <c r="H425" s="186"/>
      <c r="I425" s="219"/>
      <c r="J425" s="220" t="str">
        <f>IF('Financial Planning Tool'!V124="","",'Financial Planning Tool'!V124)</f>
        <v/>
      </c>
      <c r="K425" s="221"/>
      <c r="L425" s="221"/>
      <c r="M425" s="221"/>
      <c r="N425" s="221"/>
      <c r="O425" s="221"/>
      <c r="P425" s="221"/>
      <c r="Q425" s="222"/>
      <c r="R425" s="220" t="str">
        <f>IF('Financial Planning Tool'!W124="","",'Financial Planning Tool'!W124)</f>
        <v/>
      </c>
      <c r="S425" s="221"/>
      <c r="T425" s="221"/>
      <c r="U425" s="221"/>
      <c r="V425" s="221"/>
      <c r="W425" s="221"/>
      <c r="X425" s="221"/>
      <c r="Y425" s="222"/>
      <c r="Z425" s="220" t="str">
        <f>IF('Financial Planning Tool'!X124="","",'Financial Planning Tool'!X124)</f>
        <v/>
      </c>
      <c r="AA425" s="221"/>
      <c r="AB425" s="221"/>
      <c r="AC425" s="221"/>
      <c r="AD425" s="221"/>
      <c r="AE425" s="221"/>
      <c r="AF425" s="221"/>
      <c r="AG425" s="222"/>
      <c r="AH425" s="220" t="str">
        <f>IF('Financial Planning Tool'!Y124="","",'Financial Planning Tool'!Y124)</f>
        <v/>
      </c>
      <c r="AI425" s="221"/>
      <c r="AJ425" s="221"/>
      <c r="AK425" s="221"/>
      <c r="AL425" s="221"/>
      <c r="AM425" s="221"/>
      <c r="AN425" s="221"/>
      <c r="AO425" s="222"/>
      <c r="AP425" s="220" t="str">
        <f>IF('Financial Planning Tool'!Z124="","",'Financial Planning Tool'!Z124)</f>
        <v/>
      </c>
      <c r="AQ425" s="221"/>
      <c r="AR425" s="221"/>
      <c r="AS425" s="221"/>
      <c r="AT425" s="221"/>
      <c r="AU425" s="221"/>
      <c r="AV425" s="221"/>
      <c r="AW425" s="222"/>
      <c r="AX425" s="220" t="str">
        <f>IF('Financial Planning Tool'!AA124="","",'Financial Planning Tool'!AA124)</f>
        <v/>
      </c>
      <c r="AY425" s="221"/>
      <c r="AZ425" s="221"/>
      <c r="BA425" s="221"/>
      <c r="BB425" s="221"/>
      <c r="BC425" s="221"/>
      <c r="BD425" s="221"/>
      <c r="BE425" s="222"/>
      <c r="BF425" s="220">
        <f>'Financial Planning Tool'!AB124</f>
        <v>109303202.95</v>
      </c>
      <c r="BG425" s="221"/>
      <c r="BH425" s="221"/>
      <c r="BI425" s="221"/>
      <c r="BJ425" s="221"/>
      <c r="BK425" s="221"/>
      <c r="BL425" s="221"/>
      <c r="BM425" s="222"/>
      <c r="BN425" s="220">
        <f>'Financial Planning Tool'!AC124</f>
        <v>7019386.2000000002</v>
      </c>
      <c r="BO425" s="221"/>
      <c r="BP425" s="221"/>
      <c r="BQ425" s="221"/>
      <c r="BR425" s="221"/>
      <c r="BS425" s="221"/>
      <c r="BT425" s="221"/>
      <c r="BU425" s="222"/>
    </row>
    <row r="426" spans="2:73" x14ac:dyDescent="0.25">
      <c r="B426" s="215">
        <f ca="1">'Financial Planning Tool'!T125</f>
        <v>71558</v>
      </c>
      <c r="C426" s="216"/>
      <c r="D426" s="216"/>
      <c r="E426" s="217"/>
      <c r="F426" s="218">
        <f ca="1">'Financial Planning Tool'!U125</f>
        <v>125</v>
      </c>
      <c r="G426" s="186"/>
      <c r="H426" s="186"/>
      <c r="I426" s="219"/>
      <c r="J426" s="220" t="str">
        <f>IF('Financial Planning Tool'!V125="","",'Financial Planning Tool'!V125)</f>
        <v/>
      </c>
      <c r="K426" s="221"/>
      <c r="L426" s="221"/>
      <c r="M426" s="221"/>
      <c r="N426" s="221"/>
      <c r="O426" s="221"/>
      <c r="P426" s="221"/>
      <c r="Q426" s="222"/>
      <c r="R426" s="220" t="str">
        <f>IF('Financial Planning Tool'!W125="","",'Financial Planning Tool'!W125)</f>
        <v/>
      </c>
      <c r="S426" s="221"/>
      <c r="T426" s="221"/>
      <c r="U426" s="221"/>
      <c r="V426" s="221"/>
      <c r="W426" s="221"/>
      <c r="X426" s="221"/>
      <c r="Y426" s="222"/>
      <c r="Z426" s="220" t="str">
        <f>IF('Financial Planning Tool'!X125="","",'Financial Planning Tool'!X125)</f>
        <v/>
      </c>
      <c r="AA426" s="221"/>
      <c r="AB426" s="221"/>
      <c r="AC426" s="221"/>
      <c r="AD426" s="221"/>
      <c r="AE426" s="221"/>
      <c r="AF426" s="221"/>
      <c r="AG426" s="222"/>
      <c r="AH426" s="220" t="str">
        <f>IF('Financial Planning Tool'!Y125="","",'Financial Planning Tool'!Y125)</f>
        <v/>
      </c>
      <c r="AI426" s="221"/>
      <c r="AJ426" s="221"/>
      <c r="AK426" s="221"/>
      <c r="AL426" s="221"/>
      <c r="AM426" s="221"/>
      <c r="AN426" s="221"/>
      <c r="AO426" s="222"/>
      <c r="AP426" s="220" t="str">
        <f>IF('Financial Planning Tool'!Z125="","",'Financial Planning Tool'!Z125)</f>
        <v/>
      </c>
      <c r="AQ426" s="221"/>
      <c r="AR426" s="221"/>
      <c r="AS426" s="221"/>
      <c r="AT426" s="221"/>
      <c r="AU426" s="221"/>
      <c r="AV426" s="221"/>
      <c r="AW426" s="222"/>
      <c r="AX426" s="220" t="str">
        <f>IF('Financial Planning Tool'!AA125="","",'Financial Planning Tool'!AA125)</f>
        <v/>
      </c>
      <c r="AY426" s="221"/>
      <c r="AZ426" s="221"/>
      <c r="BA426" s="221"/>
      <c r="BB426" s="221"/>
      <c r="BC426" s="221"/>
      <c r="BD426" s="221"/>
      <c r="BE426" s="222"/>
      <c r="BF426" s="220">
        <f>'Financial Planning Tool'!AB125</f>
        <v>118047459.19</v>
      </c>
      <c r="BG426" s="221"/>
      <c r="BH426" s="221"/>
      <c r="BI426" s="221"/>
      <c r="BJ426" s="221"/>
      <c r="BK426" s="221"/>
      <c r="BL426" s="221"/>
      <c r="BM426" s="222"/>
      <c r="BN426" s="220">
        <f>'Financial Planning Tool'!AC125</f>
        <v>7289362.5899999999</v>
      </c>
      <c r="BO426" s="221"/>
      <c r="BP426" s="221"/>
      <c r="BQ426" s="221"/>
      <c r="BR426" s="221"/>
      <c r="BS426" s="221"/>
      <c r="BT426" s="221"/>
      <c r="BU426" s="222"/>
    </row>
    <row r="427" spans="2:73" x14ac:dyDescent="0.25">
      <c r="B427" s="215">
        <f ca="1">'Financial Planning Tool'!T126</f>
        <v>71924</v>
      </c>
      <c r="C427" s="216"/>
      <c r="D427" s="216"/>
      <c r="E427" s="217"/>
      <c r="F427" s="218">
        <f ca="1">'Financial Planning Tool'!U126</f>
        <v>126</v>
      </c>
      <c r="G427" s="186"/>
      <c r="H427" s="186"/>
      <c r="I427" s="219"/>
      <c r="J427" s="220" t="str">
        <f>IF('Financial Planning Tool'!V126="","",'Financial Planning Tool'!V126)</f>
        <v/>
      </c>
      <c r="K427" s="221"/>
      <c r="L427" s="221"/>
      <c r="M427" s="221"/>
      <c r="N427" s="221"/>
      <c r="O427" s="221"/>
      <c r="P427" s="221"/>
      <c r="Q427" s="222"/>
      <c r="R427" s="220" t="str">
        <f>IF('Financial Planning Tool'!W126="","",'Financial Planning Tool'!W126)</f>
        <v/>
      </c>
      <c r="S427" s="221"/>
      <c r="T427" s="221"/>
      <c r="U427" s="221"/>
      <c r="V427" s="221"/>
      <c r="W427" s="221"/>
      <c r="X427" s="221"/>
      <c r="Y427" s="222"/>
      <c r="Z427" s="220" t="str">
        <f>IF('Financial Planning Tool'!X126="","",'Financial Planning Tool'!X126)</f>
        <v/>
      </c>
      <c r="AA427" s="221"/>
      <c r="AB427" s="221"/>
      <c r="AC427" s="221"/>
      <c r="AD427" s="221"/>
      <c r="AE427" s="221"/>
      <c r="AF427" s="221"/>
      <c r="AG427" s="222"/>
      <c r="AH427" s="220" t="str">
        <f>IF('Financial Planning Tool'!Y126="","",'Financial Planning Tool'!Y126)</f>
        <v/>
      </c>
      <c r="AI427" s="221"/>
      <c r="AJ427" s="221"/>
      <c r="AK427" s="221"/>
      <c r="AL427" s="221"/>
      <c r="AM427" s="221"/>
      <c r="AN427" s="221"/>
      <c r="AO427" s="222"/>
      <c r="AP427" s="220" t="str">
        <f>IF('Financial Planning Tool'!Z126="","",'Financial Planning Tool'!Z126)</f>
        <v/>
      </c>
      <c r="AQ427" s="221"/>
      <c r="AR427" s="221"/>
      <c r="AS427" s="221"/>
      <c r="AT427" s="221"/>
      <c r="AU427" s="221"/>
      <c r="AV427" s="221"/>
      <c r="AW427" s="222"/>
      <c r="AX427" s="220" t="str">
        <f>IF('Financial Planning Tool'!AA126="","",'Financial Planning Tool'!AA126)</f>
        <v/>
      </c>
      <c r="AY427" s="221"/>
      <c r="AZ427" s="221"/>
      <c r="BA427" s="221"/>
      <c r="BB427" s="221"/>
      <c r="BC427" s="221"/>
      <c r="BD427" s="221"/>
      <c r="BE427" s="222"/>
      <c r="BF427" s="220">
        <f>'Financial Planning Tool'!AB126</f>
        <v>127491255.92</v>
      </c>
      <c r="BG427" s="221"/>
      <c r="BH427" s="221"/>
      <c r="BI427" s="221"/>
      <c r="BJ427" s="221"/>
      <c r="BK427" s="221"/>
      <c r="BL427" s="221"/>
      <c r="BM427" s="222"/>
      <c r="BN427" s="220">
        <f>'Financial Planning Tool'!AC126</f>
        <v>7569722.6900000004</v>
      </c>
      <c r="BO427" s="221"/>
      <c r="BP427" s="221"/>
      <c r="BQ427" s="221"/>
      <c r="BR427" s="221"/>
      <c r="BS427" s="221"/>
      <c r="BT427" s="221"/>
      <c r="BU427" s="222"/>
    </row>
    <row r="428" spans="2:73" x14ac:dyDescent="0.25">
      <c r="B428" s="215">
        <f ca="1">'Financial Planning Tool'!T127</f>
        <v>72289</v>
      </c>
      <c r="C428" s="216"/>
      <c r="D428" s="216"/>
      <c r="E428" s="217"/>
      <c r="F428" s="218">
        <f ca="1">'Financial Planning Tool'!U127</f>
        <v>127</v>
      </c>
      <c r="G428" s="186"/>
      <c r="H428" s="186"/>
      <c r="I428" s="219"/>
      <c r="J428" s="220" t="str">
        <f>IF('Financial Planning Tool'!V127="","",'Financial Planning Tool'!V127)</f>
        <v/>
      </c>
      <c r="K428" s="221"/>
      <c r="L428" s="221"/>
      <c r="M428" s="221"/>
      <c r="N428" s="221"/>
      <c r="O428" s="221"/>
      <c r="P428" s="221"/>
      <c r="Q428" s="222"/>
      <c r="R428" s="220" t="str">
        <f>IF('Financial Planning Tool'!W127="","",'Financial Planning Tool'!W127)</f>
        <v/>
      </c>
      <c r="S428" s="221"/>
      <c r="T428" s="221"/>
      <c r="U428" s="221"/>
      <c r="V428" s="221"/>
      <c r="W428" s="221"/>
      <c r="X428" s="221"/>
      <c r="Y428" s="222"/>
      <c r="Z428" s="220" t="str">
        <f>IF('Financial Planning Tool'!X127="","",'Financial Planning Tool'!X127)</f>
        <v/>
      </c>
      <c r="AA428" s="221"/>
      <c r="AB428" s="221"/>
      <c r="AC428" s="221"/>
      <c r="AD428" s="221"/>
      <c r="AE428" s="221"/>
      <c r="AF428" s="221"/>
      <c r="AG428" s="222"/>
      <c r="AH428" s="220" t="str">
        <f>IF('Financial Planning Tool'!Y127="","",'Financial Planning Tool'!Y127)</f>
        <v/>
      </c>
      <c r="AI428" s="221"/>
      <c r="AJ428" s="221"/>
      <c r="AK428" s="221"/>
      <c r="AL428" s="221"/>
      <c r="AM428" s="221"/>
      <c r="AN428" s="221"/>
      <c r="AO428" s="222"/>
      <c r="AP428" s="220" t="str">
        <f>IF('Financial Planning Tool'!Z127="","",'Financial Planning Tool'!Z127)</f>
        <v/>
      </c>
      <c r="AQ428" s="221"/>
      <c r="AR428" s="221"/>
      <c r="AS428" s="221"/>
      <c r="AT428" s="221"/>
      <c r="AU428" s="221"/>
      <c r="AV428" s="221"/>
      <c r="AW428" s="222"/>
      <c r="AX428" s="220" t="str">
        <f>IF('Financial Planning Tool'!AA127="","",'Financial Planning Tool'!AA127)</f>
        <v/>
      </c>
      <c r="AY428" s="221"/>
      <c r="AZ428" s="221"/>
      <c r="BA428" s="221"/>
      <c r="BB428" s="221"/>
      <c r="BC428" s="221"/>
      <c r="BD428" s="221"/>
      <c r="BE428" s="222"/>
      <c r="BF428" s="220">
        <f>'Financial Planning Tool'!AB127</f>
        <v>137690556.40000001</v>
      </c>
      <c r="BG428" s="221"/>
      <c r="BH428" s="221"/>
      <c r="BI428" s="221"/>
      <c r="BJ428" s="221"/>
      <c r="BK428" s="221"/>
      <c r="BL428" s="221"/>
      <c r="BM428" s="222"/>
      <c r="BN428" s="220">
        <f>'Financial Planning Tool'!AC127</f>
        <v>7860865.8700000001</v>
      </c>
      <c r="BO428" s="221"/>
      <c r="BP428" s="221"/>
      <c r="BQ428" s="221"/>
      <c r="BR428" s="221"/>
      <c r="BS428" s="221"/>
      <c r="BT428" s="221"/>
      <c r="BU428" s="222"/>
    </row>
    <row r="429" spans="2:73" x14ac:dyDescent="0.25">
      <c r="B429" s="215">
        <f ca="1">'Financial Planning Tool'!T128</f>
        <v>72654</v>
      </c>
      <c r="C429" s="216"/>
      <c r="D429" s="216"/>
      <c r="E429" s="217"/>
      <c r="F429" s="218">
        <f ca="1">'Financial Planning Tool'!U128</f>
        <v>128</v>
      </c>
      <c r="G429" s="186"/>
      <c r="H429" s="186"/>
      <c r="I429" s="219"/>
      <c r="J429" s="220" t="str">
        <f>IF('Financial Planning Tool'!V128="","",'Financial Planning Tool'!V128)</f>
        <v/>
      </c>
      <c r="K429" s="221"/>
      <c r="L429" s="221"/>
      <c r="M429" s="221"/>
      <c r="N429" s="221"/>
      <c r="O429" s="221"/>
      <c r="P429" s="221"/>
      <c r="Q429" s="222"/>
      <c r="R429" s="220" t="str">
        <f>IF('Financial Planning Tool'!W128="","",'Financial Planning Tool'!W128)</f>
        <v/>
      </c>
      <c r="S429" s="221"/>
      <c r="T429" s="221"/>
      <c r="U429" s="221"/>
      <c r="V429" s="221"/>
      <c r="W429" s="221"/>
      <c r="X429" s="221"/>
      <c r="Y429" s="222"/>
      <c r="Z429" s="220" t="str">
        <f>IF('Financial Planning Tool'!X128="","",'Financial Planning Tool'!X128)</f>
        <v/>
      </c>
      <c r="AA429" s="221"/>
      <c r="AB429" s="221"/>
      <c r="AC429" s="221"/>
      <c r="AD429" s="221"/>
      <c r="AE429" s="221"/>
      <c r="AF429" s="221"/>
      <c r="AG429" s="222"/>
      <c r="AH429" s="220" t="str">
        <f>IF('Financial Planning Tool'!Y128="","",'Financial Planning Tool'!Y128)</f>
        <v/>
      </c>
      <c r="AI429" s="221"/>
      <c r="AJ429" s="221"/>
      <c r="AK429" s="221"/>
      <c r="AL429" s="221"/>
      <c r="AM429" s="221"/>
      <c r="AN429" s="221"/>
      <c r="AO429" s="222"/>
      <c r="AP429" s="220" t="str">
        <f>IF('Financial Planning Tool'!Z128="","",'Financial Planning Tool'!Z128)</f>
        <v/>
      </c>
      <c r="AQ429" s="221"/>
      <c r="AR429" s="221"/>
      <c r="AS429" s="221"/>
      <c r="AT429" s="221"/>
      <c r="AU429" s="221"/>
      <c r="AV429" s="221"/>
      <c r="AW429" s="222"/>
      <c r="AX429" s="220" t="str">
        <f>IF('Financial Planning Tool'!AA128="","",'Financial Planning Tool'!AA128)</f>
        <v/>
      </c>
      <c r="AY429" s="221"/>
      <c r="AZ429" s="221"/>
      <c r="BA429" s="221"/>
      <c r="BB429" s="221"/>
      <c r="BC429" s="221"/>
      <c r="BD429" s="221"/>
      <c r="BE429" s="222"/>
      <c r="BF429" s="220">
        <f>'Financial Planning Tool'!AB128</f>
        <v>148705800.91</v>
      </c>
      <c r="BG429" s="221"/>
      <c r="BH429" s="221"/>
      <c r="BI429" s="221"/>
      <c r="BJ429" s="221"/>
      <c r="BK429" s="221"/>
      <c r="BL429" s="221"/>
      <c r="BM429" s="222"/>
      <c r="BN429" s="220">
        <f>'Financial Planning Tool'!AC128</f>
        <v>8163206.8700000001</v>
      </c>
      <c r="BO429" s="221"/>
      <c r="BP429" s="221"/>
      <c r="BQ429" s="221"/>
      <c r="BR429" s="221"/>
      <c r="BS429" s="221"/>
      <c r="BT429" s="221"/>
      <c r="BU429" s="222"/>
    </row>
    <row r="430" spans="2:73" x14ac:dyDescent="0.25">
      <c r="B430" s="215">
        <f ca="1">'Financial Planning Tool'!T129</f>
        <v>73019</v>
      </c>
      <c r="C430" s="216"/>
      <c r="D430" s="216"/>
      <c r="E430" s="217"/>
      <c r="F430" s="218">
        <f ca="1">'Financial Planning Tool'!U129</f>
        <v>129</v>
      </c>
      <c r="G430" s="186"/>
      <c r="H430" s="186"/>
      <c r="I430" s="219"/>
      <c r="J430" s="220" t="str">
        <f>IF('Financial Planning Tool'!V129="","",'Financial Planning Tool'!V129)</f>
        <v/>
      </c>
      <c r="K430" s="221"/>
      <c r="L430" s="221"/>
      <c r="M430" s="221"/>
      <c r="N430" s="221"/>
      <c r="O430" s="221"/>
      <c r="P430" s="221"/>
      <c r="Q430" s="222"/>
      <c r="R430" s="220" t="str">
        <f>IF('Financial Planning Tool'!W129="","",'Financial Planning Tool'!W129)</f>
        <v/>
      </c>
      <c r="S430" s="221"/>
      <c r="T430" s="221"/>
      <c r="U430" s="221"/>
      <c r="V430" s="221"/>
      <c r="W430" s="221"/>
      <c r="X430" s="221"/>
      <c r="Y430" s="222"/>
      <c r="Z430" s="220" t="str">
        <f>IF('Financial Planning Tool'!X129="","",'Financial Planning Tool'!X129)</f>
        <v/>
      </c>
      <c r="AA430" s="221"/>
      <c r="AB430" s="221"/>
      <c r="AC430" s="221"/>
      <c r="AD430" s="221"/>
      <c r="AE430" s="221"/>
      <c r="AF430" s="221"/>
      <c r="AG430" s="222"/>
      <c r="AH430" s="220" t="str">
        <f>IF('Financial Planning Tool'!Y129="","",'Financial Planning Tool'!Y129)</f>
        <v/>
      </c>
      <c r="AI430" s="221"/>
      <c r="AJ430" s="221"/>
      <c r="AK430" s="221"/>
      <c r="AL430" s="221"/>
      <c r="AM430" s="221"/>
      <c r="AN430" s="221"/>
      <c r="AO430" s="222"/>
      <c r="AP430" s="220" t="str">
        <f>IF('Financial Planning Tool'!Z129="","",'Financial Planning Tool'!Z129)</f>
        <v/>
      </c>
      <c r="AQ430" s="221"/>
      <c r="AR430" s="221"/>
      <c r="AS430" s="221"/>
      <c r="AT430" s="221"/>
      <c r="AU430" s="221"/>
      <c r="AV430" s="221"/>
      <c r="AW430" s="222"/>
      <c r="AX430" s="220" t="str">
        <f>IF('Financial Planning Tool'!AA129="","",'Financial Planning Tool'!AA129)</f>
        <v/>
      </c>
      <c r="AY430" s="221"/>
      <c r="AZ430" s="221"/>
      <c r="BA430" s="221"/>
      <c r="BB430" s="221"/>
      <c r="BC430" s="221"/>
      <c r="BD430" s="221"/>
      <c r="BE430" s="222"/>
      <c r="BF430" s="220">
        <f>'Financial Planning Tool'!AB129</f>
        <v>160602264.97999999</v>
      </c>
      <c r="BG430" s="221"/>
      <c r="BH430" s="221"/>
      <c r="BI430" s="221"/>
      <c r="BJ430" s="221"/>
      <c r="BK430" s="221"/>
      <c r="BL430" s="221"/>
      <c r="BM430" s="222"/>
      <c r="BN430" s="220">
        <f>'Financial Planning Tool'!AC129</f>
        <v>8477176.3599999994</v>
      </c>
      <c r="BO430" s="221"/>
      <c r="BP430" s="221"/>
      <c r="BQ430" s="221"/>
      <c r="BR430" s="221"/>
      <c r="BS430" s="221"/>
      <c r="BT430" s="221"/>
      <c r="BU430" s="222"/>
    </row>
    <row r="431" spans="2:73" x14ac:dyDescent="0.25">
      <c r="B431" s="215">
        <f ca="1">'Financial Planning Tool'!T130</f>
        <v>73384</v>
      </c>
      <c r="C431" s="216"/>
      <c r="D431" s="216"/>
      <c r="E431" s="217"/>
      <c r="F431" s="218">
        <f ca="1">'Financial Planning Tool'!U130</f>
        <v>130</v>
      </c>
      <c r="G431" s="186"/>
      <c r="H431" s="186"/>
      <c r="I431" s="219"/>
      <c r="J431" s="220" t="str">
        <f>IF('Financial Planning Tool'!V130="","",'Financial Planning Tool'!V130)</f>
        <v/>
      </c>
      <c r="K431" s="221"/>
      <c r="L431" s="221"/>
      <c r="M431" s="221"/>
      <c r="N431" s="221"/>
      <c r="O431" s="221"/>
      <c r="P431" s="221"/>
      <c r="Q431" s="222"/>
      <c r="R431" s="220" t="str">
        <f>IF('Financial Planning Tool'!W130="","",'Financial Planning Tool'!W130)</f>
        <v/>
      </c>
      <c r="S431" s="221"/>
      <c r="T431" s="221"/>
      <c r="U431" s="221"/>
      <c r="V431" s="221"/>
      <c r="W431" s="221"/>
      <c r="X431" s="221"/>
      <c r="Y431" s="222"/>
      <c r="Z431" s="220" t="str">
        <f>IF('Financial Planning Tool'!X130="","",'Financial Planning Tool'!X130)</f>
        <v/>
      </c>
      <c r="AA431" s="221"/>
      <c r="AB431" s="221"/>
      <c r="AC431" s="221"/>
      <c r="AD431" s="221"/>
      <c r="AE431" s="221"/>
      <c r="AF431" s="221"/>
      <c r="AG431" s="222"/>
      <c r="AH431" s="220" t="str">
        <f>IF('Financial Planning Tool'!Y130="","",'Financial Planning Tool'!Y130)</f>
        <v/>
      </c>
      <c r="AI431" s="221"/>
      <c r="AJ431" s="221"/>
      <c r="AK431" s="221"/>
      <c r="AL431" s="221"/>
      <c r="AM431" s="221"/>
      <c r="AN431" s="221"/>
      <c r="AO431" s="222"/>
      <c r="AP431" s="220" t="str">
        <f>IF('Financial Planning Tool'!Z130="","",'Financial Planning Tool'!Z130)</f>
        <v/>
      </c>
      <c r="AQ431" s="221"/>
      <c r="AR431" s="221"/>
      <c r="AS431" s="221"/>
      <c r="AT431" s="221"/>
      <c r="AU431" s="221"/>
      <c r="AV431" s="221"/>
      <c r="AW431" s="222"/>
      <c r="AX431" s="220" t="str">
        <f>IF('Financial Planning Tool'!AA130="","",'Financial Planning Tool'!AA130)</f>
        <v/>
      </c>
      <c r="AY431" s="221"/>
      <c r="AZ431" s="221"/>
      <c r="BA431" s="221"/>
      <c r="BB431" s="221"/>
      <c r="BC431" s="221"/>
      <c r="BD431" s="221"/>
      <c r="BE431" s="222"/>
      <c r="BF431" s="220">
        <f>'Financial Planning Tool'!AB130</f>
        <v>173450446.18000001</v>
      </c>
      <c r="BG431" s="221"/>
      <c r="BH431" s="221"/>
      <c r="BI431" s="221"/>
      <c r="BJ431" s="221"/>
      <c r="BK431" s="221"/>
      <c r="BL431" s="221"/>
      <c r="BM431" s="222"/>
      <c r="BN431" s="220">
        <f>'Financial Planning Tool'!AC130</f>
        <v>8803221.6099999994</v>
      </c>
      <c r="BO431" s="221"/>
      <c r="BP431" s="221"/>
      <c r="BQ431" s="221"/>
      <c r="BR431" s="221"/>
      <c r="BS431" s="221"/>
      <c r="BT431" s="221"/>
      <c r="BU431" s="222"/>
    </row>
    <row r="432" spans="2:73" x14ac:dyDescent="0.25">
      <c r="B432" s="215">
        <f ca="1">'Financial Planning Tool'!T131</f>
        <v>73749</v>
      </c>
      <c r="C432" s="216"/>
      <c r="D432" s="216"/>
      <c r="E432" s="217"/>
      <c r="F432" s="218">
        <f ca="1">'Financial Planning Tool'!U131</f>
        <v>131</v>
      </c>
      <c r="G432" s="186"/>
      <c r="H432" s="186"/>
      <c r="I432" s="219"/>
      <c r="J432" s="220" t="str">
        <f>IF('Financial Planning Tool'!V131="","",'Financial Planning Tool'!V131)</f>
        <v/>
      </c>
      <c r="K432" s="221"/>
      <c r="L432" s="221"/>
      <c r="M432" s="221"/>
      <c r="N432" s="221"/>
      <c r="O432" s="221"/>
      <c r="P432" s="221"/>
      <c r="Q432" s="222"/>
      <c r="R432" s="220" t="str">
        <f>IF('Financial Planning Tool'!W131="","",'Financial Planning Tool'!W131)</f>
        <v/>
      </c>
      <c r="S432" s="221"/>
      <c r="T432" s="221"/>
      <c r="U432" s="221"/>
      <c r="V432" s="221"/>
      <c r="W432" s="221"/>
      <c r="X432" s="221"/>
      <c r="Y432" s="222"/>
      <c r="Z432" s="220" t="str">
        <f>IF('Financial Planning Tool'!X131="","",'Financial Planning Tool'!X131)</f>
        <v/>
      </c>
      <c r="AA432" s="221"/>
      <c r="AB432" s="221"/>
      <c r="AC432" s="221"/>
      <c r="AD432" s="221"/>
      <c r="AE432" s="221"/>
      <c r="AF432" s="221"/>
      <c r="AG432" s="222"/>
      <c r="AH432" s="220" t="str">
        <f>IF('Financial Planning Tool'!Y131="","",'Financial Planning Tool'!Y131)</f>
        <v/>
      </c>
      <c r="AI432" s="221"/>
      <c r="AJ432" s="221"/>
      <c r="AK432" s="221"/>
      <c r="AL432" s="221"/>
      <c r="AM432" s="221"/>
      <c r="AN432" s="221"/>
      <c r="AO432" s="222"/>
      <c r="AP432" s="220" t="str">
        <f>IF('Financial Planning Tool'!Z131="","",'Financial Planning Tool'!Z131)</f>
        <v/>
      </c>
      <c r="AQ432" s="221"/>
      <c r="AR432" s="221"/>
      <c r="AS432" s="221"/>
      <c r="AT432" s="221"/>
      <c r="AU432" s="221"/>
      <c r="AV432" s="221"/>
      <c r="AW432" s="222"/>
      <c r="AX432" s="220" t="str">
        <f>IF('Financial Planning Tool'!AA131="","",'Financial Planning Tool'!AA131)</f>
        <v/>
      </c>
      <c r="AY432" s="221"/>
      <c r="AZ432" s="221"/>
      <c r="BA432" s="221"/>
      <c r="BB432" s="221"/>
      <c r="BC432" s="221"/>
      <c r="BD432" s="221"/>
      <c r="BE432" s="222"/>
      <c r="BF432" s="220">
        <f>'Financial Planning Tool'!AB131</f>
        <v>187326481.87</v>
      </c>
      <c r="BG432" s="221"/>
      <c r="BH432" s="221"/>
      <c r="BI432" s="221"/>
      <c r="BJ432" s="221"/>
      <c r="BK432" s="221"/>
      <c r="BL432" s="221"/>
      <c r="BM432" s="222"/>
      <c r="BN432" s="220">
        <f>'Financial Planning Tool'!AC131</f>
        <v>9141807.0500000007</v>
      </c>
      <c r="BO432" s="221"/>
      <c r="BP432" s="221"/>
      <c r="BQ432" s="221"/>
      <c r="BR432" s="221"/>
      <c r="BS432" s="221"/>
      <c r="BT432" s="221"/>
      <c r="BU432" s="222"/>
    </row>
    <row r="433" spans="2:73" x14ac:dyDescent="0.25">
      <c r="B433" s="215">
        <f ca="1">'Financial Planning Tool'!T132</f>
        <v>74114</v>
      </c>
      <c r="C433" s="216"/>
      <c r="D433" s="216"/>
      <c r="E433" s="217"/>
      <c r="F433" s="218">
        <f ca="1">'Financial Planning Tool'!U132</f>
        <v>132</v>
      </c>
      <c r="G433" s="186"/>
      <c r="H433" s="186"/>
      <c r="I433" s="219"/>
      <c r="J433" s="220" t="str">
        <f>IF('Financial Planning Tool'!V132="","",'Financial Planning Tool'!V132)</f>
        <v/>
      </c>
      <c r="K433" s="221"/>
      <c r="L433" s="221"/>
      <c r="M433" s="221"/>
      <c r="N433" s="221"/>
      <c r="O433" s="221"/>
      <c r="P433" s="221"/>
      <c r="Q433" s="222"/>
      <c r="R433" s="220" t="str">
        <f>IF('Financial Planning Tool'!W132="","",'Financial Planning Tool'!W132)</f>
        <v/>
      </c>
      <c r="S433" s="221"/>
      <c r="T433" s="221"/>
      <c r="U433" s="221"/>
      <c r="V433" s="221"/>
      <c r="W433" s="221"/>
      <c r="X433" s="221"/>
      <c r="Y433" s="222"/>
      <c r="Z433" s="220" t="str">
        <f>IF('Financial Planning Tool'!X132="","",'Financial Planning Tool'!X132)</f>
        <v/>
      </c>
      <c r="AA433" s="221"/>
      <c r="AB433" s="221"/>
      <c r="AC433" s="221"/>
      <c r="AD433" s="221"/>
      <c r="AE433" s="221"/>
      <c r="AF433" s="221"/>
      <c r="AG433" s="222"/>
      <c r="AH433" s="220" t="str">
        <f>IF('Financial Planning Tool'!Y132="","",'Financial Planning Tool'!Y132)</f>
        <v/>
      </c>
      <c r="AI433" s="221"/>
      <c r="AJ433" s="221"/>
      <c r="AK433" s="221"/>
      <c r="AL433" s="221"/>
      <c r="AM433" s="221"/>
      <c r="AN433" s="221"/>
      <c r="AO433" s="222"/>
      <c r="AP433" s="220" t="str">
        <f>IF('Financial Planning Tool'!Z132="","",'Financial Planning Tool'!Z132)</f>
        <v/>
      </c>
      <c r="AQ433" s="221"/>
      <c r="AR433" s="221"/>
      <c r="AS433" s="221"/>
      <c r="AT433" s="221"/>
      <c r="AU433" s="221"/>
      <c r="AV433" s="221"/>
      <c r="AW433" s="222"/>
      <c r="AX433" s="220" t="str">
        <f>IF('Financial Planning Tool'!AA132="","",'Financial Planning Tool'!AA132)</f>
        <v/>
      </c>
      <c r="AY433" s="221"/>
      <c r="AZ433" s="221"/>
      <c r="BA433" s="221"/>
      <c r="BB433" s="221"/>
      <c r="BC433" s="221"/>
      <c r="BD433" s="221"/>
      <c r="BE433" s="222"/>
      <c r="BF433" s="220">
        <f>'Financial Planning Tool'!AB132</f>
        <v>202312600.41999999</v>
      </c>
      <c r="BG433" s="221"/>
      <c r="BH433" s="221"/>
      <c r="BI433" s="221"/>
      <c r="BJ433" s="221"/>
      <c r="BK433" s="221"/>
      <c r="BL433" s="221"/>
      <c r="BM433" s="222"/>
      <c r="BN433" s="220">
        <f>'Financial Planning Tool'!AC132</f>
        <v>9493415.0199999996</v>
      </c>
      <c r="BO433" s="221"/>
      <c r="BP433" s="221"/>
      <c r="BQ433" s="221"/>
      <c r="BR433" s="221"/>
      <c r="BS433" s="221"/>
      <c r="BT433" s="221"/>
      <c r="BU433" s="222"/>
    </row>
    <row r="434" spans="2:73" x14ac:dyDescent="0.25">
      <c r="B434" s="215">
        <f ca="1">'Financial Planning Tool'!T133</f>
        <v>74479</v>
      </c>
      <c r="C434" s="216"/>
      <c r="D434" s="216"/>
      <c r="E434" s="217"/>
      <c r="F434" s="218">
        <f ca="1">'Financial Planning Tool'!U133</f>
        <v>133</v>
      </c>
      <c r="G434" s="186"/>
      <c r="H434" s="186"/>
      <c r="I434" s="219"/>
      <c r="J434" s="220" t="str">
        <f>IF('Financial Planning Tool'!V133="","",'Financial Planning Tool'!V133)</f>
        <v/>
      </c>
      <c r="K434" s="221"/>
      <c r="L434" s="221"/>
      <c r="M434" s="221"/>
      <c r="N434" s="221"/>
      <c r="O434" s="221"/>
      <c r="P434" s="221"/>
      <c r="Q434" s="222"/>
      <c r="R434" s="220" t="str">
        <f>IF('Financial Planning Tool'!W133="","",'Financial Planning Tool'!W133)</f>
        <v/>
      </c>
      <c r="S434" s="221"/>
      <c r="T434" s="221"/>
      <c r="U434" s="221"/>
      <c r="V434" s="221"/>
      <c r="W434" s="221"/>
      <c r="X434" s="221"/>
      <c r="Y434" s="222"/>
      <c r="Z434" s="220" t="str">
        <f>IF('Financial Planning Tool'!X133="","",'Financial Planning Tool'!X133)</f>
        <v/>
      </c>
      <c r="AA434" s="221"/>
      <c r="AB434" s="221"/>
      <c r="AC434" s="221"/>
      <c r="AD434" s="221"/>
      <c r="AE434" s="221"/>
      <c r="AF434" s="221"/>
      <c r="AG434" s="222"/>
      <c r="AH434" s="220" t="str">
        <f>IF('Financial Planning Tool'!Y133="","",'Financial Planning Tool'!Y133)</f>
        <v/>
      </c>
      <c r="AI434" s="221"/>
      <c r="AJ434" s="221"/>
      <c r="AK434" s="221"/>
      <c r="AL434" s="221"/>
      <c r="AM434" s="221"/>
      <c r="AN434" s="221"/>
      <c r="AO434" s="222"/>
      <c r="AP434" s="220" t="str">
        <f>IF('Financial Planning Tool'!Z133="","",'Financial Planning Tool'!Z133)</f>
        <v/>
      </c>
      <c r="AQ434" s="221"/>
      <c r="AR434" s="221"/>
      <c r="AS434" s="221"/>
      <c r="AT434" s="221"/>
      <c r="AU434" s="221"/>
      <c r="AV434" s="221"/>
      <c r="AW434" s="222"/>
      <c r="AX434" s="220" t="str">
        <f>IF('Financial Planning Tool'!AA133="","",'Financial Planning Tool'!AA133)</f>
        <v/>
      </c>
      <c r="AY434" s="221"/>
      <c r="AZ434" s="221"/>
      <c r="BA434" s="221"/>
      <c r="BB434" s="221"/>
      <c r="BC434" s="221"/>
      <c r="BD434" s="221"/>
      <c r="BE434" s="222"/>
      <c r="BF434" s="220">
        <f>'Financial Planning Tool'!AB133</f>
        <v>218497608.46000001</v>
      </c>
      <c r="BG434" s="221"/>
      <c r="BH434" s="221"/>
      <c r="BI434" s="221"/>
      <c r="BJ434" s="221"/>
      <c r="BK434" s="221"/>
      <c r="BL434" s="221"/>
      <c r="BM434" s="222"/>
      <c r="BN434" s="220">
        <f>'Financial Planning Tool'!AC133</f>
        <v>9858546.3599999994</v>
      </c>
      <c r="BO434" s="221"/>
      <c r="BP434" s="221"/>
      <c r="BQ434" s="221"/>
      <c r="BR434" s="221"/>
      <c r="BS434" s="221"/>
      <c r="BT434" s="221"/>
      <c r="BU434" s="222"/>
    </row>
    <row r="435" spans="2:73" x14ac:dyDescent="0.25">
      <c r="B435" s="215">
        <f ca="1">'Financial Planning Tool'!T134</f>
        <v>74845</v>
      </c>
      <c r="C435" s="216"/>
      <c r="D435" s="216"/>
      <c r="E435" s="217"/>
      <c r="F435" s="218">
        <f ca="1">'Financial Planning Tool'!U134</f>
        <v>134</v>
      </c>
      <c r="G435" s="186"/>
      <c r="H435" s="186"/>
      <c r="I435" s="219"/>
      <c r="J435" s="220" t="str">
        <f>IF('Financial Planning Tool'!V134="","",'Financial Planning Tool'!V134)</f>
        <v/>
      </c>
      <c r="K435" s="221"/>
      <c r="L435" s="221"/>
      <c r="M435" s="221"/>
      <c r="N435" s="221"/>
      <c r="O435" s="221"/>
      <c r="P435" s="221"/>
      <c r="Q435" s="222"/>
      <c r="R435" s="220" t="str">
        <f>IF('Financial Planning Tool'!W134="","",'Financial Planning Tool'!W134)</f>
        <v/>
      </c>
      <c r="S435" s="221"/>
      <c r="T435" s="221"/>
      <c r="U435" s="221"/>
      <c r="V435" s="221"/>
      <c r="W435" s="221"/>
      <c r="X435" s="221"/>
      <c r="Y435" s="222"/>
      <c r="Z435" s="220" t="str">
        <f>IF('Financial Planning Tool'!X134="","",'Financial Planning Tool'!X134)</f>
        <v/>
      </c>
      <c r="AA435" s="221"/>
      <c r="AB435" s="221"/>
      <c r="AC435" s="221"/>
      <c r="AD435" s="221"/>
      <c r="AE435" s="221"/>
      <c r="AF435" s="221"/>
      <c r="AG435" s="222"/>
      <c r="AH435" s="220" t="str">
        <f>IF('Financial Planning Tool'!Y134="","",'Financial Planning Tool'!Y134)</f>
        <v/>
      </c>
      <c r="AI435" s="221"/>
      <c r="AJ435" s="221"/>
      <c r="AK435" s="221"/>
      <c r="AL435" s="221"/>
      <c r="AM435" s="221"/>
      <c r="AN435" s="221"/>
      <c r="AO435" s="222"/>
      <c r="AP435" s="220" t="str">
        <f>IF('Financial Planning Tool'!Z134="","",'Financial Planning Tool'!Z134)</f>
        <v/>
      </c>
      <c r="AQ435" s="221"/>
      <c r="AR435" s="221"/>
      <c r="AS435" s="221"/>
      <c r="AT435" s="221"/>
      <c r="AU435" s="221"/>
      <c r="AV435" s="221"/>
      <c r="AW435" s="222"/>
      <c r="AX435" s="220" t="str">
        <f>IF('Financial Planning Tool'!AA134="","",'Financial Planning Tool'!AA134)</f>
        <v/>
      </c>
      <c r="AY435" s="221"/>
      <c r="AZ435" s="221"/>
      <c r="BA435" s="221"/>
      <c r="BB435" s="221"/>
      <c r="BC435" s="221"/>
      <c r="BD435" s="221"/>
      <c r="BE435" s="222"/>
      <c r="BF435" s="220">
        <f>'Financial Planning Tool'!AB134</f>
        <v>235977417.13</v>
      </c>
      <c r="BG435" s="221"/>
      <c r="BH435" s="221"/>
      <c r="BI435" s="221"/>
      <c r="BJ435" s="221"/>
      <c r="BK435" s="221"/>
      <c r="BL435" s="221"/>
      <c r="BM435" s="222"/>
      <c r="BN435" s="220">
        <f>'Financial Planning Tool'!AC134</f>
        <v>10237721.220000001</v>
      </c>
      <c r="BO435" s="221"/>
      <c r="BP435" s="221"/>
      <c r="BQ435" s="221"/>
      <c r="BR435" s="221"/>
      <c r="BS435" s="221"/>
      <c r="BT435" s="221"/>
      <c r="BU435" s="222"/>
    </row>
    <row r="436" spans="2:73" x14ac:dyDescent="0.25">
      <c r="B436" s="215">
        <f ca="1">'Financial Planning Tool'!T135</f>
        <v>75210</v>
      </c>
      <c r="C436" s="216"/>
      <c r="D436" s="216"/>
      <c r="E436" s="217"/>
      <c r="F436" s="218">
        <f ca="1">'Financial Planning Tool'!U135</f>
        <v>135</v>
      </c>
      <c r="G436" s="186"/>
      <c r="H436" s="186"/>
      <c r="I436" s="219"/>
      <c r="J436" s="220" t="str">
        <f>IF('Financial Planning Tool'!V135="","",'Financial Planning Tool'!V135)</f>
        <v/>
      </c>
      <c r="K436" s="221"/>
      <c r="L436" s="221"/>
      <c r="M436" s="221"/>
      <c r="N436" s="221"/>
      <c r="O436" s="221"/>
      <c r="P436" s="221"/>
      <c r="Q436" s="222"/>
      <c r="R436" s="220" t="str">
        <f>IF('Financial Planning Tool'!W135="","",'Financial Planning Tool'!W135)</f>
        <v/>
      </c>
      <c r="S436" s="221"/>
      <c r="T436" s="221"/>
      <c r="U436" s="221"/>
      <c r="V436" s="221"/>
      <c r="W436" s="221"/>
      <c r="X436" s="221"/>
      <c r="Y436" s="222"/>
      <c r="Z436" s="220" t="str">
        <f>IF('Financial Planning Tool'!X135="","",'Financial Planning Tool'!X135)</f>
        <v/>
      </c>
      <c r="AA436" s="221"/>
      <c r="AB436" s="221"/>
      <c r="AC436" s="221"/>
      <c r="AD436" s="221"/>
      <c r="AE436" s="221"/>
      <c r="AF436" s="221"/>
      <c r="AG436" s="222"/>
      <c r="AH436" s="220" t="str">
        <f>IF('Financial Planning Tool'!Y135="","",'Financial Planning Tool'!Y135)</f>
        <v/>
      </c>
      <c r="AI436" s="221"/>
      <c r="AJ436" s="221"/>
      <c r="AK436" s="221"/>
      <c r="AL436" s="221"/>
      <c r="AM436" s="221"/>
      <c r="AN436" s="221"/>
      <c r="AO436" s="222"/>
      <c r="AP436" s="220" t="str">
        <f>IF('Financial Planning Tool'!Z135="","",'Financial Planning Tool'!Z135)</f>
        <v/>
      </c>
      <c r="AQ436" s="221"/>
      <c r="AR436" s="221"/>
      <c r="AS436" s="221"/>
      <c r="AT436" s="221"/>
      <c r="AU436" s="221"/>
      <c r="AV436" s="221"/>
      <c r="AW436" s="222"/>
      <c r="AX436" s="220" t="str">
        <f>IF('Financial Planning Tool'!AA135="","",'Financial Planning Tool'!AA135)</f>
        <v/>
      </c>
      <c r="AY436" s="221"/>
      <c r="AZ436" s="221"/>
      <c r="BA436" s="221"/>
      <c r="BB436" s="221"/>
      <c r="BC436" s="221"/>
      <c r="BD436" s="221"/>
      <c r="BE436" s="222"/>
      <c r="BF436" s="220">
        <f>'Financial Planning Tool'!AB135</f>
        <v>254855610.5</v>
      </c>
      <c r="BG436" s="221"/>
      <c r="BH436" s="221"/>
      <c r="BI436" s="221"/>
      <c r="BJ436" s="221"/>
      <c r="BK436" s="221"/>
      <c r="BL436" s="221"/>
      <c r="BM436" s="222"/>
      <c r="BN436" s="220">
        <f>'Financial Planning Tool'!AC135</f>
        <v>10631479.73</v>
      </c>
      <c r="BO436" s="221"/>
      <c r="BP436" s="221"/>
      <c r="BQ436" s="221"/>
      <c r="BR436" s="221"/>
      <c r="BS436" s="221"/>
      <c r="BT436" s="221"/>
      <c r="BU436" s="222"/>
    </row>
    <row r="437" spans="2:73" x14ac:dyDescent="0.25">
      <c r="B437" s="215">
        <f ca="1">'Financial Planning Tool'!T136</f>
        <v>75575</v>
      </c>
      <c r="C437" s="216"/>
      <c r="D437" s="216"/>
      <c r="E437" s="217"/>
      <c r="F437" s="218">
        <f ca="1">'Financial Planning Tool'!U136</f>
        <v>136</v>
      </c>
      <c r="G437" s="186"/>
      <c r="H437" s="186"/>
      <c r="I437" s="219"/>
      <c r="J437" s="220" t="str">
        <f>IF('Financial Planning Tool'!V136="","",'Financial Planning Tool'!V136)</f>
        <v/>
      </c>
      <c r="K437" s="221"/>
      <c r="L437" s="221"/>
      <c r="M437" s="221"/>
      <c r="N437" s="221"/>
      <c r="O437" s="221"/>
      <c r="P437" s="221"/>
      <c r="Q437" s="222"/>
      <c r="R437" s="220" t="str">
        <f>IF('Financial Planning Tool'!W136="","",'Financial Planning Tool'!W136)</f>
        <v/>
      </c>
      <c r="S437" s="221"/>
      <c r="T437" s="221"/>
      <c r="U437" s="221"/>
      <c r="V437" s="221"/>
      <c r="W437" s="221"/>
      <c r="X437" s="221"/>
      <c r="Y437" s="222"/>
      <c r="Z437" s="220" t="str">
        <f>IF('Financial Planning Tool'!X136="","",'Financial Planning Tool'!X136)</f>
        <v/>
      </c>
      <c r="AA437" s="221"/>
      <c r="AB437" s="221"/>
      <c r="AC437" s="221"/>
      <c r="AD437" s="221"/>
      <c r="AE437" s="221"/>
      <c r="AF437" s="221"/>
      <c r="AG437" s="222"/>
      <c r="AH437" s="220" t="str">
        <f>IF('Financial Planning Tool'!Y136="","",'Financial Planning Tool'!Y136)</f>
        <v/>
      </c>
      <c r="AI437" s="221"/>
      <c r="AJ437" s="221"/>
      <c r="AK437" s="221"/>
      <c r="AL437" s="221"/>
      <c r="AM437" s="221"/>
      <c r="AN437" s="221"/>
      <c r="AO437" s="222"/>
      <c r="AP437" s="220" t="str">
        <f>IF('Financial Planning Tool'!Z136="","",'Financial Planning Tool'!Z136)</f>
        <v/>
      </c>
      <c r="AQ437" s="221"/>
      <c r="AR437" s="221"/>
      <c r="AS437" s="221"/>
      <c r="AT437" s="221"/>
      <c r="AU437" s="221"/>
      <c r="AV437" s="221"/>
      <c r="AW437" s="222"/>
      <c r="AX437" s="220" t="str">
        <f>IF('Financial Planning Tool'!AA136="","",'Financial Planning Tool'!AA136)</f>
        <v/>
      </c>
      <c r="AY437" s="221"/>
      <c r="AZ437" s="221"/>
      <c r="BA437" s="221"/>
      <c r="BB437" s="221"/>
      <c r="BC437" s="221"/>
      <c r="BD437" s="221"/>
      <c r="BE437" s="222"/>
      <c r="BF437" s="220">
        <f>'Financial Planning Tool'!AB136</f>
        <v>275244059.33999997</v>
      </c>
      <c r="BG437" s="221"/>
      <c r="BH437" s="221"/>
      <c r="BI437" s="221"/>
      <c r="BJ437" s="221"/>
      <c r="BK437" s="221"/>
      <c r="BL437" s="221"/>
      <c r="BM437" s="222"/>
      <c r="BN437" s="220">
        <f>'Financial Planning Tool'!AC136</f>
        <v>11040382.800000001</v>
      </c>
      <c r="BO437" s="221"/>
      <c r="BP437" s="221"/>
      <c r="BQ437" s="221"/>
      <c r="BR437" s="221"/>
      <c r="BS437" s="221"/>
      <c r="BT437" s="221"/>
      <c r="BU437" s="222"/>
    </row>
    <row r="438" spans="2:73" x14ac:dyDescent="0.25">
      <c r="B438" s="215">
        <f ca="1">'Financial Planning Tool'!T137</f>
        <v>75940</v>
      </c>
      <c r="C438" s="216"/>
      <c r="D438" s="216"/>
      <c r="E438" s="217"/>
      <c r="F438" s="218">
        <f ca="1">'Financial Planning Tool'!U137</f>
        <v>137</v>
      </c>
      <c r="G438" s="186"/>
      <c r="H438" s="186"/>
      <c r="I438" s="219"/>
      <c r="J438" s="220" t="str">
        <f>IF('Financial Planning Tool'!V137="","",'Financial Planning Tool'!V137)</f>
        <v/>
      </c>
      <c r="K438" s="221"/>
      <c r="L438" s="221"/>
      <c r="M438" s="221"/>
      <c r="N438" s="221"/>
      <c r="O438" s="221"/>
      <c r="P438" s="221"/>
      <c r="Q438" s="222"/>
      <c r="R438" s="220" t="str">
        <f>IF('Financial Planning Tool'!W137="","",'Financial Planning Tool'!W137)</f>
        <v/>
      </c>
      <c r="S438" s="221"/>
      <c r="T438" s="221"/>
      <c r="U438" s="221"/>
      <c r="V438" s="221"/>
      <c r="W438" s="221"/>
      <c r="X438" s="221"/>
      <c r="Y438" s="222"/>
      <c r="Z438" s="220" t="str">
        <f>IF('Financial Planning Tool'!X137="","",'Financial Planning Tool'!X137)</f>
        <v/>
      </c>
      <c r="AA438" s="221"/>
      <c r="AB438" s="221"/>
      <c r="AC438" s="221"/>
      <c r="AD438" s="221"/>
      <c r="AE438" s="221"/>
      <c r="AF438" s="221"/>
      <c r="AG438" s="222"/>
      <c r="AH438" s="220" t="str">
        <f>IF('Financial Planning Tool'!Y137="","",'Financial Planning Tool'!Y137)</f>
        <v/>
      </c>
      <c r="AI438" s="221"/>
      <c r="AJ438" s="221"/>
      <c r="AK438" s="221"/>
      <c r="AL438" s="221"/>
      <c r="AM438" s="221"/>
      <c r="AN438" s="221"/>
      <c r="AO438" s="222"/>
      <c r="AP438" s="220" t="str">
        <f>IF('Financial Planning Tool'!Z137="","",'Financial Planning Tool'!Z137)</f>
        <v/>
      </c>
      <c r="AQ438" s="221"/>
      <c r="AR438" s="221"/>
      <c r="AS438" s="221"/>
      <c r="AT438" s="221"/>
      <c r="AU438" s="221"/>
      <c r="AV438" s="221"/>
      <c r="AW438" s="222"/>
      <c r="AX438" s="220" t="str">
        <f>IF('Financial Planning Tool'!AA137="","",'Financial Planning Tool'!AA137)</f>
        <v/>
      </c>
      <c r="AY438" s="221"/>
      <c r="AZ438" s="221"/>
      <c r="BA438" s="221"/>
      <c r="BB438" s="221"/>
      <c r="BC438" s="221"/>
      <c r="BD438" s="221"/>
      <c r="BE438" s="222"/>
      <c r="BF438" s="220">
        <f>'Financial Planning Tool'!AB137</f>
        <v>297263584.08999997</v>
      </c>
      <c r="BG438" s="221"/>
      <c r="BH438" s="221"/>
      <c r="BI438" s="221"/>
      <c r="BJ438" s="221"/>
      <c r="BK438" s="221"/>
      <c r="BL438" s="221"/>
      <c r="BM438" s="222"/>
      <c r="BN438" s="220">
        <f>'Financial Planning Tool'!AC137</f>
        <v>11465012.91</v>
      </c>
      <c r="BO438" s="221"/>
      <c r="BP438" s="221"/>
      <c r="BQ438" s="221"/>
      <c r="BR438" s="221"/>
      <c r="BS438" s="221"/>
      <c r="BT438" s="221"/>
      <c r="BU438" s="222"/>
    </row>
    <row r="439" spans="2:73" x14ac:dyDescent="0.25">
      <c r="B439" s="215">
        <f ca="1">'Financial Planning Tool'!T138</f>
        <v>76306</v>
      </c>
      <c r="C439" s="216"/>
      <c r="D439" s="216"/>
      <c r="E439" s="217"/>
      <c r="F439" s="218">
        <f ca="1">'Financial Planning Tool'!U138</f>
        <v>138</v>
      </c>
      <c r="G439" s="186"/>
      <c r="H439" s="186"/>
      <c r="I439" s="219"/>
      <c r="J439" s="220" t="str">
        <f>IF('Financial Planning Tool'!V138="","",'Financial Planning Tool'!V138)</f>
        <v/>
      </c>
      <c r="K439" s="221"/>
      <c r="L439" s="221"/>
      <c r="M439" s="221"/>
      <c r="N439" s="221"/>
      <c r="O439" s="221"/>
      <c r="P439" s="221"/>
      <c r="Q439" s="222"/>
      <c r="R439" s="220" t="str">
        <f>IF('Financial Planning Tool'!W138="","",'Financial Planning Tool'!W138)</f>
        <v/>
      </c>
      <c r="S439" s="221"/>
      <c r="T439" s="221"/>
      <c r="U439" s="221"/>
      <c r="V439" s="221"/>
      <c r="W439" s="221"/>
      <c r="X439" s="221"/>
      <c r="Y439" s="222"/>
      <c r="Z439" s="220" t="str">
        <f>IF('Financial Planning Tool'!X138="","",'Financial Planning Tool'!X138)</f>
        <v/>
      </c>
      <c r="AA439" s="221"/>
      <c r="AB439" s="221"/>
      <c r="AC439" s="221"/>
      <c r="AD439" s="221"/>
      <c r="AE439" s="221"/>
      <c r="AF439" s="221"/>
      <c r="AG439" s="222"/>
      <c r="AH439" s="220" t="str">
        <f>IF('Financial Planning Tool'!Y138="","",'Financial Planning Tool'!Y138)</f>
        <v/>
      </c>
      <c r="AI439" s="221"/>
      <c r="AJ439" s="221"/>
      <c r="AK439" s="221"/>
      <c r="AL439" s="221"/>
      <c r="AM439" s="221"/>
      <c r="AN439" s="221"/>
      <c r="AO439" s="222"/>
      <c r="AP439" s="220" t="str">
        <f>IF('Financial Planning Tool'!Z138="","",'Financial Planning Tool'!Z138)</f>
        <v/>
      </c>
      <c r="AQ439" s="221"/>
      <c r="AR439" s="221"/>
      <c r="AS439" s="221"/>
      <c r="AT439" s="221"/>
      <c r="AU439" s="221"/>
      <c r="AV439" s="221"/>
      <c r="AW439" s="222"/>
      <c r="AX439" s="220" t="str">
        <f>IF('Financial Planning Tool'!AA138="","",'Financial Planning Tool'!AA138)</f>
        <v/>
      </c>
      <c r="AY439" s="221"/>
      <c r="AZ439" s="221"/>
      <c r="BA439" s="221"/>
      <c r="BB439" s="221"/>
      <c r="BC439" s="221"/>
      <c r="BD439" s="221"/>
      <c r="BE439" s="222"/>
      <c r="BF439" s="220">
        <f>'Financial Planning Tool'!AB138</f>
        <v>321044670.81999999</v>
      </c>
      <c r="BG439" s="221"/>
      <c r="BH439" s="221"/>
      <c r="BI439" s="221"/>
      <c r="BJ439" s="221"/>
      <c r="BK439" s="221"/>
      <c r="BL439" s="221"/>
      <c r="BM439" s="222"/>
      <c r="BN439" s="220">
        <f>'Financial Planning Tool'!AC138</f>
        <v>11905974.939999999</v>
      </c>
      <c r="BO439" s="221"/>
      <c r="BP439" s="221"/>
      <c r="BQ439" s="221"/>
      <c r="BR439" s="221"/>
      <c r="BS439" s="221"/>
      <c r="BT439" s="221"/>
      <c r="BU439" s="222"/>
    </row>
    <row r="440" spans="2:73" x14ac:dyDescent="0.25">
      <c r="B440" s="215">
        <f ca="1">'Financial Planning Tool'!T139</f>
        <v>76671</v>
      </c>
      <c r="C440" s="216"/>
      <c r="D440" s="216"/>
      <c r="E440" s="217"/>
      <c r="F440" s="218">
        <f ca="1">'Financial Planning Tool'!U139</f>
        <v>139</v>
      </c>
      <c r="G440" s="186"/>
      <c r="H440" s="186"/>
      <c r="I440" s="219"/>
      <c r="J440" s="220" t="str">
        <f>IF('Financial Planning Tool'!V139="","",'Financial Planning Tool'!V139)</f>
        <v/>
      </c>
      <c r="K440" s="221"/>
      <c r="L440" s="221"/>
      <c r="M440" s="221"/>
      <c r="N440" s="221"/>
      <c r="O440" s="221"/>
      <c r="P440" s="221"/>
      <c r="Q440" s="222"/>
      <c r="R440" s="220" t="str">
        <f>IF('Financial Planning Tool'!W139="","",'Financial Planning Tool'!W139)</f>
        <v/>
      </c>
      <c r="S440" s="221"/>
      <c r="T440" s="221"/>
      <c r="U440" s="221"/>
      <c r="V440" s="221"/>
      <c r="W440" s="221"/>
      <c r="X440" s="221"/>
      <c r="Y440" s="222"/>
      <c r="Z440" s="220" t="str">
        <f>IF('Financial Planning Tool'!X139="","",'Financial Planning Tool'!X139)</f>
        <v/>
      </c>
      <c r="AA440" s="221"/>
      <c r="AB440" s="221"/>
      <c r="AC440" s="221"/>
      <c r="AD440" s="221"/>
      <c r="AE440" s="221"/>
      <c r="AF440" s="221"/>
      <c r="AG440" s="222"/>
      <c r="AH440" s="220" t="str">
        <f>IF('Financial Planning Tool'!Y139="","",'Financial Planning Tool'!Y139)</f>
        <v/>
      </c>
      <c r="AI440" s="221"/>
      <c r="AJ440" s="221"/>
      <c r="AK440" s="221"/>
      <c r="AL440" s="221"/>
      <c r="AM440" s="221"/>
      <c r="AN440" s="221"/>
      <c r="AO440" s="222"/>
      <c r="AP440" s="220" t="str">
        <f>IF('Financial Planning Tool'!Z139="","",'Financial Planning Tool'!Z139)</f>
        <v/>
      </c>
      <c r="AQ440" s="221"/>
      <c r="AR440" s="221"/>
      <c r="AS440" s="221"/>
      <c r="AT440" s="221"/>
      <c r="AU440" s="221"/>
      <c r="AV440" s="221"/>
      <c r="AW440" s="222"/>
      <c r="AX440" s="220" t="str">
        <f>IF('Financial Planning Tool'!AA139="","",'Financial Planning Tool'!AA139)</f>
        <v/>
      </c>
      <c r="AY440" s="221"/>
      <c r="AZ440" s="221"/>
      <c r="BA440" s="221"/>
      <c r="BB440" s="221"/>
      <c r="BC440" s="221"/>
      <c r="BD440" s="221"/>
      <c r="BE440" s="222"/>
      <c r="BF440" s="220">
        <f>'Financial Planning Tool'!AB139</f>
        <v>346728244.48000002</v>
      </c>
      <c r="BG440" s="221"/>
      <c r="BH440" s="221"/>
      <c r="BI440" s="221"/>
      <c r="BJ440" s="221"/>
      <c r="BK440" s="221"/>
      <c r="BL440" s="221"/>
      <c r="BM440" s="222"/>
      <c r="BN440" s="220">
        <f>'Financial Planning Tool'!AC139</f>
        <v>12363897.050000001</v>
      </c>
      <c r="BO440" s="221"/>
      <c r="BP440" s="221"/>
      <c r="BQ440" s="221"/>
      <c r="BR440" s="221"/>
      <c r="BS440" s="221"/>
      <c r="BT440" s="221"/>
      <c r="BU440" s="222"/>
    </row>
    <row r="441" spans="2:73" x14ac:dyDescent="0.25">
      <c r="B441" s="215">
        <f ca="1">'Financial Planning Tool'!T140</f>
        <v>77036</v>
      </c>
      <c r="C441" s="216"/>
      <c r="D441" s="216"/>
      <c r="E441" s="217"/>
      <c r="F441" s="218">
        <f ca="1">'Financial Planning Tool'!U140</f>
        <v>140</v>
      </c>
      <c r="G441" s="186"/>
      <c r="H441" s="186"/>
      <c r="I441" s="219"/>
      <c r="J441" s="220" t="str">
        <f>IF('Financial Planning Tool'!V140="","",'Financial Planning Tool'!V140)</f>
        <v/>
      </c>
      <c r="K441" s="221"/>
      <c r="L441" s="221"/>
      <c r="M441" s="221"/>
      <c r="N441" s="221"/>
      <c r="O441" s="221"/>
      <c r="P441" s="221"/>
      <c r="Q441" s="222"/>
      <c r="R441" s="220" t="str">
        <f>IF('Financial Planning Tool'!W140="","",'Financial Planning Tool'!W140)</f>
        <v/>
      </c>
      <c r="S441" s="221"/>
      <c r="T441" s="221"/>
      <c r="U441" s="221"/>
      <c r="V441" s="221"/>
      <c r="W441" s="221"/>
      <c r="X441" s="221"/>
      <c r="Y441" s="222"/>
      <c r="Z441" s="220" t="str">
        <f>IF('Financial Planning Tool'!X140="","",'Financial Planning Tool'!X140)</f>
        <v/>
      </c>
      <c r="AA441" s="221"/>
      <c r="AB441" s="221"/>
      <c r="AC441" s="221"/>
      <c r="AD441" s="221"/>
      <c r="AE441" s="221"/>
      <c r="AF441" s="221"/>
      <c r="AG441" s="222"/>
      <c r="AH441" s="220" t="str">
        <f>IF('Financial Planning Tool'!Y140="","",'Financial Planning Tool'!Y140)</f>
        <v/>
      </c>
      <c r="AI441" s="221"/>
      <c r="AJ441" s="221"/>
      <c r="AK441" s="221"/>
      <c r="AL441" s="221"/>
      <c r="AM441" s="221"/>
      <c r="AN441" s="221"/>
      <c r="AO441" s="222"/>
      <c r="AP441" s="220" t="str">
        <f>IF('Financial Planning Tool'!Z140="","",'Financial Planning Tool'!Z140)</f>
        <v/>
      </c>
      <c r="AQ441" s="221"/>
      <c r="AR441" s="221"/>
      <c r="AS441" s="221"/>
      <c r="AT441" s="221"/>
      <c r="AU441" s="221"/>
      <c r="AV441" s="221"/>
      <c r="AW441" s="222"/>
      <c r="AX441" s="220" t="str">
        <f>IF('Financial Planning Tool'!AA140="","",'Financial Planning Tool'!AA140)</f>
        <v/>
      </c>
      <c r="AY441" s="221"/>
      <c r="AZ441" s="221"/>
      <c r="BA441" s="221"/>
      <c r="BB441" s="221"/>
      <c r="BC441" s="221"/>
      <c r="BD441" s="221"/>
      <c r="BE441" s="222"/>
      <c r="BF441" s="220">
        <f>'Financial Planning Tool'!AB140</f>
        <v>374466504.04000002</v>
      </c>
      <c r="BG441" s="221"/>
      <c r="BH441" s="221"/>
      <c r="BI441" s="221"/>
      <c r="BJ441" s="221"/>
      <c r="BK441" s="221"/>
      <c r="BL441" s="221"/>
      <c r="BM441" s="222"/>
      <c r="BN441" s="220">
        <f>'Financial Planning Tool'!AC140</f>
        <v>12839431.560000001</v>
      </c>
      <c r="BO441" s="221"/>
      <c r="BP441" s="221"/>
      <c r="BQ441" s="221"/>
      <c r="BR441" s="221"/>
      <c r="BS441" s="221"/>
      <c r="BT441" s="221"/>
      <c r="BU441" s="222"/>
    </row>
    <row r="442" spans="2:73" x14ac:dyDescent="0.25">
      <c r="B442" s="215">
        <f ca="1">'Financial Planning Tool'!T141</f>
        <v>77401</v>
      </c>
      <c r="C442" s="216"/>
      <c r="D442" s="216"/>
      <c r="E442" s="217"/>
      <c r="F442" s="218">
        <f ca="1">'Financial Planning Tool'!U141</f>
        <v>141</v>
      </c>
      <c r="G442" s="186"/>
      <c r="H442" s="186"/>
      <c r="I442" s="219"/>
      <c r="J442" s="220" t="str">
        <f>IF('Financial Planning Tool'!V141="","",'Financial Planning Tool'!V141)</f>
        <v/>
      </c>
      <c r="K442" s="221"/>
      <c r="L442" s="221"/>
      <c r="M442" s="221"/>
      <c r="N442" s="221"/>
      <c r="O442" s="221"/>
      <c r="P442" s="221"/>
      <c r="Q442" s="222"/>
      <c r="R442" s="220" t="str">
        <f>IF('Financial Planning Tool'!W141="","",'Financial Planning Tool'!W141)</f>
        <v/>
      </c>
      <c r="S442" s="221"/>
      <c r="T442" s="221"/>
      <c r="U442" s="221"/>
      <c r="V442" s="221"/>
      <c r="W442" s="221"/>
      <c r="X442" s="221"/>
      <c r="Y442" s="222"/>
      <c r="Z442" s="220" t="str">
        <f>IF('Financial Planning Tool'!X141="","",'Financial Planning Tool'!X141)</f>
        <v/>
      </c>
      <c r="AA442" s="221"/>
      <c r="AB442" s="221"/>
      <c r="AC442" s="221"/>
      <c r="AD442" s="221"/>
      <c r="AE442" s="221"/>
      <c r="AF442" s="221"/>
      <c r="AG442" s="222"/>
      <c r="AH442" s="220" t="str">
        <f>IF('Financial Planning Tool'!Y141="","",'Financial Planning Tool'!Y141)</f>
        <v/>
      </c>
      <c r="AI442" s="221"/>
      <c r="AJ442" s="221"/>
      <c r="AK442" s="221"/>
      <c r="AL442" s="221"/>
      <c r="AM442" s="221"/>
      <c r="AN442" s="221"/>
      <c r="AO442" s="222"/>
      <c r="AP442" s="220" t="str">
        <f>IF('Financial Planning Tool'!Z141="","",'Financial Planning Tool'!Z141)</f>
        <v/>
      </c>
      <c r="AQ442" s="221"/>
      <c r="AR442" s="221"/>
      <c r="AS442" s="221"/>
      <c r="AT442" s="221"/>
      <c r="AU442" s="221"/>
      <c r="AV442" s="221"/>
      <c r="AW442" s="222"/>
      <c r="AX442" s="220" t="str">
        <f>IF('Financial Planning Tool'!AA141="","",'Financial Planning Tool'!AA141)</f>
        <v/>
      </c>
      <c r="AY442" s="221"/>
      <c r="AZ442" s="221"/>
      <c r="BA442" s="221"/>
      <c r="BB442" s="221"/>
      <c r="BC442" s="221"/>
      <c r="BD442" s="221"/>
      <c r="BE442" s="222"/>
      <c r="BF442" s="220">
        <f>'Financial Planning Tool'!AB141</f>
        <v>404423824.37</v>
      </c>
      <c r="BG442" s="221"/>
      <c r="BH442" s="221"/>
      <c r="BI442" s="221"/>
      <c r="BJ442" s="221"/>
      <c r="BK442" s="221"/>
      <c r="BL442" s="221"/>
      <c r="BM442" s="222"/>
      <c r="BN442" s="220">
        <f>'Financial Planning Tool'!AC141</f>
        <v>13333255.85</v>
      </c>
      <c r="BO442" s="221"/>
      <c r="BP442" s="221"/>
      <c r="BQ442" s="221"/>
      <c r="BR442" s="221"/>
      <c r="BS442" s="221"/>
      <c r="BT442" s="221"/>
      <c r="BU442" s="222"/>
    </row>
    <row r="443" spans="2:73" x14ac:dyDescent="0.25">
      <c r="B443" s="215">
        <f ca="1">'Financial Planning Tool'!T142</f>
        <v>77767</v>
      </c>
      <c r="C443" s="216"/>
      <c r="D443" s="216"/>
      <c r="E443" s="217"/>
      <c r="F443" s="218">
        <f ca="1">'Financial Planning Tool'!U142</f>
        <v>142</v>
      </c>
      <c r="G443" s="186"/>
      <c r="H443" s="186"/>
      <c r="I443" s="219"/>
      <c r="J443" s="220" t="str">
        <f>IF('Financial Planning Tool'!V142="","",'Financial Planning Tool'!V142)</f>
        <v/>
      </c>
      <c r="K443" s="221"/>
      <c r="L443" s="221"/>
      <c r="M443" s="221"/>
      <c r="N443" s="221"/>
      <c r="O443" s="221"/>
      <c r="P443" s="221"/>
      <c r="Q443" s="222"/>
      <c r="R443" s="220" t="str">
        <f>IF('Financial Planning Tool'!W142="","",'Financial Planning Tool'!W142)</f>
        <v/>
      </c>
      <c r="S443" s="221"/>
      <c r="T443" s="221"/>
      <c r="U443" s="221"/>
      <c r="V443" s="221"/>
      <c r="W443" s="221"/>
      <c r="X443" s="221"/>
      <c r="Y443" s="222"/>
      <c r="Z443" s="220" t="str">
        <f>IF('Financial Planning Tool'!X142="","",'Financial Planning Tool'!X142)</f>
        <v/>
      </c>
      <c r="AA443" s="221"/>
      <c r="AB443" s="221"/>
      <c r="AC443" s="221"/>
      <c r="AD443" s="221"/>
      <c r="AE443" s="221"/>
      <c r="AF443" s="221"/>
      <c r="AG443" s="222"/>
      <c r="AH443" s="220" t="str">
        <f>IF('Financial Planning Tool'!Y142="","",'Financial Planning Tool'!Y142)</f>
        <v/>
      </c>
      <c r="AI443" s="221"/>
      <c r="AJ443" s="221"/>
      <c r="AK443" s="221"/>
      <c r="AL443" s="221"/>
      <c r="AM443" s="221"/>
      <c r="AN443" s="221"/>
      <c r="AO443" s="222"/>
      <c r="AP443" s="220" t="str">
        <f>IF('Financial Planning Tool'!Z142="","",'Financial Planning Tool'!Z142)</f>
        <v/>
      </c>
      <c r="AQ443" s="221"/>
      <c r="AR443" s="221"/>
      <c r="AS443" s="221"/>
      <c r="AT443" s="221"/>
      <c r="AU443" s="221"/>
      <c r="AV443" s="221"/>
      <c r="AW443" s="222"/>
      <c r="AX443" s="220" t="str">
        <f>IF('Financial Planning Tool'!AA142="","",'Financial Planning Tool'!AA142)</f>
        <v/>
      </c>
      <c r="AY443" s="221"/>
      <c r="AZ443" s="221"/>
      <c r="BA443" s="221"/>
      <c r="BB443" s="221"/>
      <c r="BC443" s="221"/>
      <c r="BD443" s="221"/>
      <c r="BE443" s="222"/>
      <c r="BF443" s="220">
        <f>'Financial Planning Tool'!AB142</f>
        <v>436777730.31</v>
      </c>
      <c r="BG443" s="221"/>
      <c r="BH443" s="221"/>
      <c r="BI443" s="221"/>
      <c r="BJ443" s="221"/>
      <c r="BK443" s="221"/>
      <c r="BL443" s="221"/>
      <c r="BM443" s="222"/>
      <c r="BN443" s="220">
        <f>'Financial Planning Tool'!AC142</f>
        <v>13846073.380000001</v>
      </c>
      <c r="BO443" s="221"/>
      <c r="BP443" s="221"/>
      <c r="BQ443" s="221"/>
      <c r="BR443" s="221"/>
      <c r="BS443" s="221"/>
      <c r="BT443" s="221"/>
      <c r="BU443" s="222"/>
    </row>
    <row r="444" spans="2:73" x14ac:dyDescent="0.25">
      <c r="B444" s="215">
        <f ca="1">'Financial Planning Tool'!T143</f>
        <v>78132</v>
      </c>
      <c r="C444" s="216"/>
      <c r="D444" s="216"/>
      <c r="E444" s="217"/>
      <c r="F444" s="218">
        <f ca="1">'Financial Planning Tool'!U143</f>
        <v>143</v>
      </c>
      <c r="G444" s="186"/>
      <c r="H444" s="186"/>
      <c r="I444" s="219"/>
      <c r="J444" s="220" t="str">
        <f>IF('Financial Planning Tool'!V143="","",'Financial Planning Tool'!V143)</f>
        <v/>
      </c>
      <c r="K444" s="221"/>
      <c r="L444" s="221"/>
      <c r="M444" s="221"/>
      <c r="N444" s="221"/>
      <c r="O444" s="221"/>
      <c r="P444" s="221"/>
      <c r="Q444" s="222"/>
      <c r="R444" s="220" t="str">
        <f>IF('Financial Planning Tool'!W143="","",'Financial Planning Tool'!W143)</f>
        <v/>
      </c>
      <c r="S444" s="221"/>
      <c r="T444" s="221"/>
      <c r="U444" s="221"/>
      <c r="V444" s="221"/>
      <c r="W444" s="221"/>
      <c r="X444" s="221"/>
      <c r="Y444" s="222"/>
      <c r="Z444" s="220" t="str">
        <f>IF('Financial Planning Tool'!X143="","",'Financial Planning Tool'!X143)</f>
        <v/>
      </c>
      <c r="AA444" s="221"/>
      <c r="AB444" s="221"/>
      <c r="AC444" s="221"/>
      <c r="AD444" s="221"/>
      <c r="AE444" s="221"/>
      <c r="AF444" s="221"/>
      <c r="AG444" s="222"/>
      <c r="AH444" s="220" t="str">
        <f>IF('Financial Planning Tool'!Y143="","",'Financial Planning Tool'!Y143)</f>
        <v/>
      </c>
      <c r="AI444" s="221"/>
      <c r="AJ444" s="221"/>
      <c r="AK444" s="221"/>
      <c r="AL444" s="221"/>
      <c r="AM444" s="221"/>
      <c r="AN444" s="221"/>
      <c r="AO444" s="222"/>
      <c r="AP444" s="220" t="str">
        <f>IF('Financial Planning Tool'!Z143="","",'Financial Planning Tool'!Z143)</f>
        <v/>
      </c>
      <c r="AQ444" s="221"/>
      <c r="AR444" s="221"/>
      <c r="AS444" s="221"/>
      <c r="AT444" s="221"/>
      <c r="AU444" s="221"/>
      <c r="AV444" s="221"/>
      <c r="AW444" s="222"/>
      <c r="AX444" s="220" t="str">
        <f>IF('Financial Planning Tool'!AA143="","",'Financial Planning Tool'!AA143)</f>
        <v/>
      </c>
      <c r="AY444" s="221"/>
      <c r="AZ444" s="221"/>
      <c r="BA444" s="221"/>
      <c r="BB444" s="221"/>
      <c r="BC444" s="221"/>
      <c r="BD444" s="221"/>
      <c r="BE444" s="222"/>
      <c r="BF444" s="220">
        <f>'Financial Planning Tool'!AB143</f>
        <v>471719948.74000001</v>
      </c>
      <c r="BG444" s="221"/>
      <c r="BH444" s="221"/>
      <c r="BI444" s="221"/>
      <c r="BJ444" s="221"/>
      <c r="BK444" s="221"/>
      <c r="BL444" s="221"/>
      <c r="BM444" s="222"/>
      <c r="BN444" s="220">
        <f>'Financial Planning Tool'!AC143</f>
        <v>14378614.66</v>
      </c>
      <c r="BO444" s="221"/>
      <c r="BP444" s="221"/>
      <c r="BQ444" s="221"/>
      <c r="BR444" s="221"/>
      <c r="BS444" s="221"/>
      <c r="BT444" s="221"/>
      <c r="BU444" s="222"/>
    </row>
    <row r="445" spans="2:73" x14ac:dyDescent="0.25">
      <c r="B445" s="215">
        <f ca="1">'Financial Planning Tool'!T144</f>
        <v>78497</v>
      </c>
      <c r="C445" s="216"/>
      <c r="D445" s="216"/>
      <c r="E445" s="217"/>
      <c r="F445" s="218">
        <f ca="1">'Financial Planning Tool'!U144</f>
        <v>144</v>
      </c>
      <c r="G445" s="186"/>
      <c r="H445" s="186"/>
      <c r="I445" s="219"/>
      <c r="J445" s="220" t="str">
        <f>IF('Financial Planning Tool'!V144="","",'Financial Planning Tool'!V144)</f>
        <v/>
      </c>
      <c r="K445" s="221"/>
      <c r="L445" s="221"/>
      <c r="M445" s="221"/>
      <c r="N445" s="221"/>
      <c r="O445" s="221"/>
      <c r="P445" s="221"/>
      <c r="Q445" s="222"/>
      <c r="R445" s="220" t="str">
        <f>IF('Financial Planning Tool'!W144="","",'Financial Planning Tool'!W144)</f>
        <v/>
      </c>
      <c r="S445" s="221"/>
      <c r="T445" s="221"/>
      <c r="U445" s="221"/>
      <c r="V445" s="221"/>
      <c r="W445" s="221"/>
      <c r="X445" s="221"/>
      <c r="Y445" s="222"/>
      <c r="Z445" s="220" t="str">
        <f>IF('Financial Planning Tool'!X144="","",'Financial Planning Tool'!X144)</f>
        <v/>
      </c>
      <c r="AA445" s="221"/>
      <c r="AB445" s="221"/>
      <c r="AC445" s="221"/>
      <c r="AD445" s="221"/>
      <c r="AE445" s="221"/>
      <c r="AF445" s="221"/>
      <c r="AG445" s="222"/>
      <c r="AH445" s="220" t="str">
        <f>IF('Financial Planning Tool'!Y144="","",'Financial Planning Tool'!Y144)</f>
        <v/>
      </c>
      <c r="AI445" s="221"/>
      <c r="AJ445" s="221"/>
      <c r="AK445" s="221"/>
      <c r="AL445" s="221"/>
      <c r="AM445" s="221"/>
      <c r="AN445" s="221"/>
      <c r="AO445" s="222"/>
      <c r="AP445" s="220" t="str">
        <f>IF('Financial Planning Tool'!Z144="","",'Financial Planning Tool'!Z144)</f>
        <v/>
      </c>
      <c r="AQ445" s="221"/>
      <c r="AR445" s="221"/>
      <c r="AS445" s="221"/>
      <c r="AT445" s="221"/>
      <c r="AU445" s="221"/>
      <c r="AV445" s="221"/>
      <c r="AW445" s="222"/>
      <c r="AX445" s="220" t="str">
        <f>IF('Financial Planning Tool'!AA144="","",'Financial Planning Tool'!AA144)</f>
        <v/>
      </c>
      <c r="AY445" s="221"/>
      <c r="AZ445" s="221"/>
      <c r="BA445" s="221"/>
      <c r="BB445" s="221"/>
      <c r="BC445" s="221"/>
      <c r="BD445" s="221"/>
      <c r="BE445" s="222"/>
      <c r="BF445" s="220">
        <f>'Financial Planning Tool'!AB144</f>
        <v>509457544.63999999</v>
      </c>
      <c r="BG445" s="221"/>
      <c r="BH445" s="221"/>
      <c r="BI445" s="221"/>
      <c r="BJ445" s="221"/>
      <c r="BK445" s="221"/>
      <c r="BL445" s="221"/>
      <c r="BM445" s="222"/>
      <c r="BN445" s="220">
        <f>'Financial Planning Tool'!AC144</f>
        <v>14931638.300000001</v>
      </c>
      <c r="BO445" s="221"/>
      <c r="BP445" s="221"/>
      <c r="BQ445" s="221"/>
      <c r="BR445" s="221"/>
      <c r="BS445" s="221"/>
      <c r="BT445" s="221"/>
      <c r="BU445" s="222"/>
    </row>
    <row r="446" spans="2:73" x14ac:dyDescent="0.25">
      <c r="B446" s="215">
        <f ca="1">'Financial Planning Tool'!T145</f>
        <v>78862</v>
      </c>
      <c r="C446" s="216"/>
      <c r="D446" s="216"/>
      <c r="E446" s="217"/>
      <c r="F446" s="218">
        <f ca="1">'Financial Planning Tool'!U145</f>
        <v>145</v>
      </c>
      <c r="G446" s="186"/>
      <c r="H446" s="186"/>
      <c r="I446" s="219"/>
      <c r="J446" s="220" t="str">
        <f>IF('Financial Planning Tool'!V145="","",'Financial Planning Tool'!V145)</f>
        <v/>
      </c>
      <c r="K446" s="221"/>
      <c r="L446" s="221"/>
      <c r="M446" s="221"/>
      <c r="N446" s="221"/>
      <c r="O446" s="221"/>
      <c r="P446" s="221"/>
      <c r="Q446" s="222"/>
      <c r="R446" s="220" t="str">
        <f>IF('Financial Planning Tool'!W145="","",'Financial Planning Tool'!W145)</f>
        <v/>
      </c>
      <c r="S446" s="221"/>
      <c r="T446" s="221"/>
      <c r="U446" s="221"/>
      <c r="V446" s="221"/>
      <c r="W446" s="221"/>
      <c r="X446" s="221"/>
      <c r="Y446" s="222"/>
      <c r="Z446" s="220" t="str">
        <f>IF('Financial Planning Tool'!X145="","",'Financial Planning Tool'!X145)</f>
        <v/>
      </c>
      <c r="AA446" s="221"/>
      <c r="AB446" s="221"/>
      <c r="AC446" s="221"/>
      <c r="AD446" s="221"/>
      <c r="AE446" s="221"/>
      <c r="AF446" s="221"/>
      <c r="AG446" s="222"/>
      <c r="AH446" s="220" t="str">
        <f>IF('Financial Planning Tool'!Y145="","",'Financial Planning Tool'!Y145)</f>
        <v/>
      </c>
      <c r="AI446" s="221"/>
      <c r="AJ446" s="221"/>
      <c r="AK446" s="221"/>
      <c r="AL446" s="221"/>
      <c r="AM446" s="221"/>
      <c r="AN446" s="221"/>
      <c r="AO446" s="222"/>
      <c r="AP446" s="220" t="str">
        <f>IF('Financial Planning Tool'!Z145="","",'Financial Planning Tool'!Z145)</f>
        <v/>
      </c>
      <c r="AQ446" s="221"/>
      <c r="AR446" s="221"/>
      <c r="AS446" s="221"/>
      <c r="AT446" s="221"/>
      <c r="AU446" s="221"/>
      <c r="AV446" s="221"/>
      <c r="AW446" s="222"/>
      <c r="AX446" s="220" t="str">
        <f>IF('Financial Planning Tool'!AA145="","",'Financial Planning Tool'!AA145)</f>
        <v/>
      </c>
      <c r="AY446" s="221"/>
      <c r="AZ446" s="221"/>
      <c r="BA446" s="221"/>
      <c r="BB446" s="221"/>
      <c r="BC446" s="221"/>
      <c r="BD446" s="221"/>
      <c r="BE446" s="222"/>
      <c r="BF446" s="220">
        <f>'Financial Planning Tool'!AB145</f>
        <v>550214148.21000004</v>
      </c>
      <c r="BG446" s="221"/>
      <c r="BH446" s="221"/>
      <c r="BI446" s="221"/>
      <c r="BJ446" s="221"/>
      <c r="BK446" s="221"/>
      <c r="BL446" s="221"/>
      <c r="BM446" s="222"/>
      <c r="BN446" s="220">
        <f>'Financial Planning Tool'!AC145</f>
        <v>15505932.09</v>
      </c>
      <c r="BO446" s="221"/>
      <c r="BP446" s="221"/>
      <c r="BQ446" s="221"/>
      <c r="BR446" s="221"/>
      <c r="BS446" s="221"/>
      <c r="BT446" s="221"/>
      <c r="BU446" s="222"/>
    </row>
    <row r="447" spans="2:73" x14ac:dyDescent="0.25">
      <c r="B447" s="215">
        <f ca="1">'Financial Planning Tool'!T146</f>
        <v>79228</v>
      </c>
      <c r="C447" s="216"/>
      <c r="D447" s="216"/>
      <c r="E447" s="217"/>
      <c r="F447" s="218">
        <f ca="1">'Financial Planning Tool'!U146</f>
        <v>146</v>
      </c>
      <c r="G447" s="186"/>
      <c r="H447" s="186"/>
      <c r="I447" s="219"/>
      <c r="J447" s="220" t="str">
        <f>IF('Financial Planning Tool'!V146="","",'Financial Planning Tool'!V146)</f>
        <v/>
      </c>
      <c r="K447" s="221"/>
      <c r="L447" s="221"/>
      <c r="M447" s="221"/>
      <c r="N447" s="221"/>
      <c r="O447" s="221"/>
      <c r="P447" s="221"/>
      <c r="Q447" s="222"/>
      <c r="R447" s="220" t="str">
        <f>IF('Financial Planning Tool'!W146="","",'Financial Planning Tool'!W146)</f>
        <v/>
      </c>
      <c r="S447" s="221"/>
      <c r="T447" s="221"/>
      <c r="U447" s="221"/>
      <c r="V447" s="221"/>
      <c r="W447" s="221"/>
      <c r="X447" s="221"/>
      <c r="Y447" s="222"/>
      <c r="Z447" s="220" t="str">
        <f>IF('Financial Planning Tool'!X146="","",'Financial Planning Tool'!X146)</f>
        <v/>
      </c>
      <c r="AA447" s="221"/>
      <c r="AB447" s="221"/>
      <c r="AC447" s="221"/>
      <c r="AD447" s="221"/>
      <c r="AE447" s="221"/>
      <c r="AF447" s="221"/>
      <c r="AG447" s="222"/>
      <c r="AH447" s="220" t="str">
        <f>IF('Financial Planning Tool'!Y146="","",'Financial Planning Tool'!Y146)</f>
        <v/>
      </c>
      <c r="AI447" s="221"/>
      <c r="AJ447" s="221"/>
      <c r="AK447" s="221"/>
      <c r="AL447" s="221"/>
      <c r="AM447" s="221"/>
      <c r="AN447" s="221"/>
      <c r="AO447" s="222"/>
      <c r="AP447" s="220" t="str">
        <f>IF('Financial Planning Tool'!Z146="","",'Financial Planning Tool'!Z146)</f>
        <v/>
      </c>
      <c r="AQ447" s="221"/>
      <c r="AR447" s="221"/>
      <c r="AS447" s="221"/>
      <c r="AT447" s="221"/>
      <c r="AU447" s="221"/>
      <c r="AV447" s="221"/>
      <c r="AW447" s="222"/>
      <c r="AX447" s="220" t="str">
        <f>IF('Financial Planning Tool'!AA146="","",'Financial Planning Tool'!AA146)</f>
        <v/>
      </c>
      <c r="AY447" s="221"/>
      <c r="AZ447" s="221"/>
      <c r="BA447" s="221"/>
      <c r="BB447" s="221"/>
      <c r="BC447" s="221"/>
      <c r="BD447" s="221"/>
      <c r="BE447" s="222"/>
      <c r="BF447" s="220">
        <f>'Financial Planning Tool'!AB146</f>
        <v>594231280.07000005</v>
      </c>
      <c r="BG447" s="221"/>
      <c r="BH447" s="221"/>
      <c r="BI447" s="221"/>
      <c r="BJ447" s="221"/>
      <c r="BK447" s="221"/>
      <c r="BL447" s="221"/>
      <c r="BM447" s="222"/>
      <c r="BN447" s="220">
        <f>'Financial Planning Tool'!AC146</f>
        <v>16102314.09</v>
      </c>
      <c r="BO447" s="221"/>
      <c r="BP447" s="221"/>
      <c r="BQ447" s="221"/>
      <c r="BR447" s="221"/>
      <c r="BS447" s="221"/>
      <c r="BT447" s="221"/>
      <c r="BU447" s="222"/>
    </row>
    <row r="448" spans="2:73" x14ac:dyDescent="0.25">
      <c r="B448" s="215">
        <f ca="1">'Financial Planning Tool'!T147</f>
        <v>79593</v>
      </c>
      <c r="C448" s="216"/>
      <c r="D448" s="216"/>
      <c r="E448" s="217"/>
      <c r="F448" s="218">
        <f ca="1">'Financial Planning Tool'!U147</f>
        <v>147</v>
      </c>
      <c r="G448" s="186"/>
      <c r="H448" s="186"/>
      <c r="I448" s="219"/>
      <c r="J448" s="220" t="str">
        <f>IF('Financial Planning Tool'!V147="","",'Financial Planning Tool'!V147)</f>
        <v/>
      </c>
      <c r="K448" s="221"/>
      <c r="L448" s="221"/>
      <c r="M448" s="221"/>
      <c r="N448" s="221"/>
      <c r="O448" s="221"/>
      <c r="P448" s="221"/>
      <c r="Q448" s="222"/>
      <c r="R448" s="220" t="str">
        <f>IF('Financial Planning Tool'!W147="","",'Financial Planning Tool'!W147)</f>
        <v/>
      </c>
      <c r="S448" s="221"/>
      <c r="T448" s="221"/>
      <c r="U448" s="221"/>
      <c r="V448" s="221"/>
      <c r="W448" s="221"/>
      <c r="X448" s="221"/>
      <c r="Y448" s="222"/>
      <c r="Z448" s="220" t="str">
        <f>IF('Financial Planning Tool'!X147="","",'Financial Planning Tool'!X147)</f>
        <v/>
      </c>
      <c r="AA448" s="221"/>
      <c r="AB448" s="221"/>
      <c r="AC448" s="221"/>
      <c r="AD448" s="221"/>
      <c r="AE448" s="221"/>
      <c r="AF448" s="221"/>
      <c r="AG448" s="222"/>
      <c r="AH448" s="220" t="str">
        <f>IF('Financial Planning Tool'!Y147="","",'Financial Planning Tool'!Y147)</f>
        <v/>
      </c>
      <c r="AI448" s="221"/>
      <c r="AJ448" s="221"/>
      <c r="AK448" s="221"/>
      <c r="AL448" s="221"/>
      <c r="AM448" s="221"/>
      <c r="AN448" s="221"/>
      <c r="AO448" s="222"/>
      <c r="AP448" s="220" t="str">
        <f>IF('Financial Planning Tool'!Z147="","",'Financial Planning Tool'!Z147)</f>
        <v/>
      </c>
      <c r="AQ448" s="221"/>
      <c r="AR448" s="221"/>
      <c r="AS448" s="221"/>
      <c r="AT448" s="221"/>
      <c r="AU448" s="221"/>
      <c r="AV448" s="221"/>
      <c r="AW448" s="222"/>
      <c r="AX448" s="220" t="str">
        <f>IF('Financial Planning Tool'!AA147="","",'Financial Planning Tool'!AA147)</f>
        <v/>
      </c>
      <c r="AY448" s="221"/>
      <c r="AZ448" s="221"/>
      <c r="BA448" s="221"/>
      <c r="BB448" s="221"/>
      <c r="BC448" s="221"/>
      <c r="BD448" s="221"/>
      <c r="BE448" s="222"/>
      <c r="BF448" s="220">
        <f>'Financial Planning Tool'!AB147</f>
        <v>641769782.47000003</v>
      </c>
      <c r="BG448" s="221"/>
      <c r="BH448" s="221"/>
      <c r="BI448" s="221"/>
      <c r="BJ448" s="221"/>
      <c r="BK448" s="221"/>
      <c r="BL448" s="221"/>
      <c r="BM448" s="222"/>
      <c r="BN448" s="220">
        <f>'Financial Planning Tool'!AC147</f>
        <v>16721633.859999999</v>
      </c>
      <c r="BO448" s="221"/>
      <c r="BP448" s="221"/>
      <c r="BQ448" s="221"/>
      <c r="BR448" s="221"/>
      <c r="BS448" s="221"/>
      <c r="BT448" s="221"/>
      <c r="BU448" s="222"/>
    </row>
    <row r="449" spans="2:73" x14ac:dyDescent="0.25">
      <c r="B449" s="215">
        <f ca="1">'Financial Planning Tool'!T148</f>
        <v>79958</v>
      </c>
      <c r="C449" s="216"/>
      <c r="D449" s="216"/>
      <c r="E449" s="217"/>
      <c r="F449" s="218">
        <f ca="1">'Financial Planning Tool'!U148</f>
        <v>148</v>
      </c>
      <c r="G449" s="186"/>
      <c r="H449" s="186"/>
      <c r="I449" s="219"/>
      <c r="J449" s="220" t="str">
        <f>IF('Financial Planning Tool'!V148="","",'Financial Planning Tool'!V148)</f>
        <v/>
      </c>
      <c r="K449" s="221"/>
      <c r="L449" s="221"/>
      <c r="M449" s="221"/>
      <c r="N449" s="221"/>
      <c r="O449" s="221"/>
      <c r="P449" s="221"/>
      <c r="Q449" s="222"/>
      <c r="R449" s="220" t="str">
        <f>IF('Financial Planning Tool'!W148="","",'Financial Planning Tool'!W148)</f>
        <v/>
      </c>
      <c r="S449" s="221"/>
      <c r="T449" s="221"/>
      <c r="U449" s="221"/>
      <c r="V449" s="221"/>
      <c r="W449" s="221"/>
      <c r="X449" s="221"/>
      <c r="Y449" s="222"/>
      <c r="Z449" s="220" t="str">
        <f>IF('Financial Planning Tool'!X148="","",'Financial Planning Tool'!X148)</f>
        <v/>
      </c>
      <c r="AA449" s="221"/>
      <c r="AB449" s="221"/>
      <c r="AC449" s="221"/>
      <c r="AD449" s="221"/>
      <c r="AE449" s="221"/>
      <c r="AF449" s="221"/>
      <c r="AG449" s="222"/>
      <c r="AH449" s="220" t="str">
        <f>IF('Financial Planning Tool'!Y148="","",'Financial Planning Tool'!Y148)</f>
        <v/>
      </c>
      <c r="AI449" s="221"/>
      <c r="AJ449" s="221"/>
      <c r="AK449" s="221"/>
      <c r="AL449" s="221"/>
      <c r="AM449" s="221"/>
      <c r="AN449" s="221"/>
      <c r="AO449" s="222"/>
      <c r="AP449" s="220" t="str">
        <f>IF('Financial Planning Tool'!Z148="","",'Financial Planning Tool'!Z148)</f>
        <v/>
      </c>
      <c r="AQ449" s="221"/>
      <c r="AR449" s="221"/>
      <c r="AS449" s="221"/>
      <c r="AT449" s="221"/>
      <c r="AU449" s="221"/>
      <c r="AV449" s="221"/>
      <c r="AW449" s="222"/>
      <c r="AX449" s="220" t="str">
        <f>IF('Financial Planning Tool'!AA148="","",'Financial Planning Tool'!AA148)</f>
        <v/>
      </c>
      <c r="AY449" s="221"/>
      <c r="AZ449" s="221"/>
      <c r="BA449" s="221"/>
      <c r="BB449" s="221"/>
      <c r="BC449" s="221"/>
      <c r="BD449" s="221"/>
      <c r="BE449" s="222"/>
      <c r="BF449" s="220">
        <f>'Financial Planning Tool'!AB148</f>
        <v>693111365.07000005</v>
      </c>
      <c r="BG449" s="221"/>
      <c r="BH449" s="221"/>
      <c r="BI449" s="221"/>
      <c r="BJ449" s="221"/>
      <c r="BK449" s="221"/>
      <c r="BL449" s="221"/>
      <c r="BM449" s="222"/>
      <c r="BN449" s="220">
        <f>'Financial Planning Tool'!AC148</f>
        <v>17364773.620000001</v>
      </c>
      <c r="BO449" s="221"/>
      <c r="BP449" s="221"/>
      <c r="BQ449" s="221"/>
      <c r="BR449" s="221"/>
      <c r="BS449" s="221"/>
      <c r="BT449" s="221"/>
      <c r="BU449" s="222"/>
    </row>
    <row r="450" spans="2:73" x14ac:dyDescent="0.25">
      <c r="B450" s="215">
        <f ca="1">'Financial Planning Tool'!T149</f>
        <v>80323</v>
      </c>
      <c r="C450" s="216"/>
      <c r="D450" s="216"/>
      <c r="E450" s="217"/>
      <c r="F450" s="218">
        <f ca="1">'Financial Planning Tool'!U149</f>
        <v>149</v>
      </c>
      <c r="G450" s="186"/>
      <c r="H450" s="186"/>
      <c r="I450" s="219"/>
      <c r="J450" s="220" t="str">
        <f>IF('Financial Planning Tool'!V149="","",'Financial Planning Tool'!V149)</f>
        <v/>
      </c>
      <c r="K450" s="221"/>
      <c r="L450" s="221"/>
      <c r="M450" s="221"/>
      <c r="N450" s="221"/>
      <c r="O450" s="221"/>
      <c r="P450" s="221"/>
      <c r="Q450" s="222"/>
      <c r="R450" s="220" t="str">
        <f>IF('Financial Planning Tool'!W149="","",'Financial Planning Tool'!W149)</f>
        <v/>
      </c>
      <c r="S450" s="221"/>
      <c r="T450" s="221"/>
      <c r="U450" s="221"/>
      <c r="V450" s="221"/>
      <c r="W450" s="221"/>
      <c r="X450" s="221"/>
      <c r="Y450" s="222"/>
      <c r="Z450" s="220" t="str">
        <f>IF('Financial Planning Tool'!X149="","",'Financial Planning Tool'!X149)</f>
        <v/>
      </c>
      <c r="AA450" s="221"/>
      <c r="AB450" s="221"/>
      <c r="AC450" s="221"/>
      <c r="AD450" s="221"/>
      <c r="AE450" s="221"/>
      <c r="AF450" s="221"/>
      <c r="AG450" s="222"/>
      <c r="AH450" s="220" t="str">
        <f>IF('Financial Planning Tool'!Y149="","",'Financial Planning Tool'!Y149)</f>
        <v/>
      </c>
      <c r="AI450" s="221"/>
      <c r="AJ450" s="221"/>
      <c r="AK450" s="221"/>
      <c r="AL450" s="221"/>
      <c r="AM450" s="221"/>
      <c r="AN450" s="221"/>
      <c r="AO450" s="222"/>
      <c r="AP450" s="220" t="str">
        <f>IF('Financial Planning Tool'!Z149="","",'Financial Planning Tool'!Z149)</f>
        <v/>
      </c>
      <c r="AQ450" s="221"/>
      <c r="AR450" s="221"/>
      <c r="AS450" s="221"/>
      <c r="AT450" s="221"/>
      <c r="AU450" s="221"/>
      <c r="AV450" s="221"/>
      <c r="AW450" s="222"/>
      <c r="AX450" s="220" t="str">
        <f>IF('Financial Planning Tool'!AA149="","",'Financial Planning Tool'!AA149)</f>
        <v/>
      </c>
      <c r="AY450" s="221"/>
      <c r="AZ450" s="221"/>
      <c r="BA450" s="221"/>
      <c r="BB450" s="221"/>
      <c r="BC450" s="221"/>
      <c r="BD450" s="221"/>
      <c r="BE450" s="222"/>
      <c r="BF450" s="220">
        <f>'Financial Planning Tool'!AB149</f>
        <v>748560274.27999997</v>
      </c>
      <c r="BG450" s="221"/>
      <c r="BH450" s="221"/>
      <c r="BI450" s="221"/>
      <c r="BJ450" s="221"/>
      <c r="BK450" s="221"/>
      <c r="BL450" s="221"/>
      <c r="BM450" s="222"/>
      <c r="BN450" s="220">
        <f>'Financial Planning Tool'!AC149</f>
        <v>18032649.530000001</v>
      </c>
      <c r="BO450" s="221"/>
      <c r="BP450" s="221"/>
      <c r="BQ450" s="221"/>
      <c r="BR450" s="221"/>
      <c r="BS450" s="221"/>
      <c r="BT450" s="221"/>
      <c r="BU450" s="222"/>
    </row>
    <row r="451" spans="2:73" x14ac:dyDescent="0.25">
      <c r="B451" s="215">
        <f ca="1">'Financial Planning Tool'!T150</f>
        <v>80689</v>
      </c>
      <c r="C451" s="216"/>
      <c r="D451" s="216"/>
      <c r="E451" s="217"/>
      <c r="F451" s="218">
        <f ca="1">'Financial Planning Tool'!U150</f>
        <v>150</v>
      </c>
      <c r="G451" s="186"/>
      <c r="H451" s="186"/>
      <c r="I451" s="219"/>
      <c r="J451" s="220" t="str">
        <f>IF('Financial Planning Tool'!V150="","",'Financial Planning Tool'!V150)</f>
        <v/>
      </c>
      <c r="K451" s="221"/>
      <c r="L451" s="221"/>
      <c r="M451" s="221"/>
      <c r="N451" s="221"/>
      <c r="O451" s="221"/>
      <c r="P451" s="221"/>
      <c r="Q451" s="222"/>
      <c r="R451" s="220" t="str">
        <f>IF('Financial Planning Tool'!W150="","",'Financial Planning Tool'!W150)</f>
        <v/>
      </c>
      <c r="S451" s="221"/>
      <c r="T451" s="221"/>
      <c r="U451" s="221"/>
      <c r="V451" s="221"/>
      <c r="W451" s="221"/>
      <c r="X451" s="221"/>
      <c r="Y451" s="222"/>
      <c r="Z451" s="220" t="str">
        <f>IF('Financial Planning Tool'!X150="","",'Financial Planning Tool'!X150)</f>
        <v/>
      </c>
      <c r="AA451" s="221"/>
      <c r="AB451" s="221"/>
      <c r="AC451" s="221"/>
      <c r="AD451" s="221"/>
      <c r="AE451" s="221"/>
      <c r="AF451" s="221"/>
      <c r="AG451" s="222"/>
      <c r="AH451" s="220" t="str">
        <f>IF('Financial Planning Tool'!Y150="","",'Financial Planning Tool'!Y150)</f>
        <v/>
      </c>
      <c r="AI451" s="221"/>
      <c r="AJ451" s="221"/>
      <c r="AK451" s="221"/>
      <c r="AL451" s="221"/>
      <c r="AM451" s="221"/>
      <c r="AN451" s="221"/>
      <c r="AO451" s="222"/>
      <c r="AP451" s="220" t="str">
        <f>IF('Financial Planning Tool'!Z150="","",'Financial Planning Tool'!Z150)</f>
        <v/>
      </c>
      <c r="AQ451" s="221"/>
      <c r="AR451" s="221"/>
      <c r="AS451" s="221"/>
      <c r="AT451" s="221"/>
      <c r="AU451" s="221"/>
      <c r="AV451" s="221"/>
      <c r="AW451" s="222"/>
      <c r="AX451" s="220" t="str">
        <f>IF('Financial Planning Tool'!AA150="","",'Financial Planning Tool'!AA150)</f>
        <v/>
      </c>
      <c r="AY451" s="221"/>
      <c r="AZ451" s="221"/>
      <c r="BA451" s="221"/>
      <c r="BB451" s="221"/>
      <c r="BC451" s="221"/>
      <c r="BD451" s="221"/>
      <c r="BE451" s="222"/>
      <c r="BF451" s="220">
        <f>'Financial Planning Tool'!AB150</f>
        <v>808445096.22000003</v>
      </c>
      <c r="BG451" s="221"/>
      <c r="BH451" s="221"/>
      <c r="BI451" s="221"/>
      <c r="BJ451" s="221"/>
      <c r="BK451" s="221"/>
      <c r="BL451" s="221"/>
      <c r="BM451" s="222"/>
      <c r="BN451" s="220">
        <f>'Financial Planning Tool'!AC150</f>
        <v>18726212.98</v>
      </c>
      <c r="BO451" s="221"/>
      <c r="BP451" s="221"/>
      <c r="BQ451" s="221"/>
      <c r="BR451" s="221"/>
      <c r="BS451" s="221"/>
      <c r="BT451" s="221"/>
      <c r="BU451" s="222"/>
    </row>
    <row r="452" spans="2:73" x14ac:dyDescent="0.25">
      <c r="B452" s="215">
        <f ca="1">'Financial Planning Tool'!T151</f>
        <v>81054</v>
      </c>
      <c r="C452" s="216"/>
      <c r="D452" s="216"/>
      <c r="E452" s="217"/>
      <c r="F452" s="218">
        <f ca="1">'Financial Planning Tool'!U151</f>
        <v>151</v>
      </c>
      <c r="G452" s="186"/>
      <c r="H452" s="186"/>
      <c r="I452" s="219"/>
      <c r="J452" s="220" t="str">
        <f>IF('Financial Planning Tool'!V151="","",'Financial Planning Tool'!V151)</f>
        <v/>
      </c>
      <c r="K452" s="221"/>
      <c r="L452" s="221"/>
      <c r="M452" s="221"/>
      <c r="N452" s="221"/>
      <c r="O452" s="221"/>
      <c r="P452" s="221"/>
      <c r="Q452" s="222"/>
      <c r="R452" s="220" t="str">
        <f>IF('Financial Planning Tool'!W151="","",'Financial Planning Tool'!W151)</f>
        <v/>
      </c>
      <c r="S452" s="221"/>
      <c r="T452" s="221"/>
      <c r="U452" s="221"/>
      <c r="V452" s="221"/>
      <c r="W452" s="221"/>
      <c r="X452" s="221"/>
      <c r="Y452" s="222"/>
      <c r="Z452" s="220" t="str">
        <f>IF('Financial Planning Tool'!X151="","",'Financial Planning Tool'!X151)</f>
        <v/>
      </c>
      <c r="AA452" s="221"/>
      <c r="AB452" s="221"/>
      <c r="AC452" s="221"/>
      <c r="AD452" s="221"/>
      <c r="AE452" s="221"/>
      <c r="AF452" s="221"/>
      <c r="AG452" s="222"/>
      <c r="AH452" s="220" t="str">
        <f>IF('Financial Planning Tool'!Y151="","",'Financial Planning Tool'!Y151)</f>
        <v/>
      </c>
      <c r="AI452" s="221"/>
      <c r="AJ452" s="221"/>
      <c r="AK452" s="221"/>
      <c r="AL452" s="221"/>
      <c r="AM452" s="221"/>
      <c r="AN452" s="221"/>
      <c r="AO452" s="222"/>
      <c r="AP452" s="220" t="str">
        <f>IF('Financial Planning Tool'!Z151="","",'Financial Planning Tool'!Z151)</f>
        <v/>
      </c>
      <c r="AQ452" s="221"/>
      <c r="AR452" s="221"/>
      <c r="AS452" s="221"/>
      <c r="AT452" s="221"/>
      <c r="AU452" s="221"/>
      <c r="AV452" s="221"/>
      <c r="AW452" s="222"/>
      <c r="AX452" s="220" t="str">
        <f>IF('Financial Planning Tool'!AA151="","",'Financial Planning Tool'!AA151)</f>
        <v/>
      </c>
      <c r="AY452" s="221"/>
      <c r="AZ452" s="221"/>
      <c r="BA452" s="221"/>
      <c r="BB452" s="221"/>
      <c r="BC452" s="221"/>
      <c r="BD452" s="221"/>
      <c r="BE452" s="222"/>
      <c r="BF452" s="220">
        <f>'Financial Planning Tool'!AB151</f>
        <v>873120703.91999996</v>
      </c>
      <c r="BG452" s="221"/>
      <c r="BH452" s="221"/>
      <c r="BI452" s="221"/>
      <c r="BJ452" s="221"/>
      <c r="BK452" s="221"/>
      <c r="BL452" s="221"/>
      <c r="BM452" s="222"/>
      <c r="BN452" s="220">
        <f>'Financial Planning Tool'!AC151</f>
        <v>19446451.940000001</v>
      </c>
      <c r="BO452" s="221"/>
      <c r="BP452" s="221"/>
      <c r="BQ452" s="221"/>
      <c r="BR452" s="221"/>
      <c r="BS452" s="221"/>
      <c r="BT452" s="221"/>
      <c r="BU452" s="222"/>
    </row>
    <row r="453" spans="2:73" x14ac:dyDescent="0.25">
      <c r="B453" s="215">
        <f ca="1">'Financial Planning Tool'!T152</f>
        <v>81419</v>
      </c>
      <c r="C453" s="216"/>
      <c r="D453" s="216"/>
      <c r="E453" s="217"/>
      <c r="F453" s="218">
        <f ca="1">'Financial Planning Tool'!U152</f>
        <v>152</v>
      </c>
      <c r="G453" s="186"/>
      <c r="H453" s="186"/>
      <c r="I453" s="219"/>
      <c r="J453" s="220" t="str">
        <f>IF('Financial Planning Tool'!V152="","",'Financial Planning Tool'!V152)</f>
        <v/>
      </c>
      <c r="K453" s="221"/>
      <c r="L453" s="221"/>
      <c r="M453" s="221"/>
      <c r="N453" s="221"/>
      <c r="O453" s="221"/>
      <c r="P453" s="221"/>
      <c r="Q453" s="222"/>
      <c r="R453" s="220" t="str">
        <f>IF('Financial Planning Tool'!W152="","",'Financial Planning Tool'!W152)</f>
        <v/>
      </c>
      <c r="S453" s="221"/>
      <c r="T453" s="221"/>
      <c r="U453" s="221"/>
      <c r="V453" s="221"/>
      <c r="W453" s="221"/>
      <c r="X453" s="221"/>
      <c r="Y453" s="222"/>
      <c r="Z453" s="220" t="str">
        <f>IF('Financial Planning Tool'!X152="","",'Financial Planning Tool'!X152)</f>
        <v/>
      </c>
      <c r="AA453" s="221"/>
      <c r="AB453" s="221"/>
      <c r="AC453" s="221"/>
      <c r="AD453" s="221"/>
      <c r="AE453" s="221"/>
      <c r="AF453" s="221"/>
      <c r="AG453" s="222"/>
      <c r="AH453" s="220" t="str">
        <f>IF('Financial Planning Tool'!Y152="","",'Financial Planning Tool'!Y152)</f>
        <v/>
      </c>
      <c r="AI453" s="221"/>
      <c r="AJ453" s="221"/>
      <c r="AK453" s="221"/>
      <c r="AL453" s="221"/>
      <c r="AM453" s="221"/>
      <c r="AN453" s="221"/>
      <c r="AO453" s="222"/>
      <c r="AP453" s="220" t="str">
        <f>IF('Financial Planning Tool'!Z152="","",'Financial Planning Tool'!Z152)</f>
        <v/>
      </c>
      <c r="AQ453" s="221"/>
      <c r="AR453" s="221"/>
      <c r="AS453" s="221"/>
      <c r="AT453" s="221"/>
      <c r="AU453" s="221"/>
      <c r="AV453" s="221"/>
      <c r="AW453" s="222"/>
      <c r="AX453" s="220" t="str">
        <f>IF('Financial Planning Tool'!AA152="","",'Financial Planning Tool'!AA152)</f>
        <v/>
      </c>
      <c r="AY453" s="221"/>
      <c r="AZ453" s="221"/>
      <c r="BA453" s="221"/>
      <c r="BB453" s="221"/>
      <c r="BC453" s="221"/>
      <c r="BD453" s="221"/>
      <c r="BE453" s="222"/>
      <c r="BF453" s="220">
        <f>'Financial Planning Tool'!AB152</f>
        <v>942970360.23000002</v>
      </c>
      <c r="BG453" s="221"/>
      <c r="BH453" s="221"/>
      <c r="BI453" s="221"/>
      <c r="BJ453" s="221"/>
      <c r="BK453" s="221"/>
      <c r="BL453" s="221"/>
      <c r="BM453" s="222"/>
      <c r="BN453" s="220">
        <f>'Financial Planning Tool'!AC152</f>
        <v>20194392.399999999</v>
      </c>
      <c r="BO453" s="221"/>
      <c r="BP453" s="221"/>
      <c r="BQ453" s="221"/>
      <c r="BR453" s="221"/>
      <c r="BS453" s="221"/>
      <c r="BT453" s="221"/>
      <c r="BU453" s="222"/>
    </row>
    <row r="454" spans="2:73" x14ac:dyDescent="0.25">
      <c r="B454" s="215">
        <f ca="1">'Financial Planning Tool'!T153</f>
        <v>81784</v>
      </c>
      <c r="C454" s="216"/>
      <c r="D454" s="216"/>
      <c r="E454" s="217"/>
      <c r="F454" s="218">
        <f ca="1">'Financial Planning Tool'!U153</f>
        <v>153</v>
      </c>
      <c r="G454" s="186"/>
      <c r="H454" s="186"/>
      <c r="I454" s="219"/>
      <c r="J454" s="220" t="str">
        <f>IF('Financial Planning Tool'!V153="","",'Financial Planning Tool'!V153)</f>
        <v/>
      </c>
      <c r="K454" s="221"/>
      <c r="L454" s="221"/>
      <c r="M454" s="221"/>
      <c r="N454" s="221"/>
      <c r="O454" s="221"/>
      <c r="P454" s="221"/>
      <c r="Q454" s="222"/>
      <c r="R454" s="220" t="str">
        <f>IF('Financial Planning Tool'!W153="","",'Financial Planning Tool'!W153)</f>
        <v/>
      </c>
      <c r="S454" s="221"/>
      <c r="T454" s="221"/>
      <c r="U454" s="221"/>
      <c r="V454" s="221"/>
      <c r="W454" s="221"/>
      <c r="X454" s="221"/>
      <c r="Y454" s="222"/>
      <c r="Z454" s="220" t="str">
        <f>IF('Financial Planning Tool'!X153="","",'Financial Planning Tool'!X153)</f>
        <v/>
      </c>
      <c r="AA454" s="221"/>
      <c r="AB454" s="221"/>
      <c r="AC454" s="221"/>
      <c r="AD454" s="221"/>
      <c r="AE454" s="221"/>
      <c r="AF454" s="221"/>
      <c r="AG454" s="222"/>
      <c r="AH454" s="220" t="str">
        <f>IF('Financial Planning Tool'!Y153="","",'Financial Planning Tool'!Y153)</f>
        <v/>
      </c>
      <c r="AI454" s="221"/>
      <c r="AJ454" s="221"/>
      <c r="AK454" s="221"/>
      <c r="AL454" s="221"/>
      <c r="AM454" s="221"/>
      <c r="AN454" s="221"/>
      <c r="AO454" s="222"/>
      <c r="AP454" s="220" t="str">
        <f>IF('Financial Planning Tool'!Z153="","",'Financial Planning Tool'!Z153)</f>
        <v/>
      </c>
      <c r="AQ454" s="221"/>
      <c r="AR454" s="221"/>
      <c r="AS454" s="221"/>
      <c r="AT454" s="221"/>
      <c r="AU454" s="221"/>
      <c r="AV454" s="221"/>
      <c r="AW454" s="222"/>
      <c r="AX454" s="220" t="str">
        <f>IF('Financial Planning Tool'!AA153="","",'Financial Planning Tool'!AA153)</f>
        <v/>
      </c>
      <c r="AY454" s="221"/>
      <c r="AZ454" s="221"/>
      <c r="BA454" s="221"/>
      <c r="BB454" s="221"/>
      <c r="BC454" s="221"/>
      <c r="BD454" s="221"/>
      <c r="BE454" s="222"/>
      <c r="BF454" s="220">
        <f>'Financial Planning Tool'!AB153</f>
        <v>1018407989.05</v>
      </c>
      <c r="BG454" s="221"/>
      <c r="BH454" s="221"/>
      <c r="BI454" s="221"/>
      <c r="BJ454" s="221"/>
      <c r="BK454" s="221"/>
      <c r="BL454" s="221"/>
      <c r="BM454" s="222"/>
      <c r="BN454" s="220">
        <f>'Financial Planning Tool'!AC153</f>
        <v>20971099.800000001</v>
      </c>
      <c r="BO454" s="221"/>
      <c r="BP454" s="221"/>
      <c r="BQ454" s="221"/>
      <c r="BR454" s="221"/>
      <c r="BS454" s="221"/>
      <c r="BT454" s="221"/>
      <c r="BU454" s="222"/>
    </row>
    <row r="455" spans="2:73" x14ac:dyDescent="0.25">
      <c r="B455" s="206">
        <f ca="1">'Financial Planning Tool'!T154</f>
        <v>82150</v>
      </c>
      <c r="C455" s="207"/>
      <c r="D455" s="207"/>
      <c r="E455" s="208"/>
      <c r="F455" s="209">
        <f ca="1">'Financial Planning Tool'!U154</f>
        <v>154</v>
      </c>
      <c r="G455" s="210"/>
      <c r="H455" s="210"/>
      <c r="I455" s="211"/>
      <c r="J455" s="212" t="str">
        <f>IF('Financial Planning Tool'!V154="","",'Financial Planning Tool'!V154)</f>
        <v/>
      </c>
      <c r="K455" s="213"/>
      <c r="L455" s="213"/>
      <c r="M455" s="213"/>
      <c r="N455" s="213"/>
      <c r="O455" s="213"/>
      <c r="P455" s="213"/>
      <c r="Q455" s="214"/>
      <c r="R455" s="212" t="str">
        <f>IF('Financial Planning Tool'!W154="","",'Financial Planning Tool'!W154)</f>
        <v/>
      </c>
      <c r="S455" s="213"/>
      <c r="T455" s="213"/>
      <c r="U455" s="213"/>
      <c r="V455" s="213"/>
      <c r="W455" s="213"/>
      <c r="X455" s="213"/>
      <c r="Y455" s="214"/>
      <c r="Z455" s="212" t="str">
        <f>IF('Financial Planning Tool'!X154="","",'Financial Planning Tool'!X154)</f>
        <v/>
      </c>
      <c r="AA455" s="213"/>
      <c r="AB455" s="213"/>
      <c r="AC455" s="213"/>
      <c r="AD455" s="213"/>
      <c r="AE455" s="213"/>
      <c r="AF455" s="213"/>
      <c r="AG455" s="214"/>
      <c r="AH455" s="212" t="str">
        <f>IF('Financial Planning Tool'!Y154="","",'Financial Planning Tool'!Y154)</f>
        <v/>
      </c>
      <c r="AI455" s="213"/>
      <c r="AJ455" s="213"/>
      <c r="AK455" s="213"/>
      <c r="AL455" s="213"/>
      <c r="AM455" s="213"/>
      <c r="AN455" s="213"/>
      <c r="AO455" s="214"/>
      <c r="AP455" s="212" t="str">
        <f>IF('Financial Planning Tool'!Z154="","",'Financial Planning Tool'!Z154)</f>
        <v/>
      </c>
      <c r="AQ455" s="213"/>
      <c r="AR455" s="213"/>
      <c r="AS455" s="213"/>
      <c r="AT455" s="213"/>
      <c r="AU455" s="213"/>
      <c r="AV455" s="213"/>
      <c r="AW455" s="214"/>
      <c r="AX455" s="212" t="str">
        <f>IF('Financial Planning Tool'!AA154="","",'Financial Planning Tool'!AA154)</f>
        <v/>
      </c>
      <c r="AY455" s="213"/>
      <c r="AZ455" s="213"/>
      <c r="BA455" s="213"/>
      <c r="BB455" s="213"/>
      <c r="BC455" s="213"/>
      <c r="BD455" s="213"/>
      <c r="BE455" s="214"/>
      <c r="BF455" s="212">
        <f>'Financial Planning Tool'!AB154</f>
        <v>1099880628.1700001</v>
      </c>
      <c r="BG455" s="213"/>
      <c r="BH455" s="213"/>
      <c r="BI455" s="213"/>
      <c r="BJ455" s="213"/>
      <c r="BK455" s="213"/>
      <c r="BL455" s="213"/>
      <c r="BM455" s="214"/>
      <c r="BN455" s="212">
        <f>'Financial Planning Tool'!AC154</f>
        <v>21777680.559999999</v>
      </c>
      <c r="BO455" s="213"/>
      <c r="BP455" s="213"/>
      <c r="BQ455" s="213"/>
      <c r="BR455" s="213"/>
      <c r="BS455" s="213"/>
      <c r="BT455" s="213"/>
      <c r="BU455" s="214"/>
    </row>
  </sheetData>
  <mergeCells count="3115">
    <mergeCell ref="BN265:BU265"/>
    <mergeCell ref="BN264:BU264"/>
    <mergeCell ref="BN263:BU263"/>
    <mergeCell ref="BN262:BU262"/>
    <mergeCell ref="BN261:BU261"/>
    <mergeCell ref="BN260:BU260"/>
    <mergeCell ref="BN259:BU259"/>
    <mergeCell ref="BN258:BU258"/>
    <mergeCell ref="BN257:BU257"/>
    <mergeCell ref="BN256:BU256"/>
    <mergeCell ref="BN255:BU255"/>
    <mergeCell ref="BN254:BU254"/>
    <mergeCell ref="BN253:BU253"/>
    <mergeCell ref="BN282:BU282"/>
    <mergeCell ref="BN281:BU281"/>
    <mergeCell ref="BN280:BU280"/>
    <mergeCell ref="BN279:BU279"/>
    <mergeCell ref="BN278:BU278"/>
    <mergeCell ref="BN277:BU277"/>
    <mergeCell ref="BN276:BU276"/>
    <mergeCell ref="BN275:BU275"/>
    <mergeCell ref="BN274:BU274"/>
    <mergeCell ref="BN273:BU273"/>
    <mergeCell ref="BN272:BU272"/>
    <mergeCell ref="BN271:BU271"/>
    <mergeCell ref="BN270:BU270"/>
    <mergeCell ref="BN269:BU269"/>
    <mergeCell ref="BN268:BU268"/>
    <mergeCell ref="BN267:BU267"/>
    <mergeCell ref="BN266:BU266"/>
    <mergeCell ref="BN299:BU299"/>
    <mergeCell ref="BN298:BU298"/>
    <mergeCell ref="BN297:BU297"/>
    <mergeCell ref="BN296:BU296"/>
    <mergeCell ref="BN295:BU295"/>
    <mergeCell ref="BN294:BU294"/>
    <mergeCell ref="BN293:BU293"/>
    <mergeCell ref="BN292:BU292"/>
    <mergeCell ref="BN291:BU291"/>
    <mergeCell ref="BN290:BU290"/>
    <mergeCell ref="BN289:BU289"/>
    <mergeCell ref="BN288:BU288"/>
    <mergeCell ref="BN287:BU287"/>
    <mergeCell ref="BN286:BU286"/>
    <mergeCell ref="BN285:BU285"/>
    <mergeCell ref="BN284:BU284"/>
    <mergeCell ref="BN283:BU283"/>
    <mergeCell ref="BN316:BU316"/>
    <mergeCell ref="BN315:BU315"/>
    <mergeCell ref="BN314:BU314"/>
    <mergeCell ref="BN313:BU313"/>
    <mergeCell ref="BN312:BU312"/>
    <mergeCell ref="BN311:BU311"/>
    <mergeCell ref="BN310:BU310"/>
    <mergeCell ref="BN309:BU309"/>
    <mergeCell ref="BN308:BU308"/>
    <mergeCell ref="BN307:BU307"/>
    <mergeCell ref="BN306:BU306"/>
    <mergeCell ref="BN305:BU305"/>
    <mergeCell ref="BN304:BU304"/>
    <mergeCell ref="BN303:BU303"/>
    <mergeCell ref="BN302:BU302"/>
    <mergeCell ref="BN301:BU301"/>
    <mergeCell ref="BN300:BU300"/>
    <mergeCell ref="BN333:BU333"/>
    <mergeCell ref="BN332:BU332"/>
    <mergeCell ref="BN331:BU331"/>
    <mergeCell ref="BN330:BU330"/>
    <mergeCell ref="BN329:BU329"/>
    <mergeCell ref="BN328:BU328"/>
    <mergeCell ref="BN327:BU327"/>
    <mergeCell ref="BN326:BU326"/>
    <mergeCell ref="BN325:BU325"/>
    <mergeCell ref="BN324:BU324"/>
    <mergeCell ref="BN323:BU323"/>
    <mergeCell ref="BN322:BU322"/>
    <mergeCell ref="BN321:BU321"/>
    <mergeCell ref="BN320:BU320"/>
    <mergeCell ref="BN319:BU319"/>
    <mergeCell ref="BN318:BU318"/>
    <mergeCell ref="BN317:BU317"/>
    <mergeCell ref="BN351:BU351"/>
    <mergeCell ref="BN350:BU350"/>
    <mergeCell ref="BN349:BU349"/>
    <mergeCell ref="BN348:BU348"/>
    <mergeCell ref="BN347:BU347"/>
    <mergeCell ref="BN346:BU346"/>
    <mergeCell ref="BN345:BU345"/>
    <mergeCell ref="BN344:BU344"/>
    <mergeCell ref="BN343:BU343"/>
    <mergeCell ref="BN342:BU342"/>
    <mergeCell ref="BN341:BU341"/>
    <mergeCell ref="BN340:BU340"/>
    <mergeCell ref="BN339:BU339"/>
    <mergeCell ref="BN338:BU338"/>
    <mergeCell ref="BN337:BU337"/>
    <mergeCell ref="BN336:BU336"/>
    <mergeCell ref="BN335:BU335"/>
    <mergeCell ref="BN334:BU334"/>
    <mergeCell ref="B351:E351"/>
    <mergeCell ref="F351:I351"/>
    <mergeCell ref="J351:Q351"/>
    <mergeCell ref="R351:Y351"/>
    <mergeCell ref="Z351:AG351"/>
    <mergeCell ref="AH351:AO351"/>
    <mergeCell ref="AP351:AW351"/>
    <mergeCell ref="AX351:BE351"/>
    <mergeCell ref="BF351:BM351"/>
    <mergeCell ref="B349:E349"/>
    <mergeCell ref="F349:I349"/>
    <mergeCell ref="J349:Q349"/>
    <mergeCell ref="R349:Y349"/>
    <mergeCell ref="Z349:AG349"/>
    <mergeCell ref="AH349:AO349"/>
    <mergeCell ref="AP349:AW349"/>
    <mergeCell ref="AX349:BE349"/>
    <mergeCell ref="BF349:BM349"/>
    <mergeCell ref="B350:E350"/>
    <mergeCell ref="F350:I350"/>
    <mergeCell ref="J350:Q350"/>
    <mergeCell ref="R350:Y350"/>
    <mergeCell ref="Z350:AG350"/>
    <mergeCell ref="AH350:AO350"/>
    <mergeCell ref="AP350:AW350"/>
    <mergeCell ref="AX350:BE350"/>
    <mergeCell ref="BF350:BM350"/>
    <mergeCell ref="B347:E347"/>
    <mergeCell ref="F347:I347"/>
    <mergeCell ref="J347:Q347"/>
    <mergeCell ref="R347:Y347"/>
    <mergeCell ref="Z347:AG347"/>
    <mergeCell ref="AH347:AO347"/>
    <mergeCell ref="AP347:AW347"/>
    <mergeCell ref="AX347:BE347"/>
    <mergeCell ref="BF347:BM347"/>
    <mergeCell ref="B348:E348"/>
    <mergeCell ref="F348:I348"/>
    <mergeCell ref="J348:Q348"/>
    <mergeCell ref="R348:Y348"/>
    <mergeCell ref="Z348:AG348"/>
    <mergeCell ref="AH348:AO348"/>
    <mergeCell ref="AP348:AW348"/>
    <mergeCell ref="AX348:BE348"/>
    <mergeCell ref="BF348:BM348"/>
    <mergeCell ref="B345:E345"/>
    <mergeCell ref="F345:I345"/>
    <mergeCell ref="J345:Q345"/>
    <mergeCell ref="R345:Y345"/>
    <mergeCell ref="Z345:AG345"/>
    <mergeCell ref="AH345:AO345"/>
    <mergeCell ref="AP345:AW345"/>
    <mergeCell ref="AX345:BE345"/>
    <mergeCell ref="BF345:BM345"/>
    <mergeCell ref="B346:E346"/>
    <mergeCell ref="F346:I346"/>
    <mergeCell ref="J346:Q346"/>
    <mergeCell ref="R346:Y346"/>
    <mergeCell ref="Z346:AG346"/>
    <mergeCell ref="AH346:AO346"/>
    <mergeCell ref="AP346:AW346"/>
    <mergeCell ref="AX346:BE346"/>
    <mergeCell ref="BF346:BM346"/>
    <mergeCell ref="B343:E343"/>
    <mergeCell ref="F343:I343"/>
    <mergeCell ref="J343:Q343"/>
    <mergeCell ref="R343:Y343"/>
    <mergeCell ref="Z343:AG343"/>
    <mergeCell ref="AH343:AO343"/>
    <mergeCell ref="AP343:AW343"/>
    <mergeCell ref="AX343:BE343"/>
    <mergeCell ref="BF343:BM343"/>
    <mergeCell ref="B344:E344"/>
    <mergeCell ref="F344:I344"/>
    <mergeCell ref="J344:Q344"/>
    <mergeCell ref="R344:Y344"/>
    <mergeCell ref="Z344:AG344"/>
    <mergeCell ref="AH344:AO344"/>
    <mergeCell ref="AP344:AW344"/>
    <mergeCell ref="AX344:BE344"/>
    <mergeCell ref="BF344:BM344"/>
    <mergeCell ref="B341:E341"/>
    <mergeCell ref="F341:I341"/>
    <mergeCell ref="J341:Q341"/>
    <mergeCell ref="R341:Y341"/>
    <mergeCell ref="Z341:AG341"/>
    <mergeCell ref="AH341:AO341"/>
    <mergeCell ref="AP341:AW341"/>
    <mergeCell ref="AX341:BE341"/>
    <mergeCell ref="BF341:BM341"/>
    <mergeCell ref="B342:E342"/>
    <mergeCell ref="F342:I342"/>
    <mergeCell ref="J342:Q342"/>
    <mergeCell ref="R342:Y342"/>
    <mergeCell ref="Z342:AG342"/>
    <mergeCell ref="AH342:AO342"/>
    <mergeCell ref="AP342:AW342"/>
    <mergeCell ref="AX342:BE342"/>
    <mergeCell ref="BF342:BM342"/>
    <mergeCell ref="B339:E339"/>
    <mergeCell ref="F339:I339"/>
    <mergeCell ref="J339:Q339"/>
    <mergeCell ref="R339:Y339"/>
    <mergeCell ref="Z339:AG339"/>
    <mergeCell ref="AH339:AO339"/>
    <mergeCell ref="AP339:AW339"/>
    <mergeCell ref="AX339:BE339"/>
    <mergeCell ref="BF339:BM339"/>
    <mergeCell ref="B340:E340"/>
    <mergeCell ref="F340:I340"/>
    <mergeCell ref="J340:Q340"/>
    <mergeCell ref="R340:Y340"/>
    <mergeCell ref="Z340:AG340"/>
    <mergeCell ref="AH340:AO340"/>
    <mergeCell ref="AP340:AW340"/>
    <mergeCell ref="AX340:BE340"/>
    <mergeCell ref="BF340:BM340"/>
    <mergeCell ref="B337:E337"/>
    <mergeCell ref="F337:I337"/>
    <mergeCell ref="J337:Q337"/>
    <mergeCell ref="R337:Y337"/>
    <mergeCell ref="Z337:AG337"/>
    <mergeCell ref="AH337:AO337"/>
    <mergeCell ref="AP337:AW337"/>
    <mergeCell ref="AX337:BE337"/>
    <mergeCell ref="BF337:BM337"/>
    <mergeCell ref="B338:E338"/>
    <mergeCell ref="F338:I338"/>
    <mergeCell ref="J338:Q338"/>
    <mergeCell ref="R338:Y338"/>
    <mergeCell ref="Z338:AG338"/>
    <mergeCell ref="AH338:AO338"/>
    <mergeCell ref="AP338:AW338"/>
    <mergeCell ref="AX338:BE338"/>
    <mergeCell ref="BF338:BM338"/>
    <mergeCell ref="B335:E335"/>
    <mergeCell ref="F335:I335"/>
    <mergeCell ref="J335:Q335"/>
    <mergeCell ref="R335:Y335"/>
    <mergeCell ref="Z335:AG335"/>
    <mergeCell ref="AH335:AO335"/>
    <mergeCell ref="AP335:AW335"/>
    <mergeCell ref="AX335:BE335"/>
    <mergeCell ref="BF335:BM335"/>
    <mergeCell ref="B336:E336"/>
    <mergeCell ref="F336:I336"/>
    <mergeCell ref="J336:Q336"/>
    <mergeCell ref="R336:Y336"/>
    <mergeCell ref="Z336:AG336"/>
    <mergeCell ref="AH336:AO336"/>
    <mergeCell ref="AP336:AW336"/>
    <mergeCell ref="AX336:BE336"/>
    <mergeCell ref="BF336:BM336"/>
    <mergeCell ref="B333:E333"/>
    <mergeCell ref="F333:I333"/>
    <mergeCell ref="J333:Q333"/>
    <mergeCell ref="R333:Y333"/>
    <mergeCell ref="Z333:AG333"/>
    <mergeCell ref="AH333:AO333"/>
    <mergeCell ref="AP333:AW333"/>
    <mergeCell ref="AX333:BE333"/>
    <mergeCell ref="BF333:BM333"/>
    <mergeCell ref="B334:E334"/>
    <mergeCell ref="F334:I334"/>
    <mergeCell ref="J334:Q334"/>
    <mergeCell ref="R334:Y334"/>
    <mergeCell ref="Z334:AG334"/>
    <mergeCell ref="AH334:AO334"/>
    <mergeCell ref="AP334:AW334"/>
    <mergeCell ref="AX334:BE334"/>
    <mergeCell ref="BF334:BM334"/>
    <mergeCell ref="B331:E331"/>
    <mergeCell ref="F331:I331"/>
    <mergeCell ref="J331:Q331"/>
    <mergeCell ref="R331:Y331"/>
    <mergeCell ref="Z331:AG331"/>
    <mergeCell ref="AH331:AO331"/>
    <mergeCell ref="AP331:AW331"/>
    <mergeCell ref="AX331:BE331"/>
    <mergeCell ref="BF331:BM331"/>
    <mergeCell ref="B332:E332"/>
    <mergeCell ref="F332:I332"/>
    <mergeCell ref="J332:Q332"/>
    <mergeCell ref="R332:Y332"/>
    <mergeCell ref="Z332:AG332"/>
    <mergeCell ref="AH332:AO332"/>
    <mergeCell ref="AP332:AW332"/>
    <mergeCell ref="AX332:BE332"/>
    <mergeCell ref="BF332:BM332"/>
    <mergeCell ref="B329:E329"/>
    <mergeCell ref="F329:I329"/>
    <mergeCell ref="J329:Q329"/>
    <mergeCell ref="R329:Y329"/>
    <mergeCell ref="Z329:AG329"/>
    <mergeCell ref="AH329:AO329"/>
    <mergeCell ref="AP329:AW329"/>
    <mergeCell ref="AX329:BE329"/>
    <mergeCell ref="BF329:BM329"/>
    <mergeCell ref="B330:E330"/>
    <mergeCell ref="F330:I330"/>
    <mergeCell ref="J330:Q330"/>
    <mergeCell ref="R330:Y330"/>
    <mergeCell ref="Z330:AG330"/>
    <mergeCell ref="AH330:AO330"/>
    <mergeCell ref="AP330:AW330"/>
    <mergeCell ref="AX330:BE330"/>
    <mergeCell ref="BF330:BM330"/>
    <mergeCell ref="B327:E327"/>
    <mergeCell ref="F327:I327"/>
    <mergeCell ref="J327:Q327"/>
    <mergeCell ref="R327:Y327"/>
    <mergeCell ref="Z327:AG327"/>
    <mergeCell ref="AH327:AO327"/>
    <mergeCell ref="AP327:AW327"/>
    <mergeCell ref="AX327:BE327"/>
    <mergeCell ref="BF327:BM327"/>
    <mergeCell ref="B328:E328"/>
    <mergeCell ref="F328:I328"/>
    <mergeCell ref="J328:Q328"/>
    <mergeCell ref="R328:Y328"/>
    <mergeCell ref="Z328:AG328"/>
    <mergeCell ref="AH328:AO328"/>
    <mergeCell ref="AP328:AW328"/>
    <mergeCell ref="AX328:BE328"/>
    <mergeCell ref="BF328:BM328"/>
    <mergeCell ref="B325:E325"/>
    <mergeCell ref="F325:I325"/>
    <mergeCell ref="J325:Q325"/>
    <mergeCell ref="R325:Y325"/>
    <mergeCell ref="Z325:AG325"/>
    <mergeCell ref="AH325:AO325"/>
    <mergeCell ref="AP325:AW325"/>
    <mergeCell ref="AX325:BE325"/>
    <mergeCell ref="BF325:BM325"/>
    <mergeCell ref="B326:E326"/>
    <mergeCell ref="F326:I326"/>
    <mergeCell ref="J326:Q326"/>
    <mergeCell ref="R326:Y326"/>
    <mergeCell ref="Z326:AG326"/>
    <mergeCell ref="AH326:AO326"/>
    <mergeCell ref="AP326:AW326"/>
    <mergeCell ref="AX326:BE326"/>
    <mergeCell ref="BF326:BM326"/>
    <mergeCell ref="B323:E323"/>
    <mergeCell ref="F323:I323"/>
    <mergeCell ref="J323:Q323"/>
    <mergeCell ref="R323:Y323"/>
    <mergeCell ref="Z323:AG323"/>
    <mergeCell ref="AH323:AO323"/>
    <mergeCell ref="AP323:AW323"/>
    <mergeCell ref="AX323:BE323"/>
    <mergeCell ref="BF323:BM323"/>
    <mergeCell ref="B324:E324"/>
    <mergeCell ref="F324:I324"/>
    <mergeCell ref="J324:Q324"/>
    <mergeCell ref="R324:Y324"/>
    <mergeCell ref="Z324:AG324"/>
    <mergeCell ref="AH324:AO324"/>
    <mergeCell ref="AP324:AW324"/>
    <mergeCell ref="AX324:BE324"/>
    <mergeCell ref="BF324:BM324"/>
    <mergeCell ref="B321:E321"/>
    <mergeCell ref="F321:I321"/>
    <mergeCell ref="J321:Q321"/>
    <mergeCell ref="R321:Y321"/>
    <mergeCell ref="Z321:AG321"/>
    <mergeCell ref="AH321:AO321"/>
    <mergeCell ref="AP321:AW321"/>
    <mergeCell ref="AX321:BE321"/>
    <mergeCell ref="BF321:BM321"/>
    <mergeCell ref="B322:E322"/>
    <mergeCell ref="F322:I322"/>
    <mergeCell ref="J322:Q322"/>
    <mergeCell ref="R322:Y322"/>
    <mergeCell ref="Z322:AG322"/>
    <mergeCell ref="AH322:AO322"/>
    <mergeCell ref="AP322:AW322"/>
    <mergeCell ref="AX322:BE322"/>
    <mergeCell ref="BF322:BM322"/>
    <mergeCell ref="B319:E319"/>
    <mergeCell ref="F319:I319"/>
    <mergeCell ref="J319:Q319"/>
    <mergeCell ref="R319:Y319"/>
    <mergeCell ref="Z319:AG319"/>
    <mergeCell ref="AH319:AO319"/>
    <mergeCell ref="AP319:AW319"/>
    <mergeCell ref="AX319:BE319"/>
    <mergeCell ref="BF319:BM319"/>
    <mergeCell ref="B320:E320"/>
    <mergeCell ref="F320:I320"/>
    <mergeCell ref="J320:Q320"/>
    <mergeCell ref="R320:Y320"/>
    <mergeCell ref="Z320:AG320"/>
    <mergeCell ref="AH320:AO320"/>
    <mergeCell ref="AP320:AW320"/>
    <mergeCell ref="AX320:BE320"/>
    <mergeCell ref="BF320:BM320"/>
    <mergeCell ref="B317:E317"/>
    <mergeCell ref="F317:I317"/>
    <mergeCell ref="J317:Q317"/>
    <mergeCell ref="R317:Y317"/>
    <mergeCell ref="Z317:AG317"/>
    <mergeCell ref="AH317:AO317"/>
    <mergeCell ref="AP317:AW317"/>
    <mergeCell ref="AX317:BE317"/>
    <mergeCell ref="BF317:BM317"/>
    <mergeCell ref="B318:E318"/>
    <mergeCell ref="F318:I318"/>
    <mergeCell ref="J318:Q318"/>
    <mergeCell ref="R318:Y318"/>
    <mergeCell ref="Z318:AG318"/>
    <mergeCell ref="AH318:AO318"/>
    <mergeCell ref="AP318:AW318"/>
    <mergeCell ref="AX318:BE318"/>
    <mergeCell ref="BF318:BM318"/>
    <mergeCell ref="B315:E315"/>
    <mergeCell ref="F315:I315"/>
    <mergeCell ref="J315:Q315"/>
    <mergeCell ref="R315:Y315"/>
    <mergeCell ref="Z315:AG315"/>
    <mergeCell ref="AH315:AO315"/>
    <mergeCell ref="AP315:AW315"/>
    <mergeCell ref="AX315:BE315"/>
    <mergeCell ref="BF315:BM315"/>
    <mergeCell ref="B316:E316"/>
    <mergeCell ref="F316:I316"/>
    <mergeCell ref="J316:Q316"/>
    <mergeCell ref="R316:Y316"/>
    <mergeCell ref="Z316:AG316"/>
    <mergeCell ref="AH316:AO316"/>
    <mergeCell ref="AP316:AW316"/>
    <mergeCell ref="AX316:BE316"/>
    <mergeCell ref="BF316:BM316"/>
    <mergeCell ref="B313:E313"/>
    <mergeCell ref="F313:I313"/>
    <mergeCell ref="J313:Q313"/>
    <mergeCell ref="R313:Y313"/>
    <mergeCell ref="Z313:AG313"/>
    <mergeCell ref="AH313:AO313"/>
    <mergeCell ref="AP313:AW313"/>
    <mergeCell ref="AX313:BE313"/>
    <mergeCell ref="BF313:BM313"/>
    <mergeCell ref="B314:E314"/>
    <mergeCell ref="F314:I314"/>
    <mergeCell ref="J314:Q314"/>
    <mergeCell ref="R314:Y314"/>
    <mergeCell ref="Z314:AG314"/>
    <mergeCell ref="AH314:AO314"/>
    <mergeCell ref="AP314:AW314"/>
    <mergeCell ref="AX314:BE314"/>
    <mergeCell ref="BF314:BM314"/>
    <mergeCell ref="B311:E311"/>
    <mergeCell ref="F311:I311"/>
    <mergeCell ref="J311:Q311"/>
    <mergeCell ref="R311:Y311"/>
    <mergeCell ref="Z311:AG311"/>
    <mergeCell ref="AH311:AO311"/>
    <mergeCell ref="AP311:AW311"/>
    <mergeCell ref="AX311:BE311"/>
    <mergeCell ref="BF311:BM311"/>
    <mergeCell ref="B312:E312"/>
    <mergeCell ref="F312:I312"/>
    <mergeCell ref="J312:Q312"/>
    <mergeCell ref="R312:Y312"/>
    <mergeCell ref="Z312:AG312"/>
    <mergeCell ref="AH312:AO312"/>
    <mergeCell ref="AP312:AW312"/>
    <mergeCell ref="AX312:BE312"/>
    <mergeCell ref="BF312:BM312"/>
    <mergeCell ref="B309:E309"/>
    <mergeCell ref="F309:I309"/>
    <mergeCell ref="J309:Q309"/>
    <mergeCell ref="R309:Y309"/>
    <mergeCell ref="Z309:AG309"/>
    <mergeCell ref="AH309:AO309"/>
    <mergeCell ref="AP309:AW309"/>
    <mergeCell ref="AX309:BE309"/>
    <mergeCell ref="BF309:BM309"/>
    <mergeCell ref="B310:E310"/>
    <mergeCell ref="F310:I310"/>
    <mergeCell ref="J310:Q310"/>
    <mergeCell ref="R310:Y310"/>
    <mergeCell ref="Z310:AG310"/>
    <mergeCell ref="AH310:AO310"/>
    <mergeCell ref="AP310:AW310"/>
    <mergeCell ref="AX310:BE310"/>
    <mergeCell ref="BF310:BM310"/>
    <mergeCell ref="B307:E307"/>
    <mergeCell ref="F307:I307"/>
    <mergeCell ref="J307:Q307"/>
    <mergeCell ref="R307:Y307"/>
    <mergeCell ref="Z307:AG307"/>
    <mergeCell ref="AH307:AO307"/>
    <mergeCell ref="AP307:AW307"/>
    <mergeCell ref="AX307:BE307"/>
    <mergeCell ref="BF307:BM307"/>
    <mergeCell ref="B308:E308"/>
    <mergeCell ref="F308:I308"/>
    <mergeCell ref="J308:Q308"/>
    <mergeCell ref="R308:Y308"/>
    <mergeCell ref="Z308:AG308"/>
    <mergeCell ref="AH308:AO308"/>
    <mergeCell ref="AP308:AW308"/>
    <mergeCell ref="AX308:BE308"/>
    <mergeCell ref="BF308:BM308"/>
    <mergeCell ref="B305:E305"/>
    <mergeCell ref="F305:I305"/>
    <mergeCell ref="J305:Q305"/>
    <mergeCell ref="R305:Y305"/>
    <mergeCell ref="Z305:AG305"/>
    <mergeCell ref="AH305:AO305"/>
    <mergeCell ref="AP305:AW305"/>
    <mergeCell ref="AX305:BE305"/>
    <mergeCell ref="BF305:BM305"/>
    <mergeCell ref="B306:E306"/>
    <mergeCell ref="F306:I306"/>
    <mergeCell ref="J306:Q306"/>
    <mergeCell ref="R306:Y306"/>
    <mergeCell ref="Z306:AG306"/>
    <mergeCell ref="AH306:AO306"/>
    <mergeCell ref="AP306:AW306"/>
    <mergeCell ref="AX306:BE306"/>
    <mergeCell ref="BF306:BM306"/>
    <mergeCell ref="B303:E303"/>
    <mergeCell ref="F303:I303"/>
    <mergeCell ref="J303:Q303"/>
    <mergeCell ref="R303:Y303"/>
    <mergeCell ref="Z303:AG303"/>
    <mergeCell ref="AH303:AO303"/>
    <mergeCell ref="AP303:AW303"/>
    <mergeCell ref="AX303:BE303"/>
    <mergeCell ref="BF303:BM303"/>
    <mergeCell ref="B304:E304"/>
    <mergeCell ref="F304:I304"/>
    <mergeCell ref="J304:Q304"/>
    <mergeCell ref="R304:Y304"/>
    <mergeCell ref="Z304:AG304"/>
    <mergeCell ref="AH304:AO304"/>
    <mergeCell ref="AP304:AW304"/>
    <mergeCell ref="AX304:BE304"/>
    <mergeCell ref="BF304:BM304"/>
    <mergeCell ref="B301:E301"/>
    <mergeCell ref="F301:I301"/>
    <mergeCell ref="J301:Q301"/>
    <mergeCell ref="R301:Y301"/>
    <mergeCell ref="Z301:AG301"/>
    <mergeCell ref="AH301:AO301"/>
    <mergeCell ref="AP301:AW301"/>
    <mergeCell ref="AX301:BE301"/>
    <mergeCell ref="BF301:BM301"/>
    <mergeCell ref="B302:E302"/>
    <mergeCell ref="F302:I302"/>
    <mergeCell ref="J302:Q302"/>
    <mergeCell ref="R302:Y302"/>
    <mergeCell ref="Z302:AG302"/>
    <mergeCell ref="AH302:AO302"/>
    <mergeCell ref="AP302:AW302"/>
    <mergeCell ref="AX302:BE302"/>
    <mergeCell ref="BF302:BM302"/>
    <mergeCell ref="B299:E299"/>
    <mergeCell ref="F299:I299"/>
    <mergeCell ref="J299:Q299"/>
    <mergeCell ref="R299:Y299"/>
    <mergeCell ref="Z299:AG299"/>
    <mergeCell ref="AH299:AO299"/>
    <mergeCell ref="AP299:AW299"/>
    <mergeCell ref="AX299:BE299"/>
    <mergeCell ref="BF299:BM299"/>
    <mergeCell ref="B300:E300"/>
    <mergeCell ref="F300:I300"/>
    <mergeCell ref="J300:Q300"/>
    <mergeCell ref="R300:Y300"/>
    <mergeCell ref="Z300:AG300"/>
    <mergeCell ref="AH300:AO300"/>
    <mergeCell ref="AP300:AW300"/>
    <mergeCell ref="AX300:BE300"/>
    <mergeCell ref="BF300:BM300"/>
    <mergeCell ref="B297:E297"/>
    <mergeCell ref="F297:I297"/>
    <mergeCell ref="J297:Q297"/>
    <mergeCell ref="R297:Y297"/>
    <mergeCell ref="Z297:AG297"/>
    <mergeCell ref="AH297:AO297"/>
    <mergeCell ref="AP297:AW297"/>
    <mergeCell ref="AX297:BE297"/>
    <mergeCell ref="BF297:BM297"/>
    <mergeCell ref="B298:E298"/>
    <mergeCell ref="F298:I298"/>
    <mergeCell ref="J298:Q298"/>
    <mergeCell ref="R298:Y298"/>
    <mergeCell ref="Z298:AG298"/>
    <mergeCell ref="AH298:AO298"/>
    <mergeCell ref="AP298:AW298"/>
    <mergeCell ref="AX298:BE298"/>
    <mergeCell ref="BF298:BM298"/>
    <mergeCell ref="B295:E295"/>
    <mergeCell ref="F295:I295"/>
    <mergeCell ref="J295:Q295"/>
    <mergeCell ref="R295:Y295"/>
    <mergeCell ref="Z295:AG295"/>
    <mergeCell ref="AH295:AO295"/>
    <mergeCell ref="AP295:AW295"/>
    <mergeCell ref="AX295:BE295"/>
    <mergeCell ref="BF295:BM295"/>
    <mergeCell ref="B296:E296"/>
    <mergeCell ref="F296:I296"/>
    <mergeCell ref="J296:Q296"/>
    <mergeCell ref="R296:Y296"/>
    <mergeCell ref="Z296:AG296"/>
    <mergeCell ref="AH296:AO296"/>
    <mergeCell ref="AP296:AW296"/>
    <mergeCell ref="AX296:BE296"/>
    <mergeCell ref="BF296:BM296"/>
    <mergeCell ref="B293:E293"/>
    <mergeCell ref="F293:I293"/>
    <mergeCell ref="J293:Q293"/>
    <mergeCell ref="R293:Y293"/>
    <mergeCell ref="Z293:AG293"/>
    <mergeCell ref="AH293:AO293"/>
    <mergeCell ref="AP293:AW293"/>
    <mergeCell ref="AX293:BE293"/>
    <mergeCell ref="BF293:BM293"/>
    <mergeCell ref="B294:E294"/>
    <mergeCell ref="F294:I294"/>
    <mergeCell ref="J294:Q294"/>
    <mergeCell ref="R294:Y294"/>
    <mergeCell ref="Z294:AG294"/>
    <mergeCell ref="AH294:AO294"/>
    <mergeCell ref="AP294:AW294"/>
    <mergeCell ref="AX294:BE294"/>
    <mergeCell ref="BF294:BM294"/>
    <mergeCell ref="B291:E291"/>
    <mergeCell ref="F291:I291"/>
    <mergeCell ref="J291:Q291"/>
    <mergeCell ref="R291:Y291"/>
    <mergeCell ref="Z291:AG291"/>
    <mergeCell ref="AH291:AO291"/>
    <mergeCell ref="AP291:AW291"/>
    <mergeCell ref="AX291:BE291"/>
    <mergeCell ref="BF291:BM291"/>
    <mergeCell ref="B292:E292"/>
    <mergeCell ref="F292:I292"/>
    <mergeCell ref="J292:Q292"/>
    <mergeCell ref="R292:Y292"/>
    <mergeCell ref="Z292:AG292"/>
    <mergeCell ref="AH292:AO292"/>
    <mergeCell ref="AP292:AW292"/>
    <mergeCell ref="AX292:BE292"/>
    <mergeCell ref="BF292:BM292"/>
    <mergeCell ref="B289:E289"/>
    <mergeCell ref="F289:I289"/>
    <mergeCell ref="J289:Q289"/>
    <mergeCell ref="R289:Y289"/>
    <mergeCell ref="Z289:AG289"/>
    <mergeCell ref="AH289:AO289"/>
    <mergeCell ref="AP289:AW289"/>
    <mergeCell ref="AX289:BE289"/>
    <mergeCell ref="BF289:BM289"/>
    <mergeCell ref="B290:E290"/>
    <mergeCell ref="F290:I290"/>
    <mergeCell ref="J290:Q290"/>
    <mergeCell ref="R290:Y290"/>
    <mergeCell ref="Z290:AG290"/>
    <mergeCell ref="AH290:AO290"/>
    <mergeCell ref="AP290:AW290"/>
    <mergeCell ref="AX290:BE290"/>
    <mergeCell ref="BF290:BM290"/>
    <mergeCell ref="B287:E287"/>
    <mergeCell ref="F287:I287"/>
    <mergeCell ref="J287:Q287"/>
    <mergeCell ref="R287:Y287"/>
    <mergeCell ref="Z287:AG287"/>
    <mergeCell ref="AH287:AO287"/>
    <mergeCell ref="AP287:AW287"/>
    <mergeCell ref="AX287:BE287"/>
    <mergeCell ref="BF287:BM287"/>
    <mergeCell ref="B288:E288"/>
    <mergeCell ref="F288:I288"/>
    <mergeCell ref="J288:Q288"/>
    <mergeCell ref="R288:Y288"/>
    <mergeCell ref="Z288:AG288"/>
    <mergeCell ref="AH288:AO288"/>
    <mergeCell ref="AP288:AW288"/>
    <mergeCell ref="AX288:BE288"/>
    <mergeCell ref="BF288:BM288"/>
    <mergeCell ref="B285:E285"/>
    <mergeCell ref="F285:I285"/>
    <mergeCell ref="J285:Q285"/>
    <mergeCell ref="R285:Y285"/>
    <mergeCell ref="Z285:AG285"/>
    <mergeCell ref="AH285:AO285"/>
    <mergeCell ref="AP285:AW285"/>
    <mergeCell ref="AX285:BE285"/>
    <mergeCell ref="BF285:BM285"/>
    <mergeCell ref="B286:E286"/>
    <mergeCell ref="F286:I286"/>
    <mergeCell ref="J286:Q286"/>
    <mergeCell ref="R286:Y286"/>
    <mergeCell ref="Z286:AG286"/>
    <mergeCell ref="AH286:AO286"/>
    <mergeCell ref="AP286:AW286"/>
    <mergeCell ref="AX286:BE286"/>
    <mergeCell ref="BF286:BM286"/>
    <mergeCell ref="B283:E283"/>
    <mergeCell ref="F283:I283"/>
    <mergeCell ref="J283:Q283"/>
    <mergeCell ref="R283:Y283"/>
    <mergeCell ref="Z283:AG283"/>
    <mergeCell ref="AH283:AO283"/>
    <mergeCell ref="AP283:AW283"/>
    <mergeCell ref="AX283:BE283"/>
    <mergeCell ref="BF283:BM283"/>
    <mergeCell ref="B284:E284"/>
    <mergeCell ref="F284:I284"/>
    <mergeCell ref="J284:Q284"/>
    <mergeCell ref="R284:Y284"/>
    <mergeCell ref="Z284:AG284"/>
    <mergeCell ref="AH284:AO284"/>
    <mergeCell ref="AP284:AW284"/>
    <mergeCell ref="AX284:BE284"/>
    <mergeCell ref="BF284:BM284"/>
    <mergeCell ref="B281:E281"/>
    <mergeCell ref="F281:I281"/>
    <mergeCell ref="J281:Q281"/>
    <mergeCell ref="R281:Y281"/>
    <mergeCell ref="Z281:AG281"/>
    <mergeCell ref="AH281:AO281"/>
    <mergeCell ref="AP281:AW281"/>
    <mergeCell ref="AX281:BE281"/>
    <mergeCell ref="BF281:BM281"/>
    <mergeCell ref="B282:E282"/>
    <mergeCell ref="F282:I282"/>
    <mergeCell ref="J282:Q282"/>
    <mergeCell ref="R282:Y282"/>
    <mergeCell ref="Z282:AG282"/>
    <mergeCell ref="AH282:AO282"/>
    <mergeCell ref="AP282:AW282"/>
    <mergeCell ref="AX282:BE282"/>
    <mergeCell ref="BF282:BM282"/>
    <mergeCell ref="B279:E279"/>
    <mergeCell ref="F279:I279"/>
    <mergeCell ref="J279:Q279"/>
    <mergeCell ref="R279:Y279"/>
    <mergeCell ref="Z279:AG279"/>
    <mergeCell ref="AH279:AO279"/>
    <mergeCell ref="AP279:AW279"/>
    <mergeCell ref="AX279:BE279"/>
    <mergeCell ref="BF279:BM279"/>
    <mergeCell ref="B280:E280"/>
    <mergeCell ref="F280:I280"/>
    <mergeCell ref="J280:Q280"/>
    <mergeCell ref="R280:Y280"/>
    <mergeCell ref="Z280:AG280"/>
    <mergeCell ref="AH280:AO280"/>
    <mergeCell ref="AP280:AW280"/>
    <mergeCell ref="AX280:BE280"/>
    <mergeCell ref="BF280:BM280"/>
    <mergeCell ref="B277:E277"/>
    <mergeCell ref="F277:I277"/>
    <mergeCell ref="J277:Q277"/>
    <mergeCell ref="R277:Y277"/>
    <mergeCell ref="Z277:AG277"/>
    <mergeCell ref="AH277:AO277"/>
    <mergeCell ref="AP277:AW277"/>
    <mergeCell ref="AX277:BE277"/>
    <mergeCell ref="BF277:BM277"/>
    <mergeCell ref="B278:E278"/>
    <mergeCell ref="F278:I278"/>
    <mergeCell ref="J278:Q278"/>
    <mergeCell ref="R278:Y278"/>
    <mergeCell ref="Z278:AG278"/>
    <mergeCell ref="AH278:AO278"/>
    <mergeCell ref="AP278:AW278"/>
    <mergeCell ref="AX278:BE278"/>
    <mergeCell ref="BF278:BM278"/>
    <mergeCell ref="B275:E275"/>
    <mergeCell ref="F275:I275"/>
    <mergeCell ref="J275:Q275"/>
    <mergeCell ref="R275:Y275"/>
    <mergeCell ref="Z275:AG275"/>
    <mergeCell ref="AH275:AO275"/>
    <mergeCell ref="AP275:AW275"/>
    <mergeCell ref="AX275:BE275"/>
    <mergeCell ref="BF275:BM275"/>
    <mergeCell ref="B276:E276"/>
    <mergeCell ref="F276:I276"/>
    <mergeCell ref="J276:Q276"/>
    <mergeCell ref="R276:Y276"/>
    <mergeCell ref="Z276:AG276"/>
    <mergeCell ref="AH276:AO276"/>
    <mergeCell ref="AP276:AW276"/>
    <mergeCell ref="AX276:BE276"/>
    <mergeCell ref="BF276:BM276"/>
    <mergeCell ref="B273:E273"/>
    <mergeCell ref="F273:I273"/>
    <mergeCell ref="J273:Q273"/>
    <mergeCell ref="R273:Y273"/>
    <mergeCell ref="Z273:AG273"/>
    <mergeCell ref="AH273:AO273"/>
    <mergeCell ref="AP273:AW273"/>
    <mergeCell ref="AX273:BE273"/>
    <mergeCell ref="BF273:BM273"/>
    <mergeCell ref="B274:E274"/>
    <mergeCell ref="F274:I274"/>
    <mergeCell ref="J274:Q274"/>
    <mergeCell ref="R274:Y274"/>
    <mergeCell ref="Z274:AG274"/>
    <mergeCell ref="AH274:AO274"/>
    <mergeCell ref="AP274:AW274"/>
    <mergeCell ref="AX274:BE274"/>
    <mergeCell ref="BF274:BM274"/>
    <mergeCell ref="B271:E271"/>
    <mergeCell ref="F271:I271"/>
    <mergeCell ref="J271:Q271"/>
    <mergeCell ref="R271:Y271"/>
    <mergeCell ref="Z271:AG271"/>
    <mergeCell ref="AH271:AO271"/>
    <mergeCell ref="AP271:AW271"/>
    <mergeCell ref="AX271:BE271"/>
    <mergeCell ref="BF271:BM271"/>
    <mergeCell ref="B272:E272"/>
    <mergeCell ref="F272:I272"/>
    <mergeCell ref="J272:Q272"/>
    <mergeCell ref="R272:Y272"/>
    <mergeCell ref="Z272:AG272"/>
    <mergeCell ref="AH272:AO272"/>
    <mergeCell ref="AP272:AW272"/>
    <mergeCell ref="AX272:BE272"/>
    <mergeCell ref="BF272:BM272"/>
    <mergeCell ref="B269:E269"/>
    <mergeCell ref="F269:I269"/>
    <mergeCell ref="J269:Q269"/>
    <mergeCell ref="R269:Y269"/>
    <mergeCell ref="Z269:AG269"/>
    <mergeCell ref="AH269:AO269"/>
    <mergeCell ref="AP269:AW269"/>
    <mergeCell ref="AX269:BE269"/>
    <mergeCell ref="BF269:BM269"/>
    <mergeCell ref="B270:E270"/>
    <mergeCell ref="F270:I270"/>
    <mergeCell ref="J270:Q270"/>
    <mergeCell ref="R270:Y270"/>
    <mergeCell ref="Z270:AG270"/>
    <mergeCell ref="AH270:AO270"/>
    <mergeCell ref="AP270:AW270"/>
    <mergeCell ref="AX270:BE270"/>
    <mergeCell ref="BF270:BM270"/>
    <mergeCell ref="B267:E267"/>
    <mergeCell ref="F267:I267"/>
    <mergeCell ref="J267:Q267"/>
    <mergeCell ref="R267:Y267"/>
    <mergeCell ref="Z267:AG267"/>
    <mergeCell ref="AH267:AO267"/>
    <mergeCell ref="AP267:AW267"/>
    <mergeCell ref="AX267:BE267"/>
    <mergeCell ref="BF267:BM267"/>
    <mergeCell ref="B268:E268"/>
    <mergeCell ref="F268:I268"/>
    <mergeCell ref="J268:Q268"/>
    <mergeCell ref="R268:Y268"/>
    <mergeCell ref="Z268:AG268"/>
    <mergeCell ref="AH268:AO268"/>
    <mergeCell ref="AP268:AW268"/>
    <mergeCell ref="AX268:BE268"/>
    <mergeCell ref="BF268:BM268"/>
    <mergeCell ref="B265:E265"/>
    <mergeCell ref="F265:I265"/>
    <mergeCell ref="J265:Q265"/>
    <mergeCell ref="R265:Y265"/>
    <mergeCell ref="Z265:AG265"/>
    <mergeCell ref="AH265:AO265"/>
    <mergeCell ref="AP265:AW265"/>
    <mergeCell ref="AX265:BE265"/>
    <mergeCell ref="BF265:BM265"/>
    <mergeCell ref="B266:E266"/>
    <mergeCell ref="F266:I266"/>
    <mergeCell ref="J266:Q266"/>
    <mergeCell ref="R266:Y266"/>
    <mergeCell ref="Z266:AG266"/>
    <mergeCell ref="AH266:AO266"/>
    <mergeCell ref="AP266:AW266"/>
    <mergeCell ref="AX266:BE266"/>
    <mergeCell ref="BF266:BM266"/>
    <mergeCell ref="B263:E263"/>
    <mergeCell ref="F263:I263"/>
    <mergeCell ref="J263:Q263"/>
    <mergeCell ref="R263:Y263"/>
    <mergeCell ref="Z263:AG263"/>
    <mergeCell ref="AH263:AO263"/>
    <mergeCell ref="AP263:AW263"/>
    <mergeCell ref="AX263:BE263"/>
    <mergeCell ref="BF263:BM263"/>
    <mergeCell ref="B264:E264"/>
    <mergeCell ref="F264:I264"/>
    <mergeCell ref="J264:Q264"/>
    <mergeCell ref="R264:Y264"/>
    <mergeCell ref="Z264:AG264"/>
    <mergeCell ref="AH264:AO264"/>
    <mergeCell ref="AP264:AW264"/>
    <mergeCell ref="AX264:BE264"/>
    <mergeCell ref="BF264:BM264"/>
    <mergeCell ref="B261:E261"/>
    <mergeCell ref="F261:I261"/>
    <mergeCell ref="J261:Q261"/>
    <mergeCell ref="R261:Y261"/>
    <mergeCell ref="Z261:AG261"/>
    <mergeCell ref="AH261:AO261"/>
    <mergeCell ref="AP261:AW261"/>
    <mergeCell ref="AX261:BE261"/>
    <mergeCell ref="BF261:BM261"/>
    <mergeCell ref="B262:E262"/>
    <mergeCell ref="F262:I262"/>
    <mergeCell ref="J262:Q262"/>
    <mergeCell ref="R262:Y262"/>
    <mergeCell ref="Z262:AG262"/>
    <mergeCell ref="AH262:AO262"/>
    <mergeCell ref="AP262:AW262"/>
    <mergeCell ref="AX262:BE262"/>
    <mergeCell ref="BF262:BM262"/>
    <mergeCell ref="B259:E259"/>
    <mergeCell ref="F259:I259"/>
    <mergeCell ref="J259:Q259"/>
    <mergeCell ref="R259:Y259"/>
    <mergeCell ref="Z259:AG259"/>
    <mergeCell ref="AH259:AO259"/>
    <mergeCell ref="AP259:AW259"/>
    <mergeCell ref="AX259:BE259"/>
    <mergeCell ref="BF259:BM259"/>
    <mergeCell ref="B260:E260"/>
    <mergeCell ref="F260:I260"/>
    <mergeCell ref="J260:Q260"/>
    <mergeCell ref="R260:Y260"/>
    <mergeCell ref="Z260:AG260"/>
    <mergeCell ref="AH260:AO260"/>
    <mergeCell ref="AP260:AW260"/>
    <mergeCell ref="AX260:BE260"/>
    <mergeCell ref="BF260:BM260"/>
    <mergeCell ref="B257:E257"/>
    <mergeCell ref="F257:I257"/>
    <mergeCell ref="J257:Q257"/>
    <mergeCell ref="R257:Y257"/>
    <mergeCell ref="Z257:AG257"/>
    <mergeCell ref="AH257:AO257"/>
    <mergeCell ref="AP257:AW257"/>
    <mergeCell ref="AX257:BE257"/>
    <mergeCell ref="BF257:BM257"/>
    <mergeCell ref="B258:E258"/>
    <mergeCell ref="F258:I258"/>
    <mergeCell ref="J258:Q258"/>
    <mergeCell ref="R258:Y258"/>
    <mergeCell ref="Z258:AG258"/>
    <mergeCell ref="AH258:AO258"/>
    <mergeCell ref="AP258:AW258"/>
    <mergeCell ref="AX258:BE258"/>
    <mergeCell ref="BF258:BM258"/>
    <mergeCell ref="B255:E255"/>
    <mergeCell ref="F255:I255"/>
    <mergeCell ref="J255:Q255"/>
    <mergeCell ref="R255:Y255"/>
    <mergeCell ref="Z255:AG255"/>
    <mergeCell ref="AH255:AO255"/>
    <mergeCell ref="AP255:AW255"/>
    <mergeCell ref="AX255:BE255"/>
    <mergeCell ref="BF255:BM255"/>
    <mergeCell ref="B256:E256"/>
    <mergeCell ref="F256:I256"/>
    <mergeCell ref="J256:Q256"/>
    <mergeCell ref="R256:Y256"/>
    <mergeCell ref="Z256:AG256"/>
    <mergeCell ref="AH256:AO256"/>
    <mergeCell ref="AP256:AW256"/>
    <mergeCell ref="AX256:BE256"/>
    <mergeCell ref="BF256:BM256"/>
    <mergeCell ref="B253:E253"/>
    <mergeCell ref="F253:I253"/>
    <mergeCell ref="J253:Q253"/>
    <mergeCell ref="R253:Y253"/>
    <mergeCell ref="Z253:AG253"/>
    <mergeCell ref="AH253:AO253"/>
    <mergeCell ref="AP253:AW253"/>
    <mergeCell ref="AX253:BE253"/>
    <mergeCell ref="BF253:BM253"/>
    <mergeCell ref="B254:E254"/>
    <mergeCell ref="F254:I254"/>
    <mergeCell ref="J254:Q254"/>
    <mergeCell ref="R254:Y254"/>
    <mergeCell ref="Z254:AG254"/>
    <mergeCell ref="AH254:AO254"/>
    <mergeCell ref="AP254:AW254"/>
    <mergeCell ref="AX254:BE254"/>
    <mergeCell ref="BF254:BM254"/>
    <mergeCell ref="BF250:BU250"/>
    <mergeCell ref="AP251:AW251"/>
    <mergeCell ref="AX251:BE251"/>
    <mergeCell ref="BF251:BM251"/>
    <mergeCell ref="BN251:BU251"/>
    <mergeCell ref="B250:E251"/>
    <mergeCell ref="F250:I251"/>
    <mergeCell ref="J250:Y250"/>
    <mergeCell ref="J251:Q251"/>
    <mergeCell ref="R251:Y251"/>
    <mergeCell ref="AP250:BE250"/>
    <mergeCell ref="Z250:AO250"/>
    <mergeCell ref="Z251:AG251"/>
    <mergeCell ref="AH251:AO251"/>
    <mergeCell ref="B252:E252"/>
    <mergeCell ref="F252:I252"/>
    <mergeCell ref="J252:Q252"/>
    <mergeCell ref="R252:Y252"/>
    <mergeCell ref="Z252:AG252"/>
    <mergeCell ref="AH252:AO252"/>
    <mergeCell ref="AP252:AW252"/>
    <mergeCell ref="AX252:BE252"/>
    <mergeCell ref="BF252:BM252"/>
    <mergeCell ref="BN252:BU252"/>
    <mergeCell ref="AR217:BF217"/>
    <mergeCell ref="BG217:BU217"/>
    <mergeCell ref="AR218:BF218"/>
    <mergeCell ref="BG218:BU218"/>
    <mergeCell ref="B186:N186"/>
    <mergeCell ref="O186:V186"/>
    <mergeCell ref="W186:AF186"/>
    <mergeCell ref="AG186:AP186"/>
    <mergeCell ref="AQ186:AX186"/>
    <mergeCell ref="AY186:BF186"/>
    <mergeCell ref="BG186:BN186"/>
    <mergeCell ref="B183:N183"/>
    <mergeCell ref="O183:V183"/>
    <mergeCell ref="W183:AF183"/>
    <mergeCell ref="AG183:AP183"/>
    <mergeCell ref="AQ183:AX183"/>
    <mergeCell ref="AY183:BF183"/>
    <mergeCell ref="BG183:BN183"/>
    <mergeCell ref="B184:N184"/>
    <mergeCell ref="O184:V184"/>
    <mergeCell ref="W184:AF184"/>
    <mergeCell ref="AG184:AP184"/>
    <mergeCell ref="AQ184:AX184"/>
    <mergeCell ref="AY184:BF184"/>
    <mergeCell ref="BG184:BN184"/>
    <mergeCell ref="B185:N185"/>
    <mergeCell ref="O185:V185"/>
    <mergeCell ref="W185:AF185"/>
    <mergeCell ref="AG185:AP185"/>
    <mergeCell ref="AQ185:AX185"/>
    <mergeCell ref="AY185:BF185"/>
    <mergeCell ref="BG185:BN185"/>
    <mergeCell ref="B180:N180"/>
    <mergeCell ref="O180:V180"/>
    <mergeCell ref="W180:AF180"/>
    <mergeCell ref="AG180:AP180"/>
    <mergeCell ref="AQ180:AX180"/>
    <mergeCell ref="AY180:BF180"/>
    <mergeCell ref="BG180:BN180"/>
    <mergeCell ref="B181:N181"/>
    <mergeCell ref="O181:V181"/>
    <mergeCell ref="W181:AF181"/>
    <mergeCell ref="AG181:AP181"/>
    <mergeCell ref="AQ181:AX181"/>
    <mergeCell ref="AY181:BF181"/>
    <mergeCell ref="BG181:BN181"/>
    <mergeCell ref="B182:N182"/>
    <mergeCell ref="O182:V182"/>
    <mergeCell ref="W182:AF182"/>
    <mergeCell ref="AG182:AP182"/>
    <mergeCell ref="AQ182:AX182"/>
    <mergeCell ref="AY182:BF182"/>
    <mergeCell ref="BG182:BN182"/>
    <mergeCell ref="B177:N177"/>
    <mergeCell ref="O177:V177"/>
    <mergeCell ref="W177:AF177"/>
    <mergeCell ref="AG177:AP177"/>
    <mergeCell ref="AQ177:AX177"/>
    <mergeCell ref="AY177:BF177"/>
    <mergeCell ref="BG177:BN177"/>
    <mergeCell ref="B178:N178"/>
    <mergeCell ref="O178:V178"/>
    <mergeCell ref="W178:AF178"/>
    <mergeCell ref="AG178:AP178"/>
    <mergeCell ref="AQ178:AX178"/>
    <mergeCell ref="AY178:BF178"/>
    <mergeCell ref="BG178:BN178"/>
    <mergeCell ref="B179:N179"/>
    <mergeCell ref="O179:V179"/>
    <mergeCell ref="W179:AF179"/>
    <mergeCell ref="AG179:AP179"/>
    <mergeCell ref="AQ179:AX179"/>
    <mergeCell ref="AY179:BF179"/>
    <mergeCell ref="BG179:BN179"/>
    <mergeCell ref="B174:N174"/>
    <mergeCell ref="O174:V174"/>
    <mergeCell ref="W174:AF174"/>
    <mergeCell ref="AG174:AP174"/>
    <mergeCell ref="AQ174:AX174"/>
    <mergeCell ref="AY174:BF174"/>
    <mergeCell ref="BG174:BN174"/>
    <mergeCell ref="B175:N175"/>
    <mergeCell ref="O175:V175"/>
    <mergeCell ref="W175:AF175"/>
    <mergeCell ref="AG175:AP175"/>
    <mergeCell ref="AQ175:AX175"/>
    <mergeCell ref="AY175:BF175"/>
    <mergeCell ref="BG175:BN175"/>
    <mergeCell ref="B176:N176"/>
    <mergeCell ref="O176:V176"/>
    <mergeCell ref="W176:AF176"/>
    <mergeCell ref="AG176:AP176"/>
    <mergeCell ref="AQ176:AX176"/>
    <mergeCell ref="AY176:BF176"/>
    <mergeCell ref="BG176:BN176"/>
    <mergeCell ref="B171:N171"/>
    <mergeCell ref="O171:V171"/>
    <mergeCell ref="W171:AF171"/>
    <mergeCell ref="AG171:AP171"/>
    <mergeCell ref="AQ171:AX171"/>
    <mergeCell ref="AY171:BF171"/>
    <mergeCell ref="BG171:BN171"/>
    <mergeCell ref="B172:N172"/>
    <mergeCell ref="O172:V172"/>
    <mergeCell ref="W172:AF172"/>
    <mergeCell ref="AG172:AP172"/>
    <mergeCell ref="AQ172:AX172"/>
    <mergeCell ref="AY172:BF172"/>
    <mergeCell ref="BG172:BN172"/>
    <mergeCell ref="B173:N173"/>
    <mergeCell ref="O173:V173"/>
    <mergeCell ref="W173:AF173"/>
    <mergeCell ref="AG173:AP173"/>
    <mergeCell ref="AQ173:AX173"/>
    <mergeCell ref="AY173:BF173"/>
    <mergeCell ref="BG173:BN173"/>
    <mergeCell ref="B168:N168"/>
    <mergeCell ref="O168:V168"/>
    <mergeCell ref="W168:AF168"/>
    <mergeCell ref="AG168:AP168"/>
    <mergeCell ref="AQ168:AX168"/>
    <mergeCell ref="AY168:BF168"/>
    <mergeCell ref="BG168:BN168"/>
    <mergeCell ref="B169:N169"/>
    <mergeCell ref="O169:V169"/>
    <mergeCell ref="W169:AF169"/>
    <mergeCell ref="AG169:AP169"/>
    <mergeCell ref="AQ169:AX169"/>
    <mergeCell ref="AY169:BF169"/>
    <mergeCell ref="BG169:BN169"/>
    <mergeCell ref="B170:N170"/>
    <mergeCell ref="O170:V170"/>
    <mergeCell ref="W170:AF170"/>
    <mergeCell ref="AG170:AP170"/>
    <mergeCell ref="AQ170:AX170"/>
    <mergeCell ref="AY170:BF170"/>
    <mergeCell ref="BG170:BN170"/>
    <mergeCell ref="B165:N165"/>
    <mergeCell ref="O165:V165"/>
    <mergeCell ref="W165:AF165"/>
    <mergeCell ref="AG165:AP165"/>
    <mergeCell ref="AQ165:AX165"/>
    <mergeCell ref="AY165:BF165"/>
    <mergeCell ref="BG165:BN165"/>
    <mergeCell ref="B166:N166"/>
    <mergeCell ref="O166:V166"/>
    <mergeCell ref="W166:AF166"/>
    <mergeCell ref="AG166:AP166"/>
    <mergeCell ref="AQ166:AX166"/>
    <mergeCell ref="AY166:BF166"/>
    <mergeCell ref="BG166:BN166"/>
    <mergeCell ref="B167:N167"/>
    <mergeCell ref="O167:V167"/>
    <mergeCell ref="W167:AF167"/>
    <mergeCell ref="AG167:AP167"/>
    <mergeCell ref="AQ167:AX167"/>
    <mergeCell ref="AY167:BF167"/>
    <mergeCell ref="BG167:BN167"/>
    <mergeCell ref="B162:N162"/>
    <mergeCell ref="O162:V162"/>
    <mergeCell ref="W162:AF162"/>
    <mergeCell ref="AG162:AP162"/>
    <mergeCell ref="AQ162:AX162"/>
    <mergeCell ref="AY162:BF162"/>
    <mergeCell ref="BG162:BN162"/>
    <mergeCell ref="B163:N163"/>
    <mergeCell ref="O163:V163"/>
    <mergeCell ref="W163:AF163"/>
    <mergeCell ref="AG163:AP163"/>
    <mergeCell ref="AQ163:AX163"/>
    <mergeCell ref="AY163:BF163"/>
    <mergeCell ref="BG163:BN163"/>
    <mergeCell ref="B164:N164"/>
    <mergeCell ref="O164:V164"/>
    <mergeCell ref="W164:AF164"/>
    <mergeCell ref="AG164:AP164"/>
    <mergeCell ref="AQ164:AX164"/>
    <mergeCell ref="AY164:BF164"/>
    <mergeCell ref="BG164:BN164"/>
    <mergeCell ref="B159:N159"/>
    <mergeCell ref="O159:V159"/>
    <mergeCell ref="W159:AF159"/>
    <mergeCell ref="AG159:AP159"/>
    <mergeCell ref="AQ159:AX159"/>
    <mergeCell ref="AY159:BF159"/>
    <mergeCell ref="BG159:BN159"/>
    <mergeCell ref="B160:N160"/>
    <mergeCell ref="O160:V160"/>
    <mergeCell ref="W160:AF160"/>
    <mergeCell ref="AG160:AP160"/>
    <mergeCell ref="AQ160:AX160"/>
    <mergeCell ref="AY160:BF160"/>
    <mergeCell ref="BG160:BN160"/>
    <mergeCell ref="B161:N161"/>
    <mergeCell ref="O161:V161"/>
    <mergeCell ref="W161:AF161"/>
    <mergeCell ref="AG161:AP161"/>
    <mergeCell ref="AQ161:AX161"/>
    <mergeCell ref="AY161:BF161"/>
    <mergeCell ref="BG161:BN161"/>
    <mergeCell ref="B156:N156"/>
    <mergeCell ref="O156:V156"/>
    <mergeCell ref="W156:AF156"/>
    <mergeCell ref="AG156:AP156"/>
    <mergeCell ref="AQ156:AX156"/>
    <mergeCell ref="AY156:BF156"/>
    <mergeCell ref="BG156:BN156"/>
    <mergeCell ref="B157:N157"/>
    <mergeCell ref="O157:V157"/>
    <mergeCell ref="W157:AF157"/>
    <mergeCell ref="AG157:AP157"/>
    <mergeCell ref="AQ157:AX157"/>
    <mergeCell ref="AY157:BF157"/>
    <mergeCell ref="BG157:BN157"/>
    <mergeCell ref="B158:N158"/>
    <mergeCell ref="O158:V158"/>
    <mergeCell ref="W158:AF158"/>
    <mergeCell ref="AG158:AP158"/>
    <mergeCell ref="AQ158:AX158"/>
    <mergeCell ref="AY158:BF158"/>
    <mergeCell ref="BG158:BN158"/>
    <mergeCell ref="B153:N153"/>
    <mergeCell ref="O153:V153"/>
    <mergeCell ref="W153:AF153"/>
    <mergeCell ref="AG153:AP153"/>
    <mergeCell ref="AQ153:AX153"/>
    <mergeCell ref="AY153:BF153"/>
    <mergeCell ref="BG153:BN153"/>
    <mergeCell ref="B154:N154"/>
    <mergeCell ref="O154:V154"/>
    <mergeCell ref="W154:AF154"/>
    <mergeCell ref="AG154:AP154"/>
    <mergeCell ref="AQ154:AX154"/>
    <mergeCell ref="AY154:BF154"/>
    <mergeCell ref="BG154:BN154"/>
    <mergeCell ref="B155:N155"/>
    <mergeCell ref="O155:V155"/>
    <mergeCell ref="W155:AF155"/>
    <mergeCell ref="AG155:AP155"/>
    <mergeCell ref="AQ155:AX155"/>
    <mergeCell ref="AY155:BF155"/>
    <mergeCell ref="BG155:BN155"/>
    <mergeCell ref="B150:N150"/>
    <mergeCell ref="O150:V150"/>
    <mergeCell ref="W150:AF150"/>
    <mergeCell ref="AG150:AP150"/>
    <mergeCell ref="AQ150:AX150"/>
    <mergeCell ref="AY150:BF150"/>
    <mergeCell ref="BG150:BN150"/>
    <mergeCell ref="B151:N151"/>
    <mergeCell ref="O151:V151"/>
    <mergeCell ref="W151:AF151"/>
    <mergeCell ref="AG151:AP151"/>
    <mergeCell ref="AQ151:AX151"/>
    <mergeCell ref="AY151:BF151"/>
    <mergeCell ref="BG151:BN151"/>
    <mergeCell ref="B152:N152"/>
    <mergeCell ref="O152:V152"/>
    <mergeCell ref="W152:AF152"/>
    <mergeCell ref="AG152:AP152"/>
    <mergeCell ref="AQ152:AX152"/>
    <mergeCell ref="AY152:BF152"/>
    <mergeCell ref="BG152:BN152"/>
    <mergeCell ref="B147:N147"/>
    <mergeCell ref="O147:V147"/>
    <mergeCell ref="W147:AF147"/>
    <mergeCell ref="AG147:AP147"/>
    <mergeCell ref="AQ147:AX147"/>
    <mergeCell ref="AY147:BF147"/>
    <mergeCell ref="BG147:BN147"/>
    <mergeCell ref="B148:N148"/>
    <mergeCell ref="O148:V148"/>
    <mergeCell ref="W148:AF148"/>
    <mergeCell ref="AG148:AP148"/>
    <mergeCell ref="AQ148:AX148"/>
    <mergeCell ref="AY148:BF148"/>
    <mergeCell ref="BG148:BN148"/>
    <mergeCell ref="B149:N149"/>
    <mergeCell ref="O149:V149"/>
    <mergeCell ref="W149:AF149"/>
    <mergeCell ref="AG149:AP149"/>
    <mergeCell ref="AQ149:AX149"/>
    <mergeCell ref="AY149:BF149"/>
    <mergeCell ref="BG149:BN149"/>
    <mergeCell ref="B144:N144"/>
    <mergeCell ref="O144:V144"/>
    <mergeCell ref="W144:AF144"/>
    <mergeCell ref="AG144:AP144"/>
    <mergeCell ref="AQ144:AX144"/>
    <mergeCell ref="AY144:BF144"/>
    <mergeCell ref="BG144:BN144"/>
    <mergeCell ref="B145:N145"/>
    <mergeCell ref="O145:V145"/>
    <mergeCell ref="W145:AF145"/>
    <mergeCell ref="AG145:AP145"/>
    <mergeCell ref="AQ145:AX145"/>
    <mergeCell ref="AY145:BF145"/>
    <mergeCell ref="BG145:BN145"/>
    <mergeCell ref="B146:N146"/>
    <mergeCell ref="O146:V146"/>
    <mergeCell ref="W146:AF146"/>
    <mergeCell ref="AG146:AP146"/>
    <mergeCell ref="AQ146:AX146"/>
    <mergeCell ref="AY146:BF146"/>
    <mergeCell ref="BG146:BN146"/>
    <mergeCell ref="B141:N141"/>
    <mergeCell ref="O141:V141"/>
    <mergeCell ref="W141:AF141"/>
    <mergeCell ref="AG141:AP141"/>
    <mergeCell ref="AQ141:AX141"/>
    <mergeCell ref="AY141:BF141"/>
    <mergeCell ref="BG141:BN141"/>
    <mergeCell ref="B142:N142"/>
    <mergeCell ref="O142:V142"/>
    <mergeCell ref="W142:AF142"/>
    <mergeCell ref="AG142:AP142"/>
    <mergeCell ref="AQ142:AX142"/>
    <mergeCell ref="AY142:BF142"/>
    <mergeCell ref="BG142:BN142"/>
    <mergeCell ref="B143:N143"/>
    <mergeCell ref="O143:V143"/>
    <mergeCell ref="W143:AF143"/>
    <mergeCell ref="AG143:AP143"/>
    <mergeCell ref="AQ143:AX143"/>
    <mergeCell ref="AY143:BF143"/>
    <mergeCell ref="BG143:BN143"/>
    <mergeCell ref="B138:N138"/>
    <mergeCell ref="O138:V138"/>
    <mergeCell ref="W138:AF138"/>
    <mergeCell ref="AG138:AP138"/>
    <mergeCell ref="AQ138:AX138"/>
    <mergeCell ref="AY138:BF138"/>
    <mergeCell ref="BG138:BN138"/>
    <mergeCell ref="B139:N139"/>
    <mergeCell ref="O139:V139"/>
    <mergeCell ref="W139:AF139"/>
    <mergeCell ref="AG139:AP139"/>
    <mergeCell ref="AQ139:AX139"/>
    <mergeCell ref="AY139:BF139"/>
    <mergeCell ref="BG139:BN139"/>
    <mergeCell ref="B140:N140"/>
    <mergeCell ref="O140:V140"/>
    <mergeCell ref="W140:AF140"/>
    <mergeCell ref="AG140:AP140"/>
    <mergeCell ref="AQ140:AX140"/>
    <mergeCell ref="AY140:BF140"/>
    <mergeCell ref="BG140:BN140"/>
    <mergeCell ref="B135:N135"/>
    <mergeCell ref="O135:V135"/>
    <mergeCell ref="W135:AF135"/>
    <mergeCell ref="AG135:AP135"/>
    <mergeCell ref="AQ135:AX135"/>
    <mergeCell ref="AY135:BF135"/>
    <mergeCell ref="BG135:BN135"/>
    <mergeCell ref="B136:N136"/>
    <mergeCell ref="O136:V136"/>
    <mergeCell ref="W136:AF136"/>
    <mergeCell ref="AG136:AP136"/>
    <mergeCell ref="AQ136:AX136"/>
    <mergeCell ref="AY136:BF136"/>
    <mergeCell ref="BG136:BN136"/>
    <mergeCell ref="B137:N137"/>
    <mergeCell ref="O137:V137"/>
    <mergeCell ref="W137:AF137"/>
    <mergeCell ref="AG137:AP137"/>
    <mergeCell ref="AQ137:AX137"/>
    <mergeCell ref="AY137:BF137"/>
    <mergeCell ref="BG137:BN137"/>
    <mergeCell ref="B132:N132"/>
    <mergeCell ref="O132:V132"/>
    <mergeCell ref="W132:AF132"/>
    <mergeCell ref="AG132:AP132"/>
    <mergeCell ref="AQ132:AX132"/>
    <mergeCell ref="AY132:BF132"/>
    <mergeCell ref="BG132:BN132"/>
    <mergeCell ref="B133:N133"/>
    <mergeCell ref="O133:V133"/>
    <mergeCell ref="W133:AF133"/>
    <mergeCell ref="AG133:AP133"/>
    <mergeCell ref="AQ133:AX133"/>
    <mergeCell ref="AY133:BF133"/>
    <mergeCell ref="BG133:BN133"/>
    <mergeCell ref="B134:N134"/>
    <mergeCell ref="O134:V134"/>
    <mergeCell ref="W134:AF134"/>
    <mergeCell ref="AG134:AP134"/>
    <mergeCell ref="AQ134:AX134"/>
    <mergeCell ref="AY134:BF134"/>
    <mergeCell ref="BG134:BN134"/>
    <mergeCell ref="B129:N129"/>
    <mergeCell ref="O129:V129"/>
    <mergeCell ref="W129:AF129"/>
    <mergeCell ref="AG129:AP129"/>
    <mergeCell ref="AQ129:AX129"/>
    <mergeCell ref="AY129:BF129"/>
    <mergeCell ref="BG129:BN129"/>
    <mergeCell ref="B130:N130"/>
    <mergeCell ref="O130:V130"/>
    <mergeCell ref="W130:AF130"/>
    <mergeCell ref="AG130:AP130"/>
    <mergeCell ref="AQ130:AX130"/>
    <mergeCell ref="AY130:BF130"/>
    <mergeCell ref="BG130:BN130"/>
    <mergeCell ref="B131:N131"/>
    <mergeCell ref="O131:V131"/>
    <mergeCell ref="W131:AF131"/>
    <mergeCell ref="AG131:AP131"/>
    <mergeCell ref="AQ131:AX131"/>
    <mergeCell ref="AY131:BF131"/>
    <mergeCell ref="BG131:BN131"/>
    <mergeCell ref="B126:N126"/>
    <mergeCell ref="O126:V126"/>
    <mergeCell ref="W126:AF126"/>
    <mergeCell ref="AG126:AP126"/>
    <mergeCell ref="AQ126:AX126"/>
    <mergeCell ref="AY126:BF126"/>
    <mergeCell ref="BG126:BN126"/>
    <mergeCell ref="B127:N127"/>
    <mergeCell ref="O127:V127"/>
    <mergeCell ref="W127:AF127"/>
    <mergeCell ref="AG127:AP127"/>
    <mergeCell ref="AQ127:AX127"/>
    <mergeCell ref="AY127:BF127"/>
    <mergeCell ref="BG127:BN127"/>
    <mergeCell ref="B128:N128"/>
    <mergeCell ref="O128:V128"/>
    <mergeCell ref="W128:AF128"/>
    <mergeCell ref="AG128:AP128"/>
    <mergeCell ref="AQ128:AX128"/>
    <mergeCell ref="AY128:BF128"/>
    <mergeCell ref="BG128:BN128"/>
    <mergeCell ref="B123:N123"/>
    <mergeCell ref="O123:V123"/>
    <mergeCell ref="W123:AF123"/>
    <mergeCell ref="AG123:AP123"/>
    <mergeCell ref="AQ123:AX123"/>
    <mergeCell ref="AY123:BF123"/>
    <mergeCell ref="BG123:BN123"/>
    <mergeCell ref="B124:N124"/>
    <mergeCell ref="O124:V124"/>
    <mergeCell ref="W124:AF124"/>
    <mergeCell ref="AG124:AP124"/>
    <mergeCell ref="AQ124:AX124"/>
    <mergeCell ref="AY124:BF124"/>
    <mergeCell ref="BG124:BN124"/>
    <mergeCell ref="B125:N125"/>
    <mergeCell ref="O125:V125"/>
    <mergeCell ref="W125:AF125"/>
    <mergeCell ref="AG125:AP125"/>
    <mergeCell ref="AQ125:AX125"/>
    <mergeCell ref="AY125:BF125"/>
    <mergeCell ref="BG125:BN125"/>
    <mergeCell ref="B120:N120"/>
    <mergeCell ref="O120:V120"/>
    <mergeCell ref="W120:AF120"/>
    <mergeCell ref="AG120:AP120"/>
    <mergeCell ref="AQ120:AX120"/>
    <mergeCell ref="AY120:BF120"/>
    <mergeCell ref="BG120:BN120"/>
    <mergeCell ref="B121:N121"/>
    <mergeCell ref="O121:V121"/>
    <mergeCell ref="W121:AF121"/>
    <mergeCell ref="AG121:AP121"/>
    <mergeCell ref="AQ121:AX121"/>
    <mergeCell ref="AY121:BF121"/>
    <mergeCell ref="BG121:BN121"/>
    <mergeCell ref="B122:N122"/>
    <mergeCell ref="O122:V122"/>
    <mergeCell ref="W122:AF122"/>
    <mergeCell ref="AG122:AP122"/>
    <mergeCell ref="AQ122:AX122"/>
    <mergeCell ref="AY122:BF122"/>
    <mergeCell ref="BG122:BN122"/>
    <mergeCell ref="B117:N117"/>
    <mergeCell ref="O117:V117"/>
    <mergeCell ref="W117:AF117"/>
    <mergeCell ref="AG117:AP117"/>
    <mergeCell ref="AQ117:AX117"/>
    <mergeCell ref="AY117:BF117"/>
    <mergeCell ref="BG117:BN117"/>
    <mergeCell ref="B118:N118"/>
    <mergeCell ref="O118:V118"/>
    <mergeCell ref="W118:AF118"/>
    <mergeCell ref="AG118:AP118"/>
    <mergeCell ref="AQ118:AX118"/>
    <mergeCell ref="AY118:BF118"/>
    <mergeCell ref="BG118:BN118"/>
    <mergeCell ref="B119:N119"/>
    <mergeCell ref="O119:V119"/>
    <mergeCell ref="W119:AF119"/>
    <mergeCell ref="AG119:AP119"/>
    <mergeCell ref="AQ119:AX119"/>
    <mergeCell ref="AY119:BF119"/>
    <mergeCell ref="BG119:BN119"/>
    <mergeCell ref="B114:N114"/>
    <mergeCell ref="O114:V114"/>
    <mergeCell ref="W114:AF114"/>
    <mergeCell ref="AG114:AP114"/>
    <mergeCell ref="AQ114:AX114"/>
    <mergeCell ref="AY114:BF114"/>
    <mergeCell ref="BG114:BN114"/>
    <mergeCell ref="B115:N115"/>
    <mergeCell ref="O115:V115"/>
    <mergeCell ref="W115:AF115"/>
    <mergeCell ref="AG115:AP115"/>
    <mergeCell ref="AQ115:AX115"/>
    <mergeCell ref="AY115:BF115"/>
    <mergeCell ref="BG115:BN115"/>
    <mergeCell ref="B116:N116"/>
    <mergeCell ref="O116:V116"/>
    <mergeCell ref="W116:AF116"/>
    <mergeCell ref="AG116:AP116"/>
    <mergeCell ref="AQ116:AX116"/>
    <mergeCell ref="AY116:BF116"/>
    <mergeCell ref="BG116:BN116"/>
    <mergeCell ref="B111:N111"/>
    <mergeCell ref="O111:V111"/>
    <mergeCell ref="W111:AF111"/>
    <mergeCell ref="AG111:AP111"/>
    <mergeCell ref="AQ111:AX111"/>
    <mergeCell ref="AY111:BF111"/>
    <mergeCell ref="BG111:BN111"/>
    <mergeCell ref="B112:N112"/>
    <mergeCell ref="O112:V112"/>
    <mergeCell ref="W112:AF112"/>
    <mergeCell ref="AG112:AP112"/>
    <mergeCell ref="AQ112:AX112"/>
    <mergeCell ref="AY112:BF112"/>
    <mergeCell ref="BG112:BN112"/>
    <mergeCell ref="B113:N113"/>
    <mergeCell ref="O113:V113"/>
    <mergeCell ref="W113:AF113"/>
    <mergeCell ref="AG113:AP113"/>
    <mergeCell ref="AQ113:AX113"/>
    <mergeCell ref="AY113:BF113"/>
    <mergeCell ref="BG113:BN113"/>
    <mergeCell ref="B108:N108"/>
    <mergeCell ref="O108:V108"/>
    <mergeCell ref="W108:AF108"/>
    <mergeCell ref="AG108:AP108"/>
    <mergeCell ref="AQ108:AX108"/>
    <mergeCell ref="AY108:BF108"/>
    <mergeCell ref="BG108:BN108"/>
    <mergeCell ref="B109:N109"/>
    <mergeCell ref="O109:V109"/>
    <mergeCell ref="W109:AF109"/>
    <mergeCell ref="AG109:AP109"/>
    <mergeCell ref="AQ109:AX109"/>
    <mergeCell ref="AY109:BF109"/>
    <mergeCell ref="BG109:BN109"/>
    <mergeCell ref="B110:N110"/>
    <mergeCell ref="O110:V110"/>
    <mergeCell ref="W110:AF110"/>
    <mergeCell ref="AG110:AP110"/>
    <mergeCell ref="AQ110:AX110"/>
    <mergeCell ref="AY110:BF110"/>
    <mergeCell ref="BG110:BN110"/>
    <mergeCell ref="B105:N105"/>
    <mergeCell ref="O105:V105"/>
    <mergeCell ref="W105:AF105"/>
    <mergeCell ref="AG105:AP105"/>
    <mergeCell ref="AQ105:AX105"/>
    <mergeCell ref="AY105:BF105"/>
    <mergeCell ref="BG105:BN105"/>
    <mergeCell ref="B106:N106"/>
    <mergeCell ref="O106:V106"/>
    <mergeCell ref="W106:AF106"/>
    <mergeCell ref="AG106:AP106"/>
    <mergeCell ref="AQ106:AX106"/>
    <mergeCell ref="AY106:BF106"/>
    <mergeCell ref="BG106:BN106"/>
    <mergeCell ref="B107:N107"/>
    <mergeCell ref="O107:V107"/>
    <mergeCell ref="W107:AF107"/>
    <mergeCell ref="AG107:AP107"/>
    <mergeCell ref="AQ107:AX107"/>
    <mergeCell ref="AY107:BF107"/>
    <mergeCell ref="BG107:BN107"/>
    <mergeCell ref="B102:N102"/>
    <mergeCell ref="O102:V102"/>
    <mergeCell ref="W102:AF102"/>
    <mergeCell ref="AG102:AP102"/>
    <mergeCell ref="AQ102:AX102"/>
    <mergeCell ref="AY102:BF102"/>
    <mergeCell ref="BG102:BN102"/>
    <mergeCell ref="B103:N103"/>
    <mergeCell ref="O103:V103"/>
    <mergeCell ref="W103:AF103"/>
    <mergeCell ref="AG103:AP103"/>
    <mergeCell ref="AQ103:AX103"/>
    <mergeCell ref="AY103:BF103"/>
    <mergeCell ref="BG103:BN103"/>
    <mergeCell ref="B104:N104"/>
    <mergeCell ref="O104:V104"/>
    <mergeCell ref="W104:AF104"/>
    <mergeCell ref="AG104:AP104"/>
    <mergeCell ref="AQ104:AX104"/>
    <mergeCell ref="AY104:BF104"/>
    <mergeCell ref="BG104:BN104"/>
    <mergeCell ref="B99:N99"/>
    <mergeCell ref="O99:V99"/>
    <mergeCell ref="W99:AF99"/>
    <mergeCell ref="AG99:AP99"/>
    <mergeCell ref="AQ99:AX99"/>
    <mergeCell ref="AY99:BF99"/>
    <mergeCell ref="BG99:BN99"/>
    <mergeCell ref="B100:N100"/>
    <mergeCell ref="O100:V100"/>
    <mergeCell ref="W100:AF100"/>
    <mergeCell ref="AG100:AP100"/>
    <mergeCell ref="AQ100:AX100"/>
    <mergeCell ref="AY100:BF100"/>
    <mergeCell ref="BG100:BN100"/>
    <mergeCell ref="B101:N101"/>
    <mergeCell ref="O101:V101"/>
    <mergeCell ref="W101:AF101"/>
    <mergeCell ref="AG101:AP101"/>
    <mergeCell ref="AQ101:AX101"/>
    <mergeCell ref="AY101:BF101"/>
    <mergeCell ref="BG101:BN101"/>
    <mergeCell ref="B96:N96"/>
    <mergeCell ref="O96:V96"/>
    <mergeCell ref="W96:AF96"/>
    <mergeCell ref="AG96:AP96"/>
    <mergeCell ref="AQ96:AX96"/>
    <mergeCell ref="AY96:BF96"/>
    <mergeCell ref="BG96:BN96"/>
    <mergeCell ref="B97:N97"/>
    <mergeCell ref="O97:V97"/>
    <mergeCell ref="W97:AF97"/>
    <mergeCell ref="AG97:AP97"/>
    <mergeCell ref="AQ97:AX97"/>
    <mergeCell ref="AY97:BF97"/>
    <mergeCell ref="BG97:BN97"/>
    <mergeCell ref="B98:N98"/>
    <mergeCell ref="O98:V98"/>
    <mergeCell ref="W98:AF98"/>
    <mergeCell ref="AG98:AP98"/>
    <mergeCell ref="AQ98:AX98"/>
    <mergeCell ref="AY98:BF98"/>
    <mergeCell ref="BG98:BN98"/>
    <mergeCell ref="B93:N93"/>
    <mergeCell ref="O93:V93"/>
    <mergeCell ref="W93:AF93"/>
    <mergeCell ref="AG93:AP93"/>
    <mergeCell ref="AQ93:AX93"/>
    <mergeCell ref="AY93:BF93"/>
    <mergeCell ref="BG93:BN93"/>
    <mergeCell ref="B94:N94"/>
    <mergeCell ref="O94:V94"/>
    <mergeCell ref="W94:AF94"/>
    <mergeCell ref="AG94:AP94"/>
    <mergeCell ref="AQ94:AX94"/>
    <mergeCell ref="AY94:BF94"/>
    <mergeCell ref="BG94:BN94"/>
    <mergeCell ref="B95:N95"/>
    <mergeCell ref="O95:V95"/>
    <mergeCell ref="W95:AF95"/>
    <mergeCell ref="AG95:AP95"/>
    <mergeCell ref="AQ95:AX95"/>
    <mergeCell ref="AY95:BF95"/>
    <mergeCell ref="BG95:BN95"/>
    <mergeCell ref="B90:N90"/>
    <mergeCell ref="O90:V90"/>
    <mergeCell ref="W90:AF90"/>
    <mergeCell ref="AG90:AP90"/>
    <mergeCell ref="AQ90:AX90"/>
    <mergeCell ref="AY90:BF90"/>
    <mergeCell ref="BG90:BN90"/>
    <mergeCell ref="B91:N91"/>
    <mergeCell ref="O91:V91"/>
    <mergeCell ref="W91:AF91"/>
    <mergeCell ref="AG91:AP91"/>
    <mergeCell ref="AQ91:AX91"/>
    <mergeCell ref="AY91:BF91"/>
    <mergeCell ref="BG91:BN91"/>
    <mergeCell ref="B92:N92"/>
    <mergeCell ref="O92:V92"/>
    <mergeCell ref="W92:AF92"/>
    <mergeCell ref="AG92:AP92"/>
    <mergeCell ref="AQ92:AX92"/>
    <mergeCell ref="AY92:BF92"/>
    <mergeCell ref="BG92:BN92"/>
    <mergeCell ref="B87:N87"/>
    <mergeCell ref="O87:V87"/>
    <mergeCell ref="W87:AF87"/>
    <mergeCell ref="AG87:AP87"/>
    <mergeCell ref="AQ87:AX87"/>
    <mergeCell ref="AY87:BF87"/>
    <mergeCell ref="BG87:BN87"/>
    <mergeCell ref="B88:N88"/>
    <mergeCell ref="O88:V88"/>
    <mergeCell ref="W88:AF88"/>
    <mergeCell ref="AG88:AP88"/>
    <mergeCell ref="AQ88:AX88"/>
    <mergeCell ref="AY88:BF88"/>
    <mergeCell ref="BG88:BN88"/>
    <mergeCell ref="B89:N89"/>
    <mergeCell ref="O89:V89"/>
    <mergeCell ref="W89:AF89"/>
    <mergeCell ref="AG89:AP89"/>
    <mergeCell ref="AQ89:AX89"/>
    <mergeCell ref="AY89:BF89"/>
    <mergeCell ref="BG89:BN89"/>
    <mergeCell ref="B84:N84"/>
    <mergeCell ref="O84:V84"/>
    <mergeCell ref="W84:AF84"/>
    <mergeCell ref="AG84:AP84"/>
    <mergeCell ref="AQ84:AX84"/>
    <mergeCell ref="AY84:BF84"/>
    <mergeCell ref="BG84:BN84"/>
    <mergeCell ref="B85:N85"/>
    <mergeCell ref="O85:V85"/>
    <mergeCell ref="W85:AF85"/>
    <mergeCell ref="AG85:AP85"/>
    <mergeCell ref="AQ85:AX85"/>
    <mergeCell ref="AY85:BF85"/>
    <mergeCell ref="BG85:BN85"/>
    <mergeCell ref="B86:N86"/>
    <mergeCell ref="O86:V86"/>
    <mergeCell ref="W86:AF86"/>
    <mergeCell ref="AG86:AP86"/>
    <mergeCell ref="AQ86:AX86"/>
    <mergeCell ref="AY86:BF86"/>
    <mergeCell ref="BG86:BN86"/>
    <mergeCell ref="B81:N81"/>
    <mergeCell ref="O81:V81"/>
    <mergeCell ref="W81:AF81"/>
    <mergeCell ref="AG81:AP81"/>
    <mergeCell ref="AQ81:AX81"/>
    <mergeCell ref="AY81:BF81"/>
    <mergeCell ref="BG81:BN81"/>
    <mergeCell ref="B82:N82"/>
    <mergeCell ref="O82:V82"/>
    <mergeCell ref="W82:AF82"/>
    <mergeCell ref="AG82:AP82"/>
    <mergeCell ref="AQ82:AX82"/>
    <mergeCell ref="AY82:BF82"/>
    <mergeCell ref="BG82:BN82"/>
    <mergeCell ref="B83:N83"/>
    <mergeCell ref="O83:V83"/>
    <mergeCell ref="W83:AF83"/>
    <mergeCell ref="AG83:AP83"/>
    <mergeCell ref="AQ83:AX83"/>
    <mergeCell ref="AY83:BF83"/>
    <mergeCell ref="BG83:BN83"/>
    <mergeCell ref="B78:N78"/>
    <mergeCell ref="O78:V78"/>
    <mergeCell ref="W78:AF78"/>
    <mergeCell ref="AG78:AP78"/>
    <mergeCell ref="AQ78:AX78"/>
    <mergeCell ref="AY78:BF78"/>
    <mergeCell ref="BG78:BN78"/>
    <mergeCell ref="B79:N79"/>
    <mergeCell ref="O79:V79"/>
    <mergeCell ref="W79:AF79"/>
    <mergeCell ref="AG79:AP79"/>
    <mergeCell ref="AQ79:AX79"/>
    <mergeCell ref="AY79:BF79"/>
    <mergeCell ref="BG79:BN79"/>
    <mergeCell ref="B80:N80"/>
    <mergeCell ref="O80:V80"/>
    <mergeCell ref="W80:AF80"/>
    <mergeCell ref="AG80:AP80"/>
    <mergeCell ref="AQ80:AX80"/>
    <mergeCell ref="AY80:BF80"/>
    <mergeCell ref="BG80:BN80"/>
    <mergeCell ref="B75:N75"/>
    <mergeCell ref="O75:V75"/>
    <mergeCell ref="W75:AF75"/>
    <mergeCell ref="AG75:AP75"/>
    <mergeCell ref="AQ75:AX75"/>
    <mergeCell ref="AY75:BF75"/>
    <mergeCell ref="BG75:BN75"/>
    <mergeCell ref="B76:N76"/>
    <mergeCell ref="O76:V76"/>
    <mergeCell ref="W76:AF76"/>
    <mergeCell ref="AG76:AP76"/>
    <mergeCell ref="AQ76:AX76"/>
    <mergeCell ref="AY76:BF76"/>
    <mergeCell ref="BG76:BN76"/>
    <mergeCell ref="B77:N77"/>
    <mergeCell ref="O77:V77"/>
    <mergeCell ref="W77:AF77"/>
    <mergeCell ref="AG77:AP77"/>
    <mergeCell ref="AQ77:AX77"/>
    <mergeCell ref="AY77:BF77"/>
    <mergeCell ref="BG77:BN77"/>
    <mergeCell ref="B72:N72"/>
    <mergeCell ref="O72:V72"/>
    <mergeCell ref="W72:AF72"/>
    <mergeCell ref="AG72:AP72"/>
    <mergeCell ref="AQ72:AX72"/>
    <mergeCell ref="AY72:BF72"/>
    <mergeCell ref="BG72:BN72"/>
    <mergeCell ref="B73:N73"/>
    <mergeCell ref="O73:V73"/>
    <mergeCell ref="W73:AF73"/>
    <mergeCell ref="AG73:AP73"/>
    <mergeCell ref="AQ73:AX73"/>
    <mergeCell ref="AY73:BF73"/>
    <mergeCell ref="BG73:BN73"/>
    <mergeCell ref="B74:N74"/>
    <mergeCell ref="O74:V74"/>
    <mergeCell ref="W74:AF74"/>
    <mergeCell ref="AG74:AP74"/>
    <mergeCell ref="AQ74:AX74"/>
    <mergeCell ref="AY74:BF74"/>
    <mergeCell ref="BG74:BN74"/>
    <mergeCell ref="B69:N69"/>
    <mergeCell ref="O69:V69"/>
    <mergeCell ref="W69:AF69"/>
    <mergeCell ref="AG69:AP69"/>
    <mergeCell ref="AQ69:AX69"/>
    <mergeCell ref="AY69:BF69"/>
    <mergeCell ref="BG69:BN69"/>
    <mergeCell ref="B70:N70"/>
    <mergeCell ref="O70:V70"/>
    <mergeCell ref="W70:AF70"/>
    <mergeCell ref="AG70:AP70"/>
    <mergeCell ref="AQ70:AX70"/>
    <mergeCell ref="AY70:BF70"/>
    <mergeCell ref="BG70:BN70"/>
    <mergeCell ref="B71:N71"/>
    <mergeCell ref="O71:V71"/>
    <mergeCell ref="W71:AF71"/>
    <mergeCell ref="AG71:AP71"/>
    <mergeCell ref="AQ71:AX71"/>
    <mergeCell ref="AY71:BF71"/>
    <mergeCell ref="BG71:BN71"/>
    <mergeCell ref="B66:N66"/>
    <mergeCell ref="O66:V66"/>
    <mergeCell ref="W66:AF66"/>
    <mergeCell ref="AG66:AP66"/>
    <mergeCell ref="AQ66:AX66"/>
    <mergeCell ref="AY66:BF66"/>
    <mergeCell ref="BG66:BN66"/>
    <mergeCell ref="B67:N67"/>
    <mergeCell ref="O67:V67"/>
    <mergeCell ref="W67:AF67"/>
    <mergeCell ref="AG67:AP67"/>
    <mergeCell ref="AQ67:AX67"/>
    <mergeCell ref="AY67:BF67"/>
    <mergeCell ref="BG67:BN67"/>
    <mergeCell ref="B68:N68"/>
    <mergeCell ref="O68:V68"/>
    <mergeCell ref="W68:AF68"/>
    <mergeCell ref="AG68:AP68"/>
    <mergeCell ref="AQ68:AX68"/>
    <mergeCell ref="AY68:BF68"/>
    <mergeCell ref="BG68:BN68"/>
    <mergeCell ref="B63:N63"/>
    <mergeCell ref="O63:V63"/>
    <mergeCell ref="W63:AF63"/>
    <mergeCell ref="AG63:AP63"/>
    <mergeCell ref="AQ63:AX63"/>
    <mergeCell ref="AY63:BF63"/>
    <mergeCell ref="BG63:BN63"/>
    <mergeCell ref="B64:N64"/>
    <mergeCell ref="O64:V64"/>
    <mergeCell ref="W64:AF64"/>
    <mergeCell ref="AG64:AP64"/>
    <mergeCell ref="AQ64:AX64"/>
    <mergeCell ref="AY64:BF64"/>
    <mergeCell ref="BG64:BN64"/>
    <mergeCell ref="B65:N65"/>
    <mergeCell ref="O65:V65"/>
    <mergeCell ref="W65:AF65"/>
    <mergeCell ref="AG65:AP65"/>
    <mergeCell ref="AQ65:AX65"/>
    <mergeCell ref="AY65:BF65"/>
    <mergeCell ref="BG65:BN65"/>
    <mergeCell ref="B60:N60"/>
    <mergeCell ref="O60:V60"/>
    <mergeCell ref="W60:AF60"/>
    <mergeCell ref="AG60:AP60"/>
    <mergeCell ref="AQ60:AX60"/>
    <mergeCell ref="AY60:BF60"/>
    <mergeCell ref="BG60:BN60"/>
    <mergeCell ref="B61:N61"/>
    <mergeCell ref="O61:V61"/>
    <mergeCell ref="W61:AF61"/>
    <mergeCell ref="AG61:AP61"/>
    <mergeCell ref="AQ61:AX61"/>
    <mergeCell ref="AY61:BF61"/>
    <mergeCell ref="BG61:BN61"/>
    <mergeCell ref="B62:N62"/>
    <mergeCell ref="O62:V62"/>
    <mergeCell ref="W62:AF62"/>
    <mergeCell ref="AG62:AP62"/>
    <mergeCell ref="AQ62:AX62"/>
    <mergeCell ref="AY62:BF62"/>
    <mergeCell ref="BG62:BN62"/>
    <mergeCell ref="B57:N57"/>
    <mergeCell ref="O57:V57"/>
    <mergeCell ref="W57:AF57"/>
    <mergeCell ref="AG57:AP57"/>
    <mergeCell ref="AQ57:AX57"/>
    <mergeCell ref="AY57:BF57"/>
    <mergeCell ref="BG57:BN57"/>
    <mergeCell ref="B58:N58"/>
    <mergeCell ref="O58:V58"/>
    <mergeCell ref="W58:AF58"/>
    <mergeCell ref="AG58:AP58"/>
    <mergeCell ref="AQ58:AX58"/>
    <mergeCell ref="AY58:BF58"/>
    <mergeCell ref="BG58:BN58"/>
    <mergeCell ref="B59:N59"/>
    <mergeCell ref="O59:V59"/>
    <mergeCell ref="W59:AF59"/>
    <mergeCell ref="AG59:AP59"/>
    <mergeCell ref="AQ59:AX59"/>
    <mergeCell ref="AY59:BF59"/>
    <mergeCell ref="BG59:BN59"/>
    <mergeCell ref="B54:N54"/>
    <mergeCell ref="O54:V54"/>
    <mergeCell ref="W54:AF54"/>
    <mergeCell ref="AG54:AP54"/>
    <mergeCell ref="AQ54:AX54"/>
    <mergeCell ref="AY54:BF54"/>
    <mergeCell ref="BG54:BN54"/>
    <mergeCell ref="B55:N55"/>
    <mergeCell ref="O55:V55"/>
    <mergeCell ref="W55:AF55"/>
    <mergeCell ref="AG55:AP55"/>
    <mergeCell ref="AQ55:AX55"/>
    <mergeCell ref="AY55:BF55"/>
    <mergeCell ref="BG55:BN55"/>
    <mergeCell ref="B56:N56"/>
    <mergeCell ref="O56:V56"/>
    <mergeCell ref="W56:AF56"/>
    <mergeCell ref="AG56:AP56"/>
    <mergeCell ref="AQ56:AX56"/>
    <mergeCell ref="AY56:BF56"/>
    <mergeCell ref="BG56:BN56"/>
    <mergeCell ref="B51:N51"/>
    <mergeCell ref="O51:V51"/>
    <mergeCell ref="W51:AF51"/>
    <mergeCell ref="AG51:AP51"/>
    <mergeCell ref="AQ51:AX51"/>
    <mergeCell ref="AY51:BF51"/>
    <mergeCell ref="BG51:BN51"/>
    <mergeCell ref="B52:N52"/>
    <mergeCell ref="O52:V52"/>
    <mergeCell ref="W52:AF52"/>
    <mergeCell ref="AG52:AP52"/>
    <mergeCell ref="AQ52:AX52"/>
    <mergeCell ref="AY52:BF52"/>
    <mergeCell ref="BG52:BN52"/>
    <mergeCell ref="B53:N53"/>
    <mergeCell ref="O53:V53"/>
    <mergeCell ref="W53:AF53"/>
    <mergeCell ref="AG53:AP53"/>
    <mergeCell ref="AQ53:AX53"/>
    <mergeCell ref="AY53:BF53"/>
    <mergeCell ref="BG53:BN53"/>
    <mergeCell ref="B48:N48"/>
    <mergeCell ref="O48:V48"/>
    <mergeCell ref="W48:AF48"/>
    <mergeCell ref="AG48:AP48"/>
    <mergeCell ref="AQ48:AX48"/>
    <mergeCell ref="AY48:BF48"/>
    <mergeCell ref="BG48:BN48"/>
    <mergeCell ref="B49:N49"/>
    <mergeCell ref="O49:V49"/>
    <mergeCell ref="W49:AF49"/>
    <mergeCell ref="AG49:AP49"/>
    <mergeCell ref="AQ49:AX49"/>
    <mergeCell ref="AY49:BF49"/>
    <mergeCell ref="BG49:BN49"/>
    <mergeCell ref="B50:N50"/>
    <mergeCell ref="O50:V50"/>
    <mergeCell ref="W50:AF50"/>
    <mergeCell ref="AG50:AP50"/>
    <mergeCell ref="AQ50:AX50"/>
    <mergeCell ref="AY50:BF50"/>
    <mergeCell ref="BG50:BN50"/>
    <mergeCell ref="B45:N45"/>
    <mergeCell ref="O45:V45"/>
    <mergeCell ref="W45:AF45"/>
    <mergeCell ref="AG45:AP45"/>
    <mergeCell ref="AQ45:AX45"/>
    <mergeCell ref="AY45:BF45"/>
    <mergeCell ref="BG45:BN45"/>
    <mergeCell ref="B46:N46"/>
    <mergeCell ref="O46:V46"/>
    <mergeCell ref="W46:AF46"/>
    <mergeCell ref="AG46:AP46"/>
    <mergeCell ref="AQ46:AX46"/>
    <mergeCell ref="AY46:BF46"/>
    <mergeCell ref="BG46:BN46"/>
    <mergeCell ref="B47:N47"/>
    <mergeCell ref="O47:V47"/>
    <mergeCell ref="W47:AF47"/>
    <mergeCell ref="AG47:AP47"/>
    <mergeCell ref="AQ47:AX47"/>
    <mergeCell ref="AY47:BF47"/>
    <mergeCell ref="BG47:BN47"/>
    <mergeCell ref="B42:N42"/>
    <mergeCell ref="O42:V42"/>
    <mergeCell ref="W42:AF42"/>
    <mergeCell ref="AG42:AP42"/>
    <mergeCell ref="AQ42:AX42"/>
    <mergeCell ref="AY42:BF42"/>
    <mergeCell ref="BG42:BN42"/>
    <mergeCell ref="B43:N43"/>
    <mergeCell ref="O43:V43"/>
    <mergeCell ref="W43:AF43"/>
    <mergeCell ref="AG43:AP43"/>
    <mergeCell ref="AQ43:AX43"/>
    <mergeCell ref="AY43:BF43"/>
    <mergeCell ref="BG43:BN43"/>
    <mergeCell ref="B44:N44"/>
    <mergeCell ref="O44:V44"/>
    <mergeCell ref="W44:AF44"/>
    <mergeCell ref="AG44:AP44"/>
    <mergeCell ref="AQ44:AX44"/>
    <mergeCell ref="AY44:BF44"/>
    <mergeCell ref="BG44:BN44"/>
    <mergeCell ref="B39:N39"/>
    <mergeCell ref="O39:V39"/>
    <mergeCell ref="W39:AF39"/>
    <mergeCell ref="AG39:AP39"/>
    <mergeCell ref="AQ39:AX39"/>
    <mergeCell ref="AY39:BF39"/>
    <mergeCell ref="BG39:BN39"/>
    <mergeCell ref="B40:N40"/>
    <mergeCell ref="O40:V40"/>
    <mergeCell ref="W40:AF40"/>
    <mergeCell ref="AG40:AP40"/>
    <mergeCell ref="AQ40:AX40"/>
    <mergeCell ref="AY40:BF40"/>
    <mergeCell ref="BG40:BN40"/>
    <mergeCell ref="B41:N41"/>
    <mergeCell ref="O41:V41"/>
    <mergeCell ref="W41:AF41"/>
    <mergeCell ref="AG41:AP41"/>
    <mergeCell ref="AQ41:AX41"/>
    <mergeCell ref="AY41:BF41"/>
    <mergeCell ref="BG41:BN41"/>
    <mergeCell ref="B36:N36"/>
    <mergeCell ref="AG36:AP36"/>
    <mergeCell ref="W36:AF36"/>
    <mergeCell ref="O36:V36"/>
    <mergeCell ref="BG36:BN36"/>
    <mergeCell ref="AY36:BF36"/>
    <mergeCell ref="AQ36:AX36"/>
    <mergeCell ref="B37:N37"/>
    <mergeCell ref="O37:V37"/>
    <mergeCell ref="W37:AF37"/>
    <mergeCell ref="AG37:AP37"/>
    <mergeCell ref="AQ37:AX37"/>
    <mergeCell ref="AY37:BF37"/>
    <mergeCell ref="BG37:BN37"/>
    <mergeCell ref="B38:N38"/>
    <mergeCell ref="O38:V38"/>
    <mergeCell ref="W38:AF38"/>
    <mergeCell ref="AG38:AP38"/>
    <mergeCell ref="AQ38:AX38"/>
    <mergeCell ref="AY38:BF38"/>
    <mergeCell ref="BG38:BN38"/>
    <mergeCell ref="B5:AL6"/>
    <mergeCell ref="AW12:BN12"/>
    <mergeCell ref="AW13:BN13"/>
    <mergeCell ref="AW17:BN17"/>
    <mergeCell ref="AW18:BN18"/>
    <mergeCell ref="AW19:BN19"/>
    <mergeCell ref="AW22:BN22"/>
    <mergeCell ref="AW23:BN23"/>
    <mergeCell ref="AW26:BE26"/>
    <mergeCell ref="BF26:BN26"/>
    <mergeCell ref="AW27:BE27"/>
    <mergeCell ref="BF27:BN27"/>
    <mergeCell ref="AW28:BE28"/>
    <mergeCell ref="BF28:BN28"/>
    <mergeCell ref="AW25:BE25"/>
    <mergeCell ref="BF25:BN25"/>
    <mergeCell ref="B35:N35"/>
    <mergeCell ref="AG35:AP35"/>
    <mergeCell ref="W35:AF35"/>
    <mergeCell ref="O35:V35"/>
    <mergeCell ref="BG35:BN35"/>
    <mergeCell ref="AY35:BF35"/>
    <mergeCell ref="AQ35:AX35"/>
    <mergeCell ref="B354:E355"/>
    <mergeCell ref="F354:I355"/>
    <mergeCell ref="J354:Y354"/>
    <mergeCell ref="Z354:AO354"/>
    <mergeCell ref="AP354:BE354"/>
    <mergeCell ref="BF354:BU354"/>
    <mergeCell ref="J355:Q355"/>
    <mergeCell ref="R355:Y355"/>
    <mergeCell ref="Z355:AG355"/>
    <mergeCell ref="AH355:AO355"/>
    <mergeCell ref="AP355:AW355"/>
    <mergeCell ref="AX355:BE355"/>
    <mergeCell ref="BF355:BM355"/>
    <mergeCell ref="BN355:BU355"/>
    <mergeCell ref="B353:BU353"/>
    <mergeCell ref="B356:E356"/>
    <mergeCell ref="F356:I356"/>
    <mergeCell ref="J356:Q356"/>
    <mergeCell ref="R356:Y356"/>
    <mergeCell ref="Z356:AG356"/>
    <mergeCell ref="AH356:AO356"/>
    <mergeCell ref="AP356:AW356"/>
    <mergeCell ref="AX356:BE356"/>
    <mergeCell ref="BF356:BM356"/>
    <mergeCell ref="BN356:BU356"/>
    <mergeCell ref="B357:E357"/>
    <mergeCell ref="F357:I357"/>
    <mergeCell ref="J357:Q357"/>
    <mergeCell ref="R357:Y357"/>
    <mergeCell ref="Z357:AG357"/>
    <mergeCell ref="AH357:AO357"/>
    <mergeCell ref="AP357:AW357"/>
    <mergeCell ref="AX357:BE357"/>
    <mergeCell ref="BF357:BM357"/>
    <mergeCell ref="BN357:BU357"/>
    <mergeCell ref="B358:E358"/>
    <mergeCell ref="F358:I358"/>
    <mergeCell ref="J358:Q358"/>
    <mergeCell ref="R358:Y358"/>
    <mergeCell ref="Z358:AG358"/>
    <mergeCell ref="AH358:AO358"/>
    <mergeCell ref="AP358:AW358"/>
    <mergeCell ref="AX358:BE358"/>
    <mergeCell ref="BF358:BM358"/>
    <mergeCell ref="BN358:BU358"/>
    <mergeCell ref="B359:E359"/>
    <mergeCell ref="F359:I359"/>
    <mergeCell ref="J359:Q359"/>
    <mergeCell ref="R359:Y359"/>
    <mergeCell ref="Z359:AG359"/>
    <mergeCell ref="AH359:AO359"/>
    <mergeCell ref="AP359:AW359"/>
    <mergeCell ref="AX359:BE359"/>
    <mergeCell ref="BF359:BM359"/>
    <mergeCell ref="BN359:BU359"/>
    <mergeCell ref="B360:E360"/>
    <mergeCell ref="F360:I360"/>
    <mergeCell ref="J360:Q360"/>
    <mergeCell ref="R360:Y360"/>
    <mergeCell ref="Z360:AG360"/>
    <mergeCell ref="AH360:AO360"/>
    <mergeCell ref="AP360:AW360"/>
    <mergeCell ref="AX360:BE360"/>
    <mergeCell ref="BF360:BM360"/>
    <mergeCell ref="BN360:BU360"/>
    <mergeCell ref="B361:E361"/>
    <mergeCell ref="F361:I361"/>
    <mergeCell ref="J361:Q361"/>
    <mergeCell ref="R361:Y361"/>
    <mergeCell ref="Z361:AG361"/>
    <mergeCell ref="AH361:AO361"/>
    <mergeCell ref="AP361:AW361"/>
    <mergeCell ref="AX361:BE361"/>
    <mergeCell ref="BF361:BM361"/>
    <mergeCell ref="BN361:BU361"/>
    <mergeCell ref="B362:E362"/>
    <mergeCell ref="F362:I362"/>
    <mergeCell ref="J362:Q362"/>
    <mergeCell ref="R362:Y362"/>
    <mergeCell ref="Z362:AG362"/>
    <mergeCell ref="AH362:AO362"/>
    <mergeCell ref="AP362:AW362"/>
    <mergeCell ref="AX362:BE362"/>
    <mergeCell ref="BF362:BM362"/>
    <mergeCell ref="BN362:BU362"/>
    <mergeCell ref="B363:E363"/>
    <mergeCell ref="F363:I363"/>
    <mergeCell ref="J363:Q363"/>
    <mergeCell ref="R363:Y363"/>
    <mergeCell ref="Z363:AG363"/>
    <mergeCell ref="AH363:AO363"/>
    <mergeCell ref="AP363:AW363"/>
    <mergeCell ref="AX363:BE363"/>
    <mergeCell ref="BF363:BM363"/>
    <mergeCell ref="BN363:BU363"/>
    <mergeCell ref="B364:E364"/>
    <mergeCell ref="F364:I364"/>
    <mergeCell ref="J364:Q364"/>
    <mergeCell ref="R364:Y364"/>
    <mergeCell ref="Z364:AG364"/>
    <mergeCell ref="AH364:AO364"/>
    <mergeCell ref="AP364:AW364"/>
    <mergeCell ref="AX364:BE364"/>
    <mergeCell ref="BF364:BM364"/>
    <mergeCell ref="BN364:BU364"/>
    <mergeCell ref="B365:E365"/>
    <mergeCell ref="F365:I365"/>
    <mergeCell ref="J365:Q365"/>
    <mergeCell ref="R365:Y365"/>
    <mergeCell ref="Z365:AG365"/>
    <mergeCell ref="AH365:AO365"/>
    <mergeCell ref="AP365:AW365"/>
    <mergeCell ref="AX365:BE365"/>
    <mergeCell ref="BF365:BM365"/>
    <mergeCell ref="BN365:BU365"/>
    <mergeCell ref="B366:E366"/>
    <mergeCell ref="F366:I366"/>
    <mergeCell ref="J366:Q366"/>
    <mergeCell ref="R366:Y366"/>
    <mergeCell ref="Z366:AG366"/>
    <mergeCell ref="AH366:AO366"/>
    <mergeCell ref="AP366:AW366"/>
    <mergeCell ref="AX366:BE366"/>
    <mergeCell ref="BF366:BM366"/>
    <mergeCell ref="BN366:BU366"/>
    <mergeCell ref="B367:E367"/>
    <mergeCell ref="F367:I367"/>
    <mergeCell ref="J367:Q367"/>
    <mergeCell ref="R367:Y367"/>
    <mergeCell ref="Z367:AG367"/>
    <mergeCell ref="AH367:AO367"/>
    <mergeCell ref="AP367:AW367"/>
    <mergeCell ref="AX367:BE367"/>
    <mergeCell ref="BF367:BM367"/>
    <mergeCell ref="BN367:BU367"/>
    <mergeCell ref="B368:E368"/>
    <mergeCell ref="F368:I368"/>
    <mergeCell ref="J368:Q368"/>
    <mergeCell ref="R368:Y368"/>
    <mergeCell ref="Z368:AG368"/>
    <mergeCell ref="AH368:AO368"/>
    <mergeCell ref="AP368:AW368"/>
    <mergeCell ref="AX368:BE368"/>
    <mergeCell ref="BF368:BM368"/>
    <mergeCell ref="BN368:BU368"/>
    <mergeCell ref="B369:E369"/>
    <mergeCell ref="F369:I369"/>
    <mergeCell ref="J369:Q369"/>
    <mergeCell ref="R369:Y369"/>
    <mergeCell ref="Z369:AG369"/>
    <mergeCell ref="AH369:AO369"/>
    <mergeCell ref="AP369:AW369"/>
    <mergeCell ref="AX369:BE369"/>
    <mergeCell ref="BF369:BM369"/>
    <mergeCell ref="BN369:BU369"/>
    <mergeCell ref="B370:E370"/>
    <mergeCell ref="F370:I370"/>
    <mergeCell ref="J370:Q370"/>
    <mergeCell ref="R370:Y370"/>
    <mergeCell ref="Z370:AG370"/>
    <mergeCell ref="AH370:AO370"/>
    <mergeCell ref="AP370:AW370"/>
    <mergeCell ref="AX370:BE370"/>
    <mergeCell ref="BF370:BM370"/>
    <mergeCell ref="BN370:BU370"/>
    <mergeCell ref="B371:E371"/>
    <mergeCell ref="F371:I371"/>
    <mergeCell ref="J371:Q371"/>
    <mergeCell ref="R371:Y371"/>
    <mergeCell ref="Z371:AG371"/>
    <mergeCell ref="AH371:AO371"/>
    <mergeCell ref="AP371:AW371"/>
    <mergeCell ref="AX371:BE371"/>
    <mergeCell ref="BF371:BM371"/>
    <mergeCell ref="BN371:BU371"/>
    <mergeCell ref="B372:E372"/>
    <mergeCell ref="F372:I372"/>
    <mergeCell ref="J372:Q372"/>
    <mergeCell ref="R372:Y372"/>
    <mergeCell ref="Z372:AG372"/>
    <mergeCell ref="AH372:AO372"/>
    <mergeCell ref="AP372:AW372"/>
    <mergeCell ref="AX372:BE372"/>
    <mergeCell ref="BF372:BM372"/>
    <mergeCell ref="BN372:BU372"/>
    <mergeCell ref="B373:E373"/>
    <mergeCell ref="F373:I373"/>
    <mergeCell ref="J373:Q373"/>
    <mergeCell ref="R373:Y373"/>
    <mergeCell ref="Z373:AG373"/>
    <mergeCell ref="AH373:AO373"/>
    <mergeCell ref="AP373:AW373"/>
    <mergeCell ref="AX373:BE373"/>
    <mergeCell ref="BF373:BM373"/>
    <mergeCell ref="BN373:BU373"/>
    <mergeCell ref="B374:E374"/>
    <mergeCell ref="F374:I374"/>
    <mergeCell ref="J374:Q374"/>
    <mergeCell ref="R374:Y374"/>
    <mergeCell ref="Z374:AG374"/>
    <mergeCell ref="AH374:AO374"/>
    <mergeCell ref="AP374:AW374"/>
    <mergeCell ref="AX374:BE374"/>
    <mergeCell ref="BF374:BM374"/>
    <mergeCell ref="BN374:BU374"/>
    <mergeCell ref="B375:E375"/>
    <mergeCell ref="F375:I375"/>
    <mergeCell ref="J375:Q375"/>
    <mergeCell ref="R375:Y375"/>
    <mergeCell ref="Z375:AG375"/>
    <mergeCell ref="AH375:AO375"/>
    <mergeCell ref="AP375:AW375"/>
    <mergeCell ref="AX375:BE375"/>
    <mergeCell ref="BF375:BM375"/>
    <mergeCell ref="BN375:BU375"/>
    <mergeCell ref="B376:E376"/>
    <mergeCell ref="F376:I376"/>
    <mergeCell ref="J376:Q376"/>
    <mergeCell ref="R376:Y376"/>
    <mergeCell ref="Z376:AG376"/>
    <mergeCell ref="AH376:AO376"/>
    <mergeCell ref="AP376:AW376"/>
    <mergeCell ref="AX376:BE376"/>
    <mergeCell ref="BF376:BM376"/>
    <mergeCell ref="BN376:BU376"/>
    <mergeCell ref="B377:E377"/>
    <mergeCell ref="F377:I377"/>
    <mergeCell ref="J377:Q377"/>
    <mergeCell ref="R377:Y377"/>
    <mergeCell ref="Z377:AG377"/>
    <mergeCell ref="AH377:AO377"/>
    <mergeCell ref="AP377:AW377"/>
    <mergeCell ref="AX377:BE377"/>
    <mergeCell ref="BF377:BM377"/>
    <mergeCell ref="BN377:BU377"/>
    <mergeCell ref="B378:E378"/>
    <mergeCell ref="F378:I378"/>
    <mergeCell ref="J378:Q378"/>
    <mergeCell ref="R378:Y378"/>
    <mergeCell ref="Z378:AG378"/>
    <mergeCell ref="AH378:AO378"/>
    <mergeCell ref="AP378:AW378"/>
    <mergeCell ref="AX378:BE378"/>
    <mergeCell ref="BF378:BM378"/>
    <mergeCell ref="BN378:BU378"/>
    <mergeCell ref="B379:E379"/>
    <mergeCell ref="F379:I379"/>
    <mergeCell ref="J379:Q379"/>
    <mergeCell ref="R379:Y379"/>
    <mergeCell ref="Z379:AG379"/>
    <mergeCell ref="AH379:AO379"/>
    <mergeCell ref="AP379:AW379"/>
    <mergeCell ref="AX379:BE379"/>
    <mergeCell ref="BF379:BM379"/>
    <mergeCell ref="BN379:BU379"/>
    <mergeCell ref="B380:E380"/>
    <mergeCell ref="F380:I380"/>
    <mergeCell ref="J380:Q380"/>
    <mergeCell ref="R380:Y380"/>
    <mergeCell ref="Z380:AG380"/>
    <mergeCell ref="AH380:AO380"/>
    <mergeCell ref="AP380:AW380"/>
    <mergeCell ref="AX380:BE380"/>
    <mergeCell ref="BF380:BM380"/>
    <mergeCell ref="BN380:BU380"/>
    <mergeCell ref="B381:E381"/>
    <mergeCell ref="F381:I381"/>
    <mergeCell ref="J381:Q381"/>
    <mergeCell ref="R381:Y381"/>
    <mergeCell ref="Z381:AG381"/>
    <mergeCell ref="AH381:AO381"/>
    <mergeCell ref="AP381:AW381"/>
    <mergeCell ref="AX381:BE381"/>
    <mergeCell ref="BF381:BM381"/>
    <mergeCell ref="BN381:BU381"/>
    <mergeCell ref="B382:E382"/>
    <mergeCell ref="F382:I382"/>
    <mergeCell ref="J382:Q382"/>
    <mergeCell ref="R382:Y382"/>
    <mergeCell ref="Z382:AG382"/>
    <mergeCell ref="AH382:AO382"/>
    <mergeCell ref="AP382:AW382"/>
    <mergeCell ref="AX382:BE382"/>
    <mergeCell ref="BF382:BM382"/>
    <mergeCell ref="BN382:BU382"/>
    <mergeCell ref="B383:E383"/>
    <mergeCell ref="F383:I383"/>
    <mergeCell ref="J383:Q383"/>
    <mergeCell ref="R383:Y383"/>
    <mergeCell ref="Z383:AG383"/>
    <mergeCell ref="AH383:AO383"/>
    <mergeCell ref="AP383:AW383"/>
    <mergeCell ref="AX383:BE383"/>
    <mergeCell ref="BF383:BM383"/>
    <mergeCell ref="BN383:BU383"/>
    <mergeCell ref="B384:E384"/>
    <mergeCell ref="F384:I384"/>
    <mergeCell ref="J384:Q384"/>
    <mergeCell ref="R384:Y384"/>
    <mergeCell ref="Z384:AG384"/>
    <mergeCell ref="AH384:AO384"/>
    <mergeCell ref="AP384:AW384"/>
    <mergeCell ref="AX384:BE384"/>
    <mergeCell ref="BF384:BM384"/>
    <mergeCell ref="BN384:BU384"/>
    <mergeCell ref="B385:E385"/>
    <mergeCell ref="F385:I385"/>
    <mergeCell ref="J385:Q385"/>
    <mergeCell ref="R385:Y385"/>
    <mergeCell ref="Z385:AG385"/>
    <mergeCell ref="AH385:AO385"/>
    <mergeCell ref="AP385:AW385"/>
    <mergeCell ref="AX385:BE385"/>
    <mergeCell ref="BF385:BM385"/>
    <mergeCell ref="BN385:BU385"/>
    <mergeCell ref="B386:E386"/>
    <mergeCell ref="F386:I386"/>
    <mergeCell ref="J386:Q386"/>
    <mergeCell ref="R386:Y386"/>
    <mergeCell ref="Z386:AG386"/>
    <mergeCell ref="AH386:AO386"/>
    <mergeCell ref="AP386:AW386"/>
    <mergeCell ref="AX386:BE386"/>
    <mergeCell ref="BF386:BM386"/>
    <mergeCell ref="BN386:BU386"/>
    <mergeCell ref="B387:E387"/>
    <mergeCell ref="F387:I387"/>
    <mergeCell ref="J387:Q387"/>
    <mergeCell ref="R387:Y387"/>
    <mergeCell ref="Z387:AG387"/>
    <mergeCell ref="AH387:AO387"/>
    <mergeCell ref="AP387:AW387"/>
    <mergeCell ref="AX387:BE387"/>
    <mergeCell ref="BF387:BM387"/>
    <mergeCell ref="BN387:BU387"/>
    <mergeCell ref="B388:E388"/>
    <mergeCell ref="F388:I388"/>
    <mergeCell ref="J388:Q388"/>
    <mergeCell ref="R388:Y388"/>
    <mergeCell ref="Z388:AG388"/>
    <mergeCell ref="AH388:AO388"/>
    <mergeCell ref="AP388:AW388"/>
    <mergeCell ref="AX388:BE388"/>
    <mergeCell ref="BF388:BM388"/>
    <mergeCell ref="BN388:BU388"/>
    <mergeCell ref="B389:E389"/>
    <mergeCell ref="F389:I389"/>
    <mergeCell ref="J389:Q389"/>
    <mergeCell ref="R389:Y389"/>
    <mergeCell ref="Z389:AG389"/>
    <mergeCell ref="AH389:AO389"/>
    <mergeCell ref="AP389:AW389"/>
    <mergeCell ref="AX389:BE389"/>
    <mergeCell ref="BF389:BM389"/>
    <mergeCell ref="BN389:BU389"/>
    <mergeCell ref="B390:E390"/>
    <mergeCell ref="F390:I390"/>
    <mergeCell ref="J390:Q390"/>
    <mergeCell ref="R390:Y390"/>
    <mergeCell ref="Z390:AG390"/>
    <mergeCell ref="AH390:AO390"/>
    <mergeCell ref="AP390:AW390"/>
    <mergeCell ref="AX390:BE390"/>
    <mergeCell ref="BF390:BM390"/>
    <mergeCell ref="BN390:BU390"/>
    <mergeCell ref="B391:E391"/>
    <mergeCell ref="F391:I391"/>
    <mergeCell ref="J391:Q391"/>
    <mergeCell ref="R391:Y391"/>
    <mergeCell ref="Z391:AG391"/>
    <mergeCell ref="AH391:AO391"/>
    <mergeCell ref="AP391:AW391"/>
    <mergeCell ref="AX391:BE391"/>
    <mergeCell ref="BF391:BM391"/>
    <mergeCell ref="BN391:BU391"/>
    <mergeCell ref="B392:E392"/>
    <mergeCell ref="F392:I392"/>
    <mergeCell ref="J392:Q392"/>
    <mergeCell ref="R392:Y392"/>
    <mergeCell ref="Z392:AG392"/>
    <mergeCell ref="AH392:AO392"/>
    <mergeCell ref="AP392:AW392"/>
    <mergeCell ref="AX392:BE392"/>
    <mergeCell ref="BF392:BM392"/>
    <mergeCell ref="BN392:BU392"/>
    <mergeCell ref="B393:E393"/>
    <mergeCell ref="F393:I393"/>
    <mergeCell ref="J393:Q393"/>
    <mergeCell ref="R393:Y393"/>
    <mergeCell ref="Z393:AG393"/>
    <mergeCell ref="AH393:AO393"/>
    <mergeCell ref="AP393:AW393"/>
    <mergeCell ref="AX393:BE393"/>
    <mergeCell ref="BF393:BM393"/>
    <mergeCell ref="BN393:BU393"/>
    <mergeCell ref="B394:E394"/>
    <mergeCell ref="F394:I394"/>
    <mergeCell ref="J394:Q394"/>
    <mergeCell ref="R394:Y394"/>
    <mergeCell ref="Z394:AG394"/>
    <mergeCell ref="AH394:AO394"/>
    <mergeCell ref="AP394:AW394"/>
    <mergeCell ref="AX394:BE394"/>
    <mergeCell ref="BF394:BM394"/>
    <mergeCell ref="BN394:BU394"/>
    <mergeCell ref="B395:E395"/>
    <mergeCell ref="F395:I395"/>
    <mergeCell ref="J395:Q395"/>
    <mergeCell ref="R395:Y395"/>
    <mergeCell ref="Z395:AG395"/>
    <mergeCell ref="AH395:AO395"/>
    <mergeCell ref="AP395:AW395"/>
    <mergeCell ref="AX395:BE395"/>
    <mergeCell ref="BF395:BM395"/>
    <mergeCell ref="BN395:BU395"/>
    <mergeCell ref="B396:E396"/>
    <mergeCell ref="F396:I396"/>
    <mergeCell ref="J396:Q396"/>
    <mergeCell ref="R396:Y396"/>
    <mergeCell ref="Z396:AG396"/>
    <mergeCell ref="AH396:AO396"/>
    <mergeCell ref="AP396:AW396"/>
    <mergeCell ref="AX396:BE396"/>
    <mergeCell ref="BF396:BM396"/>
    <mergeCell ref="BN396:BU396"/>
    <mergeCell ref="B397:E397"/>
    <mergeCell ref="F397:I397"/>
    <mergeCell ref="J397:Q397"/>
    <mergeCell ref="R397:Y397"/>
    <mergeCell ref="Z397:AG397"/>
    <mergeCell ref="AH397:AO397"/>
    <mergeCell ref="AP397:AW397"/>
    <mergeCell ref="AX397:BE397"/>
    <mergeCell ref="BF397:BM397"/>
    <mergeCell ref="BN397:BU397"/>
    <mergeCell ref="B398:E398"/>
    <mergeCell ref="F398:I398"/>
    <mergeCell ref="J398:Q398"/>
    <mergeCell ref="R398:Y398"/>
    <mergeCell ref="Z398:AG398"/>
    <mergeCell ref="AH398:AO398"/>
    <mergeCell ref="AP398:AW398"/>
    <mergeCell ref="AX398:BE398"/>
    <mergeCell ref="BF398:BM398"/>
    <mergeCell ref="BN398:BU398"/>
    <mergeCell ref="B399:E399"/>
    <mergeCell ref="F399:I399"/>
    <mergeCell ref="J399:Q399"/>
    <mergeCell ref="R399:Y399"/>
    <mergeCell ref="Z399:AG399"/>
    <mergeCell ref="AH399:AO399"/>
    <mergeCell ref="AP399:AW399"/>
    <mergeCell ref="AX399:BE399"/>
    <mergeCell ref="BF399:BM399"/>
    <mergeCell ref="BN399:BU399"/>
    <mergeCell ref="B400:E400"/>
    <mergeCell ref="F400:I400"/>
    <mergeCell ref="J400:Q400"/>
    <mergeCell ref="R400:Y400"/>
    <mergeCell ref="Z400:AG400"/>
    <mergeCell ref="AH400:AO400"/>
    <mergeCell ref="AP400:AW400"/>
    <mergeCell ref="AX400:BE400"/>
    <mergeCell ref="BF400:BM400"/>
    <mergeCell ref="BN400:BU400"/>
    <mergeCell ref="B401:E401"/>
    <mergeCell ref="F401:I401"/>
    <mergeCell ref="J401:Q401"/>
    <mergeCell ref="R401:Y401"/>
    <mergeCell ref="Z401:AG401"/>
    <mergeCell ref="AH401:AO401"/>
    <mergeCell ref="AP401:AW401"/>
    <mergeCell ref="AX401:BE401"/>
    <mergeCell ref="BF401:BM401"/>
    <mergeCell ref="BN401:BU401"/>
    <mergeCell ref="B402:E402"/>
    <mergeCell ref="F402:I402"/>
    <mergeCell ref="J402:Q402"/>
    <mergeCell ref="R402:Y402"/>
    <mergeCell ref="Z402:AG402"/>
    <mergeCell ref="AH402:AO402"/>
    <mergeCell ref="AP402:AW402"/>
    <mergeCell ref="AX402:BE402"/>
    <mergeCell ref="BF402:BM402"/>
    <mergeCell ref="BN402:BU402"/>
    <mergeCell ref="B403:E403"/>
    <mergeCell ref="F403:I403"/>
    <mergeCell ref="J403:Q403"/>
    <mergeCell ref="R403:Y403"/>
    <mergeCell ref="Z403:AG403"/>
    <mergeCell ref="AH403:AO403"/>
    <mergeCell ref="AP403:AW403"/>
    <mergeCell ref="AX403:BE403"/>
    <mergeCell ref="BF403:BM403"/>
    <mergeCell ref="BN403:BU403"/>
    <mergeCell ref="B404:E404"/>
    <mergeCell ref="F404:I404"/>
    <mergeCell ref="J404:Q404"/>
    <mergeCell ref="R404:Y404"/>
    <mergeCell ref="Z404:AG404"/>
    <mergeCell ref="AH404:AO404"/>
    <mergeCell ref="AP404:AW404"/>
    <mergeCell ref="AX404:BE404"/>
    <mergeCell ref="BF404:BM404"/>
    <mergeCell ref="BN404:BU404"/>
    <mergeCell ref="B405:E405"/>
    <mergeCell ref="F405:I405"/>
    <mergeCell ref="J405:Q405"/>
    <mergeCell ref="R405:Y405"/>
    <mergeCell ref="Z405:AG405"/>
    <mergeCell ref="AH405:AO405"/>
    <mergeCell ref="AP405:AW405"/>
    <mergeCell ref="AX405:BE405"/>
    <mergeCell ref="BF405:BM405"/>
    <mergeCell ref="BN405:BU405"/>
    <mergeCell ref="B406:E406"/>
    <mergeCell ref="F406:I406"/>
    <mergeCell ref="J406:Q406"/>
    <mergeCell ref="R406:Y406"/>
    <mergeCell ref="Z406:AG406"/>
    <mergeCell ref="AH406:AO406"/>
    <mergeCell ref="AP406:AW406"/>
    <mergeCell ref="AX406:BE406"/>
    <mergeCell ref="BF406:BM406"/>
    <mergeCell ref="BN406:BU406"/>
    <mergeCell ref="B407:E407"/>
    <mergeCell ref="F407:I407"/>
    <mergeCell ref="J407:Q407"/>
    <mergeCell ref="R407:Y407"/>
    <mergeCell ref="Z407:AG407"/>
    <mergeCell ref="AH407:AO407"/>
    <mergeCell ref="AP407:AW407"/>
    <mergeCell ref="AX407:BE407"/>
    <mergeCell ref="BF407:BM407"/>
    <mergeCell ref="BN407:BU407"/>
    <mergeCell ref="B408:E408"/>
    <mergeCell ref="F408:I408"/>
    <mergeCell ref="J408:Q408"/>
    <mergeCell ref="R408:Y408"/>
    <mergeCell ref="Z408:AG408"/>
    <mergeCell ref="AH408:AO408"/>
    <mergeCell ref="AP408:AW408"/>
    <mergeCell ref="AX408:BE408"/>
    <mergeCell ref="BF408:BM408"/>
    <mergeCell ref="BN408:BU408"/>
    <mergeCell ref="B409:E409"/>
    <mergeCell ref="F409:I409"/>
    <mergeCell ref="J409:Q409"/>
    <mergeCell ref="R409:Y409"/>
    <mergeCell ref="Z409:AG409"/>
    <mergeCell ref="AH409:AO409"/>
    <mergeCell ref="AP409:AW409"/>
    <mergeCell ref="AX409:BE409"/>
    <mergeCell ref="BF409:BM409"/>
    <mergeCell ref="BN409:BU409"/>
    <mergeCell ref="B410:E410"/>
    <mergeCell ref="F410:I410"/>
    <mergeCell ref="J410:Q410"/>
    <mergeCell ref="R410:Y410"/>
    <mergeCell ref="Z410:AG410"/>
    <mergeCell ref="AH410:AO410"/>
    <mergeCell ref="AP410:AW410"/>
    <mergeCell ref="AX410:BE410"/>
    <mergeCell ref="BF410:BM410"/>
    <mergeCell ref="BN410:BU410"/>
    <mergeCell ref="B411:E411"/>
    <mergeCell ref="F411:I411"/>
    <mergeCell ref="J411:Q411"/>
    <mergeCell ref="R411:Y411"/>
    <mergeCell ref="Z411:AG411"/>
    <mergeCell ref="AH411:AO411"/>
    <mergeCell ref="AP411:AW411"/>
    <mergeCell ref="AX411:BE411"/>
    <mergeCell ref="BF411:BM411"/>
    <mergeCell ref="BN411:BU411"/>
    <mergeCell ref="B412:E412"/>
    <mergeCell ref="F412:I412"/>
    <mergeCell ref="J412:Q412"/>
    <mergeCell ref="R412:Y412"/>
    <mergeCell ref="Z412:AG412"/>
    <mergeCell ref="AH412:AO412"/>
    <mergeCell ref="AP412:AW412"/>
    <mergeCell ref="AX412:BE412"/>
    <mergeCell ref="BF412:BM412"/>
    <mergeCell ref="BN412:BU412"/>
    <mergeCell ref="B413:E413"/>
    <mergeCell ref="F413:I413"/>
    <mergeCell ref="J413:Q413"/>
    <mergeCell ref="R413:Y413"/>
    <mergeCell ref="Z413:AG413"/>
    <mergeCell ref="AH413:AO413"/>
    <mergeCell ref="AP413:AW413"/>
    <mergeCell ref="AX413:BE413"/>
    <mergeCell ref="BF413:BM413"/>
    <mergeCell ref="BN413:BU413"/>
    <mergeCell ref="B414:E414"/>
    <mergeCell ref="F414:I414"/>
    <mergeCell ref="J414:Q414"/>
    <mergeCell ref="R414:Y414"/>
    <mergeCell ref="Z414:AG414"/>
    <mergeCell ref="AH414:AO414"/>
    <mergeCell ref="AP414:AW414"/>
    <mergeCell ref="AX414:BE414"/>
    <mergeCell ref="BF414:BM414"/>
    <mergeCell ref="BN414:BU414"/>
    <mergeCell ref="B415:E415"/>
    <mergeCell ref="F415:I415"/>
    <mergeCell ref="J415:Q415"/>
    <mergeCell ref="R415:Y415"/>
    <mergeCell ref="Z415:AG415"/>
    <mergeCell ref="AH415:AO415"/>
    <mergeCell ref="AP415:AW415"/>
    <mergeCell ref="AX415:BE415"/>
    <mergeCell ref="BF415:BM415"/>
    <mergeCell ref="BN415:BU415"/>
    <mergeCell ref="B416:E416"/>
    <mergeCell ref="F416:I416"/>
    <mergeCell ref="J416:Q416"/>
    <mergeCell ref="R416:Y416"/>
    <mergeCell ref="Z416:AG416"/>
    <mergeCell ref="AH416:AO416"/>
    <mergeCell ref="AP416:AW416"/>
    <mergeCell ref="AX416:BE416"/>
    <mergeCell ref="BF416:BM416"/>
    <mergeCell ref="BN416:BU416"/>
    <mergeCell ref="B417:E417"/>
    <mergeCell ref="F417:I417"/>
    <mergeCell ref="J417:Q417"/>
    <mergeCell ref="R417:Y417"/>
    <mergeCell ref="Z417:AG417"/>
    <mergeCell ref="AH417:AO417"/>
    <mergeCell ref="AP417:AW417"/>
    <mergeCell ref="AX417:BE417"/>
    <mergeCell ref="BF417:BM417"/>
    <mergeCell ref="BN417:BU417"/>
    <mergeCell ref="B418:E418"/>
    <mergeCell ref="F418:I418"/>
    <mergeCell ref="J418:Q418"/>
    <mergeCell ref="R418:Y418"/>
    <mergeCell ref="Z418:AG418"/>
    <mergeCell ref="AH418:AO418"/>
    <mergeCell ref="AP418:AW418"/>
    <mergeCell ref="AX418:BE418"/>
    <mergeCell ref="BF418:BM418"/>
    <mergeCell ref="BN418:BU418"/>
    <mergeCell ref="B419:E419"/>
    <mergeCell ref="F419:I419"/>
    <mergeCell ref="J419:Q419"/>
    <mergeCell ref="R419:Y419"/>
    <mergeCell ref="Z419:AG419"/>
    <mergeCell ref="AH419:AO419"/>
    <mergeCell ref="AP419:AW419"/>
    <mergeCell ref="AX419:BE419"/>
    <mergeCell ref="BF419:BM419"/>
    <mergeCell ref="BN419:BU419"/>
    <mergeCell ref="B420:E420"/>
    <mergeCell ref="F420:I420"/>
    <mergeCell ref="J420:Q420"/>
    <mergeCell ref="R420:Y420"/>
    <mergeCell ref="Z420:AG420"/>
    <mergeCell ref="AH420:AO420"/>
    <mergeCell ref="AP420:AW420"/>
    <mergeCell ref="AX420:BE420"/>
    <mergeCell ref="BF420:BM420"/>
    <mergeCell ref="BN420:BU420"/>
    <mergeCell ref="B421:E421"/>
    <mergeCell ref="F421:I421"/>
    <mergeCell ref="J421:Q421"/>
    <mergeCell ref="R421:Y421"/>
    <mergeCell ref="Z421:AG421"/>
    <mergeCell ref="AH421:AO421"/>
    <mergeCell ref="AP421:AW421"/>
    <mergeCell ref="AX421:BE421"/>
    <mergeCell ref="BF421:BM421"/>
    <mergeCell ref="BN421:BU421"/>
    <mergeCell ref="B422:E422"/>
    <mergeCell ref="F422:I422"/>
    <mergeCell ref="J422:Q422"/>
    <mergeCell ref="R422:Y422"/>
    <mergeCell ref="Z422:AG422"/>
    <mergeCell ref="AH422:AO422"/>
    <mergeCell ref="AP422:AW422"/>
    <mergeCell ref="AX422:BE422"/>
    <mergeCell ref="BF422:BM422"/>
    <mergeCell ref="BN422:BU422"/>
    <mergeCell ref="B423:E423"/>
    <mergeCell ref="F423:I423"/>
    <mergeCell ref="J423:Q423"/>
    <mergeCell ref="R423:Y423"/>
    <mergeCell ref="Z423:AG423"/>
    <mergeCell ref="AH423:AO423"/>
    <mergeCell ref="AP423:AW423"/>
    <mergeCell ref="AX423:BE423"/>
    <mergeCell ref="BF423:BM423"/>
    <mergeCell ref="BN423:BU423"/>
    <mergeCell ref="B424:E424"/>
    <mergeCell ref="F424:I424"/>
    <mergeCell ref="J424:Q424"/>
    <mergeCell ref="R424:Y424"/>
    <mergeCell ref="Z424:AG424"/>
    <mergeCell ref="AH424:AO424"/>
    <mergeCell ref="AP424:AW424"/>
    <mergeCell ref="AX424:BE424"/>
    <mergeCell ref="BF424:BM424"/>
    <mergeCell ref="BN424:BU424"/>
    <mergeCell ref="B425:E425"/>
    <mergeCell ref="F425:I425"/>
    <mergeCell ref="J425:Q425"/>
    <mergeCell ref="R425:Y425"/>
    <mergeCell ref="Z425:AG425"/>
    <mergeCell ref="AH425:AO425"/>
    <mergeCell ref="AP425:AW425"/>
    <mergeCell ref="AX425:BE425"/>
    <mergeCell ref="BF425:BM425"/>
    <mergeCell ref="BN425:BU425"/>
    <mergeCell ref="B426:E426"/>
    <mergeCell ref="F426:I426"/>
    <mergeCell ref="J426:Q426"/>
    <mergeCell ref="R426:Y426"/>
    <mergeCell ref="Z426:AG426"/>
    <mergeCell ref="AH426:AO426"/>
    <mergeCell ref="AP426:AW426"/>
    <mergeCell ref="AX426:BE426"/>
    <mergeCell ref="BF426:BM426"/>
    <mergeCell ref="BN426:BU426"/>
    <mergeCell ref="B427:E427"/>
    <mergeCell ref="F427:I427"/>
    <mergeCell ref="J427:Q427"/>
    <mergeCell ref="R427:Y427"/>
    <mergeCell ref="Z427:AG427"/>
    <mergeCell ref="AH427:AO427"/>
    <mergeCell ref="AP427:AW427"/>
    <mergeCell ref="AX427:BE427"/>
    <mergeCell ref="BF427:BM427"/>
    <mergeCell ref="BN427:BU427"/>
    <mergeCell ref="B428:E428"/>
    <mergeCell ref="F428:I428"/>
    <mergeCell ref="J428:Q428"/>
    <mergeCell ref="R428:Y428"/>
    <mergeCell ref="Z428:AG428"/>
    <mergeCell ref="AH428:AO428"/>
    <mergeCell ref="AP428:AW428"/>
    <mergeCell ref="AX428:BE428"/>
    <mergeCell ref="BF428:BM428"/>
    <mergeCell ref="BN428:BU428"/>
    <mergeCell ref="B429:E429"/>
    <mergeCell ref="F429:I429"/>
    <mergeCell ref="J429:Q429"/>
    <mergeCell ref="R429:Y429"/>
    <mergeCell ref="Z429:AG429"/>
    <mergeCell ref="AH429:AO429"/>
    <mergeCell ref="AP429:AW429"/>
    <mergeCell ref="AX429:BE429"/>
    <mergeCell ref="BF429:BM429"/>
    <mergeCell ref="BN429:BU429"/>
    <mergeCell ref="B430:E430"/>
    <mergeCell ref="F430:I430"/>
    <mergeCell ref="J430:Q430"/>
    <mergeCell ref="R430:Y430"/>
    <mergeCell ref="Z430:AG430"/>
    <mergeCell ref="AH430:AO430"/>
    <mergeCell ref="AP430:AW430"/>
    <mergeCell ref="AX430:BE430"/>
    <mergeCell ref="BF430:BM430"/>
    <mergeCell ref="BN430:BU430"/>
    <mergeCell ref="B431:E431"/>
    <mergeCell ref="F431:I431"/>
    <mergeCell ref="J431:Q431"/>
    <mergeCell ref="R431:Y431"/>
    <mergeCell ref="Z431:AG431"/>
    <mergeCell ref="AH431:AO431"/>
    <mergeCell ref="AP431:AW431"/>
    <mergeCell ref="AX431:BE431"/>
    <mergeCell ref="BF431:BM431"/>
    <mergeCell ref="BN431:BU431"/>
    <mergeCell ref="B432:E432"/>
    <mergeCell ref="F432:I432"/>
    <mergeCell ref="J432:Q432"/>
    <mergeCell ref="R432:Y432"/>
    <mergeCell ref="Z432:AG432"/>
    <mergeCell ref="AH432:AO432"/>
    <mergeCell ref="AP432:AW432"/>
    <mergeCell ref="AX432:BE432"/>
    <mergeCell ref="BF432:BM432"/>
    <mergeCell ref="BN432:BU432"/>
    <mergeCell ref="B433:E433"/>
    <mergeCell ref="F433:I433"/>
    <mergeCell ref="J433:Q433"/>
    <mergeCell ref="R433:Y433"/>
    <mergeCell ref="Z433:AG433"/>
    <mergeCell ref="AH433:AO433"/>
    <mergeCell ref="AP433:AW433"/>
    <mergeCell ref="AX433:BE433"/>
    <mergeCell ref="BF433:BM433"/>
    <mergeCell ref="BN433:BU433"/>
    <mergeCell ref="B434:E434"/>
    <mergeCell ref="F434:I434"/>
    <mergeCell ref="J434:Q434"/>
    <mergeCell ref="R434:Y434"/>
    <mergeCell ref="Z434:AG434"/>
    <mergeCell ref="AH434:AO434"/>
    <mergeCell ref="AP434:AW434"/>
    <mergeCell ref="AX434:BE434"/>
    <mergeCell ref="BF434:BM434"/>
    <mergeCell ref="BN434:BU434"/>
    <mergeCell ref="B435:E435"/>
    <mergeCell ref="F435:I435"/>
    <mergeCell ref="J435:Q435"/>
    <mergeCell ref="R435:Y435"/>
    <mergeCell ref="Z435:AG435"/>
    <mergeCell ref="AH435:AO435"/>
    <mergeCell ref="AP435:AW435"/>
    <mergeCell ref="AX435:BE435"/>
    <mergeCell ref="BF435:BM435"/>
    <mergeCell ref="BN435:BU435"/>
    <mergeCell ref="B436:E436"/>
    <mergeCell ref="F436:I436"/>
    <mergeCell ref="J436:Q436"/>
    <mergeCell ref="R436:Y436"/>
    <mergeCell ref="Z436:AG436"/>
    <mergeCell ref="AH436:AO436"/>
    <mergeCell ref="AP436:AW436"/>
    <mergeCell ref="AX436:BE436"/>
    <mergeCell ref="BF436:BM436"/>
    <mergeCell ref="BN436:BU436"/>
    <mergeCell ref="B437:E437"/>
    <mergeCell ref="F437:I437"/>
    <mergeCell ref="J437:Q437"/>
    <mergeCell ref="R437:Y437"/>
    <mergeCell ref="Z437:AG437"/>
    <mergeCell ref="AH437:AO437"/>
    <mergeCell ref="AP437:AW437"/>
    <mergeCell ref="AX437:BE437"/>
    <mergeCell ref="BF437:BM437"/>
    <mergeCell ref="BN437:BU437"/>
    <mergeCell ref="B438:E438"/>
    <mergeCell ref="F438:I438"/>
    <mergeCell ref="J438:Q438"/>
    <mergeCell ref="R438:Y438"/>
    <mergeCell ref="Z438:AG438"/>
    <mergeCell ref="AH438:AO438"/>
    <mergeCell ref="AP438:AW438"/>
    <mergeCell ref="AX438:BE438"/>
    <mergeCell ref="BF438:BM438"/>
    <mergeCell ref="BN438:BU438"/>
    <mergeCell ref="B439:E439"/>
    <mergeCell ref="F439:I439"/>
    <mergeCell ref="J439:Q439"/>
    <mergeCell ref="R439:Y439"/>
    <mergeCell ref="Z439:AG439"/>
    <mergeCell ref="AH439:AO439"/>
    <mergeCell ref="AP439:AW439"/>
    <mergeCell ref="AX439:BE439"/>
    <mergeCell ref="BF439:BM439"/>
    <mergeCell ref="BN439:BU439"/>
    <mergeCell ref="B440:E440"/>
    <mergeCell ref="F440:I440"/>
    <mergeCell ref="J440:Q440"/>
    <mergeCell ref="R440:Y440"/>
    <mergeCell ref="Z440:AG440"/>
    <mergeCell ref="AH440:AO440"/>
    <mergeCell ref="AP440:AW440"/>
    <mergeCell ref="AX440:BE440"/>
    <mergeCell ref="BF440:BM440"/>
    <mergeCell ref="BN440:BU440"/>
    <mergeCell ref="B441:E441"/>
    <mergeCell ref="F441:I441"/>
    <mergeCell ref="J441:Q441"/>
    <mergeCell ref="R441:Y441"/>
    <mergeCell ref="Z441:AG441"/>
    <mergeCell ref="AH441:AO441"/>
    <mergeCell ref="AP441:AW441"/>
    <mergeCell ref="AX441:BE441"/>
    <mergeCell ref="BF441:BM441"/>
    <mergeCell ref="BN441:BU441"/>
    <mergeCell ref="B442:E442"/>
    <mergeCell ref="F442:I442"/>
    <mergeCell ref="J442:Q442"/>
    <mergeCell ref="R442:Y442"/>
    <mergeCell ref="Z442:AG442"/>
    <mergeCell ref="AH442:AO442"/>
    <mergeCell ref="AP442:AW442"/>
    <mergeCell ref="AX442:BE442"/>
    <mergeCell ref="BF442:BM442"/>
    <mergeCell ref="BN442:BU442"/>
    <mergeCell ref="B443:E443"/>
    <mergeCell ref="F443:I443"/>
    <mergeCell ref="J443:Q443"/>
    <mergeCell ref="R443:Y443"/>
    <mergeCell ref="Z443:AG443"/>
    <mergeCell ref="AH443:AO443"/>
    <mergeCell ref="AP443:AW443"/>
    <mergeCell ref="AX443:BE443"/>
    <mergeCell ref="BF443:BM443"/>
    <mergeCell ref="BN443:BU443"/>
    <mergeCell ref="B444:E444"/>
    <mergeCell ref="F444:I444"/>
    <mergeCell ref="J444:Q444"/>
    <mergeCell ref="R444:Y444"/>
    <mergeCell ref="Z444:AG444"/>
    <mergeCell ref="AH444:AO444"/>
    <mergeCell ref="AP444:AW444"/>
    <mergeCell ref="AX444:BE444"/>
    <mergeCell ref="BF444:BM444"/>
    <mergeCell ref="BN444:BU444"/>
    <mergeCell ref="B445:E445"/>
    <mergeCell ref="F445:I445"/>
    <mergeCell ref="J445:Q445"/>
    <mergeCell ref="R445:Y445"/>
    <mergeCell ref="Z445:AG445"/>
    <mergeCell ref="AH445:AO445"/>
    <mergeCell ref="AP445:AW445"/>
    <mergeCell ref="AX445:BE445"/>
    <mergeCell ref="BF445:BM445"/>
    <mergeCell ref="BN445:BU445"/>
    <mergeCell ref="B446:E446"/>
    <mergeCell ref="F446:I446"/>
    <mergeCell ref="J446:Q446"/>
    <mergeCell ref="R446:Y446"/>
    <mergeCell ref="Z446:AG446"/>
    <mergeCell ref="AH446:AO446"/>
    <mergeCell ref="AP446:AW446"/>
    <mergeCell ref="AX446:BE446"/>
    <mergeCell ref="BF446:BM446"/>
    <mergeCell ref="BN446:BU446"/>
    <mergeCell ref="B447:E447"/>
    <mergeCell ref="F447:I447"/>
    <mergeCell ref="J447:Q447"/>
    <mergeCell ref="R447:Y447"/>
    <mergeCell ref="Z447:AG447"/>
    <mergeCell ref="AH447:AO447"/>
    <mergeCell ref="AP447:AW447"/>
    <mergeCell ref="AX447:BE447"/>
    <mergeCell ref="BF447:BM447"/>
    <mergeCell ref="BN447:BU447"/>
    <mergeCell ref="B448:E448"/>
    <mergeCell ref="F448:I448"/>
    <mergeCell ref="J448:Q448"/>
    <mergeCell ref="R448:Y448"/>
    <mergeCell ref="Z448:AG448"/>
    <mergeCell ref="AH448:AO448"/>
    <mergeCell ref="AP448:AW448"/>
    <mergeCell ref="AX448:BE448"/>
    <mergeCell ref="BF448:BM448"/>
    <mergeCell ref="BN448:BU448"/>
    <mergeCell ref="B449:E449"/>
    <mergeCell ref="F449:I449"/>
    <mergeCell ref="J449:Q449"/>
    <mergeCell ref="R449:Y449"/>
    <mergeCell ref="Z449:AG449"/>
    <mergeCell ref="AH449:AO449"/>
    <mergeCell ref="AP449:AW449"/>
    <mergeCell ref="AX449:BE449"/>
    <mergeCell ref="BF449:BM449"/>
    <mergeCell ref="BN449:BU449"/>
    <mergeCell ref="B450:E450"/>
    <mergeCell ref="F450:I450"/>
    <mergeCell ref="J450:Q450"/>
    <mergeCell ref="R450:Y450"/>
    <mergeCell ref="Z450:AG450"/>
    <mergeCell ref="AH450:AO450"/>
    <mergeCell ref="AP450:AW450"/>
    <mergeCell ref="AX450:BE450"/>
    <mergeCell ref="BF450:BM450"/>
    <mergeCell ref="BN450:BU450"/>
    <mergeCell ref="B451:E451"/>
    <mergeCell ref="F451:I451"/>
    <mergeCell ref="J451:Q451"/>
    <mergeCell ref="R451:Y451"/>
    <mergeCell ref="Z451:AG451"/>
    <mergeCell ref="AH451:AO451"/>
    <mergeCell ref="AP451:AW451"/>
    <mergeCell ref="AX451:BE451"/>
    <mergeCell ref="BF451:BM451"/>
    <mergeCell ref="BN451:BU451"/>
    <mergeCell ref="B452:E452"/>
    <mergeCell ref="F452:I452"/>
    <mergeCell ref="J452:Q452"/>
    <mergeCell ref="R452:Y452"/>
    <mergeCell ref="Z452:AG452"/>
    <mergeCell ref="AH452:AO452"/>
    <mergeCell ref="AP452:AW452"/>
    <mergeCell ref="AX452:BE452"/>
    <mergeCell ref="BF452:BM452"/>
    <mergeCell ref="BN452:BU452"/>
    <mergeCell ref="B205:BU205"/>
    <mergeCell ref="B206:BU214"/>
    <mergeCell ref="B455:E455"/>
    <mergeCell ref="F455:I455"/>
    <mergeCell ref="J455:Q455"/>
    <mergeCell ref="R455:Y455"/>
    <mergeCell ref="Z455:AG455"/>
    <mergeCell ref="AH455:AO455"/>
    <mergeCell ref="AP455:AW455"/>
    <mergeCell ref="AX455:BE455"/>
    <mergeCell ref="BF455:BM455"/>
    <mergeCell ref="BN455:BU455"/>
    <mergeCell ref="B453:E453"/>
    <mergeCell ref="F453:I453"/>
    <mergeCell ref="J453:Q453"/>
    <mergeCell ref="R453:Y453"/>
    <mergeCell ref="Z453:AG453"/>
    <mergeCell ref="AH453:AO453"/>
    <mergeCell ref="AP453:AW453"/>
    <mergeCell ref="AX453:BE453"/>
    <mergeCell ref="BF453:BM453"/>
    <mergeCell ref="BN453:BU453"/>
    <mergeCell ref="B454:E454"/>
    <mergeCell ref="F454:I454"/>
    <mergeCell ref="J454:Q454"/>
    <mergeCell ref="R454:Y454"/>
    <mergeCell ref="Z454:AG454"/>
    <mergeCell ref="AH454:AO454"/>
    <mergeCell ref="AP454:AW454"/>
    <mergeCell ref="AX454:BE454"/>
    <mergeCell ref="BF454:BM454"/>
    <mergeCell ref="BN454:BU454"/>
  </mergeCells>
  <conditionalFormatting sqref="B36:BN186">
    <cfRule type="expression" dxfId="10" priority="7">
      <formula>ROW(B36)=ROW(First_investment_entry)+lsc+rcs+ap+w-1</formula>
    </cfRule>
  </conditionalFormatting>
  <conditionalFormatting sqref="B252:BU351">
    <cfRule type="expression" dxfId="9" priority="6">
      <formula>ROW(B252)=ROW(First_entry_output_table)+time_horizon-1</formula>
    </cfRule>
  </conditionalFormatting>
  <conditionalFormatting sqref="B356:BU455">
    <cfRule type="expression" dxfId="8" priority="4">
      <formula>ROW(B356)=ROW(Compare_table_first_entry)+time_horizon-1</formula>
    </cfRule>
    <cfRule type="expression" dxfId="7" priority="5">
      <formula>ROW(B356)=ROW(First_entry_output_table)+time_horizon-1</formula>
    </cfRule>
  </conditionalFormatting>
  <conditionalFormatting sqref="B206:BU214">
    <cfRule type="expression" dxfId="6" priority="1">
      <formula>$B$205=""</formula>
    </cfRule>
  </conditionalFormatting>
  <pageMargins left="0.19685039370078741" right="0.19685039370078741" top="0.39370078740157483" bottom="0.39370078740157483" header="0.31496062992125984" footer="0.31496062992125984"/>
  <pageSetup paperSize="9" scale="70"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 id="{CB873C2F-CFDD-4E26-9392-C3DDDD837475}">
            <xm:f>AND('Financial Planning Tool'!$AI54&gt;0,'Financial Planning Tool'!$AE54&lt;=time_horizon)</xm:f>
            <x14:dxf>
              <font>
                <b/>
                <i val="0"/>
                <color rgb="FFED0025"/>
              </font>
            </x14:dxf>
          </x14:cfRule>
          <xm:sqref>AP252:BE351</xm:sqref>
        </x14:conditionalFormatting>
        <x14:conditionalFormatting xmlns:xm="http://schemas.microsoft.com/office/excel/2006/main">
          <x14:cfRule type="expression" priority="2" id="{C86C6433-7042-4E42-A682-93870099FB7F}">
            <xm:f>AND('Financial Planning Tool'!$AJ54&gt;0,'Financial Planning Tool'!$AE54&lt;=time_horizon)</xm:f>
            <x14:dxf>
              <font>
                <b/>
                <i val="0"/>
                <color rgb="FFED0025"/>
              </font>
            </x14:dxf>
          </x14:cfRule>
          <xm:sqref>AP356:BE455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7EBE7-0EBC-4DCF-A2B5-C6779879828F}">
  <sheetPr codeName="Sheet7">
    <pageSetUpPr fitToPage="1"/>
  </sheetPr>
  <dimension ref="B5:BU143"/>
  <sheetViews>
    <sheetView showGridLines="0" showRowColHeaders="0" view="pageLayout" zoomScaleNormal="100" workbookViewId="0">
      <selection activeCell="B1" sqref="B1"/>
    </sheetView>
  </sheetViews>
  <sheetFormatPr defaultRowHeight="13.2" x14ac:dyDescent="0.25"/>
  <cols>
    <col min="1" max="74" width="2" customWidth="1"/>
  </cols>
  <sheetData>
    <row r="5" spans="2:66" x14ac:dyDescent="0.25">
      <c r="B5" s="236" t="s">
        <v>145</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row>
    <row r="6" spans="2:66" x14ac:dyDescent="0.25">
      <c r="B6" s="236"/>
      <c r="C6" s="236"/>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row>
    <row r="7" spans="2:66" x14ac:dyDescent="0.25">
      <c r="B7" t="s">
        <v>181</v>
      </c>
    </row>
    <row r="8" spans="2:66" x14ac:dyDescent="0.25">
      <c r="B8" t="s">
        <v>182</v>
      </c>
    </row>
    <row r="10" spans="2:66" x14ac:dyDescent="0.25">
      <c r="B10" s="3" t="s">
        <v>0</v>
      </c>
    </row>
    <row r="12" spans="2:66" x14ac:dyDescent="0.25">
      <c r="B12" t="s">
        <v>1</v>
      </c>
      <c r="AW12" s="237" t="str">
        <f>IF('Financial Planning Tool'!C19&lt;&gt;"",'Financial Planning Tool'!C19,"")</f>
        <v>Mr Example</v>
      </c>
      <c r="AX12" s="238"/>
      <c r="AY12" s="238"/>
      <c r="AZ12" s="238"/>
      <c r="BA12" s="238"/>
      <c r="BB12" s="238"/>
      <c r="BC12" s="238"/>
      <c r="BD12" s="238"/>
      <c r="BE12" s="238"/>
      <c r="BF12" s="238"/>
      <c r="BG12" s="238"/>
      <c r="BH12" s="238"/>
      <c r="BI12" s="238"/>
      <c r="BJ12" s="238"/>
      <c r="BK12" s="238"/>
      <c r="BL12" s="238"/>
      <c r="BM12" s="238"/>
      <c r="BN12" s="239"/>
    </row>
    <row r="13" spans="2:66" x14ac:dyDescent="0.25">
      <c r="B13" t="s">
        <v>146</v>
      </c>
      <c r="AW13" s="240">
        <f>IF('Financial Planning Tool'!C20&lt;&gt;"",'Financial Planning Tool'!C20,"")</f>
        <v>25569</v>
      </c>
      <c r="AX13" s="241"/>
      <c r="AY13" s="241"/>
      <c r="AZ13" s="241"/>
      <c r="BA13" s="241"/>
      <c r="BB13" s="241"/>
      <c r="BC13" s="241"/>
      <c r="BD13" s="241"/>
      <c r="BE13" s="241"/>
      <c r="BF13" s="241"/>
      <c r="BG13" s="241"/>
      <c r="BH13" s="241"/>
      <c r="BI13" s="241"/>
      <c r="BJ13" s="241"/>
      <c r="BK13" s="241"/>
      <c r="BL13" s="241"/>
      <c r="BM13" s="241"/>
      <c r="BN13" s="242"/>
    </row>
    <row r="15" spans="2:66" x14ac:dyDescent="0.25">
      <c r="B15" s="3" t="s">
        <v>2</v>
      </c>
    </row>
    <row r="17" spans="2:66" x14ac:dyDescent="0.25">
      <c r="B17" t="s">
        <v>98</v>
      </c>
      <c r="AW17" s="240">
        <f ca="1">'Financial Planning Tool'!D24</f>
        <v>45647</v>
      </c>
      <c r="AX17" s="238"/>
      <c r="AY17" s="238"/>
      <c r="AZ17" s="238"/>
      <c r="BA17" s="238"/>
      <c r="BB17" s="238"/>
      <c r="BC17" s="238"/>
      <c r="BD17" s="238"/>
      <c r="BE17" s="238"/>
      <c r="BF17" s="238"/>
      <c r="BG17" s="238"/>
      <c r="BH17" s="238"/>
      <c r="BI17" s="238"/>
      <c r="BJ17" s="238"/>
      <c r="BK17" s="238"/>
      <c r="BL17" s="238"/>
      <c r="BM17" s="238"/>
      <c r="BN17" s="239"/>
    </row>
    <row r="18" spans="2:66" x14ac:dyDescent="0.25">
      <c r="B18" t="s">
        <v>3</v>
      </c>
      <c r="AW18" s="237">
        <f>IF('Financial Planning Tool'!D25&lt;&gt;"",'Financial Planning Tool'!D25,"")</f>
        <v>36</v>
      </c>
      <c r="AX18" s="238"/>
      <c r="AY18" s="238"/>
      <c r="AZ18" s="238"/>
      <c r="BA18" s="238"/>
      <c r="BB18" s="238"/>
      <c r="BC18" s="238"/>
      <c r="BD18" s="238"/>
      <c r="BE18" s="238"/>
      <c r="BF18" s="238"/>
      <c r="BG18" s="238"/>
      <c r="BH18" s="238"/>
      <c r="BI18" s="238"/>
      <c r="BJ18" s="238"/>
      <c r="BK18" s="238"/>
      <c r="BL18" s="238"/>
      <c r="BM18" s="238"/>
      <c r="BN18" s="239"/>
    </row>
    <row r="19" spans="2:66" x14ac:dyDescent="0.25">
      <c r="B19" t="s">
        <v>4</v>
      </c>
      <c r="AW19" s="237">
        <f>IF(AW13="","",'Financial Planning Tool'!D26)</f>
        <v>90</v>
      </c>
      <c r="AX19" s="238"/>
      <c r="AY19" s="238"/>
      <c r="AZ19" s="238"/>
      <c r="BA19" s="238"/>
      <c r="BB19" s="238"/>
      <c r="BC19" s="238"/>
      <c r="BD19" s="238"/>
      <c r="BE19" s="238"/>
      <c r="BF19" s="238"/>
      <c r="BG19" s="238"/>
      <c r="BH19" s="238"/>
      <c r="BI19" s="238"/>
      <c r="BJ19" s="238"/>
      <c r="BK19" s="238"/>
      <c r="BL19" s="238"/>
      <c r="BM19" s="238"/>
      <c r="BN19" s="239"/>
    </row>
    <row r="21" spans="2:66" x14ac:dyDescent="0.25">
      <c r="B21" s="3" t="s">
        <v>5</v>
      </c>
    </row>
    <row r="22" spans="2:66" x14ac:dyDescent="0.25">
      <c r="B22" t="s">
        <v>6</v>
      </c>
      <c r="AW22" s="243">
        <f>'Financial Planning Tool'!D29</f>
        <v>9</v>
      </c>
      <c r="AX22" s="244"/>
      <c r="AY22" s="244"/>
      <c r="AZ22" s="244"/>
      <c r="BA22" s="244"/>
      <c r="BB22" s="244"/>
      <c r="BC22" s="244"/>
      <c r="BD22" s="244"/>
      <c r="BE22" s="244"/>
      <c r="BF22" s="244"/>
      <c r="BG22" s="244"/>
      <c r="BH22" s="244"/>
      <c r="BI22" s="244"/>
      <c r="BJ22" s="244"/>
      <c r="BK22" s="244"/>
      <c r="BL22" s="244"/>
      <c r="BM22" s="244"/>
      <c r="BN22" s="245"/>
    </row>
    <row r="23" spans="2:66" x14ac:dyDescent="0.25">
      <c r="B23" t="s">
        <v>7</v>
      </c>
      <c r="AW23" s="243">
        <f>'Financial Planning Tool'!D30</f>
        <v>4</v>
      </c>
      <c r="AX23" s="244"/>
      <c r="AY23" s="244"/>
      <c r="AZ23" s="244"/>
      <c r="BA23" s="244"/>
      <c r="BB23" s="244"/>
      <c r="BC23" s="244"/>
      <c r="BD23" s="244"/>
      <c r="BE23" s="244"/>
      <c r="BF23" s="244"/>
      <c r="BG23" s="244"/>
      <c r="BH23" s="244"/>
      <c r="BI23" s="244"/>
      <c r="BJ23" s="244"/>
      <c r="BK23" s="244"/>
      <c r="BL23" s="244"/>
      <c r="BM23" s="244"/>
      <c r="BN23" s="245"/>
    </row>
    <row r="25" spans="2:66" x14ac:dyDescent="0.25">
      <c r="B25" s="3" t="s">
        <v>193</v>
      </c>
      <c r="AW25" s="246" t="s">
        <v>147</v>
      </c>
      <c r="AX25" s="246"/>
      <c r="AY25" s="246"/>
      <c r="AZ25" s="246"/>
      <c r="BA25" s="246"/>
      <c r="BB25" s="246"/>
      <c r="BC25" s="246"/>
      <c r="BD25" s="246"/>
      <c r="BE25" s="246"/>
      <c r="BF25" s="246" t="s">
        <v>148</v>
      </c>
      <c r="BG25" s="246"/>
      <c r="BH25" s="246"/>
      <c r="BI25" s="246"/>
      <c r="BJ25" s="246"/>
      <c r="BK25" s="246"/>
      <c r="BL25" s="246"/>
      <c r="BM25" s="246"/>
      <c r="BN25" s="246"/>
    </row>
    <row r="26" spans="2:66" x14ac:dyDescent="0.25">
      <c r="B26" t="s">
        <v>8</v>
      </c>
      <c r="AW26" s="243">
        <f>'Financial Planning Tool'!D33</f>
        <v>0</v>
      </c>
      <c r="AX26" s="244"/>
      <c r="AY26" s="244"/>
      <c r="AZ26" s="244"/>
      <c r="BA26" s="244"/>
      <c r="BB26" s="244"/>
      <c r="BC26" s="244"/>
      <c r="BD26" s="244"/>
      <c r="BE26" s="245"/>
      <c r="BF26" s="244">
        <f>'Financial Planning Tool'!E33</f>
        <v>0</v>
      </c>
      <c r="BG26" s="244"/>
      <c r="BH26" s="244"/>
      <c r="BI26" s="244"/>
      <c r="BJ26" s="244"/>
      <c r="BK26" s="244"/>
      <c r="BL26" s="244"/>
      <c r="BM26" s="244"/>
      <c r="BN26" s="245"/>
    </row>
    <row r="27" spans="2:66" x14ac:dyDescent="0.25">
      <c r="B27" t="s">
        <v>9</v>
      </c>
      <c r="AW27" s="243">
        <f>'Financial Planning Tool'!D34</f>
        <v>0</v>
      </c>
      <c r="AX27" s="244"/>
      <c r="AY27" s="244"/>
      <c r="AZ27" s="244"/>
      <c r="BA27" s="244"/>
      <c r="BB27" s="244"/>
      <c r="BC27" s="244"/>
      <c r="BD27" s="244"/>
      <c r="BE27" s="245"/>
      <c r="BF27" s="244">
        <f>'Financial Planning Tool'!E34</f>
        <v>0</v>
      </c>
      <c r="BG27" s="244"/>
      <c r="BH27" s="244"/>
      <c r="BI27" s="244"/>
      <c r="BJ27" s="244"/>
      <c r="BK27" s="244"/>
      <c r="BL27" s="244"/>
      <c r="BM27" s="244"/>
      <c r="BN27" s="245"/>
    </row>
    <row r="28" spans="2:66" x14ac:dyDescent="0.25">
      <c r="B28" t="s">
        <v>10</v>
      </c>
      <c r="AW28" s="243">
        <f>'Financial Planning Tool'!D35</f>
        <v>0</v>
      </c>
      <c r="AX28" s="244"/>
      <c r="AY28" s="244"/>
      <c r="AZ28" s="244"/>
      <c r="BA28" s="244"/>
      <c r="BB28" s="244"/>
      <c r="BC28" s="244"/>
      <c r="BD28" s="244"/>
      <c r="BE28" s="245"/>
      <c r="BF28" s="244">
        <f>'Financial Planning Tool'!E35</f>
        <v>0</v>
      </c>
      <c r="BG28" s="244"/>
      <c r="BH28" s="244"/>
      <c r="BI28" s="244"/>
      <c r="BJ28" s="244"/>
      <c r="BK28" s="244"/>
      <c r="BL28" s="244"/>
      <c r="BM28" s="244"/>
      <c r="BN28" s="245"/>
    </row>
    <row r="30" spans="2:66" x14ac:dyDescent="0.25">
      <c r="B30" t="s">
        <v>149</v>
      </c>
    </row>
    <row r="31" spans="2:66" x14ac:dyDescent="0.25">
      <c r="B31" t="s">
        <v>150</v>
      </c>
    </row>
    <row r="32" spans="2:66" x14ac:dyDescent="0.25">
      <c r="B32" t="s">
        <v>151</v>
      </c>
    </row>
    <row r="34" spans="2:66" x14ac:dyDescent="0.25">
      <c r="B34" s="3" t="s">
        <v>11</v>
      </c>
      <c r="AC34" s="14"/>
      <c r="AD34" s="14"/>
      <c r="AE34" s="14"/>
      <c r="AF34" s="14"/>
      <c r="AG34" s="14"/>
      <c r="AH34" s="14"/>
      <c r="AI34" s="14"/>
      <c r="AJ34" s="14"/>
      <c r="AK34" s="14"/>
      <c r="AL34" s="14"/>
      <c r="AM34" s="14"/>
      <c r="AN34" s="14"/>
      <c r="AO34" s="14"/>
      <c r="AP34" s="14"/>
      <c r="AQ34" s="14"/>
      <c r="AR34" s="14"/>
      <c r="AS34" s="14"/>
      <c r="AT34" s="14"/>
    </row>
    <row r="35" spans="2:66" x14ac:dyDescent="0.25">
      <c r="B35" s="247" t="s">
        <v>96</v>
      </c>
      <c r="C35" s="247"/>
      <c r="D35" s="247"/>
      <c r="E35" s="247"/>
      <c r="F35" s="247"/>
      <c r="G35" s="247"/>
      <c r="H35" s="247"/>
      <c r="I35" s="247"/>
      <c r="J35" s="247"/>
      <c r="K35" s="247"/>
      <c r="L35" s="247"/>
      <c r="M35" s="247"/>
      <c r="N35" s="247"/>
      <c r="O35" s="247" t="s">
        <v>23</v>
      </c>
      <c r="P35" s="247"/>
      <c r="Q35" s="247"/>
      <c r="R35" s="247"/>
      <c r="S35" s="247"/>
      <c r="T35" s="247"/>
      <c r="U35" s="247"/>
      <c r="V35" s="247"/>
      <c r="W35" s="247" t="s">
        <v>152</v>
      </c>
      <c r="X35" s="247"/>
      <c r="Y35" s="247"/>
      <c r="Z35" s="247"/>
      <c r="AA35" s="247"/>
      <c r="AB35" s="247"/>
      <c r="AC35" s="247"/>
      <c r="AD35" s="247"/>
      <c r="AE35" s="247"/>
      <c r="AF35" s="247"/>
      <c r="AG35" s="247" t="s">
        <v>153</v>
      </c>
      <c r="AH35" s="247"/>
      <c r="AI35" s="247"/>
      <c r="AJ35" s="247"/>
      <c r="AK35" s="247"/>
      <c r="AL35" s="247"/>
      <c r="AM35" s="247"/>
      <c r="AN35" s="247"/>
      <c r="AO35" s="247"/>
      <c r="AP35" s="248"/>
      <c r="AQ35" s="247" t="s">
        <v>98</v>
      </c>
      <c r="AR35" s="247"/>
      <c r="AS35" s="247"/>
      <c r="AT35" s="247"/>
      <c r="AU35" s="247"/>
      <c r="AV35" s="247"/>
      <c r="AW35" s="247"/>
      <c r="AX35" s="247"/>
      <c r="AY35" s="249" t="s">
        <v>30</v>
      </c>
      <c r="AZ35" s="247"/>
      <c r="BA35" s="247"/>
      <c r="BB35" s="247"/>
      <c r="BC35" s="247"/>
      <c r="BD35" s="247"/>
      <c r="BE35" s="247"/>
      <c r="BF35" s="247"/>
      <c r="BG35" s="247" t="s">
        <v>104</v>
      </c>
      <c r="BH35" s="247"/>
      <c r="BI35" s="247"/>
      <c r="BJ35" s="247"/>
      <c r="BK35" s="247"/>
      <c r="BL35" s="247"/>
      <c r="BM35" s="247"/>
      <c r="BN35" s="247"/>
    </row>
    <row r="36" spans="2:66" x14ac:dyDescent="0.25">
      <c r="B36" s="173" t="str">
        <f ca="1">'Financial Planning Tool'!EY11</f>
        <v>Liberty RA</v>
      </c>
      <c r="C36" s="250"/>
      <c r="D36" s="250"/>
      <c r="E36" s="250"/>
      <c r="F36" s="250"/>
      <c r="G36" s="250"/>
      <c r="H36" s="250"/>
      <c r="I36" s="250"/>
      <c r="J36" s="250"/>
      <c r="K36" s="250"/>
      <c r="L36" s="250"/>
      <c r="M36" s="250"/>
      <c r="N36" s="250"/>
      <c r="O36" s="173" t="str">
        <f ca="1">'Financial Planning Tool'!EZ11</f>
        <v>Once-off</v>
      </c>
      <c r="P36" s="250"/>
      <c r="Q36" s="250"/>
      <c r="R36" s="250"/>
      <c r="S36" s="250"/>
      <c r="T36" s="250"/>
      <c r="U36" s="250"/>
      <c r="V36" s="174"/>
      <c r="W36" s="251">
        <f ca="1">'Financial Planning Tool'!FA11</f>
        <v>35000</v>
      </c>
      <c r="X36" s="252"/>
      <c r="Y36" s="252"/>
      <c r="Z36" s="252"/>
      <c r="AA36" s="252"/>
      <c r="AB36" s="252"/>
      <c r="AC36" s="252"/>
      <c r="AD36" s="252"/>
      <c r="AE36" s="252"/>
      <c r="AF36" s="253"/>
      <c r="AG36" s="251">
        <f ca="1">'Financial Planning Tool'!FB11</f>
        <v>35000</v>
      </c>
      <c r="AH36" s="252"/>
      <c r="AI36" s="252"/>
      <c r="AJ36" s="252"/>
      <c r="AK36" s="252"/>
      <c r="AL36" s="252"/>
      <c r="AM36" s="252"/>
      <c r="AN36" s="252"/>
      <c r="AO36" s="252"/>
      <c r="AP36" s="253"/>
      <c r="AQ36" s="260">
        <f ca="1">'Financial Planning Tool'!FC11</f>
        <v>45627</v>
      </c>
      <c r="AR36" s="261"/>
      <c r="AS36" s="261"/>
      <c r="AT36" s="261"/>
      <c r="AU36" s="261"/>
      <c r="AV36" s="261"/>
      <c r="AW36" s="261"/>
      <c r="AX36" s="262"/>
      <c r="AY36" s="257" t="str">
        <f ca="1">'Financial Planning Tool'!FD11</f>
        <v>Once-off</v>
      </c>
      <c r="AZ36" s="258"/>
      <c r="BA36" s="258"/>
      <c r="BB36" s="258"/>
      <c r="BC36" s="258"/>
      <c r="BD36" s="258"/>
      <c r="BE36" s="258"/>
      <c r="BF36" s="259"/>
      <c r="BG36" s="254" t="str">
        <f ca="1">IFERROR(ROUND('Financial Planning Tool'!FE11,2),'Financial Planning Tool'!FE11)</f>
        <v>Once-off</v>
      </c>
      <c r="BH36" s="255"/>
      <c r="BI36" s="255"/>
      <c r="BJ36" s="255"/>
      <c r="BK36" s="255"/>
      <c r="BL36" s="255"/>
      <c r="BM36" s="255"/>
      <c r="BN36" s="256"/>
    </row>
    <row r="37" spans="2:66" x14ac:dyDescent="0.25">
      <c r="B37" s="160" t="str">
        <f ca="1">'Financial Planning Tool'!EY12</f>
        <v>Sanlam RA</v>
      </c>
      <c r="C37" s="263"/>
      <c r="D37" s="263"/>
      <c r="E37" s="263"/>
      <c r="F37" s="263"/>
      <c r="G37" s="263"/>
      <c r="H37" s="263"/>
      <c r="I37" s="263"/>
      <c r="J37" s="263"/>
      <c r="K37" s="263"/>
      <c r="L37" s="263"/>
      <c r="M37" s="263"/>
      <c r="N37" s="263"/>
      <c r="O37" s="160" t="str">
        <f ca="1">'Financial Planning Tool'!EZ12</f>
        <v>Once-off</v>
      </c>
      <c r="P37" s="263"/>
      <c r="Q37" s="263"/>
      <c r="R37" s="263"/>
      <c r="S37" s="263"/>
      <c r="T37" s="263"/>
      <c r="U37" s="263"/>
      <c r="V37" s="161"/>
      <c r="W37" s="264">
        <f ca="1">'Financial Planning Tool'!FA12</f>
        <v>75000</v>
      </c>
      <c r="X37" s="265"/>
      <c r="Y37" s="265"/>
      <c r="Z37" s="265"/>
      <c r="AA37" s="265"/>
      <c r="AB37" s="265"/>
      <c r="AC37" s="265"/>
      <c r="AD37" s="265"/>
      <c r="AE37" s="265"/>
      <c r="AF37" s="266"/>
      <c r="AG37" s="264">
        <f ca="1">'Financial Planning Tool'!FB12</f>
        <v>75000</v>
      </c>
      <c r="AH37" s="265"/>
      <c r="AI37" s="265"/>
      <c r="AJ37" s="265"/>
      <c r="AK37" s="265"/>
      <c r="AL37" s="265"/>
      <c r="AM37" s="265"/>
      <c r="AN37" s="265"/>
      <c r="AO37" s="265"/>
      <c r="AP37" s="266"/>
      <c r="AQ37" s="260">
        <f ca="1">'Financial Planning Tool'!FC12</f>
        <v>45627</v>
      </c>
      <c r="AR37" s="261"/>
      <c r="AS37" s="261"/>
      <c r="AT37" s="261"/>
      <c r="AU37" s="261"/>
      <c r="AV37" s="261"/>
      <c r="AW37" s="261"/>
      <c r="AX37" s="262"/>
      <c r="AY37" s="260" t="str">
        <f ca="1">'Financial Planning Tool'!FD12</f>
        <v>Once-off</v>
      </c>
      <c r="AZ37" s="261"/>
      <c r="BA37" s="261"/>
      <c r="BB37" s="261"/>
      <c r="BC37" s="261"/>
      <c r="BD37" s="261"/>
      <c r="BE37" s="261"/>
      <c r="BF37" s="262"/>
      <c r="BG37" s="267" t="str">
        <f ca="1">IFERROR(ROUND('Financial Planning Tool'!FE12,2),'Financial Planning Tool'!FE12)</f>
        <v>Once-off</v>
      </c>
      <c r="BH37" s="268"/>
      <c r="BI37" s="268"/>
      <c r="BJ37" s="268"/>
      <c r="BK37" s="268"/>
      <c r="BL37" s="268"/>
      <c r="BM37" s="268"/>
      <c r="BN37" s="269"/>
    </row>
    <row r="38" spans="2:66" x14ac:dyDescent="0.25">
      <c r="B38" s="160" t="str">
        <f ca="1">'Financial Planning Tool'!EY13</f>
        <v>Liberty Corporate</v>
      </c>
      <c r="C38" s="263"/>
      <c r="D38" s="263"/>
      <c r="E38" s="263"/>
      <c r="F38" s="263"/>
      <c r="G38" s="263"/>
      <c r="H38" s="263"/>
      <c r="I38" s="263"/>
      <c r="J38" s="263"/>
      <c r="K38" s="263"/>
      <c r="L38" s="263"/>
      <c r="M38" s="263"/>
      <c r="N38" s="263"/>
      <c r="O38" s="160" t="str">
        <f ca="1">'Financial Planning Tool'!EZ13</f>
        <v>Once-off</v>
      </c>
      <c r="P38" s="263"/>
      <c r="Q38" s="263"/>
      <c r="R38" s="263"/>
      <c r="S38" s="263"/>
      <c r="T38" s="263"/>
      <c r="U38" s="263"/>
      <c r="V38" s="161"/>
      <c r="W38" s="264">
        <f ca="1">'Financial Planning Tool'!FA13</f>
        <v>500000</v>
      </c>
      <c r="X38" s="265"/>
      <c r="Y38" s="265"/>
      <c r="Z38" s="265"/>
      <c r="AA38" s="265"/>
      <c r="AB38" s="265"/>
      <c r="AC38" s="265"/>
      <c r="AD38" s="265"/>
      <c r="AE38" s="265"/>
      <c r="AF38" s="266"/>
      <c r="AG38" s="264">
        <f ca="1">'Financial Planning Tool'!FB13</f>
        <v>500000</v>
      </c>
      <c r="AH38" s="265"/>
      <c r="AI38" s="265"/>
      <c r="AJ38" s="265"/>
      <c r="AK38" s="265"/>
      <c r="AL38" s="265"/>
      <c r="AM38" s="265"/>
      <c r="AN38" s="265"/>
      <c r="AO38" s="265"/>
      <c r="AP38" s="266"/>
      <c r="AQ38" s="260">
        <f ca="1">'Financial Planning Tool'!FC13</f>
        <v>45627</v>
      </c>
      <c r="AR38" s="261"/>
      <c r="AS38" s="261"/>
      <c r="AT38" s="261"/>
      <c r="AU38" s="261"/>
      <c r="AV38" s="261"/>
      <c r="AW38" s="261"/>
      <c r="AX38" s="262"/>
      <c r="AY38" s="260" t="str">
        <f ca="1">'Financial Planning Tool'!FD13</f>
        <v>Once-off</v>
      </c>
      <c r="AZ38" s="261"/>
      <c r="BA38" s="261"/>
      <c r="BB38" s="261"/>
      <c r="BC38" s="261"/>
      <c r="BD38" s="261"/>
      <c r="BE38" s="261"/>
      <c r="BF38" s="262"/>
      <c r="BG38" s="267" t="str">
        <f ca="1">IFERROR(ROUND('Financial Planning Tool'!FE13,2),'Financial Planning Tool'!FE13)</f>
        <v>Once-off</v>
      </c>
      <c r="BH38" s="268"/>
      <c r="BI38" s="268"/>
      <c r="BJ38" s="268"/>
      <c r="BK38" s="268"/>
      <c r="BL38" s="268"/>
      <c r="BM38" s="268"/>
      <c r="BN38" s="269"/>
    </row>
    <row r="39" spans="2:66" x14ac:dyDescent="0.25">
      <c r="B39" s="160" t="str">
        <f ca="1">'Financial Planning Tool'!EY14</f>
        <v>Liberty RA</v>
      </c>
      <c r="C39" s="263"/>
      <c r="D39" s="263"/>
      <c r="E39" s="263"/>
      <c r="F39" s="263"/>
      <c r="G39" s="263"/>
      <c r="H39" s="263"/>
      <c r="I39" s="263"/>
      <c r="J39" s="263"/>
      <c r="K39" s="263"/>
      <c r="L39" s="263"/>
      <c r="M39" s="263"/>
      <c r="N39" s="263"/>
      <c r="O39" s="160" t="str">
        <f ca="1">'Financial Planning Tool'!EZ14</f>
        <v>Monthly</v>
      </c>
      <c r="P39" s="263"/>
      <c r="Q39" s="263"/>
      <c r="R39" s="263"/>
      <c r="S39" s="263"/>
      <c r="T39" s="263"/>
      <c r="U39" s="263"/>
      <c r="V39" s="161"/>
      <c r="W39" s="264">
        <f ca="1">'Financial Planning Tool'!FA14</f>
        <v>500</v>
      </c>
      <c r="X39" s="265"/>
      <c r="Y39" s="265"/>
      <c r="Z39" s="265"/>
      <c r="AA39" s="265"/>
      <c r="AB39" s="265"/>
      <c r="AC39" s="265"/>
      <c r="AD39" s="265"/>
      <c r="AE39" s="265"/>
      <c r="AF39" s="266"/>
      <c r="AG39" s="264">
        <f ca="1">'Financial Planning Tool'!FB14</f>
        <v>500</v>
      </c>
      <c r="AH39" s="265"/>
      <c r="AI39" s="265"/>
      <c r="AJ39" s="265"/>
      <c r="AK39" s="265"/>
      <c r="AL39" s="265"/>
      <c r="AM39" s="265"/>
      <c r="AN39" s="265"/>
      <c r="AO39" s="265"/>
      <c r="AP39" s="266"/>
      <c r="AQ39" s="260">
        <f ca="1">'Financial Planning Tool'!FC14</f>
        <v>45627</v>
      </c>
      <c r="AR39" s="261"/>
      <c r="AS39" s="261"/>
      <c r="AT39" s="261"/>
      <c r="AU39" s="261"/>
      <c r="AV39" s="261"/>
      <c r="AW39" s="261"/>
      <c r="AX39" s="262"/>
      <c r="AY39" s="260">
        <f ca="1">'Financial Planning Tool'!FD14</f>
        <v>49614</v>
      </c>
      <c r="AZ39" s="261"/>
      <c r="BA39" s="261"/>
      <c r="BB39" s="261"/>
      <c r="BC39" s="261"/>
      <c r="BD39" s="261"/>
      <c r="BE39" s="261"/>
      <c r="BF39" s="262"/>
      <c r="BG39" s="267">
        <f ca="1">IFERROR(ROUND('Financial Planning Tool'!FE14,2),'Financial Planning Tool'!FE14)</f>
        <v>4</v>
      </c>
      <c r="BH39" s="268"/>
      <c r="BI39" s="268"/>
      <c r="BJ39" s="268"/>
      <c r="BK39" s="268"/>
      <c r="BL39" s="268"/>
      <c r="BM39" s="268"/>
      <c r="BN39" s="269"/>
    </row>
    <row r="40" spans="2:66" x14ac:dyDescent="0.25">
      <c r="B40" s="160" t="str">
        <f ca="1">'Financial Planning Tool'!EY15</f>
        <v>Sanlam RA</v>
      </c>
      <c r="C40" s="263"/>
      <c r="D40" s="263"/>
      <c r="E40" s="263"/>
      <c r="F40" s="263"/>
      <c r="G40" s="263"/>
      <c r="H40" s="263"/>
      <c r="I40" s="263"/>
      <c r="J40" s="263"/>
      <c r="K40" s="263"/>
      <c r="L40" s="263"/>
      <c r="M40" s="263"/>
      <c r="N40" s="263"/>
      <c r="O40" s="160" t="str">
        <f ca="1">'Financial Planning Tool'!EZ15</f>
        <v>Monthly</v>
      </c>
      <c r="P40" s="263"/>
      <c r="Q40" s="263"/>
      <c r="R40" s="263"/>
      <c r="S40" s="263"/>
      <c r="T40" s="263"/>
      <c r="U40" s="263"/>
      <c r="V40" s="161"/>
      <c r="W40" s="264">
        <f ca="1">'Financial Planning Tool'!FA15</f>
        <v>1000</v>
      </c>
      <c r="X40" s="265"/>
      <c r="Y40" s="265"/>
      <c r="Z40" s="265"/>
      <c r="AA40" s="265"/>
      <c r="AB40" s="265"/>
      <c r="AC40" s="265"/>
      <c r="AD40" s="265"/>
      <c r="AE40" s="265"/>
      <c r="AF40" s="266"/>
      <c r="AG40" s="264">
        <f ca="1">'Financial Planning Tool'!FB15</f>
        <v>1000</v>
      </c>
      <c r="AH40" s="265"/>
      <c r="AI40" s="265"/>
      <c r="AJ40" s="265"/>
      <c r="AK40" s="265"/>
      <c r="AL40" s="265"/>
      <c r="AM40" s="265"/>
      <c r="AN40" s="265"/>
      <c r="AO40" s="265"/>
      <c r="AP40" s="266"/>
      <c r="AQ40" s="260">
        <f ca="1">'Financial Planning Tool'!FC15</f>
        <v>45627</v>
      </c>
      <c r="AR40" s="261"/>
      <c r="AS40" s="261"/>
      <c r="AT40" s="261"/>
      <c r="AU40" s="261"/>
      <c r="AV40" s="261"/>
      <c r="AW40" s="261"/>
      <c r="AX40" s="262"/>
      <c r="AY40" s="260">
        <f ca="1">'Financial Planning Tool'!FD15</f>
        <v>49614</v>
      </c>
      <c r="AZ40" s="261"/>
      <c r="BA40" s="261"/>
      <c r="BB40" s="261"/>
      <c r="BC40" s="261"/>
      <c r="BD40" s="261"/>
      <c r="BE40" s="261"/>
      <c r="BF40" s="262"/>
      <c r="BG40" s="267">
        <f ca="1">IFERROR(ROUND('Financial Planning Tool'!FE15,2),'Financial Planning Tool'!FE15)</f>
        <v>4</v>
      </c>
      <c r="BH40" s="268"/>
      <c r="BI40" s="268"/>
      <c r="BJ40" s="268"/>
      <c r="BK40" s="268"/>
      <c r="BL40" s="268"/>
      <c r="BM40" s="268"/>
      <c r="BN40" s="269"/>
    </row>
    <row r="41" spans="2:66" x14ac:dyDescent="0.25">
      <c r="B41" s="160" t="str">
        <f ca="1">'Financial Planning Tool'!EY16</f>
        <v>Liberty Corporate Employer/Employee</v>
      </c>
      <c r="C41" s="263"/>
      <c r="D41" s="263"/>
      <c r="E41" s="263"/>
      <c r="F41" s="263"/>
      <c r="G41" s="263"/>
      <c r="H41" s="263"/>
      <c r="I41" s="263"/>
      <c r="J41" s="263"/>
      <c r="K41" s="263"/>
      <c r="L41" s="263"/>
      <c r="M41" s="263"/>
      <c r="N41" s="263"/>
      <c r="O41" s="160" t="str">
        <f ca="1">'Financial Planning Tool'!EZ16</f>
        <v>Monthly</v>
      </c>
      <c r="P41" s="263"/>
      <c r="Q41" s="263"/>
      <c r="R41" s="263"/>
      <c r="S41" s="263"/>
      <c r="T41" s="263"/>
      <c r="U41" s="263"/>
      <c r="V41" s="161"/>
      <c r="W41" s="264">
        <f ca="1">'Financial Planning Tool'!FA16</f>
        <v>3000</v>
      </c>
      <c r="X41" s="265"/>
      <c r="Y41" s="265"/>
      <c r="Z41" s="265"/>
      <c r="AA41" s="265"/>
      <c r="AB41" s="265"/>
      <c r="AC41" s="265"/>
      <c r="AD41" s="265"/>
      <c r="AE41" s="265"/>
      <c r="AF41" s="266"/>
      <c r="AG41" s="264">
        <f ca="1">'Financial Planning Tool'!FB16</f>
        <v>3000</v>
      </c>
      <c r="AH41" s="265"/>
      <c r="AI41" s="265"/>
      <c r="AJ41" s="265"/>
      <c r="AK41" s="265"/>
      <c r="AL41" s="265"/>
      <c r="AM41" s="265"/>
      <c r="AN41" s="265"/>
      <c r="AO41" s="265"/>
      <c r="AP41" s="266"/>
      <c r="AQ41" s="260">
        <f ca="1">'Financial Planning Tool'!FC16</f>
        <v>45627</v>
      </c>
      <c r="AR41" s="261"/>
      <c r="AS41" s="261"/>
      <c r="AT41" s="261"/>
      <c r="AU41" s="261"/>
      <c r="AV41" s="261"/>
      <c r="AW41" s="261"/>
      <c r="AX41" s="262"/>
      <c r="AY41" s="260">
        <f ca="1">'Financial Planning Tool'!FD16</f>
        <v>49614</v>
      </c>
      <c r="AZ41" s="261"/>
      <c r="BA41" s="261"/>
      <c r="BB41" s="261"/>
      <c r="BC41" s="261"/>
      <c r="BD41" s="261"/>
      <c r="BE41" s="261"/>
      <c r="BF41" s="262"/>
      <c r="BG41" s="267">
        <f ca="1">IFERROR(ROUND('Financial Planning Tool'!FE16,2),'Financial Planning Tool'!FE16)</f>
        <v>4</v>
      </c>
      <c r="BH41" s="268"/>
      <c r="BI41" s="268"/>
      <c r="BJ41" s="268"/>
      <c r="BK41" s="268"/>
      <c r="BL41" s="268"/>
      <c r="BM41" s="268"/>
      <c r="BN41" s="269"/>
    </row>
    <row r="42" spans="2:66" x14ac:dyDescent="0.25">
      <c r="B42" s="160" t="str">
        <f ca="1">'Financial Planning Tool'!EY17</f>
        <v>Annuity payment 1</v>
      </c>
      <c r="C42" s="263"/>
      <c r="D42" s="263"/>
      <c r="E42" s="263"/>
      <c r="F42" s="263"/>
      <c r="G42" s="263"/>
      <c r="H42" s="263"/>
      <c r="I42" s="263"/>
      <c r="J42" s="263"/>
      <c r="K42" s="263"/>
      <c r="L42" s="263"/>
      <c r="M42" s="263"/>
      <c r="N42" s="263"/>
      <c r="O42" s="160" t="str">
        <f ca="1">'Financial Planning Tool'!EZ17</f>
        <v>Monthly</v>
      </c>
      <c r="P42" s="263"/>
      <c r="Q42" s="263"/>
      <c r="R42" s="263"/>
      <c r="S42" s="263"/>
      <c r="T42" s="263"/>
      <c r="U42" s="263"/>
      <c r="V42" s="161"/>
      <c r="W42" s="264">
        <f ca="1">'Financial Planning Tool'!FA17</f>
        <v>35000</v>
      </c>
      <c r="X42" s="265"/>
      <c r="Y42" s="265"/>
      <c r="Z42" s="265"/>
      <c r="AA42" s="265"/>
      <c r="AB42" s="265"/>
      <c r="AC42" s="265"/>
      <c r="AD42" s="265"/>
      <c r="AE42" s="265"/>
      <c r="AF42" s="266"/>
      <c r="AG42" s="264">
        <f ca="1">'Financial Planning Tool'!FB17</f>
        <v>22809.762167523953</v>
      </c>
      <c r="AH42" s="265"/>
      <c r="AI42" s="265"/>
      <c r="AJ42" s="265"/>
      <c r="AK42" s="265"/>
      <c r="AL42" s="265"/>
      <c r="AM42" s="265"/>
      <c r="AN42" s="265"/>
      <c r="AO42" s="265"/>
      <c r="AP42" s="266"/>
      <c r="AQ42" s="260">
        <f ca="1">'Financial Planning Tool'!FC17</f>
        <v>49614</v>
      </c>
      <c r="AR42" s="261"/>
      <c r="AS42" s="261"/>
      <c r="AT42" s="261"/>
      <c r="AU42" s="261"/>
      <c r="AV42" s="261"/>
      <c r="AW42" s="261"/>
      <c r="AX42" s="262"/>
      <c r="AY42" s="260">
        <f ca="1">'Financial Planning Tool'!FD17</f>
        <v>82121</v>
      </c>
      <c r="AZ42" s="261"/>
      <c r="BA42" s="261"/>
      <c r="BB42" s="261"/>
      <c r="BC42" s="261"/>
      <c r="BD42" s="261"/>
      <c r="BE42" s="261"/>
      <c r="BF42" s="262"/>
      <c r="BG42" s="267">
        <f ca="1">IFERROR(ROUND('Financial Planning Tool'!FE17,2),'Financial Planning Tool'!FE17)</f>
        <v>4</v>
      </c>
      <c r="BH42" s="268"/>
      <c r="BI42" s="268"/>
      <c r="BJ42" s="268"/>
      <c r="BK42" s="268"/>
      <c r="BL42" s="268"/>
      <c r="BM42" s="268"/>
      <c r="BN42" s="269"/>
    </row>
    <row r="43" spans="2:66" x14ac:dyDescent="0.25">
      <c r="B43" s="57"/>
      <c r="C43" s="57"/>
      <c r="D43" s="57"/>
      <c r="E43" s="57"/>
      <c r="F43" s="57"/>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c r="AU43" s="57"/>
      <c r="AV43" s="57"/>
      <c r="AW43" s="57"/>
      <c r="AX43" s="57"/>
      <c r="AY43" s="57"/>
      <c r="AZ43" s="57"/>
      <c r="BA43" s="57"/>
      <c r="BB43" s="57"/>
      <c r="BC43" s="57"/>
      <c r="BD43" s="57"/>
      <c r="BE43" s="57"/>
      <c r="BF43" s="57"/>
      <c r="BG43" s="57"/>
      <c r="BH43" s="57"/>
      <c r="BI43" s="57"/>
      <c r="BJ43" s="57"/>
      <c r="BK43" s="57"/>
      <c r="BL43" s="57"/>
      <c r="BM43" s="57"/>
      <c r="BN43" s="57"/>
    </row>
    <row r="49" spans="2:73" x14ac:dyDescent="0.25">
      <c r="B49" s="15"/>
      <c r="C49" s="16"/>
      <c r="D49" s="17"/>
      <c r="E49" s="15"/>
      <c r="F49" s="15"/>
      <c r="G49" s="15"/>
      <c r="H49" s="15"/>
      <c r="I49" s="15"/>
      <c r="J49" s="15"/>
      <c r="K49" s="15"/>
      <c r="L49" s="15"/>
      <c r="M49" s="15"/>
      <c r="N49" s="15"/>
      <c r="O49" s="15"/>
      <c r="P49" s="15"/>
      <c r="Q49" s="15"/>
      <c r="R49" s="15"/>
    </row>
    <row r="50" spans="2:73" x14ac:dyDescent="0.25">
      <c r="B50" s="3" t="s">
        <v>154</v>
      </c>
    </row>
    <row r="56" spans="2:73" x14ac:dyDescent="0.25">
      <c r="B56" s="15"/>
      <c r="C56" s="16"/>
      <c r="D56" s="17"/>
      <c r="E56" s="15"/>
      <c r="F56" s="15"/>
      <c r="G56" s="15"/>
      <c r="H56" s="15"/>
      <c r="I56" s="15"/>
      <c r="J56" s="15"/>
      <c r="K56" s="15"/>
      <c r="L56" s="15"/>
      <c r="M56" s="15"/>
      <c r="N56" s="15"/>
      <c r="O56" s="15"/>
      <c r="P56" s="15"/>
      <c r="Q56" s="15"/>
      <c r="R56" s="15"/>
    </row>
    <row r="57" spans="2:73" x14ac:dyDescent="0.25">
      <c r="B57" s="3" t="s">
        <v>155</v>
      </c>
    </row>
    <row r="59" spans="2:73" x14ac:dyDescent="0.25">
      <c r="B59" t="s">
        <v>156</v>
      </c>
    </row>
    <row r="61" spans="2:73" x14ac:dyDescent="0.25">
      <c r="B61" s="196" t="s">
        <v>164</v>
      </c>
      <c r="C61" s="196"/>
      <c r="D61" s="196"/>
      <c r="E61" s="196"/>
      <c r="F61" s="196"/>
      <c r="G61" s="196"/>
      <c r="H61" s="196"/>
      <c r="I61" s="196"/>
      <c r="J61" s="196"/>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c r="AS61" s="196"/>
      <c r="AT61" s="196"/>
      <c r="AU61" s="196"/>
      <c r="AV61" s="196"/>
      <c r="AW61" s="196"/>
      <c r="AX61" s="196"/>
      <c r="AY61" s="196"/>
      <c r="AZ61" s="196"/>
      <c r="BA61" s="196"/>
      <c r="BB61" s="196"/>
      <c r="BC61" s="196"/>
      <c r="BD61" s="196"/>
      <c r="BE61" s="196"/>
      <c r="BF61" s="196"/>
      <c r="BG61" s="196"/>
      <c r="BH61" s="196"/>
      <c r="BI61" s="196"/>
      <c r="BJ61" s="196"/>
      <c r="BK61" s="196"/>
      <c r="BL61" s="196"/>
      <c r="BM61" s="196"/>
      <c r="BN61" s="196"/>
      <c r="BO61" s="196"/>
      <c r="BP61" s="196"/>
      <c r="BQ61" s="196"/>
      <c r="BR61" s="196"/>
      <c r="BS61" s="196"/>
      <c r="BT61" s="196"/>
      <c r="BU61" s="196"/>
    </row>
    <row r="62" spans="2:73" x14ac:dyDescent="0.25">
      <c r="B62" s="197"/>
      <c r="C62" s="198"/>
      <c r="D62" s="198"/>
      <c r="E62" s="198"/>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198"/>
      <c r="AK62" s="198"/>
      <c r="AL62" s="198"/>
      <c r="AM62" s="198"/>
      <c r="AN62" s="198"/>
      <c r="AO62" s="198"/>
      <c r="AP62" s="198"/>
      <c r="AQ62" s="198"/>
      <c r="AR62" s="198"/>
      <c r="AS62" s="198"/>
      <c r="AT62" s="198"/>
      <c r="AU62" s="198"/>
      <c r="AV62" s="198"/>
      <c r="AW62" s="198"/>
      <c r="AX62" s="198"/>
      <c r="AY62" s="198"/>
      <c r="AZ62" s="198"/>
      <c r="BA62" s="198"/>
      <c r="BB62" s="198"/>
      <c r="BC62" s="198"/>
      <c r="BD62" s="198"/>
      <c r="BE62" s="198"/>
      <c r="BF62" s="198"/>
      <c r="BG62" s="198"/>
      <c r="BH62" s="198"/>
      <c r="BI62" s="198"/>
      <c r="BJ62" s="198"/>
      <c r="BK62" s="198"/>
      <c r="BL62" s="198"/>
      <c r="BM62" s="198"/>
      <c r="BN62" s="198"/>
      <c r="BO62" s="198"/>
      <c r="BP62" s="198"/>
      <c r="BQ62" s="198"/>
      <c r="BR62" s="198"/>
      <c r="BS62" s="198"/>
      <c r="BT62" s="198"/>
      <c r="BU62" s="199"/>
    </row>
    <row r="63" spans="2:73" x14ac:dyDescent="0.25">
      <c r="B63" s="200"/>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1"/>
      <c r="AL63" s="201"/>
      <c r="AM63" s="201"/>
      <c r="AN63" s="201"/>
      <c r="AO63" s="201"/>
      <c r="AP63" s="201"/>
      <c r="AQ63" s="201"/>
      <c r="AR63" s="201"/>
      <c r="AS63" s="201"/>
      <c r="AT63" s="201"/>
      <c r="AU63" s="201"/>
      <c r="AV63" s="201"/>
      <c r="AW63" s="201"/>
      <c r="AX63" s="201"/>
      <c r="AY63" s="201"/>
      <c r="AZ63" s="201"/>
      <c r="BA63" s="201"/>
      <c r="BB63" s="201"/>
      <c r="BC63" s="201"/>
      <c r="BD63" s="201"/>
      <c r="BE63" s="201"/>
      <c r="BF63" s="201"/>
      <c r="BG63" s="201"/>
      <c r="BH63" s="201"/>
      <c r="BI63" s="201"/>
      <c r="BJ63" s="201"/>
      <c r="BK63" s="201"/>
      <c r="BL63" s="201"/>
      <c r="BM63" s="201"/>
      <c r="BN63" s="201"/>
      <c r="BO63" s="201"/>
      <c r="BP63" s="201"/>
      <c r="BQ63" s="201"/>
      <c r="BR63" s="201"/>
      <c r="BS63" s="201"/>
      <c r="BT63" s="201"/>
      <c r="BU63" s="202"/>
    </row>
    <row r="64" spans="2:73" x14ac:dyDescent="0.25">
      <c r="B64" s="200"/>
      <c r="C64" s="201"/>
      <c r="D64" s="201"/>
      <c r="E64" s="201"/>
      <c r="F64" s="201"/>
      <c r="G64" s="201"/>
      <c r="H64" s="201"/>
      <c r="I64" s="201"/>
      <c r="J64" s="201"/>
      <c r="K64" s="201"/>
      <c r="L64" s="201"/>
      <c r="M64" s="201"/>
      <c r="N64" s="201"/>
      <c r="O64" s="201"/>
      <c r="P64" s="201"/>
      <c r="Q64" s="201"/>
      <c r="R64" s="201"/>
      <c r="S64" s="201"/>
      <c r="T64" s="201"/>
      <c r="U64" s="201"/>
      <c r="V64" s="201"/>
      <c r="W64" s="201"/>
      <c r="X64" s="201"/>
      <c r="Y64" s="201"/>
      <c r="Z64" s="201"/>
      <c r="AA64" s="201"/>
      <c r="AB64" s="201"/>
      <c r="AC64" s="201"/>
      <c r="AD64" s="201"/>
      <c r="AE64" s="201"/>
      <c r="AF64" s="201"/>
      <c r="AG64" s="201"/>
      <c r="AH64" s="201"/>
      <c r="AI64" s="201"/>
      <c r="AJ64" s="201"/>
      <c r="AK64" s="201"/>
      <c r="AL64" s="201"/>
      <c r="AM64" s="201"/>
      <c r="AN64" s="201"/>
      <c r="AO64" s="201"/>
      <c r="AP64" s="201"/>
      <c r="AQ64" s="201"/>
      <c r="AR64" s="201"/>
      <c r="AS64" s="201"/>
      <c r="AT64" s="201"/>
      <c r="AU64" s="201"/>
      <c r="AV64" s="201"/>
      <c r="AW64" s="201"/>
      <c r="AX64" s="201"/>
      <c r="AY64" s="201"/>
      <c r="AZ64" s="201"/>
      <c r="BA64" s="201"/>
      <c r="BB64" s="201"/>
      <c r="BC64" s="201"/>
      <c r="BD64" s="201"/>
      <c r="BE64" s="201"/>
      <c r="BF64" s="201"/>
      <c r="BG64" s="201"/>
      <c r="BH64" s="201"/>
      <c r="BI64" s="201"/>
      <c r="BJ64" s="201"/>
      <c r="BK64" s="201"/>
      <c r="BL64" s="201"/>
      <c r="BM64" s="201"/>
      <c r="BN64" s="201"/>
      <c r="BO64" s="201"/>
      <c r="BP64" s="201"/>
      <c r="BQ64" s="201"/>
      <c r="BR64" s="201"/>
      <c r="BS64" s="201"/>
      <c r="BT64" s="201"/>
      <c r="BU64" s="202"/>
    </row>
    <row r="65" spans="2:73" x14ac:dyDescent="0.25">
      <c r="B65" s="200"/>
      <c r="C65" s="201"/>
      <c r="D65" s="201"/>
      <c r="E65" s="201"/>
      <c r="F65" s="201"/>
      <c r="G65" s="201"/>
      <c r="H65" s="201"/>
      <c r="I65" s="201"/>
      <c r="J65" s="201"/>
      <c r="K65" s="201"/>
      <c r="L65" s="201"/>
      <c r="M65" s="201"/>
      <c r="N65" s="201"/>
      <c r="O65" s="201"/>
      <c r="P65" s="201"/>
      <c r="Q65" s="201"/>
      <c r="R65" s="201"/>
      <c r="S65" s="201"/>
      <c r="T65" s="201"/>
      <c r="U65" s="201"/>
      <c r="V65" s="201"/>
      <c r="W65" s="201"/>
      <c r="X65" s="201"/>
      <c r="Y65" s="201"/>
      <c r="Z65" s="201"/>
      <c r="AA65" s="201"/>
      <c r="AB65" s="201"/>
      <c r="AC65" s="201"/>
      <c r="AD65" s="201"/>
      <c r="AE65" s="201"/>
      <c r="AF65" s="201"/>
      <c r="AG65" s="201"/>
      <c r="AH65" s="201"/>
      <c r="AI65" s="201"/>
      <c r="AJ65" s="201"/>
      <c r="AK65" s="201"/>
      <c r="AL65" s="201"/>
      <c r="AM65" s="201"/>
      <c r="AN65" s="201"/>
      <c r="AO65" s="201"/>
      <c r="AP65" s="201"/>
      <c r="AQ65" s="201"/>
      <c r="AR65" s="201"/>
      <c r="AS65" s="201"/>
      <c r="AT65" s="201"/>
      <c r="AU65" s="201"/>
      <c r="AV65" s="201"/>
      <c r="AW65" s="201"/>
      <c r="AX65" s="201"/>
      <c r="AY65" s="201"/>
      <c r="AZ65" s="201"/>
      <c r="BA65" s="201"/>
      <c r="BB65" s="201"/>
      <c r="BC65" s="201"/>
      <c r="BD65" s="201"/>
      <c r="BE65" s="201"/>
      <c r="BF65" s="201"/>
      <c r="BG65" s="201"/>
      <c r="BH65" s="201"/>
      <c r="BI65" s="201"/>
      <c r="BJ65" s="201"/>
      <c r="BK65" s="201"/>
      <c r="BL65" s="201"/>
      <c r="BM65" s="201"/>
      <c r="BN65" s="201"/>
      <c r="BO65" s="201"/>
      <c r="BP65" s="201"/>
      <c r="BQ65" s="201"/>
      <c r="BR65" s="201"/>
      <c r="BS65" s="201"/>
      <c r="BT65" s="201"/>
      <c r="BU65" s="202"/>
    </row>
    <row r="66" spans="2:73" x14ac:dyDescent="0.25">
      <c r="B66" s="200"/>
      <c r="C66" s="201"/>
      <c r="D66" s="201"/>
      <c r="E66" s="201"/>
      <c r="F66" s="201"/>
      <c r="G66" s="201"/>
      <c r="H66" s="201"/>
      <c r="I66" s="201"/>
      <c r="J66" s="201"/>
      <c r="K66" s="201"/>
      <c r="L66" s="201"/>
      <c r="M66" s="201"/>
      <c r="N66" s="201"/>
      <c r="O66" s="201"/>
      <c r="P66" s="201"/>
      <c r="Q66" s="201"/>
      <c r="R66" s="201"/>
      <c r="S66" s="201"/>
      <c r="T66" s="201"/>
      <c r="U66" s="201"/>
      <c r="V66" s="201"/>
      <c r="W66" s="201"/>
      <c r="X66" s="201"/>
      <c r="Y66" s="201"/>
      <c r="Z66" s="201"/>
      <c r="AA66" s="201"/>
      <c r="AB66" s="201"/>
      <c r="AC66" s="201"/>
      <c r="AD66" s="201"/>
      <c r="AE66" s="201"/>
      <c r="AF66" s="201"/>
      <c r="AG66" s="201"/>
      <c r="AH66" s="201"/>
      <c r="AI66" s="201"/>
      <c r="AJ66" s="201"/>
      <c r="AK66" s="201"/>
      <c r="AL66" s="201"/>
      <c r="AM66" s="201"/>
      <c r="AN66" s="201"/>
      <c r="AO66" s="201"/>
      <c r="AP66" s="201"/>
      <c r="AQ66" s="201"/>
      <c r="AR66" s="201"/>
      <c r="AS66" s="201"/>
      <c r="AT66" s="201"/>
      <c r="AU66" s="201"/>
      <c r="AV66" s="201"/>
      <c r="AW66" s="201"/>
      <c r="AX66" s="201"/>
      <c r="AY66" s="201"/>
      <c r="AZ66" s="201"/>
      <c r="BA66" s="201"/>
      <c r="BB66" s="201"/>
      <c r="BC66" s="201"/>
      <c r="BD66" s="201"/>
      <c r="BE66" s="201"/>
      <c r="BF66" s="201"/>
      <c r="BG66" s="201"/>
      <c r="BH66" s="201"/>
      <c r="BI66" s="201"/>
      <c r="BJ66" s="201"/>
      <c r="BK66" s="201"/>
      <c r="BL66" s="201"/>
      <c r="BM66" s="201"/>
      <c r="BN66" s="201"/>
      <c r="BO66" s="201"/>
      <c r="BP66" s="201"/>
      <c r="BQ66" s="201"/>
      <c r="BR66" s="201"/>
      <c r="BS66" s="201"/>
      <c r="BT66" s="201"/>
      <c r="BU66" s="202"/>
    </row>
    <row r="67" spans="2:73" x14ac:dyDescent="0.25">
      <c r="B67" s="200"/>
      <c r="C67" s="201"/>
      <c r="D67" s="201"/>
      <c r="E67" s="201"/>
      <c r="F67" s="201"/>
      <c r="G67" s="201"/>
      <c r="H67" s="201"/>
      <c r="I67" s="201"/>
      <c r="J67" s="201"/>
      <c r="K67" s="201"/>
      <c r="L67" s="201"/>
      <c r="M67" s="201"/>
      <c r="N67" s="201"/>
      <c r="O67" s="201"/>
      <c r="P67" s="201"/>
      <c r="Q67" s="201"/>
      <c r="R67" s="201"/>
      <c r="S67" s="201"/>
      <c r="T67" s="201"/>
      <c r="U67" s="201"/>
      <c r="V67" s="201"/>
      <c r="W67" s="201"/>
      <c r="X67" s="201"/>
      <c r="Y67" s="201"/>
      <c r="Z67" s="201"/>
      <c r="AA67" s="201"/>
      <c r="AB67" s="201"/>
      <c r="AC67" s="201"/>
      <c r="AD67" s="201"/>
      <c r="AE67" s="201"/>
      <c r="AF67" s="201"/>
      <c r="AG67" s="201"/>
      <c r="AH67" s="201"/>
      <c r="AI67" s="201"/>
      <c r="AJ67" s="201"/>
      <c r="AK67" s="201"/>
      <c r="AL67" s="201"/>
      <c r="AM67" s="201"/>
      <c r="AN67" s="201"/>
      <c r="AO67" s="201"/>
      <c r="AP67" s="201"/>
      <c r="AQ67" s="201"/>
      <c r="AR67" s="201"/>
      <c r="AS67" s="201"/>
      <c r="AT67" s="201"/>
      <c r="AU67" s="201"/>
      <c r="AV67" s="201"/>
      <c r="AW67" s="201"/>
      <c r="AX67" s="201"/>
      <c r="AY67" s="201"/>
      <c r="AZ67" s="201"/>
      <c r="BA67" s="201"/>
      <c r="BB67" s="201"/>
      <c r="BC67" s="201"/>
      <c r="BD67" s="201"/>
      <c r="BE67" s="201"/>
      <c r="BF67" s="201"/>
      <c r="BG67" s="201"/>
      <c r="BH67" s="201"/>
      <c r="BI67" s="201"/>
      <c r="BJ67" s="201"/>
      <c r="BK67" s="201"/>
      <c r="BL67" s="201"/>
      <c r="BM67" s="201"/>
      <c r="BN67" s="201"/>
      <c r="BO67" s="201"/>
      <c r="BP67" s="201"/>
      <c r="BQ67" s="201"/>
      <c r="BR67" s="201"/>
      <c r="BS67" s="201"/>
      <c r="BT67" s="201"/>
      <c r="BU67" s="202"/>
    </row>
    <row r="68" spans="2:73" x14ac:dyDescent="0.25">
      <c r="B68" s="200"/>
      <c r="C68" s="201"/>
      <c r="D68" s="201"/>
      <c r="E68" s="201"/>
      <c r="F68" s="201"/>
      <c r="G68" s="201"/>
      <c r="H68" s="201"/>
      <c r="I68" s="201"/>
      <c r="J68" s="201"/>
      <c r="K68" s="201"/>
      <c r="L68" s="201"/>
      <c r="M68" s="201"/>
      <c r="N68" s="201"/>
      <c r="O68" s="201"/>
      <c r="P68" s="201"/>
      <c r="Q68" s="201"/>
      <c r="R68" s="201"/>
      <c r="S68" s="201"/>
      <c r="T68" s="201"/>
      <c r="U68" s="201"/>
      <c r="V68" s="201"/>
      <c r="W68" s="201"/>
      <c r="X68" s="201"/>
      <c r="Y68" s="201"/>
      <c r="Z68" s="201"/>
      <c r="AA68" s="201"/>
      <c r="AB68" s="201"/>
      <c r="AC68" s="201"/>
      <c r="AD68" s="201"/>
      <c r="AE68" s="201"/>
      <c r="AF68" s="201"/>
      <c r="AG68" s="201"/>
      <c r="AH68" s="201"/>
      <c r="AI68" s="201"/>
      <c r="AJ68" s="201"/>
      <c r="AK68" s="201"/>
      <c r="AL68" s="201"/>
      <c r="AM68" s="201"/>
      <c r="AN68" s="201"/>
      <c r="AO68" s="201"/>
      <c r="AP68" s="201"/>
      <c r="AQ68" s="201"/>
      <c r="AR68" s="201"/>
      <c r="AS68" s="201"/>
      <c r="AT68" s="201"/>
      <c r="AU68" s="201"/>
      <c r="AV68" s="201"/>
      <c r="AW68" s="201"/>
      <c r="AX68" s="201"/>
      <c r="AY68" s="201"/>
      <c r="AZ68" s="201"/>
      <c r="BA68" s="201"/>
      <c r="BB68" s="201"/>
      <c r="BC68" s="201"/>
      <c r="BD68" s="201"/>
      <c r="BE68" s="201"/>
      <c r="BF68" s="201"/>
      <c r="BG68" s="201"/>
      <c r="BH68" s="201"/>
      <c r="BI68" s="201"/>
      <c r="BJ68" s="201"/>
      <c r="BK68" s="201"/>
      <c r="BL68" s="201"/>
      <c r="BM68" s="201"/>
      <c r="BN68" s="201"/>
      <c r="BO68" s="201"/>
      <c r="BP68" s="201"/>
      <c r="BQ68" s="201"/>
      <c r="BR68" s="201"/>
      <c r="BS68" s="201"/>
      <c r="BT68" s="201"/>
      <c r="BU68" s="202"/>
    </row>
    <row r="69" spans="2:73" x14ac:dyDescent="0.25">
      <c r="B69" s="200"/>
      <c r="C69" s="201"/>
      <c r="D69" s="201"/>
      <c r="E69" s="201"/>
      <c r="F69" s="201"/>
      <c r="G69" s="201"/>
      <c r="H69" s="201"/>
      <c r="I69" s="201"/>
      <c r="J69" s="201"/>
      <c r="K69" s="201"/>
      <c r="L69" s="201"/>
      <c r="M69" s="201"/>
      <c r="N69" s="201"/>
      <c r="O69" s="201"/>
      <c r="P69" s="201"/>
      <c r="Q69" s="201"/>
      <c r="R69" s="201"/>
      <c r="S69" s="201"/>
      <c r="T69" s="201"/>
      <c r="U69" s="201"/>
      <c r="V69" s="201"/>
      <c r="W69" s="201"/>
      <c r="X69" s="201"/>
      <c r="Y69" s="201"/>
      <c r="Z69" s="201"/>
      <c r="AA69" s="201"/>
      <c r="AB69" s="201"/>
      <c r="AC69" s="201"/>
      <c r="AD69" s="201"/>
      <c r="AE69" s="201"/>
      <c r="AF69" s="201"/>
      <c r="AG69" s="201"/>
      <c r="AH69" s="201"/>
      <c r="AI69" s="201"/>
      <c r="AJ69" s="201"/>
      <c r="AK69" s="201"/>
      <c r="AL69" s="201"/>
      <c r="AM69" s="201"/>
      <c r="AN69" s="201"/>
      <c r="AO69" s="201"/>
      <c r="AP69" s="201"/>
      <c r="AQ69" s="201"/>
      <c r="AR69" s="201"/>
      <c r="AS69" s="201"/>
      <c r="AT69" s="201"/>
      <c r="AU69" s="201"/>
      <c r="AV69" s="201"/>
      <c r="AW69" s="201"/>
      <c r="AX69" s="201"/>
      <c r="AY69" s="201"/>
      <c r="AZ69" s="201"/>
      <c r="BA69" s="201"/>
      <c r="BB69" s="201"/>
      <c r="BC69" s="201"/>
      <c r="BD69" s="201"/>
      <c r="BE69" s="201"/>
      <c r="BF69" s="201"/>
      <c r="BG69" s="201"/>
      <c r="BH69" s="201"/>
      <c r="BI69" s="201"/>
      <c r="BJ69" s="201"/>
      <c r="BK69" s="201"/>
      <c r="BL69" s="201"/>
      <c r="BM69" s="201"/>
      <c r="BN69" s="201"/>
      <c r="BO69" s="201"/>
      <c r="BP69" s="201"/>
      <c r="BQ69" s="201"/>
      <c r="BR69" s="201"/>
      <c r="BS69" s="201"/>
      <c r="BT69" s="201"/>
      <c r="BU69" s="202"/>
    </row>
    <row r="70" spans="2:73" x14ac:dyDescent="0.25">
      <c r="B70" s="203"/>
      <c r="C70" s="204"/>
      <c r="D70" s="204"/>
      <c r="E70" s="204"/>
      <c r="F70" s="204"/>
      <c r="G70" s="204"/>
      <c r="H70" s="204"/>
      <c r="I70" s="204"/>
      <c r="J70" s="204"/>
      <c r="K70" s="204"/>
      <c r="L70" s="204"/>
      <c r="M70" s="204"/>
      <c r="N70" s="204"/>
      <c r="O70" s="204"/>
      <c r="P70" s="204"/>
      <c r="Q70" s="204"/>
      <c r="R70" s="204"/>
      <c r="S70" s="204"/>
      <c r="T70" s="204"/>
      <c r="U70" s="204"/>
      <c r="V70" s="204"/>
      <c r="W70" s="204"/>
      <c r="X70" s="204"/>
      <c r="Y70" s="204"/>
      <c r="Z70" s="204"/>
      <c r="AA70" s="204"/>
      <c r="AB70" s="204"/>
      <c r="AC70" s="204"/>
      <c r="AD70" s="204"/>
      <c r="AE70" s="204"/>
      <c r="AF70" s="204"/>
      <c r="AG70" s="204"/>
      <c r="AH70" s="204"/>
      <c r="AI70" s="204"/>
      <c r="AJ70" s="204"/>
      <c r="AK70" s="204"/>
      <c r="AL70" s="204"/>
      <c r="AM70" s="204"/>
      <c r="AN70" s="204"/>
      <c r="AO70" s="204"/>
      <c r="AP70" s="204"/>
      <c r="AQ70" s="204"/>
      <c r="AR70" s="204"/>
      <c r="AS70" s="204"/>
      <c r="AT70" s="204"/>
      <c r="AU70" s="204"/>
      <c r="AV70" s="204"/>
      <c r="AW70" s="204"/>
      <c r="AX70" s="204"/>
      <c r="AY70" s="204"/>
      <c r="AZ70" s="204"/>
      <c r="BA70" s="204"/>
      <c r="BB70" s="204"/>
      <c r="BC70" s="204"/>
      <c r="BD70" s="204"/>
      <c r="BE70" s="204"/>
      <c r="BF70" s="204"/>
      <c r="BG70" s="204"/>
      <c r="BH70" s="204"/>
      <c r="BI70" s="204"/>
      <c r="BJ70" s="204"/>
      <c r="BK70" s="204"/>
      <c r="BL70" s="204"/>
      <c r="BM70" s="204"/>
      <c r="BN70" s="204"/>
      <c r="BO70" s="204"/>
      <c r="BP70" s="204"/>
      <c r="BQ70" s="204"/>
      <c r="BR70" s="204"/>
      <c r="BS70" s="204"/>
      <c r="BT70" s="204"/>
      <c r="BU70" s="205"/>
    </row>
    <row r="72" spans="2:73" x14ac:dyDescent="0.25">
      <c r="B72" s="3" t="str">
        <f>'Financial Planning Tool'!H15</f>
        <v>Output (in Nominal terms)</v>
      </c>
    </row>
    <row r="73" spans="2:73" x14ac:dyDescent="0.25">
      <c r="AR73" s="270" t="s">
        <v>36</v>
      </c>
      <c r="AS73" s="270"/>
      <c r="AT73" s="270"/>
      <c r="AU73" s="270"/>
      <c r="AV73" s="270"/>
      <c r="AW73" s="270"/>
      <c r="AX73" s="270"/>
      <c r="AY73" s="270"/>
      <c r="AZ73" s="270"/>
      <c r="BA73" s="270"/>
      <c r="BB73" s="270"/>
      <c r="BC73" s="270"/>
      <c r="BD73" s="270"/>
      <c r="BE73" s="270"/>
      <c r="BF73" s="270"/>
      <c r="BG73" s="246" t="s">
        <v>37</v>
      </c>
      <c r="BH73" s="246"/>
      <c r="BI73" s="246"/>
      <c r="BJ73" s="246"/>
      <c r="BK73" s="246"/>
      <c r="BL73" s="246"/>
      <c r="BM73" s="246"/>
      <c r="BN73" s="246"/>
      <c r="BO73" s="246"/>
      <c r="BP73" s="246"/>
      <c r="BQ73" s="246"/>
      <c r="BR73" s="246"/>
      <c r="BS73" s="246"/>
      <c r="BT73" s="246"/>
      <c r="BU73" s="246"/>
    </row>
    <row r="74" spans="2:73" x14ac:dyDescent="0.25">
      <c r="B74" t="str">
        <f>'Financial Planning Tool'!H18</f>
        <v>End market value after 36 years</v>
      </c>
      <c r="AR74" s="194">
        <f ca="1">'Financial Planning Tool'!N18</f>
        <v>240176.89</v>
      </c>
      <c r="AS74" s="194"/>
      <c r="AT74" s="194"/>
      <c r="AU74" s="194"/>
      <c r="AV74" s="194"/>
      <c r="AW74" s="194"/>
      <c r="AX74" s="194"/>
      <c r="AY74" s="194"/>
      <c r="AZ74" s="194"/>
      <c r="BA74" s="194"/>
      <c r="BB74" s="194"/>
      <c r="BC74" s="194"/>
      <c r="BD74" s="194"/>
      <c r="BE74" s="194"/>
      <c r="BF74" s="194"/>
      <c r="BG74" s="271">
        <f ca="1">'Financial Planning Tool'!P18</f>
        <v>58523.6</v>
      </c>
      <c r="BH74" s="272"/>
      <c r="BI74" s="272"/>
      <c r="BJ74" s="272"/>
      <c r="BK74" s="272"/>
      <c r="BL74" s="272"/>
      <c r="BM74" s="272"/>
      <c r="BN74" s="272"/>
      <c r="BO74" s="272"/>
      <c r="BP74" s="272"/>
      <c r="BQ74" s="272"/>
      <c r="BR74" s="272"/>
      <c r="BS74" s="272"/>
      <c r="BT74" s="272"/>
      <c r="BU74" s="273"/>
    </row>
    <row r="106" spans="2:73" x14ac:dyDescent="0.25">
      <c r="B106" s="175" t="s">
        <v>39</v>
      </c>
      <c r="C106" s="175"/>
      <c r="D106" s="175"/>
      <c r="E106" s="175"/>
      <c r="F106" s="223" t="s">
        <v>40</v>
      </c>
      <c r="G106" s="223"/>
      <c r="H106" s="223"/>
      <c r="I106" s="223"/>
      <c r="J106" s="170" t="s">
        <v>41</v>
      </c>
      <c r="K106" s="170"/>
      <c r="L106" s="170"/>
      <c r="M106" s="170"/>
      <c r="N106" s="170"/>
      <c r="O106" s="170"/>
      <c r="P106" s="170"/>
      <c r="Q106" s="170"/>
      <c r="R106" s="170"/>
      <c r="S106" s="170"/>
      <c r="T106" s="170"/>
      <c r="U106" s="170"/>
      <c r="V106" s="170"/>
      <c r="W106" s="170"/>
      <c r="X106" s="170"/>
      <c r="Y106" s="170"/>
      <c r="Z106" s="170" t="s">
        <v>42</v>
      </c>
      <c r="AA106" s="170"/>
      <c r="AB106" s="170"/>
      <c r="AC106" s="170"/>
      <c r="AD106" s="170"/>
      <c r="AE106" s="170"/>
      <c r="AF106" s="170"/>
      <c r="AG106" s="170"/>
      <c r="AH106" s="170"/>
      <c r="AI106" s="170"/>
      <c r="AJ106" s="170"/>
      <c r="AK106" s="170"/>
      <c r="AL106" s="170"/>
      <c r="AM106" s="170"/>
      <c r="AN106" s="170"/>
      <c r="AO106" s="170"/>
      <c r="AP106" s="170" t="s">
        <v>80</v>
      </c>
      <c r="AQ106" s="170"/>
      <c r="AR106" s="170"/>
      <c r="AS106" s="170"/>
      <c r="AT106" s="170"/>
      <c r="AU106" s="170"/>
      <c r="AV106" s="170"/>
      <c r="AW106" s="170"/>
      <c r="AX106" s="170"/>
      <c r="AY106" s="170"/>
      <c r="AZ106" s="170"/>
      <c r="BA106" s="170"/>
      <c r="BB106" s="170"/>
      <c r="BC106" s="170"/>
      <c r="BD106" s="170"/>
      <c r="BE106" s="170"/>
      <c r="BF106" s="224" t="s">
        <v>161</v>
      </c>
      <c r="BG106" s="225"/>
      <c r="BH106" s="225"/>
      <c r="BI106" s="225"/>
      <c r="BJ106" s="225"/>
      <c r="BK106" s="225"/>
      <c r="BL106" s="225"/>
      <c r="BM106" s="225"/>
      <c r="BN106" s="225"/>
      <c r="BO106" s="225"/>
      <c r="BP106" s="225"/>
      <c r="BQ106" s="225"/>
      <c r="BR106" s="225"/>
      <c r="BS106" s="225"/>
      <c r="BT106" s="225"/>
      <c r="BU106" s="226"/>
    </row>
    <row r="107" spans="2:73" x14ac:dyDescent="0.25">
      <c r="B107" s="175"/>
      <c r="C107" s="175"/>
      <c r="D107" s="175"/>
      <c r="E107" s="175"/>
      <c r="F107" s="223"/>
      <c r="G107" s="223"/>
      <c r="H107" s="223"/>
      <c r="I107" s="223"/>
      <c r="J107" s="170" t="s">
        <v>43</v>
      </c>
      <c r="K107" s="170"/>
      <c r="L107" s="170"/>
      <c r="M107" s="170"/>
      <c r="N107" s="170"/>
      <c r="O107" s="170"/>
      <c r="P107" s="170"/>
      <c r="Q107" s="170"/>
      <c r="R107" s="170" t="s">
        <v>44</v>
      </c>
      <c r="S107" s="170"/>
      <c r="T107" s="170"/>
      <c r="U107" s="170"/>
      <c r="V107" s="170"/>
      <c r="W107" s="170"/>
      <c r="X107" s="170"/>
      <c r="Y107" s="170"/>
      <c r="Z107" s="170" t="s">
        <v>43</v>
      </c>
      <c r="AA107" s="170"/>
      <c r="AB107" s="170"/>
      <c r="AC107" s="170"/>
      <c r="AD107" s="170"/>
      <c r="AE107" s="170"/>
      <c r="AF107" s="170"/>
      <c r="AG107" s="170"/>
      <c r="AH107" s="170" t="s">
        <v>44</v>
      </c>
      <c r="AI107" s="170"/>
      <c r="AJ107" s="170"/>
      <c r="AK107" s="170"/>
      <c r="AL107" s="170"/>
      <c r="AM107" s="170"/>
      <c r="AN107" s="170"/>
      <c r="AO107" s="170"/>
      <c r="AP107" s="170" t="s">
        <v>43</v>
      </c>
      <c r="AQ107" s="170"/>
      <c r="AR107" s="170"/>
      <c r="AS107" s="170"/>
      <c r="AT107" s="170"/>
      <c r="AU107" s="170"/>
      <c r="AV107" s="170"/>
      <c r="AW107" s="170"/>
      <c r="AX107" s="170" t="s">
        <v>44</v>
      </c>
      <c r="AY107" s="170"/>
      <c r="AZ107" s="170"/>
      <c r="BA107" s="170"/>
      <c r="BB107" s="170"/>
      <c r="BC107" s="170"/>
      <c r="BD107" s="170"/>
      <c r="BE107" s="170"/>
      <c r="BF107" s="170" t="s">
        <v>43</v>
      </c>
      <c r="BG107" s="170"/>
      <c r="BH107" s="170"/>
      <c r="BI107" s="170"/>
      <c r="BJ107" s="170"/>
      <c r="BK107" s="170"/>
      <c r="BL107" s="170"/>
      <c r="BM107" s="170"/>
      <c r="BN107" s="224" t="s">
        <v>44</v>
      </c>
      <c r="BO107" s="225"/>
      <c r="BP107" s="225"/>
      <c r="BQ107" s="225"/>
      <c r="BR107" s="225"/>
      <c r="BS107" s="225"/>
      <c r="BT107" s="225"/>
      <c r="BU107" s="226"/>
    </row>
    <row r="108" spans="2:73" x14ac:dyDescent="0.25">
      <c r="B108" s="227">
        <f ca="1">'Financial Planning Tool'!H55</f>
        <v>45991</v>
      </c>
      <c r="C108" s="228"/>
      <c r="D108" s="228"/>
      <c r="E108" s="229"/>
      <c r="F108" s="230">
        <f ca="1">'Financial Planning Tool'!I55</f>
        <v>55</v>
      </c>
      <c r="G108" s="231"/>
      <c r="H108" s="231"/>
      <c r="I108" s="232"/>
      <c r="J108" s="233">
        <f ca="1">'Financial Planning Tool'!J55</f>
        <v>664000</v>
      </c>
      <c r="K108" s="234"/>
      <c r="L108" s="234"/>
      <c r="M108" s="234"/>
      <c r="N108" s="234"/>
      <c r="O108" s="234"/>
      <c r="P108" s="234"/>
      <c r="Q108" s="235"/>
      <c r="R108" s="233">
        <f ca="1">'Financial Planning Tool'!K55</f>
        <v>663041.34</v>
      </c>
      <c r="S108" s="234"/>
      <c r="T108" s="234"/>
      <c r="U108" s="234"/>
      <c r="V108" s="234"/>
      <c r="W108" s="234"/>
      <c r="X108" s="234"/>
      <c r="Y108" s="235"/>
      <c r="Z108" s="233" t="str">
        <f ca="1">'Financial Planning Tool'!L55</f>
        <v/>
      </c>
      <c r="AA108" s="234"/>
      <c r="AB108" s="234"/>
      <c r="AC108" s="234"/>
      <c r="AD108" s="234"/>
      <c r="AE108" s="234"/>
      <c r="AF108" s="234"/>
      <c r="AG108" s="235"/>
      <c r="AH108" s="233" t="str">
        <f ca="1">'Financial Planning Tool'!M55</f>
        <v/>
      </c>
      <c r="AI108" s="234"/>
      <c r="AJ108" s="234"/>
      <c r="AK108" s="234"/>
      <c r="AL108" s="234"/>
      <c r="AM108" s="234"/>
      <c r="AN108" s="234"/>
      <c r="AO108" s="235"/>
      <c r="AP108" s="233" t="str">
        <f ca="1">'Financial Planning Tool'!N55</f>
        <v/>
      </c>
      <c r="AQ108" s="234"/>
      <c r="AR108" s="234"/>
      <c r="AS108" s="234"/>
      <c r="AT108" s="234"/>
      <c r="AU108" s="234"/>
      <c r="AV108" s="234"/>
      <c r="AW108" s="235"/>
      <c r="AX108" s="233" t="str">
        <f ca="1">'Financial Planning Tool'!O55</f>
        <v/>
      </c>
      <c r="AY108" s="234"/>
      <c r="AZ108" s="234"/>
      <c r="BA108" s="234"/>
      <c r="BB108" s="234"/>
      <c r="BC108" s="234"/>
      <c r="BD108" s="234"/>
      <c r="BE108" s="235"/>
      <c r="BF108" s="233">
        <f ca="1">'Financial Planning Tool'!P55</f>
        <v>721497.84</v>
      </c>
      <c r="BG108" s="234"/>
      <c r="BH108" s="234"/>
      <c r="BI108" s="234"/>
      <c r="BJ108" s="234"/>
      <c r="BK108" s="234"/>
      <c r="BL108" s="234"/>
      <c r="BM108" s="235"/>
      <c r="BN108" s="233">
        <f ca="1">'Financial Planning Tool'!Q55</f>
        <v>693747.93</v>
      </c>
      <c r="BO108" s="234"/>
      <c r="BP108" s="234"/>
      <c r="BQ108" s="234"/>
      <c r="BR108" s="234"/>
      <c r="BS108" s="234"/>
      <c r="BT108" s="234"/>
      <c r="BU108" s="235"/>
    </row>
    <row r="109" spans="2:73" x14ac:dyDescent="0.25">
      <c r="B109" s="215">
        <f ca="1">'Financial Planning Tool'!H56</f>
        <v>46356</v>
      </c>
      <c r="C109" s="216"/>
      <c r="D109" s="216"/>
      <c r="E109" s="217"/>
      <c r="F109" s="218">
        <f ca="1">'Financial Planning Tool'!I56</f>
        <v>56</v>
      </c>
      <c r="G109" s="186"/>
      <c r="H109" s="186"/>
      <c r="I109" s="219"/>
      <c r="J109" s="220">
        <f ca="1">'Financial Planning Tool'!J56</f>
        <v>56160</v>
      </c>
      <c r="K109" s="221"/>
      <c r="L109" s="221"/>
      <c r="M109" s="221"/>
      <c r="N109" s="221"/>
      <c r="O109" s="221"/>
      <c r="P109" s="221"/>
      <c r="Q109" s="222"/>
      <c r="R109" s="220">
        <f ca="1">'Financial Planning Tool'!K56</f>
        <v>53041.34</v>
      </c>
      <c r="S109" s="221"/>
      <c r="T109" s="221"/>
      <c r="U109" s="221"/>
      <c r="V109" s="221"/>
      <c r="W109" s="221"/>
      <c r="X109" s="221"/>
      <c r="Y109" s="222"/>
      <c r="Z109" s="220" t="str">
        <f ca="1">'Financial Planning Tool'!L56</f>
        <v/>
      </c>
      <c r="AA109" s="221"/>
      <c r="AB109" s="221"/>
      <c r="AC109" s="221"/>
      <c r="AD109" s="221"/>
      <c r="AE109" s="221"/>
      <c r="AF109" s="221"/>
      <c r="AG109" s="222"/>
      <c r="AH109" s="220" t="str">
        <f ca="1">'Financial Planning Tool'!M56</f>
        <v/>
      </c>
      <c r="AI109" s="221"/>
      <c r="AJ109" s="221"/>
      <c r="AK109" s="221"/>
      <c r="AL109" s="221"/>
      <c r="AM109" s="221"/>
      <c r="AN109" s="221"/>
      <c r="AO109" s="222"/>
      <c r="AP109" s="220" t="str">
        <f ca="1">'Financial Planning Tool'!N56</f>
        <v/>
      </c>
      <c r="AQ109" s="221"/>
      <c r="AR109" s="221"/>
      <c r="AS109" s="221"/>
      <c r="AT109" s="221"/>
      <c r="AU109" s="221"/>
      <c r="AV109" s="221"/>
      <c r="AW109" s="222"/>
      <c r="AX109" s="220" t="str">
        <f ca="1">'Financial Planning Tool'!O56</f>
        <v/>
      </c>
      <c r="AY109" s="221"/>
      <c r="AZ109" s="221"/>
      <c r="BA109" s="221"/>
      <c r="BB109" s="221"/>
      <c r="BC109" s="221"/>
      <c r="BD109" s="221"/>
      <c r="BE109" s="222"/>
      <c r="BF109" s="220">
        <f ca="1">'Financial Planning Tool'!P56</f>
        <v>845294.41</v>
      </c>
      <c r="BG109" s="221"/>
      <c r="BH109" s="221"/>
      <c r="BI109" s="221"/>
      <c r="BJ109" s="221"/>
      <c r="BK109" s="221"/>
      <c r="BL109" s="221"/>
      <c r="BM109" s="222"/>
      <c r="BN109" s="220">
        <f ca="1">'Financial Planning Tool'!Q56</f>
        <v>781522.2</v>
      </c>
      <c r="BO109" s="221"/>
      <c r="BP109" s="221"/>
      <c r="BQ109" s="221"/>
      <c r="BR109" s="221"/>
      <c r="BS109" s="221"/>
      <c r="BT109" s="221"/>
      <c r="BU109" s="222"/>
    </row>
    <row r="110" spans="2:73" x14ac:dyDescent="0.25">
      <c r="B110" s="215">
        <f ca="1">'Financial Planning Tool'!H57</f>
        <v>46721</v>
      </c>
      <c r="C110" s="216"/>
      <c r="D110" s="216"/>
      <c r="E110" s="217"/>
      <c r="F110" s="218">
        <f ca="1">'Financial Planning Tool'!I57</f>
        <v>57</v>
      </c>
      <c r="G110" s="186"/>
      <c r="H110" s="186"/>
      <c r="I110" s="219"/>
      <c r="J110" s="220">
        <f ca="1">'Financial Planning Tool'!J57</f>
        <v>58406.400000000001</v>
      </c>
      <c r="K110" s="221"/>
      <c r="L110" s="221"/>
      <c r="M110" s="221"/>
      <c r="N110" s="221"/>
      <c r="O110" s="221"/>
      <c r="P110" s="221"/>
      <c r="Q110" s="222"/>
      <c r="R110" s="220">
        <f ca="1">'Financial Planning Tool'!K57</f>
        <v>53041.34</v>
      </c>
      <c r="S110" s="221"/>
      <c r="T110" s="221"/>
      <c r="U110" s="221"/>
      <c r="V110" s="221"/>
      <c r="W110" s="221"/>
      <c r="X110" s="221"/>
      <c r="Y110" s="222"/>
      <c r="Z110" s="220" t="str">
        <f ca="1">'Financial Planning Tool'!L57</f>
        <v/>
      </c>
      <c r="AA110" s="221"/>
      <c r="AB110" s="221"/>
      <c r="AC110" s="221"/>
      <c r="AD110" s="221"/>
      <c r="AE110" s="221"/>
      <c r="AF110" s="221"/>
      <c r="AG110" s="222"/>
      <c r="AH110" s="220" t="str">
        <f ca="1">'Financial Planning Tool'!M57</f>
        <v/>
      </c>
      <c r="AI110" s="221"/>
      <c r="AJ110" s="221"/>
      <c r="AK110" s="221"/>
      <c r="AL110" s="221"/>
      <c r="AM110" s="221"/>
      <c r="AN110" s="221"/>
      <c r="AO110" s="222"/>
      <c r="AP110" s="220" t="str">
        <f ca="1">'Financial Planning Tool'!N57</f>
        <v/>
      </c>
      <c r="AQ110" s="221"/>
      <c r="AR110" s="221"/>
      <c r="AS110" s="221"/>
      <c r="AT110" s="221"/>
      <c r="AU110" s="221"/>
      <c r="AV110" s="221"/>
      <c r="AW110" s="222"/>
      <c r="AX110" s="220" t="str">
        <f ca="1">'Financial Planning Tool'!O57</f>
        <v/>
      </c>
      <c r="AY110" s="221"/>
      <c r="AZ110" s="221"/>
      <c r="BA110" s="221"/>
      <c r="BB110" s="221"/>
      <c r="BC110" s="221"/>
      <c r="BD110" s="221"/>
      <c r="BE110" s="222"/>
      <c r="BF110" s="220">
        <f ca="1">'Financial Planning Tool'!P57</f>
        <v>982587.13</v>
      </c>
      <c r="BG110" s="221"/>
      <c r="BH110" s="221"/>
      <c r="BI110" s="221"/>
      <c r="BJ110" s="221"/>
      <c r="BK110" s="221"/>
      <c r="BL110" s="221"/>
      <c r="BM110" s="222"/>
      <c r="BN110" s="220">
        <f ca="1">'Financial Planning Tool'!Q57</f>
        <v>873516.39</v>
      </c>
      <c r="BO110" s="221"/>
      <c r="BP110" s="221"/>
      <c r="BQ110" s="221"/>
      <c r="BR110" s="221"/>
      <c r="BS110" s="221"/>
      <c r="BT110" s="221"/>
      <c r="BU110" s="222"/>
    </row>
    <row r="111" spans="2:73" x14ac:dyDescent="0.25">
      <c r="B111" s="215">
        <f ca="1">'Financial Planning Tool'!H58</f>
        <v>47087</v>
      </c>
      <c r="C111" s="216"/>
      <c r="D111" s="216"/>
      <c r="E111" s="217"/>
      <c r="F111" s="218">
        <f ca="1">'Financial Planning Tool'!I58</f>
        <v>58</v>
      </c>
      <c r="G111" s="186"/>
      <c r="H111" s="186"/>
      <c r="I111" s="219"/>
      <c r="J111" s="220">
        <f ca="1">'Financial Planning Tool'!J58</f>
        <v>60742.66</v>
      </c>
      <c r="K111" s="221"/>
      <c r="L111" s="221"/>
      <c r="M111" s="221"/>
      <c r="N111" s="221"/>
      <c r="O111" s="221"/>
      <c r="P111" s="221"/>
      <c r="Q111" s="222"/>
      <c r="R111" s="220">
        <f ca="1">'Financial Planning Tool'!K58</f>
        <v>53041.34</v>
      </c>
      <c r="S111" s="221"/>
      <c r="T111" s="221"/>
      <c r="U111" s="221"/>
      <c r="V111" s="221"/>
      <c r="W111" s="221"/>
      <c r="X111" s="221"/>
      <c r="Y111" s="222"/>
      <c r="Z111" s="220" t="str">
        <f ca="1">'Financial Planning Tool'!L58</f>
        <v/>
      </c>
      <c r="AA111" s="221"/>
      <c r="AB111" s="221"/>
      <c r="AC111" s="221"/>
      <c r="AD111" s="221"/>
      <c r="AE111" s="221"/>
      <c r="AF111" s="221"/>
      <c r="AG111" s="222"/>
      <c r="AH111" s="220" t="str">
        <f ca="1">'Financial Planning Tool'!M58</f>
        <v/>
      </c>
      <c r="AI111" s="221"/>
      <c r="AJ111" s="221"/>
      <c r="AK111" s="221"/>
      <c r="AL111" s="221"/>
      <c r="AM111" s="221"/>
      <c r="AN111" s="221"/>
      <c r="AO111" s="222"/>
      <c r="AP111" s="220" t="str">
        <f ca="1">'Financial Planning Tool'!N58</f>
        <v/>
      </c>
      <c r="AQ111" s="221"/>
      <c r="AR111" s="221"/>
      <c r="AS111" s="221"/>
      <c r="AT111" s="221"/>
      <c r="AU111" s="221"/>
      <c r="AV111" s="221"/>
      <c r="AW111" s="222"/>
      <c r="AX111" s="220" t="str">
        <f ca="1">'Financial Planning Tool'!O58</f>
        <v/>
      </c>
      <c r="AY111" s="221"/>
      <c r="AZ111" s="221"/>
      <c r="BA111" s="221"/>
      <c r="BB111" s="221"/>
      <c r="BC111" s="221"/>
      <c r="BD111" s="221"/>
      <c r="BE111" s="222"/>
      <c r="BF111" s="220">
        <f ca="1">'Financial Planning Tool'!P58</f>
        <v>1134684.8600000001</v>
      </c>
      <c r="BG111" s="221"/>
      <c r="BH111" s="221"/>
      <c r="BI111" s="221"/>
      <c r="BJ111" s="221"/>
      <c r="BK111" s="221"/>
      <c r="BL111" s="221"/>
      <c r="BM111" s="222"/>
      <c r="BN111" s="220">
        <f ca="1">'Financial Planning Tool'!Q58</f>
        <v>969933.37</v>
      </c>
      <c r="BO111" s="221"/>
      <c r="BP111" s="221"/>
      <c r="BQ111" s="221"/>
      <c r="BR111" s="221"/>
      <c r="BS111" s="221"/>
      <c r="BT111" s="221"/>
      <c r="BU111" s="222"/>
    </row>
    <row r="112" spans="2:73" x14ac:dyDescent="0.25">
      <c r="B112" s="215">
        <f ca="1">'Financial Planning Tool'!H59</f>
        <v>47452</v>
      </c>
      <c r="C112" s="216"/>
      <c r="D112" s="216"/>
      <c r="E112" s="217"/>
      <c r="F112" s="218">
        <f ca="1">'Financial Planning Tool'!I59</f>
        <v>59</v>
      </c>
      <c r="G112" s="186"/>
      <c r="H112" s="186"/>
      <c r="I112" s="219"/>
      <c r="J112" s="220">
        <f ca="1">'Financial Planning Tool'!J59</f>
        <v>63172.36</v>
      </c>
      <c r="K112" s="221"/>
      <c r="L112" s="221"/>
      <c r="M112" s="221"/>
      <c r="N112" s="221"/>
      <c r="O112" s="221"/>
      <c r="P112" s="221"/>
      <c r="Q112" s="222"/>
      <c r="R112" s="220">
        <f ca="1">'Financial Planning Tool'!K59</f>
        <v>53041.34</v>
      </c>
      <c r="S112" s="221"/>
      <c r="T112" s="221"/>
      <c r="U112" s="221"/>
      <c r="V112" s="221"/>
      <c r="W112" s="221"/>
      <c r="X112" s="221"/>
      <c r="Y112" s="222"/>
      <c r="Z112" s="220" t="str">
        <f ca="1">'Financial Planning Tool'!L59</f>
        <v/>
      </c>
      <c r="AA112" s="221"/>
      <c r="AB112" s="221"/>
      <c r="AC112" s="221"/>
      <c r="AD112" s="221"/>
      <c r="AE112" s="221"/>
      <c r="AF112" s="221"/>
      <c r="AG112" s="222"/>
      <c r="AH112" s="220" t="str">
        <f ca="1">'Financial Planning Tool'!M59</f>
        <v/>
      </c>
      <c r="AI112" s="221"/>
      <c r="AJ112" s="221"/>
      <c r="AK112" s="221"/>
      <c r="AL112" s="221"/>
      <c r="AM112" s="221"/>
      <c r="AN112" s="221"/>
      <c r="AO112" s="222"/>
      <c r="AP112" s="220" t="str">
        <f ca="1">'Financial Planning Tool'!N59</f>
        <v/>
      </c>
      <c r="AQ112" s="221"/>
      <c r="AR112" s="221"/>
      <c r="AS112" s="221"/>
      <c r="AT112" s="221"/>
      <c r="AU112" s="221"/>
      <c r="AV112" s="221"/>
      <c r="AW112" s="222"/>
      <c r="AX112" s="220" t="str">
        <f ca="1">'Financial Planning Tool'!O59</f>
        <v/>
      </c>
      <c r="AY112" s="221"/>
      <c r="AZ112" s="221"/>
      <c r="BA112" s="221"/>
      <c r="BB112" s="221"/>
      <c r="BC112" s="221"/>
      <c r="BD112" s="221"/>
      <c r="BE112" s="222"/>
      <c r="BF112" s="220">
        <f ca="1">'Financial Planning Tool'!P59</f>
        <v>1303017.97</v>
      </c>
      <c r="BG112" s="221"/>
      <c r="BH112" s="221"/>
      <c r="BI112" s="221"/>
      <c r="BJ112" s="221"/>
      <c r="BK112" s="221"/>
      <c r="BL112" s="221"/>
      <c r="BM112" s="222"/>
      <c r="BN112" s="220">
        <f ca="1">'Financial Planning Tool'!Q59</f>
        <v>1070985.79</v>
      </c>
      <c r="BO112" s="221"/>
      <c r="BP112" s="221"/>
      <c r="BQ112" s="221"/>
      <c r="BR112" s="221"/>
      <c r="BS112" s="221"/>
      <c r="BT112" s="221"/>
      <c r="BU112" s="222"/>
    </row>
    <row r="113" spans="2:73" x14ac:dyDescent="0.25">
      <c r="B113" s="215">
        <f ca="1">'Financial Planning Tool'!H60</f>
        <v>47817</v>
      </c>
      <c r="C113" s="216"/>
      <c r="D113" s="216"/>
      <c r="E113" s="217"/>
      <c r="F113" s="218">
        <f ca="1">'Financial Planning Tool'!I60</f>
        <v>60</v>
      </c>
      <c r="G113" s="186"/>
      <c r="H113" s="186"/>
      <c r="I113" s="219"/>
      <c r="J113" s="220">
        <f ca="1">'Financial Planning Tool'!J60</f>
        <v>65699.259999999995</v>
      </c>
      <c r="K113" s="221"/>
      <c r="L113" s="221"/>
      <c r="M113" s="221"/>
      <c r="N113" s="221"/>
      <c r="O113" s="221"/>
      <c r="P113" s="221"/>
      <c r="Q113" s="222"/>
      <c r="R113" s="220">
        <f ca="1">'Financial Planning Tool'!K60</f>
        <v>53041.34</v>
      </c>
      <c r="S113" s="221"/>
      <c r="T113" s="221"/>
      <c r="U113" s="221"/>
      <c r="V113" s="221"/>
      <c r="W113" s="221"/>
      <c r="X113" s="221"/>
      <c r="Y113" s="222"/>
      <c r="Z113" s="220" t="str">
        <f ca="1">'Financial Planning Tool'!L60</f>
        <v/>
      </c>
      <c r="AA113" s="221"/>
      <c r="AB113" s="221"/>
      <c r="AC113" s="221"/>
      <c r="AD113" s="221"/>
      <c r="AE113" s="221"/>
      <c r="AF113" s="221"/>
      <c r="AG113" s="222"/>
      <c r="AH113" s="220" t="str">
        <f ca="1">'Financial Planning Tool'!M60</f>
        <v/>
      </c>
      <c r="AI113" s="221"/>
      <c r="AJ113" s="221"/>
      <c r="AK113" s="221"/>
      <c r="AL113" s="221"/>
      <c r="AM113" s="221"/>
      <c r="AN113" s="221"/>
      <c r="AO113" s="222"/>
      <c r="AP113" s="220" t="str">
        <f ca="1">'Financial Planning Tool'!N60</f>
        <v/>
      </c>
      <c r="AQ113" s="221"/>
      <c r="AR113" s="221"/>
      <c r="AS113" s="221"/>
      <c r="AT113" s="221"/>
      <c r="AU113" s="221"/>
      <c r="AV113" s="221"/>
      <c r="AW113" s="222"/>
      <c r="AX113" s="220" t="str">
        <f ca="1">'Financial Planning Tool'!O60</f>
        <v/>
      </c>
      <c r="AY113" s="221"/>
      <c r="AZ113" s="221"/>
      <c r="BA113" s="221"/>
      <c r="BB113" s="221"/>
      <c r="BC113" s="221"/>
      <c r="BD113" s="221"/>
      <c r="BE113" s="222"/>
      <c r="BF113" s="220">
        <f ca="1">'Financial Planning Tool'!P60</f>
        <v>1489149.51</v>
      </c>
      <c r="BG113" s="221"/>
      <c r="BH113" s="221"/>
      <c r="BI113" s="221"/>
      <c r="BJ113" s="221"/>
      <c r="BK113" s="221"/>
      <c r="BL113" s="221"/>
      <c r="BM113" s="222"/>
      <c r="BN113" s="220">
        <f ca="1">'Financial Planning Tool'!Q60</f>
        <v>1176896.49</v>
      </c>
      <c r="BO113" s="221"/>
      <c r="BP113" s="221"/>
      <c r="BQ113" s="221"/>
      <c r="BR113" s="221"/>
      <c r="BS113" s="221"/>
      <c r="BT113" s="221"/>
      <c r="BU113" s="222"/>
    </row>
    <row r="114" spans="2:73" x14ac:dyDescent="0.25">
      <c r="B114" s="215">
        <f ca="1">'Financial Planning Tool'!H61</f>
        <v>48182</v>
      </c>
      <c r="C114" s="216"/>
      <c r="D114" s="216"/>
      <c r="E114" s="217"/>
      <c r="F114" s="218">
        <f ca="1">'Financial Planning Tool'!I61</f>
        <v>61</v>
      </c>
      <c r="G114" s="186"/>
      <c r="H114" s="186"/>
      <c r="I114" s="219"/>
      <c r="J114" s="220">
        <f ca="1">'Financial Planning Tool'!J61</f>
        <v>68327.23</v>
      </c>
      <c r="K114" s="221"/>
      <c r="L114" s="221"/>
      <c r="M114" s="221"/>
      <c r="N114" s="221"/>
      <c r="O114" s="221"/>
      <c r="P114" s="221"/>
      <c r="Q114" s="222"/>
      <c r="R114" s="220">
        <f ca="1">'Financial Planning Tool'!K61</f>
        <v>53041.34</v>
      </c>
      <c r="S114" s="221"/>
      <c r="T114" s="221"/>
      <c r="U114" s="221"/>
      <c r="V114" s="221"/>
      <c r="W114" s="221"/>
      <c r="X114" s="221"/>
      <c r="Y114" s="222"/>
      <c r="Z114" s="220" t="str">
        <f ca="1">'Financial Planning Tool'!L61</f>
        <v/>
      </c>
      <c r="AA114" s="221"/>
      <c r="AB114" s="221"/>
      <c r="AC114" s="221"/>
      <c r="AD114" s="221"/>
      <c r="AE114" s="221"/>
      <c r="AF114" s="221"/>
      <c r="AG114" s="222"/>
      <c r="AH114" s="220" t="str">
        <f ca="1">'Financial Planning Tool'!M61</f>
        <v/>
      </c>
      <c r="AI114" s="221"/>
      <c r="AJ114" s="221"/>
      <c r="AK114" s="221"/>
      <c r="AL114" s="221"/>
      <c r="AM114" s="221"/>
      <c r="AN114" s="221"/>
      <c r="AO114" s="222"/>
      <c r="AP114" s="220" t="str">
        <f ca="1">'Financial Planning Tool'!N61</f>
        <v/>
      </c>
      <c r="AQ114" s="221"/>
      <c r="AR114" s="221"/>
      <c r="AS114" s="221"/>
      <c r="AT114" s="221"/>
      <c r="AU114" s="221"/>
      <c r="AV114" s="221"/>
      <c r="AW114" s="222"/>
      <c r="AX114" s="220" t="str">
        <f ca="1">'Financial Planning Tool'!O61</f>
        <v/>
      </c>
      <c r="AY114" s="221"/>
      <c r="AZ114" s="221"/>
      <c r="BA114" s="221"/>
      <c r="BB114" s="221"/>
      <c r="BC114" s="221"/>
      <c r="BD114" s="221"/>
      <c r="BE114" s="222"/>
      <c r="BF114" s="220">
        <f ca="1">'Financial Planning Tool'!P61</f>
        <v>1694787.3</v>
      </c>
      <c r="BG114" s="221"/>
      <c r="BH114" s="221"/>
      <c r="BI114" s="221"/>
      <c r="BJ114" s="221"/>
      <c r="BK114" s="221"/>
      <c r="BL114" s="221"/>
      <c r="BM114" s="222"/>
      <c r="BN114" s="220">
        <f ca="1">'Financial Planning Tool'!Q61</f>
        <v>1287899.06</v>
      </c>
      <c r="BO114" s="221"/>
      <c r="BP114" s="221"/>
      <c r="BQ114" s="221"/>
      <c r="BR114" s="221"/>
      <c r="BS114" s="221"/>
      <c r="BT114" s="221"/>
      <c r="BU114" s="222"/>
    </row>
    <row r="115" spans="2:73" x14ac:dyDescent="0.25">
      <c r="B115" s="215">
        <f ca="1">'Financial Planning Tool'!H62</f>
        <v>48548</v>
      </c>
      <c r="C115" s="216"/>
      <c r="D115" s="216"/>
      <c r="E115" s="217"/>
      <c r="F115" s="218">
        <f ca="1">'Financial Planning Tool'!I62</f>
        <v>62</v>
      </c>
      <c r="G115" s="186"/>
      <c r="H115" s="186"/>
      <c r="I115" s="219"/>
      <c r="J115" s="220">
        <f ca="1">'Financial Planning Tool'!J62</f>
        <v>71060.320000000007</v>
      </c>
      <c r="K115" s="221"/>
      <c r="L115" s="221"/>
      <c r="M115" s="221"/>
      <c r="N115" s="221"/>
      <c r="O115" s="221"/>
      <c r="P115" s="221"/>
      <c r="Q115" s="222"/>
      <c r="R115" s="220">
        <f ca="1">'Financial Planning Tool'!K62</f>
        <v>53041.34</v>
      </c>
      <c r="S115" s="221"/>
      <c r="T115" s="221"/>
      <c r="U115" s="221"/>
      <c r="V115" s="221"/>
      <c r="W115" s="221"/>
      <c r="X115" s="221"/>
      <c r="Y115" s="222"/>
      <c r="Z115" s="220" t="str">
        <f ca="1">'Financial Planning Tool'!L62</f>
        <v/>
      </c>
      <c r="AA115" s="221"/>
      <c r="AB115" s="221"/>
      <c r="AC115" s="221"/>
      <c r="AD115" s="221"/>
      <c r="AE115" s="221"/>
      <c r="AF115" s="221"/>
      <c r="AG115" s="222"/>
      <c r="AH115" s="220" t="str">
        <f ca="1">'Financial Planning Tool'!M62</f>
        <v/>
      </c>
      <c r="AI115" s="221"/>
      <c r="AJ115" s="221"/>
      <c r="AK115" s="221"/>
      <c r="AL115" s="221"/>
      <c r="AM115" s="221"/>
      <c r="AN115" s="221"/>
      <c r="AO115" s="222"/>
      <c r="AP115" s="220" t="str">
        <f ca="1">'Financial Planning Tool'!N62</f>
        <v/>
      </c>
      <c r="AQ115" s="221"/>
      <c r="AR115" s="221"/>
      <c r="AS115" s="221"/>
      <c r="AT115" s="221"/>
      <c r="AU115" s="221"/>
      <c r="AV115" s="221"/>
      <c r="AW115" s="222"/>
      <c r="AX115" s="220" t="str">
        <f ca="1">'Financial Planning Tool'!O62</f>
        <v/>
      </c>
      <c r="AY115" s="221"/>
      <c r="AZ115" s="221"/>
      <c r="BA115" s="221"/>
      <c r="BB115" s="221"/>
      <c r="BC115" s="221"/>
      <c r="BD115" s="221"/>
      <c r="BE115" s="222"/>
      <c r="BF115" s="220">
        <f ca="1">'Financial Planning Tool'!P62</f>
        <v>1921797.06</v>
      </c>
      <c r="BG115" s="221"/>
      <c r="BH115" s="221"/>
      <c r="BI115" s="221"/>
      <c r="BJ115" s="221"/>
      <c r="BK115" s="221"/>
      <c r="BL115" s="221"/>
      <c r="BM115" s="222"/>
      <c r="BN115" s="220">
        <f ca="1">'Financial Planning Tool'!Q62</f>
        <v>1404238.29</v>
      </c>
      <c r="BO115" s="221"/>
      <c r="BP115" s="221"/>
      <c r="BQ115" s="221"/>
      <c r="BR115" s="221"/>
      <c r="BS115" s="221"/>
      <c r="BT115" s="221"/>
      <c r="BU115" s="222"/>
    </row>
    <row r="116" spans="2:73" x14ac:dyDescent="0.25">
      <c r="B116" s="215">
        <f ca="1">'Financial Planning Tool'!H63</f>
        <v>48913</v>
      </c>
      <c r="C116" s="216"/>
      <c r="D116" s="216"/>
      <c r="E116" s="217"/>
      <c r="F116" s="218">
        <f ca="1">'Financial Planning Tool'!I63</f>
        <v>63</v>
      </c>
      <c r="G116" s="186"/>
      <c r="H116" s="186"/>
      <c r="I116" s="219"/>
      <c r="J116" s="220">
        <f ca="1">'Financial Planning Tool'!J63</f>
        <v>73902.73</v>
      </c>
      <c r="K116" s="221"/>
      <c r="L116" s="221"/>
      <c r="M116" s="221"/>
      <c r="N116" s="221"/>
      <c r="O116" s="221"/>
      <c r="P116" s="221"/>
      <c r="Q116" s="222"/>
      <c r="R116" s="220">
        <f ca="1">'Financial Planning Tool'!K63</f>
        <v>53041.34</v>
      </c>
      <c r="S116" s="221"/>
      <c r="T116" s="221"/>
      <c r="U116" s="221"/>
      <c r="V116" s="221"/>
      <c r="W116" s="221"/>
      <c r="X116" s="221"/>
      <c r="Y116" s="222"/>
      <c r="Z116" s="220" t="str">
        <f ca="1">'Financial Planning Tool'!L63</f>
        <v/>
      </c>
      <c r="AA116" s="221"/>
      <c r="AB116" s="221"/>
      <c r="AC116" s="221"/>
      <c r="AD116" s="221"/>
      <c r="AE116" s="221"/>
      <c r="AF116" s="221"/>
      <c r="AG116" s="222"/>
      <c r="AH116" s="220" t="str">
        <f ca="1">'Financial Planning Tool'!M63</f>
        <v/>
      </c>
      <c r="AI116" s="221"/>
      <c r="AJ116" s="221"/>
      <c r="AK116" s="221"/>
      <c r="AL116" s="221"/>
      <c r="AM116" s="221"/>
      <c r="AN116" s="221"/>
      <c r="AO116" s="222"/>
      <c r="AP116" s="220" t="str">
        <f ca="1">'Financial Planning Tool'!N63</f>
        <v/>
      </c>
      <c r="AQ116" s="221"/>
      <c r="AR116" s="221"/>
      <c r="AS116" s="221"/>
      <c r="AT116" s="221"/>
      <c r="AU116" s="221"/>
      <c r="AV116" s="221"/>
      <c r="AW116" s="222"/>
      <c r="AX116" s="220" t="str">
        <f ca="1">'Financial Planning Tool'!O63</f>
        <v/>
      </c>
      <c r="AY116" s="221"/>
      <c r="AZ116" s="221"/>
      <c r="BA116" s="221"/>
      <c r="BB116" s="221"/>
      <c r="BC116" s="221"/>
      <c r="BD116" s="221"/>
      <c r="BE116" s="222"/>
      <c r="BF116" s="220">
        <f ca="1">'Financial Planning Tool'!P63</f>
        <v>2172216.85</v>
      </c>
      <c r="BG116" s="221"/>
      <c r="BH116" s="221"/>
      <c r="BI116" s="221"/>
      <c r="BJ116" s="221"/>
      <c r="BK116" s="221"/>
      <c r="BL116" s="221"/>
      <c r="BM116" s="222"/>
      <c r="BN116" s="220">
        <f ca="1">'Financial Planning Tool'!Q63</f>
        <v>1526170.75</v>
      </c>
      <c r="BO116" s="221"/>
      <c r="BP116" s="221"/>
      <c r="BQ116" s="221"/>
      <c r="BR116" s="221"/>
      <c r="BS116" s="221"/>
      <c r="BT116" s="221"/>
      <c r="BU116" s="222"/>
    </row>
    <row r="117" spans="2:73" x14ac:dyDescent="0.25">
      <c r="B117" s="215">
        <f ca="1">'Financial Planning Tool'!H64</f>
        <v>49278</v>
      </c>
      <c r="C117" s="216"/>
      <c r="D117" s="216"/>
      <c r="E117" s="217"/>
      <c r="F117" s="218">
        <f ca="1">'Financial Planning Tool'!I64</f>
        <v>64</v>
      </c>
      <c r="G117" s="186"/>
      <c r="H117" s="186"/>
      <c r="I117" s="219"/>
      <c r="J117" s="220">
        <f ca="1">'Financial Planning Tool'!J64</f>
        <v>76858.84</v>
      </c>
      <c r="K117" s="221"/>
      <c r="L117" s="221"/>
      <c r="M117" s="221"/>
      <c r="N117" s="221"/>
      <c r="O117" s="221"/>
      <c r="P117" s="221"/>
      <c r="Q117" s="222"/>
      <c r="R117" s="220">
        <f ca="1">'Financial Planning Tool'!K64</f>
        <v>53041.34</v>
      </c>
      <c r="S117" s="221"/>
      <c r="T117" s="221"/>
      <c r="U117" s="221"/>
      <c r="V117" s="221"/>
      <c r="W117" s="221"/>
      <c r="X117" s="221"/>
      <c r="Y117" s="222"/>
      <c r="Z117" s="220" t="str">
        <f ca="1">'Financial Planning Tool'!L64</f>
        <v/>
      </c>
      <c r="AA117" s="221"/>
      <c r="AB117" s="221"/>
      <c r="AC117" s="221"/>
      <c r="AD117" s="221"/>
      <c r="AE117" s="221"/>
      <c r="AF117" s="221"/>
      <c r="AG117" s="222"/>
      <c r="AH117" s="220" t="str">
        <f ca="1">'Financial Planning Tool'!M64</f>
        <v/>
      </c>
      <c r="AI117" s="221"/>
      <c r="AJ117" s="221"/>
      <c r="AK117" s="221"/>
      <c r="AL117" s="221"/>
      <c r="AM117" s="221"/>
      <c r="AN117" s="221"/>
      <c r="AO117" s="222"/>
      <c r="AP117" s="220" t="str">
        <f ca="1">'Financial Planning Tool'!N64</f>
        <v/>
      </c>
      <c r="AQ117" s="221"/>
      <c r="AR117" s="221"/>
      <c r="AS117" s="221"/>
      <c r="AT117" s="221"/>
      <c r="AU117" s="221"/>
      <c r="AV117" s="221"/>
      <c r="AW117" s="222"/>
      <c r="AX117" s="220" t="str">
        <f ca="1">'Financial Planning Tool'!O64</f>
        <v/>
      </c>
      <c r="AY117" s="221"/>
      <c r="AZ117" s="221"/>
      <c r="BA117" s="221"/>
      <c r="BB117" s="221"/>
      <c r="BC117" s="221"/>
      <c r="BD117" s="221"/>
      <c r="BE117" s="222"/>
      <c r="BF117" s="220">
        <f ca="1">'Financial Planning Tool'!P64</f>
        <v>2448272.75</v>
      </c>
      <c r="BG117" s="221"/>
      <c r="BH117" s="221"/>
      <c r="BI117" s="221"/>
      <c r="BJ117" s="221"/>
      <c r="BK117" s="221"/>
      <c r="BL117" s="221"/>
      <c r="BM117" s="222"/>
      <c r="BN117" s="220">
        <f ca="1">'Financial Planning Tool'!Q64</f>
        <v>1653965.35</v>
      </c>
      <c r="BO117" s="221"/>
      <c r="BP117" s="221"/>
      <c r="BQ117" s="221"/>
      <c r="BR117" s="221"/>
      <c r="BS117" s="221"/>
      <c r="BT117" s="221"/>
      <c r="BU117" s="222"/>
    </row>
    <row r="118" spans="2:73" x14ac:dyDescent="0.25">
      <c r="B118" s="215">
        <f ca="1">'Financial Planning Tool'!H65</f>
        <v>49643</v>
      </c>
      <c r="C118" s="216"/>
      <c r="D118" s="216"/>
      <c r="E118" s="217"/>
      <c r="F118" s="218">
        <f ca="1">'Financial Planning Tool'!I65</f>
        <v>65</v>
      </c>
      <c r="G118" s="186"/>
      <c r="H118" s="186"/>
      <c r="I118" s="219"/>
      <c r="J118" s="220">
        <f ca="1">'Financial Planning Tool'!J65</f>
        <v>79933.19</v>
      </c>
      <c r="K118" s="221"/>
      <c r="L118" s="221"/>
      <c r="M118" s="221"/>
      <c r="N118" s="221"/>
      <c r="O118" s="221"/>
      <c r="P118" s="221"/>
      <c r="Q118" s="222"/>
      <c r="R118" s="220">
        <f ca="1">'Financial Planning Tool'!K65</f>
        <v>53041.34</v>
      </c>
      <c r="S118" s="221"/>
      <c r="T118" s="221"/>
      <c r="U118" s="221"/>
      <c r="V118" s="221"/>
      <c r="W118" s="221"/>
      <c r="X118" s="221"/>
      <c r="Y118" s="222"/>
      <c r="Z118" s="220" t="str">
        <f ca="1">'Financial Planning Tool'!L65</f>
        <v/>
      </c>
      <c r="AA118" s="221"/>
      <c r="AB118" s="221"/>
      <c r="AC118" s="221"/>
      <c r="AD118" s="221"/>
      <c r="AE118" s="221"/>
      <c r="AF118" s="221"/>
      <c r="AG118" s="222"/>
      <c r="AH118" s="220" t="str">
        <f ca="1">'Financial Planning Tool'!M65</f>
        <v/>
      </c>
      <c r="AI118" s="221"/>
      <c r="AJ118" s="221"/>
      <c r="AK118" s="221"/>
      <c r="AL118" s="221"/>
      <c r="AM118" s="221"/>
      <c r="AN118" s="221"/>
      <c r="AO118" s="222"/>
      <c r="AP118" s="220">
        <f ca="1">'Financial Planning Tool'!N65</f>
        <v>-35000</v>
      </c>
      <c r="AQ118" s="221"/>
      <c r="AR118" s="221"/>
      <c r="AS118" s="221"/>
      <c r="AT118" s="221"/>
      <c r="AU118" s="221"/>
      <c r="AV118" s="221"/>
      <c r="AW118" s="222"/>
      <c r="AX118" s="220">
        <f ca="1">'Financial Planning Tool'!O65</f>
        <v>-22809.759999999998</v>
      </c>
      <c r="AY118" s="221"/>
      <c r="AZ118" s="221"/>
      <c r="BA118" s="221"/>
      <c r="BB118" s="221"/>
      <c r="BC118" s="221"/>
      <c r="BD118" s="221"/>
      <c r="BE118" s="222"/>
      <c r="BF118" s="220">
        <f ca="1">'Financial Planning Tool'!P65</f>
        <v>2717143.68</v>
      </c>
      <c r="BG118" s="221"/>
      <c r="BH118" s="221"/>
      <c r="BI118" s="221"/>
      <c r="BJ118" s="221"/>
      <c r="BK118" s="221"/>
      <c r="BL118" s="221"/>
      <c r="BM118" s="222"/>
      <c r="BN118" s="220">
        <f ca="1">'Financial Planning Tool'!Q65</f>
        <v>1765004.72</v>
      </c>
      <c r="BO118" s="221"/>
      <c r="BP118" s="221"/>
      <c r="BQ118" s="221"/>
      <c r="BR118" s="221"/>
      <c r="BS118" s="221"/>
      <c r="BT118" s="221"/>
      <c r="BU118" s="222"/>
    </row>
    <row r="119" spans="2:73" x14ac:dyDescent="0.25">
      <c r="B119" s="215">
        <f ca="1">'Financial Planning Tool'!H66</f>
        <v>50009</v>
      </c>
      <c r="C119" s="216"/>
      <c r="D119" s="216"/>
      <c r="E119" s="217"/>
      <c r="F119" s="218">
        <f ca="1">'Financial Planning Tool'!I66</f>
        <v>66</v>
      </c>
      <c r="G119" s="186"/>
      <c r="H119" s="186"/>
      <c r="I119" s="219"/>
      <c r="J119" s="220" t="str">
        <f ca="1">'Financial Planning Tool'!J66</f>
        <v/>
      </c>
      <c r="K119" s="221"/>
      <c r="L119" s="221"/>
      <c r="M119" s="221"/>
      <c r="N119" s="221"/>
      <c r="O119" s="221"/>
      <c r="P119" s="221"/>
      <c r="Q119" s="222"/>
      <c r="R119" s="220" t="str">
        <f ca="1">'Financial Planning Tool'!K66</f>
        <v/>
      </c>
      <c r="S119" s="221"/>
      <c r="T119" s="221"/>
      <c r="U119" s="221"/>
      <c r="V119" s="221"/>
      <c r="W119" s="221"/>
      <c r="X119" s="221"/>
      <c r="Y119" s="222"/>
      <c r="Z119" s="220" t="str">
        <f ca="1">'Financial Planning Tool'!L66</f>
        <v/>
      </c>
      <c r="AA119" s="221"/>
      <c r="AB119" s="221"/>
      <c r="AC119" s="221"/>
      <c r="AD119" s="221"/>
      <c r="AE119" s="221"/>
      <c r="AF119" s="221"/>
      <c r="AG119" s="222"/>
      <c r="AH119" s="220" t="str">
        <f ca="1">'Financial Planning Tool'!M66</f>
        <v/>
      </c>
      <c r="AI119" s="221"/>
      <c r="AJ119" s="221"/>
      <c r="AK119" s="221"/>
      <c r="AL119" s="221"/>
      <c r="AM119" s="221"/>
      <c r="AN119" s="221"/>
      <c r="AO119" s="222"/>
      <c r="AP119" s="220">
        <f ca="1">'Financial Planning Tool'!N66</f>
        <v>-421400</v>
      </c>
      <c r="AQ119" s="221"/>
      <c r="AR119" s="221"/>
      <c r="AS119" s="221"/>
      <c r="AT119" s="221"/>
      <c r="AU119" s="221"/>
      <c r="AV119" s="221"/>
      <c r="AW119" s="222"/>
      <c r="AX119" s="220">
        <f ca="1">'Financial Planning Tool'!O66</f>
        <v>-268857.84000000003</v>
      </c>
      <c r="AY119" s="221"/>
      <c r="AZ119" s="221"/>
      <c r="BA119" s="221"/>
      <c r="BB119" s="221"/>
      <c r="BC119" s="221"/>
      <c r="BD119" s="221"/>
      <c r="BE119" s="222"/>
      <c r="BF119" s="220">
        <f ca="1">'Financial Planning Tool'!P66</f>
        <v>2520071.06</v>
      </c>
      <c r="BG119" s="221"/>
      <c r="BH119" s="221"/>
      <c r="BI119" s="221"/>
      <c r="BJ119" s="221"/>
      <c r="BK119" s="221"/>
      <c r="BL119" s="221"/>
      <c r="BM119" s="222"/>
      <c r="BN119" s="220">
        <f ca="1">'Financial Planning Tool'!Q66</f>
        <v>1574028.95</v>
      </c>
      <c r="BO119" s="221"/>
      <c r="BP119" s="221"/>
      <c r="BQ119" s="221"/>
      <c r="BR119" s="221"/>
      <c r="BS119" s="221"/>
      <c r="BT119" s="221"/>
      <c r="BU119" s="222"/>
    </row>
    <row r="120" spans="2:73" x14ac:dyDescent="0.25">
      <c r="B120" s="215">
        <f ca="1">'Financial Planning Tool'!H67</f>
        <v>50374</v>
      </c>
      <c r="C120" s="216"/>
      <c r="D120" s="216"/>
      <c r="E120" s="217"/>
      <c r="F120" s="218">
        <f ca="1">'Financial Planning Tool'!I67</f>
        <v>67</v>
      </c>
      <c r="G120" s="186"/>
      <c r="H120" s="186"/>
      <c r="I120" s="219"/>
      <c r="J120" s="220" t="str">
        <f ca="1">'Financial Planning Tool'!J67</f>
        <v/>
      </c>
      <c r="K120" s="221"/>
      <c r="L120" s="221"/>
      <c r="M120" s="221"/>
      <c r="N120" s="221"/>
      <c r="O120" s="221"/>
      <c r="P120" s="221"/>
      <c r="Q120" s="222"/>
      <c r="R120" s="220" t="str">
        <f ca="1">'Financial Planning Tool'!K67</f>
        <v/>
      </c>
      <c r="S120" s="221"/>
      <c r="T120" s="221"/>
      <c r="U120" s="221"/>
      <c r="V120" s="221"/>
      <c r="W120" s="221"/>
      <c r="X120" s="221"/>
      <c r="Y120" s="222"/>
      <c r="Z120" s="220" t="str">
        <f ca="1">'Financial Planning Tool'!L67</f>
        <v/>
      </c>
      <c r="AA120" s="221"/>
      <c r="AB120" s="221"/>
      <c r="AC120" s="221"/>
      <c r="AD120" s="221"/>
      <c r="AE120" s="221"/>
      <c r="AF120" s="221"/>
      <c r="AG120" s="222"/>
      <c r="AH120" s="220" t="str">
        <f ca="1">'Financial Planning Tool'!M67</f>
        <v/>
      </c>
      <c r="AI120" s="221"/>
      <c r="AJ120" s="221"/>
      <c r="AK120" s="221"/>
      <c r="AL120" s="221"/>
      <c r="AM120" s="221"/>
      <c r="AN120" s="221"/>
      <c r="AO120" s="222"/>
      <c r="AP120" s="220">
        <f ca="1">'Financial Planning Tool'!N67</f>
        <v>-434074.14</v>
      </c>
      <c r="AQ120" s="221"/>
      <c r="AR120" s="221"/>
      <c r="AS120" s="221"/>
      <c r="AT120" s="221"/>
      <c r="AU120" s="221"/>
      <c r="AV120" s="221"/>
      <c r="AW120" s="222"/>
      <c r="AX120" s="220">
        <f ca="1">'Financial Planning Tool'!O67</f>
        <v>-266338.09999999998</v>
      </c>
      <c r="AY120" s="221"/>
      <c r="AZ120" s="221"/>
      <c r="BA120" s="221"/>
      <c r="BB120" s="221"/>
      <c r="BC120" s="221"/>
      <c r="BD120" s="221"/>
      <c r="BE120" s="222"/>
      <c r="BF120" s="220">
        <f ca="1">'Financial Planning Tool'!P67</f>
        <v>2291809.29</v>
      </c>
      <c r="BG120" s="221"/>
      <c r="BH120" s="221"/>
      <c r="BI120" s="221"/>
      <c r="BJ120" s="221"/>
      <c r="BK120" s="221"/>
      <c r="BL120" s="221"/>
      <c r="BM120" s="222"/>
      <c r="BN120" s="220">
        <f ca="1">'Financial Planning Tool'!Q67</f>
        <v>1376401.27</v>
      </c>
      <c r="BO120" s="221"/>
      <c r="BP120" s="221"/>
      <c r="BQ120" s="221"/>
      <c r="BR120" s="221"/>
      <c r="BS120" s="221"/>
      <c r="BT120" s="221"/>
      <c r="BU120" s="222"/>
    </row>
    <row r="121" spans="2:73" x14ac:dyDescent="0.25">
      <c r="B121" s="215">
        <f ca="1">'Financial Planning Tool'!H68</f>
        <v>50739</v>
      </c>
      <c r="C121" s="216"/>
      <c r="D121" s="216"/>
      <c r="E121" s="217"/>
      <c r="F121" s="218">
        <f ca="1">'Financial Planning Tool'!I68</f>
        <v>68</v>
      </c>
      <c r="G121" s="186"/>
      <c r="H121" s="186"/>
      <c r="I121" s="219"/>
      <c r="J121" s="220" t="str">
        <f ca="1">'Financial Planning Tool'!J68</f>
        <v/>
      </c>
      <c r="K121" s="221"/>
      <c r="L121" s="221"/>
      <c r="M121" s="221"/>
      <c r="N121" s="221"/>
      <c r="O121" s="221"/>
      <c r="P121" s="221"/>
      <c r="Q121" s="222"/>
      <c r="R121" s="220" t="str">
        <f ca="1">'Financial Planning Tool'!K68</f>
        <v/>
      </c>
      <c r="S121" s="221"/>
      <c r="T121" s="221"/>
      <c r="U121" s="221"/>
      <c r="V121" s="221"/>
      <c r="W121" s="221"/>
      <c r="X121" s="221"/>
      <c r="Y121" s="222"/>
      <c r="Z121" s="220" t="str">
        <f ca="1">'Financial Planning Tool'!L68</f>
        <v/>
      </c>
      <c r="AA121" s="221"/>
      <c r="AB121" s="221"/>
      <c r="AC121" s="221"/>
      <c r="AD121" s="221"/>
      <c r="AE121" s="221"/>
      <c r="AF121" s="221"/>
      <c r="AG121" s="222"/>
      <c r="AH121" s="220" t="str">
        <f ca="1">'Financial Planning Tool'!M68</f>
        <v/>
      </c>
      <c r="AI121" s="221"/>
      <c r="AJ121" s="221"/>
      <c r="AK121" s="221"/>
      <c r="AL121" s="221"/>
      <c r="AM121" s="221"/>
      <c r="AN121" s="221"/>
      <c r="AO121" s="222"/>
      <c r="AP121" s="220">
        <f ca="1">'Financial Planning Tool'!N68</f>
        <v>-400943.86</v>
      </c>
      <c r="AQ121" s="221"/>
      <c r="AR121" s="221"/>
      <c r="AS121" s="221"/>
      <c r="AT121" s="221"/>
      <c r="AU121" s="221"/>
      <c r="AV121" s="221"/>
      <c r="AW121" s="222"/>
      <c r="AX121" s="220">
        <f ca="1">'Financial Planning Tool'!O68</f>
        <v>-236554.8</v>
      </c>
      <c r="AY121" s="221"/>
      <c r="AZ121" s="221"/>
      <c r="BA121" s="221"/>
      <c r="BB121" s="221"/>
      <c r="BC121" s="221"/>
      <c r="BD121" s="221"/>
      <c r="BE121" s="222"/>
      <c r="BF121" s="220">
        <f ca="1">'Financial Planning Tool'!P68</f>
        <v>2077710.89</v>
      </c>
      <c r="BG121" s="221"/>
      <c r="BH121" s="221"/>
      <c r="BI121" s="221"/>
      <c r="BJ121" s="221"/>
      <c r="BK121" s="221"/>
      <c r="BL121" s="221"/>
      <c r="BM121" s="222"/>
      <c r="BN121" s="220">
        <f ca="1">'Financial Planning Tool'!Q68</f>
        <v>1199826.27</v>
      </c>
      <c r="BO121" s="221"/>
      <c r="BP121" s="221"/>
      <c r="BQ121" s="221"/>
      <c r="BR121" s="221"/>
      <c r="BS121" s="221"/>
      <c r="BT121" s="221"/>
      <c r="BU121" s="222"/>
    </row>
    <row r="122" spans="2:73" x14ac:dyDescent="0.25">
      <c r="B122" s="215">
        <f ca="1">'Financial Planning Tool'!H69</f>
        <v>51104</v>
      </c>
      <c r="C122" s="216"/>
      <c r="D122" s="216"/>
      <c r="E122" s="217"/>
      <c r="F122" s="218">
        <f ca="1">'Financial Planning Tool'!I69</f>
        <v>69</v>
      </c>
      <c r="G122" s="186"/>
      <c r="H122" s="186"/>
      <c r="I122" s="219"/>
      <c r="J122" s="220" t="str">
        <f ca="1">'Financial Planning Tool'!J69</f>
        <v/>
      </c>
      <c r="K122" s="221"/>
      <c r="L122" s="221"/>
      <c r="M122" s="221"/>
      <c r="N122" s="221"/>
      <c r="O122" s="221"/>
      <c r="P122" s="221"/>
      <c r="Q122" s="222"/>
      <c r="R122" s="220" t="str">
        <f ca="1">'Financial Planning Tool'!K69</f>
        <v/>
      </c>
      <c r="S122" s="221"/>
      <c r="T122" s="221"/>
      <c r="U122" s="221"/>
      <c r="V122" s="221"/>
      <c r="W122" s="221"/>
      <c r="X122" s="221"/>
      <c r="Y122" s="222"/>
      <c r="Z122" s="220" t="str">
        <f ca="1">'Financial Planning Tool'!L69</f>
        <v/>
      </c>
      <c r="AA122" s="221"/>
      <c r="AB122" s="221"/>
      <c r="AC122" s="221"/>
      <c r="AD122" s="221"/>
      <c r="AE122" s="221"/>
      <c r="AF122" s="221"/>
      <c r="AG122" s="222"/>
      <c r="AH122" s="220" t="str">
        <f ca="1">'Financial Planning Tool'!M69</f>
        <v/>
      </c>
      <c r="AI122" s="221"/>
      <c r="AJ122" s="221"/>
      <c r="AK122" s="221"/>
      <c r="AL122" s="221"/>
      <c r="AM122" s="221"/>
      <c r="AN122" s="221"/>
      <c r="AO122" s="222"/>
      <c r="AP122" s="220">
        <f ca="1">'Financial Planning Tool'!N69</f>
        <v>-363488.11</v>
      </c>
      <c r="AQ122" s="221"/>
      <c r="AR122" s="221"/>
      <c r="AS122" s="221"/>
      <c r="AT122" s="221"/>
      <c r="AU122" s="221"/>
      <c r="AV122" s="221"/>
      <c r="AW122" s="222"/>
      <c r="AX122" s="220">
        <f ca="1">'Financial Planning Tool'!O69</f>
        <v>-206207.79</v>
      </c>
      <c r="AY122" s="221"/>
      <c r="AZ122" s="221"/>
      <c r="BA122" s="221"/>
      <c r="BB122" s="221"/>
      <c r="BC122" s="221"/>
      <c r="BD122" s="221"/>
      <c r="BE122" s="222"/>
      <c r="BF122" s="220">
        <f ca="1">'Financial Planning Tool'!P69</f>
        <v>1883613.34</v>
      </c>
      <c r="BG122" s="221"/>
      <c r="BH122" s="221"/>
      <c r="BI122" s="221"/>
      <c r="BJ122" s="221"/>
      <c r="BK122" s="221"/>
      <c r="BL122" s="221"/>
      <c r="BM122" s="222"/>
      <c r="BN122" s="220">
        <f ca="1">'Financial Planning Tool'!Q69</f>
        <v>1045903.62</v>
      </c>
      <c r="BO122" s="221"/>
      <c r="BP122" s="221"/>
      <c r="BQ122" s="221"/>
      <c r="BR122" s="221"/>
      <c r="BS122" s="221"/>
      <c r="BT122" s="221"/>
      <c r="BU122" s="222"/>
    </row>
    <row r="123" spans="2:73" x14ac:dyDescent="0.25">
      <c r="B123" s="215">
        <f ca="1">'Financial Planning Tool'!H70</f>
        <v>51470</v>
      </c>
      <c r="C123" s="216"/>
      <c r="D123" s="216"/>
      <c r="E123" s="217"/>
      <c r="F123" s="218">
        <f ca="1">'Financial Planning Tool'!I70</f>
        <v>70</v>
      </c>
      <c r="G123" s="186"/>
      <c r="H123" s="186"/>
      <c r="I123" s="219"/>
      <c r="J123" s="220" t="str">
        <f ca="1">'Financial Planning Tool'!J70</f>
        <v/>
      </c>
      <c r="K123" s="221"/>
      <c r="L123" s="221"/>
      <c r="M123" s="221"/>
      <c r="N123" s="221"/>
      <c r="O123" s="221"/>
      <c r="P123" s="221"/>
      <c r="Q123" s="222"/>
      <c r="R123" s="220" t="str">
        <f ca="1">'Financial Planning Tool'!K70</f>
        <v/>
      </c>
      <c r="S123" s="221"/>
      <c r="T123" s="221"/>
      <c r="U123" s="221"/>
      <c r="V123" s="221"/>
      <c r="W123" s="221"/>
      <c r="X123" s="221"/>
      <c r="Y123" s="222"/>
      <c r="Z123" s="220" t="str">
        <f ca="1">'Financial Planning Tool'!L70</f>
        <v/>
      </c>
      <c r="AA123" s="221"/>
      <c r="AB123" s="221"/>
      <c r="AC123" s="221"/>
      <c r="AD123" s="221"/>
      <c r="AE123" s="221"/>
      <c r="AF123" s="221"/>
      <c r="AG123" s="222"/>
      <c r="AH123" s="220" t="str">
        <f ca="1">'Financial Planning Tool'!M70</f>
        <v/>
      </c>
      <c r="AI123" s="221"/>
      <c r="AJ123" s="221"/>
      <c r="AK123" s="221"/>
      <c r="AL123" s="221"/>
      <c r="AM123" s="221"/>
      <c r="AN123" s="221"/>
      <c r="AO123" s="222"/>
      <c r="AP123" s="220">
        <f ca="1">'Financial Planning Tool'!N70</f>
        <v>-329531.44</v>
      </c>
      <c r="AQ123" s="221"/>
      <c r="AR123" s="221"/>
      <c r="AS123" s="221"/>
      <c r="AT123" s="221"/>
      <c r="AU123" s="221"/>
      <c r="AV123" s="221"/>
      <c r="AW123" s="222"/>
      <c r="AX123" s="220">
        <f ca="1">'Financial Planning Tool'!O70</f>
        <v>-179753.92</v>
      </c>
      <c r="AY123" s="221"/>
      <c r="AZ123" s="221"/>
      <c r="BA123" s="221"/>
      <c r="BB123" s="221"/>
      <c r="BC123" s="221"/>
      <c r="BD123" s="221"/>
      <c r="BE123" s="222"/>
      <c r="BF123" s="220">
        <f ca="1">'Financial Planning Tool'!P70</f>
        <v>1707648.17</v>
      </c>
      <c r="BG123" s="221"/>
      <c r="BH123" s="221"/>
      <c r="BI123" s="221"/>
      <c r="BJ123" s="221"/>
      <c r="BK123" s="221"/>
      <c r="BL123" s="221"/>
      <c r="BM123" s="222"/>
      <c r="BN123" s="220">
        <f ca="1">'Financial Planning Tool'!Q70</f>
        <v>911727.32</v>
      </c>
      <c r="BO123" s="221"/>
      <c r="BP123" s="221"/>
      <c r="BQ123" s="221"/>
      <c r="BR123" s="221"/>
      <c r="BS123" s="221"/>
      <c r="BT123" s="221"/>
      <c r="BU123" s="222"/>
    </row>
    <row r="124" spans="2:73" x14ac:dyDescent="0.25">
      <c r="B124" s="215">
        <f ca="1">'Financial Planning Tool'!H71</f>
        <v>51835</v>
      </c>
      <c r="C124" s="216"/>
      <c r="D124" s="216"/>
      <c r="E124" s="217"/>
      <c r="F124" s="218">
        <f ca="1">'Financial Planning Tool'!I71</f>
        <v>71</v>
      </c>
      <c r="G124" s="186"/>
      <c r="H124" s="186"/>
      <c r="I124" s="219"/>
      <c r="J124" s="220" t="str">
        <f ca="1">'Financial Planning Tool'!J71</f>
        <v/>
      </c>
      <c r="K124" s="221"/>
      <c r="L124" s="221"/>
      <c r="M124" s="221"/>
      <c r="N124" s="221"/>
      <c r="O124" s="221"/>
      <c r="P124" s="221"/>
      <c r="Q124" s="222"/>
      <c r="R124" s="220" t="str">
        <f ca="1">'Financial Planning Tool'!K71</f>
        <v/>
      </c>
      <c r="S124" s="221"/>
      <c r="T124" s="221"/>
      <c r="U124" s="221"/>
      <c r="V124" s="221"/>
      <c r="W124" s="221"/>
      <c r="X124" s="221"/>
      <c r="Y124" s="222"/>
      <c r="Z124" s="220" t="str">
        <f ca="1">'Financial Planning Tool'!L71</f>
        <v/>
      </c>
      <c r="AA124" s="221"/>
      <c r="AB124" s="221"/>
      <c r="AC124" s="221"/>
      <c r="AD124" s="221"/>
      <c r="AE124" s="221"/>
      <c r="AF124" s="221"/>
      <c r="AG124" s="222"/>
      <c r="AH124" s="220" t="str">
        <f ca="1">'Financial Planning Tool'!M71</f>
        <v/>
      </c>
      <c r="AI124" s="221"/>
      <c r="AJ124" s="221"/>
      <c r="AK124" s="221"/>
      <c r="AL124" s="221"/>
      <c r="AM124" s="221"/>
      <c r="AN124" s="221"/>
      <c r="AO124" s="222"/>
      <c r="AP124" s="220">
        <f ca="1">'Financial Planning Tool'!N71</f>
        <v>-298746.96000000002</v>
      </c>
      <c r="AQ124" s="221"/>
      <c r="AR124" s="221"/>
      <c r="AS124" s="221"/>
      <c r="AT124" s="221"/>
      <c r="AU124" s="221"/>
      <c r="AV124" s="221"/>
      <c r="AW124" s="222"/>
      <c r="AX124" s="220">
        <f ca="1">'Financial Planning Tool'!O71</f>
        <v>-156693.75</v>
      </c>
      <c r="AY124" s="221"/>
      <c r="AZ124" s="221"/>
      <c r="BA124" s="221"/>
      <c r="BB124" s="221"/>
      <c r="BC124" s="221"/>
      <c r="BD124" s="221"/>
      <c r="BE124" s="222"/>
      <c r="BF124" s="220">
        <f ca="1">'Financial Planning Tool'!P71</f>
        <v>1548121.49</v>
      </c>
      <c r="BG124" s="221"/>
      <c r="BH124" s="221"/>
      <c r="BI124" s="221"/>
      <c r="BJ124" s="221"/>
      <c r="BK124" s="221"/>
      <c r="BL124" s="221"/>
      <c r="BM124" s="222"/>
      <c r="BN124" s="220">
        <f ca="1">'Financial Planning Tool'!Q71</f>
        <v>794764.15</v>
      </c>
      <c r="BO124" s="221"/>
      <c r="BP124" s="221"/>
      <c r="BQ124" s="221"/>
      <c r="BR124" s="221"/>
      <c r="BS124" s="221"/>
      <c r="BT124" s="221"/>
      <c r="BU124" s="222"/>
    </row>
    <row r="125" spans="2:73" x14ac:dyDescent="0.25">
      <c r="B125" s="215">
        <f ca="1">'Financial Planning Tool'!H72</f>
        <v>52200</v>
      </c>
      <c r="C125" s="216"/>
      <c r="D125" s="216"/>
      <c r="E125" s="217"/>
      <c r="F125" s="218">
        <f ca="1">'Financial Planning Tool'!I72</f>
        <v>72</v>
      </c>
      <c r="G125" s="186"/>
      <c r="H125" s="186"/>
      <c r="I125" s="219"/>
      <c r="J125" s="220" t="str">
        <f ca="1">'Financial Planning Tool'!J72</f>
        <v/>
      </c>
      <c r="K125" s="221"/>
      <c r="L125" s="221"/>
      <c r="M125" s="221"/>
      <c r="N125" s="221"/>
      <c r="O125" s="221"/>
      <c r="P125" s="221"/>
      <c r="Q125" s="222"/>
      <c r="R125" s="220" t="str">
        <f ca="1">'Financial Planning Tool'!K72</f>
        <v/>
      </c>
      <c r="S125" s="221"/>
      <c r="T125" s="221"/>
      <c r="U125" s="221"/>
      <c r="V125" s="221"/>
      <c r="W125" s="221"/>
      <c r="X125" s="221"/>
      <c r="Y125" s="222"/>
      <c r="Z125" s="220" t="str">
        <f ca="1">'Financial Planning Tool'!L72</f>
        <v/>
      </c>
      <c r="AA125" s="221"/>
      <c r="AB125" s="221"/>
      <c r="AC125" s="221"/>
      <c r="AD125" s="221"/>
      <c r="AE125" s="221"/>
      <c r="AF125" s="221"/>
      <c r="AG125" s="222"/>
      <c r="AH125" s="220" t="str">
        <f ca="1">'Financial Planning Tool'!M72</f>
        <v/>
      </c>
      <c r="AI125" s="221"/>
      <c r="AJ125" s="221"/>
      <c r="AK125" s="221"/>
      <c r="AL125" s="221"/>
      <c r="AM125" s="221"/>
      <c r="AN125" s="221"/>
      <c r="AO125" s="222"/>
      <c r="AP125" s="220">
        <f ca="1">'Financial Planning Tool'!N72</f>
        <v>-270838.34000000003</v>
      </c>
      <c r="AQ125" s="221"/>
      <c r="AR125" s="221"/>
      <c r="AS125" s="221"/>
      <c r="AT125" s="221"/>
      <c r="AU125" s="221"/>
      <c r="AV125" s="221"/>
      <c r="AW125" s="222"/>
      <c r="AX125" s="220">
        <f ca="1">'Financial Planning Tool'!O72</f>
        <v>-136591.91</v>
      </c>
      <c r="AY125" s="221"/>
      <c r="AZ125" s="221"/>
      <c r="BA125" s="221"/>
      <c r="BB125" s="221"/>
      <c r="BC125" s="221"/>
      <c r="BD125" s="221"/>
      <c r="BE125" s="222"/>
      <c r="BF125" s="220">
        <f ca="1">'Financial Planning Tool'!P72</f>
        <v>1403497.62</v>
      </c>
      <c r="BG125" s="221"/>
      <c r="BH125" s="221"/>
      <c r="BI125" s="221"/>
      <c r="BJ125" s="221"/>
      <c r="BK125" s="221"/>
      <c r="BL125" s="221"/>
      <c r="BM125" s="222"/>
      <c r="BN125" s="220">
        <f ca="1">'Financial Planning Tool'!Q72</f>
        <v>692805.89</v>
      </c>
      <c r="BO125" s="221"/>
      <c r="BP125" s="221"/>
      <c r="BQ125" s="221"/>
      <c r="BR125" s="221"/>
      <c r="BS125" s="221"/>
      <c r="BT125" s="221"/>
      <c r="BU125" s="222"/>
    </row>
    <row r="126" spans="2:73" x14ac:dyDescent="0.25">
      <c r="B126" s="215">
        <f ca="1">'Financial Planning Tool'!H73</f>
        <v>52565</v>
      </c>
      <c r="C126" s="216"/>
      <c r="D126" s="216"/>
      <c r="E126" s="217"/>
      <c r="F126" s="218">
        <f ca="1">'Financial Planning Tool'!I73</f>
        <v>73</v>
      </c>
      <c r="G126" s="186"/>
      <c r="H126" s="186"/>
      <c r="I126" s="219"/>
      <c r="J126" s="220" t="str">
        <f ca="1">'Financial Planning Tool'!J73</f>
        <v/>
      </c>
      <c r="K126" s="221"/>
      <c r="L126" s="221"/>
      <c r="M126" s="221"/>
      <c r="N126" s="221"/>
      <c r="O126" s="221"/>
      <c r="P126" s="221"/>
      <c r="Q126" s="222"/>
      <c r="R126" s="220" t="str">
        <f ca="1">'Financial Planning Tool'!K73</f>
        <v/>
      </c>
      <c r="S126" s="221"/>
      <c r="T126" s="221"/>
      <c r="U126" s="221"/>
      <c r="V126" s="221"/>
      <c r="W126" s="221"/>
      <c r="X126" s="221"/>
      <c r="Y126" s="222"/>
      <c r="Z126" s="220" t="str">
        <f ca="1">'Financial Planning Tool'!L73</f>
        <v/>
      </c>
      <c r="AA126" s="221"/>
      <c r="AB126" s="221"/>
      <c r="AC126" s="221"/>
      <c r="AD126" s="221"/>
      <c r="AE126" s="221"/>
      <c r="AF126" s="221"/>
      <c r="AG126" s="222"/>
      <c r="AH126" s="220" t="str">
        <f ca="1">'Financial Planning Tool'!M73</f>
        <v/>
      </c>
      <c r="AI126" s="221"/>
      <c r="AJ126" s="221"/>
      <c r="AK126" s="221"/>
      <c r="AL126" s="221"/>
      <c r="AM126" s="221"/>
      <c r="AN126" s="221"/>
      <c r="AO126" s="222"/>
      <c r="AP126" s="220">
        <f ca="1">'Financial Planning Tool'!N73</f>
        <v>-245536.91</v>
      </c>
      <c r="AQ126" s="221"/>
      <c r="AR126" s="221"/>
      <c r="AS126" s="221"/>
      <c r="AT126" s="221"/>
      <c r="AU126" s="221"/>
      <c r="AV126" s="221"/>
      <c r="AW126" s="222"/>
      <c r="AX126" s="220">
        <f ca="1">'Financial Planning Tool'!O73</f>
        <v>-119068.88</v>
      </c>
      <c r="AY126" s="221"/>
      <c r="AZ126" s="221"/>
      <c r="BA126" s="221"/>
      <c r="BB126" s="221"/>
      <c r="BC126" s="221"/>
      <c r="BD126" s="221"/>
      <c r="BE126" s="222"/>
      <c r="BF126" s="220">
        <f ca="1">'Financial Planning Tool'!P73</f>
        <v>1272384.3600000001</v>
      </c>
      <c r="BG126" s="221"/>
      <c r="BH126" s="221"/>
      <c r="BI126" s="221"/>
      <c r="BJ126" s="221"/>
      <c r="BK126" s="221"/>
      <c r="BL126" s="221"/>
      <c r="BM126" s="222"/>
      <c r="BN126" s="220">
        <f ca="1">'Financial Planning Tool'!Q73</f>
        <v>603927.6</v>
      </c>
      <c r="BO126" s="221"/>
      <c r="BP126" s="221"/>
      <c r="BQ126" s="221"/>
      <c r="BR126" s="221"/>
      <c r="BS126" s="221"/>
      <c r="BT126" s="221"/>
      <c r="BU126" s="222"/>
    </row>
    <row r="127" spans="2:73" x14ac:dyDescent="0.25">
      <c r="B127" s="215">
        <f ca="1">'Financial Planning Tool'!H74</f>
        <v>52931</v>
      </c>
      <c r="C127" s="216"/>
      <c r="D127" s="216"/>
      <c r="E127" s="217"/>
      <c r="F127" s="218">
        <f ca="1">'Financial Planning Tool'!I74</f>
        <v>74</v>
      </c>
      <c r="G127" s="186"/>
      <c r="H127" s="186"/>
      <c r="I127" s="219"/>
      <c r="J127" s="220" t="str">
        <f ca="1">'Financial Planning Tool'!J74</f>
        <v/>
      </c>
      <c r="K127" s="221"/>
      <c r="L127" s="221"/>
      <c r="M127" s="221"/>
      <c r="N127" s="221"/>
      <c r="O127" s="221"/>
      <c r="P127" s="221"/>
      <c r="Q127" s="222"/>
      <c r="R127" s="220" t="str">
        <f ca="1">'Financial Planning Tool'!K74</f>
        <v/>
      </c>
      <c r="S127" s="221"/>
      <c r="T127" s="221"/>
      <c r="U127" s="221"/>
      <c r="V127" s="221"/>
      <c r="W127" s="221"/>
      <c r="X127" s="221"/>
      <c r="Y127" s="222"/>
      <c r="Z127" s="220" t="str">
        <f ca="1">'Financial Planning Tool'!L74</f>
        <v/>
      </c>
      <c r="AA127" s="221"/>
      <c r="AB127" s="221"/>
      <c r="AC127" s="221"/>
      <c r="AD127" s="221"/>
      <c r="AE127" s="221"/>
      <c r="AF127" s="221"/>
      <c r="AG127" s="222"/>
      <c r="AH127" s="220" t="str">
        <f ca="1">'Financial Planning Tool'!M74</f>
        <v/>
      </c>
      <c r="AI127" s="221"/>
      <c r="AJ127" s="221"/>
      <c r="AK127" s="221"/>
      <c r="AL127" s="221"/>
      <c r="AM127" s="221"/>
      <c r="AN127" s="221"/>
      <c r="AO127" s="222"/>
      <c r="AP127" s="220">
        <f ca="1">'Financial Planning Tool'!N74</f>
        <v>-222599.11</v>
      </c>
      <c r="AQ127" s="221"/>
      <c r="AR127" s="221"/>
      <c r="AS127" s="221"/>
      <c r="AT127" s="221"/>
      <c r="AU127" s="221"/>
      <c r="AV127" s="221"/>
      <c r="AW127" s="222"/>
      <c r="AX127" s="220">
        <f ca="1">'Financial Planning Tool'!O74</f>
        <v>-103793.84</v>
      </c>
      <c r="AY127" s="221"/>
      <c r="AZ127" s="221"/>
      <c r="BA127" s="221"/>
      <c r="BB127" s="221"/>
      <c r="BC127" s="221"/>
      <c r="BD127" s="221"/>
      <c r="BE127" s="222"/>
      <c r="BF127" s="220">
        <f ca="1">'Financial Planning Tool'!P74</f>
        <v>1153519.56</v>
      </c>
      <c r="BG127" s="221"/>
      <c r="BH127" s="221"/>
      <c r="BI127" s="221"/>
      <c r="BJ127" s="221"/>
      <c r="BK127" s="221"/>
      <c r="BL127" s="221"/>
      <c r="BM127" s="222"/>
      <c r="BN127" s="220">
        <f ca="1">'Financial Planning Tool'!Q74</f>
        <v>526451.27</v>
      </c>
      <c r="BO127" s="221"/>
      <c r="BP127" s="221"/>
      <c r="BQ127" s="221"/>
      <c r="BR127" s="221"/>
      <c r="BS127" s="221"/>
      <c r="BT127" s="221"/>
      <c r="BU127" s="222"/>
    </row>
    <row r="128" spans="2:73" x14ac:dyDescent="0.25">
      <c r="B128" s="215">
        <f ca="1">'Financial Planning Tool'!H75</f>
        <v>53296</v>
      </c>
      <c r="C128" s="216"/>
      <c r="D128" s="216"/>
      <c r="E128" s="217"/>
      <c r="F128" s="218">
        <f ca="1">'Financial Planning Tool'!I75</f>
        <v>75</v>
      </c>
      <c r="G128" s="186"/>
      <c r="H128" s="186"/>
      <c r="I128" s="219"/>
      <c r="J128" s="220" t="str">
        <f ca="1">'Financial Planning Tool'!J75</f>
        <v/>
      </c>
      <c r="K128" s="221"/>
      <c r="L128" s="221"/>
      <c r="M128" s="221"/>
      <c r="N128" s="221"/>
      <c r="O128" s="221"/>
      <c r="P128" s="221"/>
      <c r="Q128" s="222"/>
      <c r="R128" s="220" t="str">
        <f ca="1">'Financial Planning Tool'!K75</f>
        <v/>
      </c>
      <c r="S128" s="221"/>
      <c r="T128" s="221"/>
      <c r="U128" s="221"/>
      <c r="V128" s="221"/>
      <c r="W128" s="221"/>
      <c r="X128" s="221"/>
      <c r="Y128" s="222"/>
      <c r="Z128" s="220" t="str">
        <f ca="1">'Financial Planning Tool'!L75</f>
        <v/>
      </c>
      <c r="AA128" s="221"/>
      <c r="AB128" s="221"/>
      <c r="AC128" s="221"/>
      <c r="AD128" s="221"/>
      <c r="AE128" s="221"/>
      <c r="AF128" s="221"/>
      <c r="AG128" s="222"/>
      <c r="AH128" s="220" t="str">
        <f ca="1">'Financial Planning Tool'!M75</f>
        <v/>
      </c>
      <c r="AI128" s="221"/>
      <c r="AJ128" s="221"/>
      <c r="AK128" s="221"/>
      <c r="AL128" s="221"/>
      <c r="AM128" s="221"/>
      <c r="AN128" s="221"/>
      <c r="AO128" s="222"/>
      <c r="AP128" s="220">
        <f ca="1">'Financial Planning Tool'!N75</f>
        <v>-201804.13</v>
      </c>
      <c r="AQ128" s="221"/>
      <c r="AR128" s="221"/>
      <c r="AS128" s="221"/>
      <c r="AT128" s="221"/>
      <c r="AU128" s="221"/>
      <c r="AV128" s="221"/>
      <c r="AW128" s="222"/>
      <c r="AX128" s="220">
        <f ca="1">'Financial Planning Tool'!O75</f>
        <v>-90478.39</v>
      </c>
      <c r="AY128" s="221"/>
      <c r="AZ128" s="221"/>
      <c r="BA128" s="221"/>
      <c r="BB128" s="221"/>
      <c r="BC128" s="221"/>
      <c r="BD128" s="221"/>
      <c r="BE128" s="222"/>
      <c r="BF128" s="220">
        <f ca="1">'Financial Planning Tool'!P75</f>
        <v>1045758.98</v>
      </c>
      <c r="BG128" s="221"/>
      <c r="BH128" s="221"/>
      <c r="BI128" s="221"/>
      <c r="BJ128" s="221"/>
      <c r="BK128" s="221"/>
      <c r="BL128" s="221"/>
      <c r="BM128" s="222"/>
      <c r="BN128" s="220">
        <f ca="1">'Financial Planning Tool'!Q75</f>
        <v>458914.18</v>
      </c>
      <c r="BO128" s="221"/>
      <c r="BP128" s="221"/>
      <c r="BQ128" s="221"/>
      <c r="BR128" s="221"/>
      <c r="BS128" s="221"/>
      <c r="BT128" s="221"/>
      <c r="BU128" s="222"/>
    </row>
    <row r="129" spans="2:73" x14ac:dyDescent="0.25">
      <c r="B129" s="215">
        <f ca="1">'Financial Planning Tool'!H76</f>
        <v>53661</v>
      </c>
      <c r="C129" s="216"/>
      <c r="D129" s="216"/>
      <c r="E129" s="217"/>
      <c r="F129" s="218">
        <f ca="1">'Financial Planning Tool'!I76</f>
        <v>76</v>
      </c>
      <c r="G129" s="186"/>
      <c r="H129" s="186"/>
      <c r="I129" s="219"/>
      <c r="J129" s="220" t="str">
        <f ca="1">'Financial Planning Tool'!J76</f>
        <v/>
      </c>
      <c r="K129" s="221"/>
      <c r="L129" s="221"/>
      <c r="M129" s="221"/>
      <c r="N129" s="221"/>
      <c r="O129" s="221"/>
      <c r="P129" s="221"/>
      <c r="Q129" s="222"/>
      <c r="R129" s="220" t="str">
        <f ca="1">'Financial Planning Tool'!K76</f>
        <v/>
      </c>
      <c r="S129" s="221"/>
      <c r="T129" s="221"/>
      <c r="U129" s="221"/>
      <c r="V129" s="221"/>
      <c r="W129" s="221"/>
      <c r="X129" s="221"/>
      <c r="Y129" s="222"/>
      <c r="Z129" s="220" t="str">
        <f ca="1">'Financial Planning Tool'!L76</f>
        <v/>
      </c>
      <c r="AA129" s="221"/>
      <c r="AB129" s="221"/>
      <c r="AC129" s="221"/>
      <c r="AD129" s="221"/>
      <c r="AE129" s="221"/>
      <c r="AF129" s="221"/>
      <c r="AG129" s="222"/>
      <c r="AH129" s="220" t="str">
        <f ca="1">'Financial Planning Tool'!M76</f>
        <v/>
      </c>
      <c r="AI129" s="221"/>
      <c r="AJ129" s="221"/>
      <c r="AK129" s="221"/>
      <c r="AL129" s="221"/>
      <c r="AM129" s="221"/>
      <c r="AN129" s="221"/>
      <c r="AO129" s="222"/>
      <c r="AP129" s="220">
        <f ca="1">'Financial Planning Tool'!N76</f>
        <v>-182951.81</v>
      </c>
      <c r="AQ129" s="221"/>
      <c r="AR129" s="221"/>
      <c r="AS129" s="221"/>
      <c r="AT129" s="221"/>
      <c r="AU129" s="221"/>
      <c r="AV129" s="221"/>
      <c r="AW129" s="222"/>
      <c r="AX129" s="220">
        <f ca="1">'Financial Planning Tool'!O76</f>
        <v>-78871.149999999994</v>
      </c>
      <c r="AY129" s="221"/>
      <c r="AZ129" s="221"/>
      <c r="BA129" s="221"/>
      <c r="BB129" s="221"/>
      <c r="BC129" s="221"/>
      <c r="BD129" s="221"/>
      <c r="BE129" s="222"/>
      <c r="BF129" s="220">
        <f ca="1">'Financial Planning Tool'!P76</f>
        <v>948065.28000000003</v>
      </c>
      <c r="BG129" s="221"/>
      <c r="BH129" s="221"/>
      <c r="BI129" s="221"/>
      <c r="BJ129" s="221"/>
      <c r="BK129" s="221"/>
      <c r="BL129" s="221"/>
      <c r="BM129" s="222"/>
      <c r="BN129" s="220">
        <f ca="1">'Financial Planning Tool'!Q76</f>
        <v>400041.25</v>
      </c>
      <c r="BO129" s="221"/>
      <c r="BP129" s="221"/>
      <c r="BQ129" s="221"/>
      <c r="BR129" s="221"/>
      <c r="BS129" s="221"/>
      <c r="BT129" s="221"/>
      <c r="BU129" s="222"/>
    </row>
    <row r="130" spans="2:73" x14ac:dyDescent="0.25">
      <c r="B130" s="215">
        <f ca="1">'Financial Planning Tool'!H77</f>
        <v>54026</v>
      </c>
      <c r="C130" s="216"/>
      <c r="D130" s="216"/>
      <c r="E130" s="217"/>
      <c r="F130" s="218">
        <f ca="1">'Financial Planning Tool'!I77</f>
        <v>77</v>
      </c>
      <c r="G130" s="186"/>
      <c r="H130" s="186"/>
      <c r="I130" s="219"/>
      <c r="J130" s="220" t="str">
        <f ca="1">'Financial Planning Tool'!J77</f>
        <v/>
      </c>
      <c r="K130" s="221"/>
      <c r="L130" s="221"/>
      <c r="M130" s="221"/>
      <c r="N130" s="221"/>
      <c r="O130" s="221"/>
      <c r="P130" s="221"/>
      <c r="Q130" s="222"/>
      <c r="R130" s="220" t="str">
        <f ca="1">'Financial Planning Tool'!K77</f>
        <v/>
      </c>
      <c r="S130" s="221"/>
      <c r="T130" s="221"/>
      <c r="U130" s="221"/>
      <c r="V130" s="221"/>
      <c r="W130" s="221"/>
      <c r="X130" s="221"/>
      <c r="Y130" s="222"/>
      <c r="Z130" s="220" t="str">
        <f ca="1">'Financial Planning Tool'!L77</f>
        <v/>
      </c>
      <c r="AA130" s="221"/>
      <c r="AB130" s="221"/>
      <c r="AC130" s="221"/>
      <c r="AD130" s="221"/>
      <c r="AE130" s="221"/>
      <c r="AF130" s="221"/>
      <c r="AG130" s="222"/>
      <c r="AH130" s="220" t="str">
        <f ca="1">'Financial Planning Tool'!M77</f>
        <v/>
      </c>
      <c r="AI130" s="221"/>
      <c r="AJ130" s="221"/>
      <c r="AK130" s="221"/>
      <c r="AL130" s="221"/>
      <c r="AM130" s="221"/>
      <c r="AN130" s="221"/>
      <c r="AO130" s="222"/>
      <c r="AP130" s="220">
        <f ca="1">'Financial Planning Tool'!N77</f>
        <v>-165860.64000000001</v>
      </c>
      <c r="AQ130" s="221"/>
      <c r="AR130" s="221"/>
      <c r="AS130" s="221"/>
      <c r="AT130" s="221"/>
      <c r="AU130" s="221"/>
      <c r="AV130" s="221"/>
      <c r="AW130" s="222"/>
      <c r="AX130" s="220">
        <f ca="1">'Financial Planning Tool'!O77</f>
        <v>-68752.97</v>
      </c>
      <c r="AY130" s="221"/>
      <c r="AZ130" s="221"/>
      <c r="BA130" s="221"/>
      <c r="BB130" s="221"/>
      <c r="BC130" s="221"/>
      <c r="BD130" s="221"/>
      <c r="BE130" s="222"/>
      <c r="BF130" s="220">
        <f ca="1">'Financial Planning Tool'!P77</f>
        <v>859498.03</v>
      </c>
      <c r="BG130" s="221"/>
      <c r="BH130" s="221"/>
      <c r="BI130" s="221"/>
      <c r="BJ130" s="221"/>
      <c r="BK130" s="221"/>
      <c r="BL130" s="221"/>
      <c r="BM130" s="222"/>
      <c r="BN130" s="220">
        <f ca="1">'Financial Planning Tool'!Q77</f>
        <v>348720.98</v>
      </c>
      <c r="BO130" s="221"/>
      <c r="BP130" s="221"/>
      <c r="BQ130" s="221"/>
      <c r="BR130" s="221"/>
      <c r="BS130" s="221"/>
      <c r="BT130" s="221"/>
      <c r="BU130" s="222"/>
    </row>
    <row r="131" spans="2:73" x14ac:dyDescent="0.25">
      <c r="B131" s="215">
        <f ca="1">'Financial Planning Tool'!H78</f>
        <v>54392</v>
      </c>
      <c r="C131" s="216"/>
      <c r="D131" s="216"/>
      <c r="E131" s="217"/>
      <c r="F131" s="218">
        <f ca="1">'Financial Planning Tool'!I78</f>
        <v>78</v>
      </c>
      <c r="G131" s="186"/>
      <c r="H131" s="186"/>
      <c r="I131" s="219"/>
      <c r="J131" s="220" t="str">
        <f ca="1">'Financial Planning Tool'!J78</f>
        <v/>
      </c>
      <c r="K131" s="221"/>
      <c r="L131" s="221"/>
      <c r="M131" s="221"/>
      <c r="N131" s="221"/>
      <c r="O131" s="221"/>
      <c r="P131" s="221"/>
      <c r="Q131" s="222"/>
      <c r="R131" s="220" t="str">
        <f ca="1">'Financial Planning Tool'!K78</f>
        <v/>
      </c>
      <c r="S131" s="221"/>
      <c r="T131" s="221"/>
      <c r="U131" s="221"/>
      <c r="V131" s="221"/>
      <c r="W131" s="221"/>
      <c r="X131" s="221"/>
      <c r="Y131" s="222"/>
      <c r="Z131" s="220" t="str">
        <f ca="1">'Financial Planning Tool'!L78</f>
        <v/>
      </c>
      <c r="AA131" s="221"/>
      <c r="AB131" s="221"/>
      <c r="AC131" s="221"/>
      <c r="AD131" s="221"/>
      <c r="AE131" s="221"/>
      <c r="AF131" s="221"/>
      <c r="AG131" s="222"/>
      <c r="AH131" s="220" t="str">
        <f ca="1">'Financial Planning Tool'!M78</f>
        <v/>
      </c>
      <c r="AI131" s="221"/>
      <c r="AJ131" s="221"/>
      <c r="AK131" s="221"/>
      <c r="AL131" s="221"/>
      <c r="AM131" s="221"/>
      <c r="AN131" s="221"/>
      <c r="AO131" s="222"/>
      <c r="AP131" s="220">
        <f ca="1">'Financial Planning Tool'!N78</f>
        <v>-150366.12</v>
      </c>
      <c r="AQ131" s="221"/>
      <c r="AR131" s="221"/>
      <c r="AS131" s="221"/>
      <c r="AT131" s="221"/>
      <c r="AU131" s="221"/>
      <c r="AV131" s="221"/>
      <c r="AW131" s="222"/>
      <c r="AX131" s="220">
        <f ca="1">'Financial Planning Tool'!O78</f>
        <v>-59932.83</v>
      </c>
      <c r="AY131" s="221"/>
      <c r="AZ131" s="221"/>
      <c r="BA131" s="221"/>
      <c r="BB131" s="221"/>
      <c r="BC131" s="221"/>
      <c r="BD131" s="221"/>
      <c r="BE131" s="222"/>
      <c r="BF131" s="220">
        <f ca="1">'Financial Planning Tool'!P78</f>
        <v>779204.63</v>
      </c>
      <c r="BG131" s="221"/>
      <c r="BH131" s="221"/>
      <c r="BI131" s="221"/>
      <c r="BJ131" s="221"/>
      <c r="BK131" s="221"/>
      <c r="BL131" s="221"/>
      <c r="BM131" s="222"/>
      <c r="BN131" s="220">
        <f ca="1">'Financial Planning Tool'!Q78</f>
        <v>303984.46000000002</v>
      </c>
      <c r="BO131" s="221"/>
      <c r="BP131" s="221"/>
      <c r="BQ131" s="221"/>
      <c r="BR131" s="221"/>
      <c r="BS131" s="221"/>
      <c r="BT131" s="221"/>
      <c r="BU131" s="222"/>
    </row>
    <row r="132" spans="2:73" x14ac:dyDescent="0.25">
      <c r="B132" s="215">
        <f ca="1">'Financial Planning Tool'!H79</f>
        <v>54757</v>
      </c>
      <c r="C132" s="216"/>
      <c r="D132" s="216"/>
      <c r="E132" s="217"/>
      <c r="F132" s="218">
        <f ca="1">'Financial Planning Tool'!I79</f>
        <v>79</v>
      </c>
      <c r="G132" s="186"/>
      <c r="H132" s="186"/>
      <c r="I132" s="219"/>
      <c r="J132" s="220" t="str">
        <f ca="1">'Financial Planning Tool'!J79</f>
        <v/>
      </c>
      <c r="K132" s="221"/>
      <c r="L132" s="221"/>
      <c r="M132" s="221"/>
      <c r="N132" s="221"/>
      <c r="O132" s="221"/>
      <c r="P132" s="221"/>
      <c r="Q132" s="222"/>
      <c r="R132" s="220" t="str">
        <f ca="1">'Financial Planning Tool'!K79</f>
        <v/>
      </c>
      <c r="S132" s="221"/>
      <c r="T132" s="221"/>
      <c r="U132" s="221"/>
      <c r="V132" s="221"/>
      <c r="W132" s="221"/>
      <c r="X132" s="221"/>
      <c r="Y132" s="222"/>
      <c r="Z132" s="220" t="str">
        <f ca="1">'Financial Planning Tool'!L79</f>
        <v/>
      </c>
      <c r="AA132" s="221"/>
      <c r="AB132" s="221"/>
      <c r="AC132" s="221"/>
      <c r="AD132" s="221"/>
      <c r="AE132" s="221"/>
      <c r="AF132" s="221"/>
      <c r="AG132" s="222"/>
      <c r="AH132" s="220" t="str">
        <f ca="1">'Financial Planning Tool'!M79</f>
        <v/>
      </c>
      <c r="AI132" s="221"/>
      <c r="AJ132" s="221"/>
      <c r="AK132" s="221"/>
      <c r="AL132" s="221"/>
      <c r="AM132" s="221"/>
      <c r="AN132" s="221"/>
      <c r="AO132" s="222"/>
      <c r="AP132" s="220">
        <f ca="1">'Financial Planning Tool'!N79</f>
        <v>-136319.07</v>
      </c>
      <c r="AQ132" s="221"/>
      <c r="AR132" s="221"/>
      <c r="AS132" s="221"/>
      <c r="AT132" s="221"/>
      <c r="AU132" s="221"/>
      <c r="AV132" s="221"/>
      <c r="AW132" s="222"/>
      <c r="AX132" s="220">
        <f ca="1">'Financial Planning Tool'!O79</f>
        <v>-52244.2</v>
      </c>
      <c r="AY132" s="221"/>
      <c r="AZ132" s="221"/>
      <c r="BA132" s="221"/>
      <c r="BB132" s="221"/>
      <c r="BC132" s="221"/>
      <c r="BD132" s="221"/>
      <c r="BE132" s="222"/>
      <c r="BF132" s="220">
        <f ca="1">'Financial Planning Tool'!P79</f>
        <v>706412.16</v>
      </c>
      <c r="BG132" s="221"/>
      <c r="BH132" s="221"/>
      <c r="BI132" s="221"/>
      <c r="BJ132" s="221"/>
      <c r="BK132" s="221"/>
      <c r="BL132" s="221"/>
      <c r="BM132" s="222"/>
      <c r="BN132" s="220">
        <f ca="1">'Financial Planning Tool'!Q79</f>
        <v>264987.07</v>
      </c>
      <c r="BO132" s="221"/>
      <c r="BP132" s="221"/>
      <c r="BQ132" s="221"/>
      <c r="BR132" s="221"/>
      <c r="BS132" s="221"/>
      <c r="BT132" s="221"/>
      <c r="BU132" s="222"/>
    </row>
    <row r="133" spans="2:73" x14ac:dyDescent="0.25">
      <c r="B133" s="215">
        <f ca="1">'Financial Planning Tool'!H80</f>
        <v>55122</v>
      </c>
      <c r="C133" s="216"/>
      <c r="D133" s="216"/>
      <c r="E133" s="217"/>
      <c r="F133" s="218">
        <f ca="1">'Financial Planning Tool'!I80</f>
        <v>80</v>
      </c>
      <c r="G133" s="186"/>
      <c r="H133" s="186"/>
      <c r="I133" s="219"/>
      <c r="J133" s="220" t="str">
        <f ca="1">'Financial Planning Tool'!J80</f>
        <v/>
      </c>
      <c r="K133" s="221"/>
      <c r="L133" s="221"/>
      <c r="M133" s="221"/>
      <c r="N133" s="221"/>
      <c r="O133" s="221"/>
      <c r="P133" s="221"/>
      <c r="Q133" s="222"/>
      <c r="R133" s="220" t="str">
        <f ca="1">'Financial Planning Tool'!K80</f>
        <v/>
      </c>
      <c r="S133" s="221"/>
      <c r="T133" s="221"/>
      <c r="U133" s="221"/>
      <c r="V133" s="221"/>
      <c r="W133" s="221"/>
      <c r="X133" s="221"/>
      <c r="Y133" s="222"/>
      <c r="Z133" s="220" t="str">
        <f ca="1">'Financial Planning Tool'!L80</f>
        <v/>
      </c>
      <c r="AA133" s="221"/>
      <c r="AB133" s="221"/>
      <c r="AC133" s="221"/>
      <c r="AD133" s="221"/>
      <c r="AE133" s="221"/>
      <c r="AF133" s="221"/>
      <c r="AG133" s="222"/>
      <c r="AH133" s="220" t="str">
        <f ca="1">'Financial Planning Tool'!M80</f>
        <v/>
      </c>
      <c r="AI133" s="221"/>
      <c r="AJ133" s="221"/>
      <c r="AK133" s="221"/>
      <c r="AL133" s="221"/>
      <c r="AM133" s="221"/>
      <c r="AN133" s="221"/>
      <c r="AO133" s="222"/>
      <c r="AP133" s="220">
        <f ca="1">'Financial Planning Tool'!N80</f>
        <v>-123584.29</v>
      </c>
      <c r="AQ133" s="221"/>
      <c r="AR133" s="221"/>
      <c r="AS133" s="221"/>
      <c r="AT133" s="221"/>
      <c r="AU133" s="221"/>
      <c r="AV133" s="221"/>
      <c r="AW133" s="222"/>
      <c r="AX133" s="220">
        <f ca="1">'Financial Planning Tool'!O80</f>
        <v>-45541.93</v>
      </c>
      <c r="AY133" s="221"/>
      <c r="AZ133" s="221"/>
      <c r="BA133" s="221"/>
      <c r="BB133" s="221"/>
      <c r="BC133" s="221"/>
      <c r="BD133" s="221"/>
      <c r="BE133" s="222"/>
      <c r="BF133" s="220">
        <f ca="1">'Financial Planning Tool'!P80</f>
        <v>640419.89</v>
      </c>
      <c r="BG133" s="221"/>
      <c r="BH133" s="221"/>
      <c r="BI133" s="221"/>
      <c r="BJ133" s="221"/>
      <c r="BK133" s="221"/>
      <c r="BL133" s="221"/>
      <c r="BM133" s="222"/>
      <c r="BN133" s="220">
        <f ca="1">'Financial Planning Tool'!Q80</f>
        <v>230992.56</v>
      </c>
      <c r="BO133" s="221"/>
      <c r="BP133" s="221"/>
      <c r="BQ133" s="221"/>
      <c r="BR133" s="221"/>
      <c r="BS133" s="221"/>
      <c r="BT133" s="221"/>
      <c r="BU133" s="222"/>
    </row>
    <row r="134" spans="2:73" x14ac:dyDescent="0.25">
      <c r="B134" s="215">
        <f ca="1">'Financial Planning Tool'!H81</f>
        <v>55487</v>
      </c>
      <c r="C134" s="216"/>
      <c r="D134" s="216"/>
      <c r="E134" s="217"/>
      <c r="F134" s="218">
        <f ca="1">'Financial Planning Tool'!I81</f>
        <v>81</v>
      </c>
      <c r="G134" s="186"/>
      <c r="H134" s="186"/>
      <c r="I134" s="219"/>
      <c r="J134" s="220" t="str">
        <f ca="1">'Financial Planning Tool'!J81</f>
        <v/>
      </c>
      <c r="K134" s="221"/>
      <c r="L134" s="221"/>
      <c r="M134" s="221"/>
      <c r="N134" s="221"/>
      <c r="O134" s="221"/>
      <c r="P134" s="221"/>
      <c r="Q134" s="222"/>
      <c r="R134" s="220" t="str">
        <f ca="1">'Financial Planning Tool'!K81</f>
        <v/>
      </c>
      <c r="S134" s="221"/>
      <c r="T134" s="221"/>
      <c r="U134" s="221"/>
      <c r="V134" s="221"/>
      <c r="W134" s="221"/>
      <c r="X134" s="221"/>
      <c r="Y134" s="222"/>
      <c r="Z134" s="220" t="str">
        <f ca="1">'Financial Planning Tool'!L81</f>
        <v/>
      </c>
      <c r="AA134" s="221"/>
      <c r="AB134" s="221"/>
      <c r="AC134" s="221"/>
      <c r="AD134" s="221"/>
      <c r="AE134" s="221"/>
      <c r="AF134" s="221"/>
      <c r="AG134" s="222"/>
      <c r="AH134" s="220" t="str">
        <f ca="1">'Financial Planning Tool'!M81</f>
        <v/>
      </c>
      <c r="AI134" s="221"/>
      <c r="AJ134" s="221"/>
      <c r="AK134" s="221"/>
      <c r="AL134" s="221"/>
      <c r="AM134" s="221"/>
      <c r="AN134" s="221"/>
      <c r="AO134" s="222"/>
      <c r="AP134" s="220">
        <f ca="1">'Financial Planning Tool'!N81</f>
        <v>-112039.18</v>
      </c>
      <c r="AQ134" s="221"/>
      <c r="AR134" s="221"/>
      <c r="AS134" s="221"/>
      <c r="AT134" s="221"/>
      <c r="AU134" s="221"/>
      <c r="AV134" s="221"/>
      <c r="AW134" s="222"/>
      <c r="AX134" s="220">
        <f ca="1">'Financial Planning Tool'!O81</f>
        <v>-39699.47</v>
      </c>
      <c r="AY134" s="221"/>
      <c r="AZ134" s="221"/>
      <c r="BA134" s="221"/>
      <c r="BB134" s="221"/>
      <c r="BC134" s="221"/>
      <c r="BD134" s="221"/>
      <c r="BE134" s="222"/>
      <c r="BF134" s="220">
        <f ca="1">'Financial Planning Tool'!P81</f>
        <v>580592.54</v>
      </c>
      <c r="BG134" s="221"/>
      <c r="BH134" s="221"/>
      <c r="BI134" s="221"/>
      <c r="BJ134" s="221"/>
      <c r="BK134" s="221"/>
      <c r="BL134" s="221"/>
      <c r="BM134" s="222"/>
      <c r="BN134" s="220">
        <f ca="1">'Financial Planning Tool'!Q81</f>
        <v>201359.11</v>
      </c>
      <c r="BO134" s="221"/>
      <c r="BP134" s="221"/>
      <c r="BQ134" s="221"/>
      <c r="BR134" s="221"/>
      <c r="BS134" s="221"/>
      <c r="BT134" s="221"/>
      <c r="BU134" s="222"/>
    </row>
    <row r="135" spans="2:73" x14ac:dyDescent="0.25">
      <c r="B135" s="215">
        <f ca="1">'Financial Planning Tool'!H82</f>
        <v>55853</v>
      </c>
      <c r="C135" s="216"/>
      <c r="D135" s="216"/>
      <c r="E135" s="217"/>
      <c r="F135" s="218">
        <f ca="1">'Financial Planning Tool'!I82</f>
        <v>82</v>
      </c>
      <c r="G135" s="186"/>
      <c r="H135" s="186"/>
      <c r="I135" s="219"/>
      <c r="J135" s="220" t="str">
        <f ca="1">'Financial Planning Tool'!J82</f>
        <v/>
      </c>
      <c r="K135" s="221"/>
      <c r="L135" s="221"/>
      <c r="M135" s="221"/>
      <c r="N135" s="221"/>
      <c r="O135" s="221"/>
      <c r="P135" s="221"/>
      <c r="Q135" s="222"/>
      <c r="R135" s="220" t="str">
        <f ca="1">'Financial Planning Tool'!K82</f>
        <v/>
      </c>
      <c r="S135" s="221"/>
      <c r="T135" s="221"/>
      <c r="U135" s="221"/>
      <c r="V135" s="221"/>
      <c r="W135" s="221"/>
      <c r="X135" s="221"/>
      <c r="Y135" s="222"/>
      <c r="Z135" s="220" t="str">
        <f ca="1">'Financial Planning Tool'!L82</f>
        <v/>
      </c>
      <c r="AA135" s="221"/>
      <c r="AB135" s="221"/>
      <c r="AC135" s="221"/>
      <c r="AD135" s="221"/>
      <c r="AE135" s="221"/>
      <c r="AF135" s="221"/>
      <c r="AG135" s="222"/>
      <c r="AH135" s="220" t="str">
        <f ca="1">'Financial Planning Tool'!M82</f>
        <v/>
      </c>
      <c r="AI135" s="221"/>
      <c r="AJ135" s="221"/>
      <c r="AK135" s="221"/>
      <c r="AL135" s="221"/>
      <c r="AM135" s="221"/>
      <c r="AN135" s="221"/>
      <c r="AO135" s="222"/>
      <c r="AP135" s="220">
        <f ca="1">'Financial Planning Tool'!N82</f>
        <v>-101572.59</v>
      </c>
      <c r="AQ135" s="221"/>
      <c r="AR135" s="221"/>
      <c r="AS135" s="221"/>
      <c r="AT135" s="221"/>
      <c r="AU135" s="221"/>
      <c r="AV135" s="221"/>
      <c r="AW135" s="222"/>
      <c r="AX135" s="220">
        <f ca="1">'Financial Planning Tool'!O82</f>
        <v>-34606.53</v>
      </c>
      <c r="AY135" s="221"/>
      <c r="AZ135" s="221"/>
      <c r="BA135" s="221"/>
      <c r="BB135" s="221"/>
      <c r="BC135" s="221"/>
      <c r="BD135" s="221"/>
      <c r="BE135" s="222"/>
      <c r="BF135" s="220">
        <f ca="1">'Financial Planning Tool'!P82</f>
        <v>526354.19999999995</v>
      </c>
      <c r="BG135" s="221"/>
      <c r="BH135" s="221"/>
      <c r="BI135" s="221"/>
      <c r="BJ135" s="221"/>
      <c r="BK135" s="221"/>
      <c r="BL135" s="221"/>
      <c r="BM135" s="222"/>
      <c r="BN135" s="220">
        <f ca="1">'Financial Planning Tool'!Q82</f>
        <v>175527.27</v>
      </c>
      <c r="BO135" s="221"/>
      <c r="BP135" s="221"/>
      <c r="BQ135" s="221"/>
      <c r="BR135" s="221"/>
      <c r="BS135" s="221"/>
      <c r="BT135" s="221"/>
      <c r="BU135" s="222"/>
    </row>
    <row r="136" spans="2:73" x14ac:dyDescent="0.25">
      <c r="B136" s="215">
        <f ca="1">'Financial Planning Tool'!H83</f>
        <v>56218</v>
      </c>
      <c r="C136" s="216"/>
      <c r="D136" s="216"/>
      <c r="E136" s="217"/>
      <c r="F136" s="218">
        <f ca="1">'Financial Planning Tool'!I83</f>
        <v>83</v>
      </c>
      <c r="G136" s="186"/>
      <c r="H136" s="186"/>
      <c r="I136" s="219"/>
      <c r="J136" s="220" t="str">
        <f ca="1">'Financial Planning Tool'!J83</f>
        <v/>
      </c>
      <c r="K136" s="221"/>
      <c r="L136" s="221"/>
      <c r="M136" s="221"/>
      <c r="N136" s="221"/>
      <c r="O136" s="221"/>
      <c r="P136" s="221"/>
      <c r="Q136" s="222"/>
      <c r="R136" s="220" t="str">
        <f ca="1">'Financial Planning Tool'!K83</f>
        <v/>
      </c>
      <c r="S136" s="221"/>
      <c r="T136" s="221"/>
      <c r="U136" s="221"/>
      <c r="V136" s="221"/>
      <c r="W136" s="221"/>
      <c r="X136" s="221"/>
      <c r="Y136" s="222"/>
      <c r="Z136" s="220" t="str">
        <f ca="1">'Financial Planning Tool'!L83</f>
        <v/>
      </c>
      <c r="AA136" s="221"/>
      <c r="AB136" s="221"/>
      <c r="AC136" s="221"/>
      <c r="AD136" s="221"/>
      <c r="AE136" s="221"/>
      <c r="AF136" s="221"/>
      <c r="AG136" s="222"/>
      <c r="AH136" s="220" t="str">
        <f ca="1">'Financial Planning Tool'!M83</f>
        <v/>
      </c>
      <c r="AI136" s="221"/>
      <c r="AJ136" s="221"/>
      <c r="AK136" s="221"/>
      <c r="AL136" s="221"/>
      <c r="AM136" s="221"/>
      <c r="AN136" s="221"/>
      <c r="AO136" s="222"/>
      <c r="AP136" s="220">
        <f ca="1">'Financial Planning Tool'!N83</f>
        <v>-92083.79</v>
      </c>
      <c r="AQ136" s="221"/>
      <c r="AR136" s="221"/>
      <c r="AS136" s="221"/>
      <c r="AT136" s="221"/>
      <c r="AU136" s="221"/>
      <c r="AV136" s="221"/>
      <c r="AW136" s="222"/>
      <c r="AX136" s="220">
        <f ca="1">'Financial Planning Tool'!O83</f>
        <v>-30166.94</v>
      </c>
      <c r="AY136" s="221"/>
      <c r="AZ136" s="221"/>
      <c r="BA136" s="221"/>
      <c r="BB136" s="221"/>
      <c r="BC136" s="221"/>
      <c r="BD136" s="221"/>
      <c r="BE136" s="222"/>
      <c r="BF136" s="220">
        <f ca="1">'Financial Planning Tool'!P83</f>
        <v>477182.75</v>
      </c>
      <c r="BG136" s="221"/>
      <c r="BH136" s="221"/>
      <c r="BI136" s="221"/>
      <c r="BJ136" s="221"/>
      <c r="BK136" s="221"/>
      <c r="BL136" s="221"/>
      <c r="BM136" s="222"/>
      <c r="BN136" s="220">
        <f ca="1">'Financial Planning Tool'!Q83</f>
        <v>153009.32</v>
      </c>
      <c r="BO136" s="221"/>
      <c r="BP136" s="221"/>
      <c r="BQ136" s="221"/>
      <c r="BR136" s="221"/>
      <c r="BS136" s="221"/>
      <c r="BT136" s="221"/>
      <c r="BU136" s="222"/>
    </row>
    <row r="137" spans="2:73" x14ac:dyDescent="0.25">
      <c r="B137" s="215">
        <f ca="1">'Financial Planning Tool'!H84</f>
        <v>56583</v>
      </c>
      <c r="C137" s="216"/>
      <c r="D137" s="216"/>
      <c r="E137" s="217"/>
      <c r="F137" s="218">
        <f ca="1">'Financial Planning Tool'!I84</f>
        <v>84</v>
      </c>
      <c r="G137" s="186"/>
      <c r="H137" s="186"/>
      <c r="I137" s="219"/>
      <c r="J137" s="220" t="str">
        <f ca="1">'Financial Planning Tool'!J84</f>
        <v/>
      </c>
      <c r="K137" s="221"/>
      <c r="L137" s="221"/>
      <c r="M137" s="221"/>
      <c r="N137" s="221"/>
      <c r="O137" s="221"/>
      <c r="P137" s="221"/>
      <c r="Q137" s="222"/>
      <c r="R137" s="220" t="str">
        <f ca="1">'Financial Planning Tool'!K84</f>
        <v/>
      </c>
      <c r="S137" s="221"/>
      <c r="T137" s="221"/>
      <c r="U137" s="221"/>
      <c r="V137" s="221"/>
      <c r="W137" s="221"/>
      <c r="X137" s="221"/>
      <c r="Y137" s="222"/>
      <c r="Z137" s="220" t="str">
        <f ca="1">'Financial Planning Tool'!L84</f>
        <v/>
      </c>
      <c r="AA137" s="221"/>
      <c r="AB137" s="221"/>
      <c r="AC137" s="221"/>
      <c r="AD137" s="221"/>
      <c r="AE137" s="221"/>
      <c r="AF137" s="221"/>
      <c r="AG137" s="222"/>
      <c r="AH137" s="220" t="str">
        <f ca="1">'Financial Planning Tool'!M84</f>
        <v/>
      </c>
      <c r="AI137" s="221"/>
      <c r="AJ137" s="221"/>
      <c r="AK137" s="221"/>
      <c r="AL137" s="221"/>
      <c r="AM137" s="221"/>
      <c r="AN137" s="221"/>
      <c r="AO137" s="222"/>
      <c r="AP137" s="220">
        <f ca="1">'Financial Planning Tool'!N84</f>
        <v>-83481.42</v>
      </c>
      <c r="AQ137" s="221"/>
      <c r="AR137" s="221"/>
      <c r="AS137" s="221"/>
      <c r="AT137" s="221"/>
      <c r="AU137" s="221"/>
      <c r="AV137" s="221"/>
      <c r="AW137" s="222"/>
      <c r="AX137" s="220">
        <f ca="1">'Financial Planning Tool'!O84</f>
        <v>-26296.9</v>
      </c>
      <c r="AY137" s="221"/>
      <c r="AZ137" s="221"/>
      <c r="BA137" s="221"/>
      <c r="BB137" s="221"/>
      <c r="BC137" s="221"/>
      <c r="BD137" s="221"/>
      <c r="BE137" s="222"/>
      <c r="BF137" s="220">
        <f ca="1">'Financial Planning Tool'!P84</f>
        <v>432604.84</v>
      </c>
      <c r="BG137" s="221"/>
      <c r="BH137" s="221"/>
      <c r="BI137" s="221"/>
      <c r="BJ137" s="221"/>
      <c r="BK137" s="221"/>
      <c r="BL137" s="221"/>
      <c r="BM137" s="222"/>
      <c r="BN137" s="220">
        <f ca="1">'Financial Planning Tool'!Q84</f>
        <v>133380.15</v>
      </c>
      <c r="BO137" s="221"/>
      <c r="BP137" s="221"/>
      <c r="BQ137" s="221"/>
      <c r="BR137" s="221"/>
      <c r="BS137" s="221"/>
      <c r="BT137" s="221"/>
      <c r="BU137" s="222"/>
    </row>
    <row r="138" spans="2:73" x14ac:dyDescent="0.25">
      <c r="B138" s="215">
        <f ca="1">'Financial Planning Tool'!H85</f>
        <v>56948</v>
      </c>
      <c r="C138" s="216"/>
      <c r="D138" s="216"/>
      <c r="E138" s="217"/>
      <c r="F138" s="218">
        <f ca="1">'Financial Planning Tool'!I85</f>
        <v>85</v>
      </c>
      <c r="G138" s="186"/>
      <c r="H138" s="186"/>
      <c r="I138" s="219"/>
      <c r="J138" s="220" t="str">
        <f ca="1">'Financial Planning Tool'!J85</f>
        <v/>
      </c>
      <c r="K138" s="221"/>
      <c r="L138" s="221"/>
      <c r="M138" s="221"/>
      <c r="N138" s="221"/>
      <c r="O138" s="221"/>
      <c r="P138" s="221"/>
      <c r="Q138" s="222"/>
      <c r="R138" s="220" t="str">
        <f ca="1">'Financial Planning Tool'!K85</f>
        <v/>
      </c>
      <c r="S138" s="221"/>
      <c r="T138" s="221"/>
      <c r="U138" s="221"/>
      <c r="V138" s="221"/>
      <c r="W138" s="221"/>
      <c r="X138" s="221"/>
      <c r="Y138" s="222"/>
      <c r="Z138" s="220" t="str">
        <f ca="1">'Financial Planning Tool'!L85</f>
        <v/>
      </c>
      <c r="AA138" s="221"/>
      <c r="AB138" s="221"/>
      <c r="AC138" s="221"/>
      <c r="AD138" s="221"/>
      <c r="AE138" s="221"/>
      <c r="AF138" s="221"/>
      <c r="AG138" s="222"/>
      <c r="AH138" s="220" t="str">
        <f ca="1">'Financial Planning Tool'!M85</f>
        <v/>
      </c>
      <c r="AI138" s="221"/>
      <c r="AJ138" s="221"/>
      <c r="AK138" s="221"/>
      <c r="AL138" s="221"/>
      <c r="AM138" s="221"/>
      <c r="AN138" s="221"/>
      <c r="AO138" s="222"/>
      <c r="AP138" s="220">
        <f ca="1">'Financial Planning Tool'!N85</f>
        <v>-75682.67</v>
      </c>
      <c r="AQ138" s="221"/>
      <c r="AR138" s="221"/>
      <c r="AS138" s="221"/>
      <c r="AT138" s="221"/>
      <c r="AU138" s="221"/>
      <c r="AV138" s="221"/>
      <c r="AW138" s="222"/>
      <c r="AX138" s="220">
        <f ca="1">'Financial Planning Tool'!O85</f>
        <v>-22923.34</v>
      </c>
      <c r="AY138" s="221"/>
      <c r="AZ138" s="221"/>
      <c r="BA138" s="221"/>
      <c r="BB138" s="221"/>
      <c r="BC138" s="221"/>
      <c r="BD138" s="221"/>
      <c r="BE138" s="222"/>
      <c r="BF138" s="220">
        <f ca="1">'Financial Planning Tool'!P85</f>
        <v>392191.35</v>
      </c>
      <c r="BG138" s="221"/>
      <c r="BH138" s="221"/>
      <c r="BI138" s="221"/>
      <c r="BJ138" s="221"/>
      <c r="BK138" s="221"/>
      <c r="BL138" s="221"/>
      <c r="BM138" s="222"/>
      <c r="BN138" s="220">
        <f ca="1">'Financial Planning Tool'!Q85</f>
        <v>116269.15</v>
      </c>
      <c r="BO138" s="221"/>
      <c r="BP138" s="221"/>
      <c r="BQ138" s="221"/>
      <c r="BR138" s="221"/>
      <c r="BS138" s="221"/>
      <c r="BT138" s="221"/>
      <c r="BU138" s="222"/>
    </row>
    <row r="139" spans="2:73" x14ac:dyDescent="0.25">
      <c r="B139" s="215">
        <f ca="1">'Financial Planning Tool'!H86</f>
        <v>57314</v>
      </c>
      <c r="C139" s="216"/>
      <c r="D139" s="216"/>
      <c r="E139" s="217"/>
      <c r="F139" s="218">
        <f ca="1">'Financial Planning Tool'!I86</f>
        <v>86</v>
      </c>
      <c r="G139" s="186"/>
      <c r="H139" s="186"/>
      <c r="I139" s="219"/>
      <c r="J139" s="220" t="str">
        <f ca="1">'Financial Planning Tool'!J86</f>
        <v/>
      </c>
      <c r="K139" s="221"/>
      <c r="L139" s="221"/>
      <c r="M139" s="221"/>
      <c r="N139" s="221"/>
      <c r="O139" s="221"/>
      <c r="P139" s="221"/>
      <c r="Q139" s="222"/>
      <c r="R139" s="220" t="str">
        <f ca="1">'Financial Planning Tool'!K86</f>
        <v/>
      </c>
      <c r="S139" s="221"/>
      <c r="T139" s="221"/>
      <c r="U139" s="221"/>
      <c r="V139" s="221"/>
      <c r="W139" s="221"/>
      <c r="X139" s="221"/>
      <c r="Y139" s="222"/>
      <c r="Z139" s="220" t="str">
        <f ca="1">'Financial Planning Tool'!L86</f>
        <v/>
      </c>
      <c r="AA139" s="221"/>
      <c r="AB139" s="221"/>
      <c r="AC139" s="221"/>
      <c r="AD139" s="221"/>
      <c r="AE139" s="221"/>
      <c r="AF139" s="221"/>
      <c r="AG139" s="222"/>
      <c r="AH139" s="220" t="str">
        <f ca="1">'Financial Planning Tool'!M86</f>
        <v/>
      </c>
      <c r="AI139" s="221"/>
      <c r="AJ139" s="221"/>
      <c r="AK139" s="221"/>
      <c r="AL139" s="221"/>
      <c r="AM139" s="221"/>
      <c r="AN139" s="221"/>
      <c r="AO139" s="222"/>
      <c r="AP139" s="220">
        <f ca="1">'Financial Planning Tool'!N86</f>
        <v>-68612.479999999996</v>
      </c>
      <c r="AQ139" s="221"/>
      <c r="AR139" s="221"/>
      <c r="AS139" s="221"/>
      <c r="AT139" s="221"/>
      <c r="AU139" s="221"/>
      <c r="AV139" s="221"/>
      <c r="AW139" s="222"/>
      <c r="AX139" s="220">
        <f ca="1">'Financial Planning Tool'!O86</f>
        <v>-19982.560000000001</v>
      </c>
      <c r="AY139" s="221"/>
      <c r="AZ139" s="221"/>
      <c r="BA139" s="221"/>
      <c r="BB139" s="221"/>
      <c r="BC139" s="221"/>
      <c r="BD139" s="221"/>
      <c r="BE139" s="222"/>
      <c r="BF139" s="220">
        <f ca="1">'Financial Planning Tool'!P86</f>
        <v>355553.25</v>
      </c>
      <c r="BG139" s="221"/>
      <c r="BH139" s="221"/>
      <c r="BI139" s="221"/>
      <c r="BJ139" s="221"/>
      <c r="BK139" s="221"/>
      <c r="BL139" s="221"/>
      <c r="BM139" s="222"/>
      <c r="BN139" s="220">
        <f ca="1">'Financial Planning Tool'!Q86</f>
        <v>101353.28</v>
      </c>
      <c r="BO139" s="221"/>
      <c r="BP139" s="221"/>
      <c r="BQ139" s="221"/>
      <c r="BR139" s="221"/>
      <c r="BS139" s="221"/>
      <c r="BT139" s="221"/>
      <c r="BU139" s="222"/>
    </row>
    <row r="140" spans="2:73" x14ac:dyDescent="0.25">
      <c r="B140" s="215">
        <f ca="1">'Financial Planning Tool'!H87</f>
        <v>57679</v>
      </c>
      <c r="C140" s="216"/>
      <c r="D140" s="216"/>
      <c r="E140" s="217"/>
      <c r="F140" s="218">
        <f ca="1">'Financial Planning Tool'!I87</f>
        <v>87</v>
      </c>
      <c r="G140" s="186"/>
      <c r="H140" s="186"/>
      <c r="I140" s="219"/>
      <c r="J140" s="220" t="str">
        <f ca="1">'Financial Planning Tool'!J87</f>
        <v/>
      </c>
      <c r="K140" s="221"/>
      <c r="L140" s="221"/>
      <c r="M140" s="221"/>
      <c r="N140" s="221"/>
      <c r="O140" s="221"/>
      <c r="P140" s="221"/>
      <c r="Q140" s="222"/>
      <c r="R140" s="220" t="str">
        <f ca="1">'Financial Planning Tool'!K87</f>
        <v/>
      </c>
      <c r="S140" s="221"/>
      <c r="T140" s="221"/>
      <c r="U140" s="221"/>
      <c r="V140" s="221"/>
      <c r="W140" s="221"/>
      <c r="X140" s="221"/>
      <c r="Y140" s="222"/>
      <c r="Z140" s="220" t="str">
        <f ca="1">'Financial Planning Tool'!L87</f>
        <v/>
      </c>
      <c r="AA140" s="221"/>
      <c r="AB140" s="221"/>
      <c r="AC140" s="221"/>
      <c r="AD140" s="221"/>
      <c r="AE140" s="221"/>
      <c r="AF140" s="221"/>
      <c r="AG140" s="222"/>
      <c r="AH140" s="220" t="str">
        <f ca="1">'Financial Planning Tool'!M87</f>
        <v/>
      </c>
      <c r="AI140" s="221"/>
      <c r="AJ140" s="221"/>
      <c r="AK140" s="221"/>
      <c r="AL140" s="221"/>
      <c r="AM140" s="221"/>
      <c r="AN140" s="221"/>
      <c r="AO140" s="222"/>
      <c r="AP140" s="220">
        <f ca="1">'Financial Planning Tool'!N87</f>
        <v>-62202.77</v>
      </c>
      <c r="AQ140" s="221"/>
      <c r="AR140" s="221"/>
      <c r="AS140" s="221"/>
      <c r="AT140" s="221"/>
      <c r="AU140" s="221"/>
      <c r="AV140" s="221"/>
      <c r="AW140" s="222"/>
      <c r="AX140" s="220">
        <f ca="1">'Financial Planning Tool'!O87</f>
        <v>-17419.05</v>
      </c>
      <c r="AY140" s="221"/>
      <c r="AZ140" s="221"/>
      <c r="BA140" s="221"/>
      <c r="BB140" s="221"/>
      <c r="BC140" s="221"/>
      <c r="BD140" s="221"/>
      <c r="BE140" s="222"/>
      <c r="BF140" s="220">
        <f ca="1">'Financial Planning Tool'!P87</f>
        <v>322337.84000000003</v>
      </c>
      <c r="BG140" s="221"/>
      <c r="BH140" s="221"/>
      <c r="BI140" s="221"/>
      <c r="BJ140" s="221"/>
      <c r="BK140" s="221"/>
      <c r="BL140" s="221"/>
      <c r="BM140" s="222"/>
      <c r="BN140" s="220">
        <f ca="1">'Financial Planning Tool'!Q87</f>
        <v>88350.92</v>
      </c>
      <c r="BO140" s="221"/>
      <c r="BP140" s="221"/>
      <c r="BQ140" s="221"/>
      <c r="BR140" s="221"/>
      <c r="BS140" s="221"/>
      <c r="BT140" s="221"/>
      <c r="BU140" s="222"/>
    </row>
    <row r="141" spans="2:73" x14ac:dyDescent="0.25">
      <c r="B141" s="215">
        <f ca="1">'Financial Planning Tool'!H88</f>
        <v>58044</v>
      </c>
      <c r="C141" s="216"/>
      <c r="D141" s="216"/>
      <c r="E141" s="217"/>
      <c r="F141" s="218">
        <f ca="1">'Financial Planning Tool'!I88</f>
        <v>88</v>
      </c>
      <c r="G141" s="186"/>
      <c r="H141" s="186"/>
      <c r="I141" s="219"/>
      <c r="J141" s="220" t="str">
        <f ca="1">'Financial Planning Tool'!J88</f>
        <v/>
      </c>
      <c r="K141" s="221"/>
      <c r="L141" s="221"/>
      <c r="M141" s="221"/>
      <c r="N141" s="221"/>
      <c r="O141" s="221"/>
      <c r="P141" s="221"/>
      <c r="Q141" s="222"/>
      <c r="R141" s="220" t="str">
        <f ca="1">'Financial Planning Tool'!K88</f>
        <v/>
      </c>
      <c r="S141" s="221"/>
      <c r="T141" s="221"/>
      <c r="U141" s="221"/>
      <c r="V141" s="221"/>
      <c r="W141" s="221"/>
      <c r="X141" s="221"/>
      <c r="Y141" s="222"/>
      <c r="Z141" s="220" t="str">
        <f ca="1">'Financial Planning Tool'!L88</f>
        <v/>
      </c>
      <c r="AA141" s="221"/>
      <c r="AB141" s="221"/>
      <c r="AC141" s="221"/>
      <c r="AD141" s="221"/>
      <c r="AE141" s="221"/>
      <c r="AF141" s="221"/>
      <c r="AG141" s="222"/>
      <c r="AH141" s="220" t="str">
        <f ca="1">'Financial Planning Tool'!M88</f>
        <v/>
      </c>
      <c r="AI141" s="221"/>
      <c r="AJ141" s="221"/>
      <c r="AK141" s="221"/>
      <c r="AL141" s="221"/>
      <c r="AM141" s="221"/>
      <c r="AN141" s="221"/>
      <c r="AO141" s="222"/>
      <c r="AP141" s="220">
        <f ca="1">'Financial Planning Tool'!N88</f>
        <v>-56391.86</v>
      </c>
      <c r="AQ141" s="221"/>
      <c r="AR141" s="221"/>
      <c r="AS141" s="221"/>
      <c r="AT141" s="221"/>
      <c r="AU141" s="221"/>
      <c r="AV141" s="221"/>
      <c r="AW141" s="222"/>
      <c r="AX141" s="220">
        <f ca="1">'Financial Planning Tool'!O88</f>
        <v>-15184.41</v>
      </c>
      <c r="AY141" s="221"/>
      <c r="AZ141" s="221"/>
      <c r="BA141" s="221"/>
      <c r="BB141" s="221"/>
      <c r="BC141" s="221"/>
      <c r="BD141" s="221"/>
      <c r="BE141" s="222"/>
      <c r="BF141" s="220">
        <f ca="1">'Financial Planning Tool'!P88</f>
        <v>292225.38</v>
      </c>
      <c r="BG141" s="221"/>
      <c r="BH141" s="221"/>
      <c r="BI141" s="221"/>
      <c r="BJ141" s="221"/>
      <c r="BK141" s="221"/>
      <c r="BL141" s="221"/>
      <c r="BM141" s="222"/>
      <c r="BN141" s="220">
        <f ca="1">'Financial Planning Tool'!Q88</f>
        <v>77016.61</v>
      </c>
      <c r="BO141" s="221"/>
      <c r="BP141" s="221"/>
      <c r="BQ141" s="221"/>
      <c r="BR141" s="221"/>
      <c r="BS141" s="221"/>
      <c r="BT141" s="221"/>
      <c r="BU141" s="222"/>
    </row>
    <row r="142" spans="2:73" x14ac:dyDescent="0.25">
      <c r="B142" s="215">
        <f ca="1">'Financial Planning Tool'!H89</f>
        <v>58409</v>
      </c>
      <c r="C142" s="216"/>
      <c r="D142" s="216"/>
      <c r="E142" s="217"/>
      <c r="F142" s="218">
        <f ca="1">'Financial Planning Tool'!I89</f>
        <v>89</v>
      </c>
      <c r="G142" s="186"/>
      <c r="H142" s="186"/>
      <c r="I142" s="219"/>
      <c r="J142" s="220" t="str">
        <f ca="1">'Financial Planning Tool'!J89</f>
        <v/>
      </c>
      <c r="K142" s="221"/>
      <c r="L142" s="221"/>
      <c r="M142" s="221"/>
      <c r="N142" s="221"/>
      <c r="O142" s="221"/>
      <c r="P142" s="221"/>
      <c r="Q142" s="222"/>
      <c r="R142" s="220" t="str">
        <f ca="1">'Financial Planning Tool'!K89</f>
        <v/>
      </c>
      <c r="S142" s="221"/>
      <c r="T142" s="221"/>
      <c r="U142" s="221"/>
      <c r="V142" s="221"/>
      <c r="W142" s="221"/>
      <c r="X142" s="221"/>
      <c r="Y142" s="222"/>
      <c r="Z142" s="220" t="str">
        <f ca="1">'Financial Planning Tool'!L89</f>
        <v/>
      </c>
      <c r="AA142" s="221"/>
      <c r="AB142" s="221"/>
      <c r="AC142" s="221"/>
      <c r="AD142" s="221"/>
      <c r="AE142" s="221"/>
      <c r="AF142" s="221"/>
      <c r="AG142" s="222"/>
      <c r="AH142" s="220" t="str">
        <f ca="1">'Financial Planning Tool'!M89</f>
        <v/>
      </c>
      <c r="AI142" s="221"/>
      <c r="AJ142" s="221"/>
      <c r="AK142" s="221"/>
      <c r="AL142" s="221"/>
      <c r="AM142" s="221"/>
      <c r="AN142" s="221"/>
      <c r="AO142" s="222"/>
      <c r="AP142" s="220">
        <f ca="1">'Financial Planning Tool'!N89</f>
        <v>-51123.79</v>
      </c>
      <c r="AQ142" s="221"/>
      <c r="AR142" s="221"/>
      <c r="AS142" s="221"/>
      <c r="AT142" s="221"/>
      <c r="AU142" s="221"/>
      <c r="AV142" s="221"/>
      <c r="AW142" s="222"/>
      <c r="AX142" s="220">
        <f ca="1">'Financial Planning Tool'!O89</f>
        <v>-13236.44</v>
      </c>
      <c r="AY142" s="221"/>
      <c r="AZ142" s="221"/>
      <c r="BA142" s="221"/>
      <c r="BB142" s="221"/>
      <c r="BC142" s="221"/>
      <c r="BD142" s="221"/>
      <c r="BE142" s="222"/>
      <c r="BF142" s="220">
        <f ca="1">'Financial Planning Tool'!P89</f>
        <v>264926</v>
      </c>
      <c r="BG142" s="221"/>
      <c r="BH142" s="221"/>
      <c r="BI142" s="221"/>
      <c r="BJ142" s="221"/>
      <c r="BK142" s="221"/>
      <c r="BL142" s="221"/>
      <c r="BM142" s="222"/>
      <c r="BN142" s="220">
        <f ca="1">'Financial Planning Tool'!Q89</f>
        <v>67136.350000000006</v>
      </c>
      <c r="BO142" s="221"/>
      <c r="BP142" s="221"/>
      <c r="BQ142" s="221"/>
      <c r="BR142" s="221"/>
      <c r="BS142" s="221"/>
      <c r="BT142" s="221"/>
      <c r="BU142" s="222"/>
    </row>
    <row r="143" spans="2:73" x14ac:dyDescent="0.25">
      <c r="B143" s="215">
        <f ca="1">'Financial Planning Tool'!H90</f>
        <v>58775</v>
      </c>
      <c r="C143" s="216"/>
      <c r="D143" s="216"/>
      <c r="E143" s="217"/>
      <c r="F143" s="218">
        <f ca="1">'Financial Planning Tool'!I90</f>
        <v>90</v>
      </c>
      <c r="G143" s="186"/>
      <c r="H143" s="186"/>
      <c r="I143" s="219"/>
      <c r="J143" s="220" t="str">
        <f ca="1">'Financial Planning Tool'!J90</f>
        <v/>
      </c>
      <c r="K143" s="221"/>
      <c r="L143" s="221"/>
      <c r="M143" s="221"/>
      <c r="N143" s="221"/>
      <c r="O143" s="221"/>
      <c r="P143" s="221"/>
      <c r="Q143" s="222"/>
      <c r="R143" s="220" t="str">
        <f ca="1">'Financial Planning Tool'!K90</f>
        <v/>
      </c>
      <c r="S143" s="221"/>
      <c r="T143" s="221"/>
      <c r="U143" s="221"/>
      <c r="V143" s="221"/>
      <c r="W143" s="221"/>
      <c r="X143" s="221"/>
      <c r="Y143" s="222"/>
      <c r="Z143" s="220" t="str">
        <f ca="1">'Financial Planning Tool'!L90</f>
        <v/>
      </c>
      <c r="AA143" s="221"/>
      <c r="AB143" s="221"/>
      <c r="AC143" s="221"/>
      <c r="AD143" s="221"/>
      <c r="AE143" s="221"/>
      <c r="AF143" s="221"/>
      <c r="AG143" s="222"/>
      <c r="AH143" s="220" t="str">
        <f ca="1">'Financial Planning Tool'!M90</f>
        <v/>
      </c>
      <c r="AI143" s="221"/>
      <c r="AJ143" s="221"/>
      <c r="AK143" s="221"/>
      <c r="AL143" s="221"/>
      <c r="AM143" s="221"/>
      <c r="AN143" s="221"/>
      <c r="AO143" s="222"/>
      <c r="AP143" s="220">
        <f ca="1">'Financial Planning Tool'!N90</f>
        <v>-46347.86</v>
      </c>
      <c r="AQ143" s="221"/>
      <c r="AR143" s="221"/>
      <c r="AS143" s="221"/>
      <c r="AT143" s="221"/>
      <c r="AU143" s="221"/>
      <c r="AV143" s="221"/>
      <c r="AW143" s="222"/>
      <c r="AX143" s="220">
        <f ca="1">'Financial Planning Tool'!O90</f>
        <v>-11538.37</v>
      </c>
      <c r="AY143" s="221"/>
      <c r="AZ143" s="221"/>
      <c r="BA143" s="221"/>
      <c r="BB143" s="221"/>
      <c r="BC143" s="221"/>
      <c r="BD143" s="221"/>
      <c r="BE143" s="222"/>
      <c r="BF143" s="220">
        <f ca="1">'Financial Planning Tool'!P90</f>
        <v>240176.89</v>
      </c>
      <c r="BG143" s="221"/>
      <c r="BH143" s="221"/>
      <c r="BI143" s="221"/>
      <c r="BJ143" s="221"/>
      <c r="BK143" s="221"/>
      <c r="BL143" s="221"/>
      <c r="BM143" s="222"/>
      <c r="BN143" s="220">
        <f ca="1">'Financial Planning Tool'!Q90</f>
        <v>58523.6</v>
      </c>
      <c r="BO143" s="221"/>
      <c r="BP143" s="221"/>
      <c r="BQ143" s="221"/>
      <c r="BR143" s="221"/>
      <c r="BS143" s="221"/>
      <c r="BT143" s="221"/>
      <c r="BU143" s="222"/>
    </row>
  </sheetData>
  <sheetProtection algorithmName="SHA-512" hashValue="LCMjPuizpZlDSjQC90pZoqFRmdSj9+vwKyvI9bInFOtxNq0GOPTfhCpj/YojAJ1c8To0sbIuDQou2PTdKjyMWg==" saltValue="vocPCUDYBrwVJFpGQkug2Q==" spinCount="100000" sheet="1" objects="1" scenarios="1"/>
  <mergeCells count="452">
    <mergeCell ref="AW22:BN22"/>
    <mergeCell ref="AW23:BN23"/>
    <mergeCell ref="AW25:BE25"/>
    <mergeCell ref="BF25:BN25"/>
    <mergeCell ref="AW26:BE26"/>
    <mergeCell ref="BF26:BN26"/>
    <mergeCell ref="B5:AL6"/>
    <mergeCell ref="AW12:BN12"/>
    <mergeCell ref="AW13:BN13"/>
    <mergeCell ref="AW17:BN17"/>
    <mergeCell ref="AW18:BN18"/>
    <mergeCell ref="AW19:BN19"/>
    <mergeCell ref="BG35:BN35"/>
    <mergeCell ref="B36:N36"/>
    <mergeCell ref="O36:V36"/>
    <mergeCell ref="W36:AF36"/>
    <mergeCell ref="AG36:AP36"/>
    <mergeCell ref="AQ36:AX36"/>
    <mergeCell ref="AY36:BF36"/>
    <mergeCell ref="BG36:BN36"/>
    <mergeCell ref="AW27:BE27"/>
    <mergeCell ref="BF27:BN27"/>
    <mergeCell ref="AW28:BE28"/>
    <mergeCell ref="BF28:BN28"/>
    <mergeCell ref="B35:N35"/>
    <mergeCell ref="O35:V35"/>
    <mergeCell ref="W35:AF35"/>
    <mergeCell ref="AG35:AP35"/>
    <mergeCell ref="AQ35:AX35"/>
    <mergeCell ref="AY35:BF35"/>
    <mergeCell ref="BG37:BN37"/>
    <mergeCell ref="B38:N38"/>
    <mergeCell ref="O38:V38"/>
    <mergeCell ref="W38:AF38"/>
    <mergeCell ref="AG38:AP38"/>
    <mergeCell ref="AQ38:AX38"/>
    <mergeCell ref="AY38:BF38"/>
    <mergeCell ref="BG38:BN38"/>
    <mergeCell ref="B37:N37"/>
    <mergeCell ref="O37:V37"/>
    <mergeCell ref="W37:AF37"/>
    <mergeCell ref="AG37:AP37"/>
    <mergeCell ref="AQ37:AX37"/>
    <mergeCell ref="AY37:BF37"/>
    <mergeCell ref="BG39:BN39"/>
    <mergeCell ref="B40:N40"/>
    <mergeCell ref="O40:V40"/>
    <mergeCell ref="W40:AF40"/>
    <mergeCell ref="AG40:AP40"/>
    <mergeCell ref="AQ40:AX40"/>
    <mergeCell ref="AY40:BF40"/>
    <mergeCell ref="BG40:BN40"/>
    <mergeCell ref="B39:N39"/>
    <mergeCell ref="O39:V39"/>
    <mergeCell ref="W39:AF39"/>
    <mergeCell ref="AG39:AP39"/>
    <mergeCell ref="AQ39:AX39"/>
    <mergeCell ref="AY39:BF39"/>
    <mergeCell ref="B61:BU61"/>
    <mergeCell ref="B62:BU70"/>
    <mergeCell ref="AR73:BF73"/>
    <mergeCell ref="BG73:BU73"/>
    <mergeCell ref="AR74:BF74"/>
    <mergeCell ref="BG74:BU74"/>
    <mergeCell ref="BG41:BN41"/>
    <mergeCell ref="B42:N42"/>
    <mergeCell ref="O42:V42"/>
    <mergeCell ref="W42:AF42"/>
    <mergeCell ref="AG42:AP42"/>
    <mergeCell ref="AQ42:AX42"/>
    <mergeCell ref="AY42:BF42"/>
    <mergeCell ref="BG42:BN42"/>
    <mergeCell ref="B41:N41"/>
    <mergeCell ref="O41:V41"/>
    <mergeCell ref="W41:AF41"/>
    <mergeCell ref="AG41:AP41"/>
    <mergeCell ref="AQ41:AX41"/>
    <mergeCell ref="AY41:BF41"/>
    <mergeCell ref="AP107:AW107"/>
    <mergeCell ref="AX107:BE107"/>
    <mergeCell ref="BF107:BM107"/>
    <mergeCell ref="BN107:BU107"/>
    <mergeCell ref="B108:E108"/>
    <mergeCell ref="F108:I108"/>
    <mergeCell ref="J108:Q108"/>
    <mergeCell ref="R108:Y108"/>
    <mergeCell ref="Z108:AG108"/>
    <mergeCell ref="AH108:AO108"/>
    <mergeCell ref="B106:E107"/>
    <mergeCell ref="F106:I107"/>
    <mergeCell ref="J106:Y106"/>
    <mergeCell ref="Z106:AO106"/>
    <mergeCell ref="AP106:BE106"/>
    <mergeCell ref="BF106:BU106"/>
    <mergeCell ref="J107:Q107"/>
    <mergeCell ref="R107:Y107"/>
    <mergeCell ref="Z107:AG107"/>
    <mergeCell ref="AH107:AO107"/>
    <mergeCell ref="AP108:AW108"/>
    <mergeCell ref="AX108:BE108"/>
    <mergeCell ref="BF108:BM108"/>
    <mergeCell ref="BN108:BU108"/>
    <mergeCell ref="BN109:BU109"/>
    <mergeCell ref="B110:E110"/>
    <mergeCell ref="F110:I110"/>
    <mergeCell ref="J110:Q110"/>
    <mergeCell ref="R110:Y110"/>
    <mergeCell ref="Z110:AG110"/>
    <mergeCell ref="AH110:AO110"/>
    <mergeCell ref="AP110:AW110"/>
    <mergeCell ref="AX110:BE110"/>
    <mergeCell ref="BF110:BM110"/>
    <mergeCell ref="BN110:BU110"/>
    <mergeCell ref="B109:E109"/>
    <mergeCell ref="F109:I109"/>
    <mergeCell ref="J109:Q109"/>
    <mergeCell ref="R109:Y109"/>
    <mergeCell ref="Z109:AG109"/>
    <mergeCell ref="AH109:AO109"/>
    <mergeCell ref="AP109:AW109"/>
    <mergeCell ref="AX109:BE109"/>
    <mergeCell ref="BF109:BM109"/>
    <mergeCell ref="BN111:BU111"/>
    <mergeCell ref="B112:E112"/>
    <mergeCell ref="F112:I112"/>
    <mergeCell ref="J112:Q112"/>
    <mergeCell ref="R112:Y112"/>
    <mergeCell ref="Z112:AG112"/>
    <mergeCell ref="AH112:AO112"/>
    <mergeCell ref="AP112:AW112"/>
    <mergeCell ref="AX112:BE112"/>
    <mergeCell ref="BF112:BM112"/>
    <mergeCell ref="BN112:BU112"/>
    <mergeCell ref="B111:E111"/>
    <mergeCell ref="F111:I111"/>
    <mergeCell ref="J111:Q111"/>
    <mergeCell ref="R111:Y111"/>
    <mergeCell ref="Z111:AG111"/>
    <mergeCell ref="AH111:AO111"/>
    <mergeCell ref="AP111:AW111"/>
    <mergeCell ref="AX111:BE111"/>
    <mergeCell ref="BF111:BM111"/>
    <mergeCell ref="BN113:BU113"/>
    <mergeCell ref="B114:E114"/>
    <mergeCell ref="F114:I114"/>
    <mergeCell ref="J114:Q114"/>
    <mergeCell ref="R114:Y114"/>
    <mergeCell ref="Z114:AG114"/>
    <mergeCell ref="AH114:AO114"/>
    <mergeCell ref="AP114:AW114"/>
    <mergeCell ref="AX114:BE114"/>
    <mergeCell ref="BF114:BM114"/>
    <mergeCell ref="BN114:BU114"/>
    <mergeCell ref="B113:E113"/>
    <mergeCell ref="F113:I113"/>
    <mergeCell ref="J113:Q113"/>
    <mergeCell ref="R113:Y113"/>
    <mergeCell ref="Z113:AG113"/>
    <mergeCell ref="AH113:AO113"/>
    <mergeCell ref="AP113:AW113"/>
    <mergeCell ref="AX113:BE113"/>
    <mergeCell ref="BF113:BM113"/>
    <mergeCell ref="BN115:BU115"/>
    <mergeCell ref="B116:E116"/>
    <mergeCell ref="F116:I116"/>
    <mergeCell ref="J116:Q116"/>
    <mergeCell ref="R116:Y116"/>
    <mergeCell ref="Z116:AG116"/>
    <mergeCell ref="AH116:AO116"/>
    <mergeCell ref="AP116:AW116"/>
    <mergeCell ref="AX116:BE116"/>
    <mergeCell ref="BF116:BM116"/>
    <mergeCell ref="BN116:BU116"/>
    <mergeCell ref="B115:E115"/>
    <mergeCell ref="F115:I115"/>
    <mergeCell ref="J115:Q115"/>
    <mergeCell ref="R115:Y115"/>
    <mergeCell ref="Z115:AG115"/>
    <mergeCell ref="AH115:AO115"/>
    <mergeCell ref="AP115:AW115"/>
    <mergeCell ref="AX115:BE115"/>
    <mergeCell ref="BF115:BM115"/>
    <mergeCell ref="BN117:BU117"/>
    <mergeCell ref="B118:E118"/>
    <mergeCell ref="F118:I118"/>
    <mergeCell ref="J118:Q118"/>
    <mergeCell ref="R118:Y118"/>
    <mergeCell ref="Z118:AG118"/>
    <mergeCell ref="AH118:AO118"/>
    <mergeCell ref="AP118:AW118"/>
    <mergeCell ref="AX118:BE118"/>
    <mergeCell ref="BF118:BM118"/>
    <mergeCell ref="BN118:BU118"/>
    <mergeCell ref="B117:E117"/>
    <mergeCell ref="F117:I117"/>
    <mergeCell ref="J117:Q117"/>
    <mergeCell ref="R117:Y117"/>
    <mergeCell ref="Z117:AG117"/>
    <mergeCell ref="AH117:AO117"/>
    <mergeCell ref="AP117:AW117"/>
    <mergeCell ref="AX117:BE117"/>
    <mergeCell ref="BF117:BM117"/>
    <mergeCell ref="BN119:BU119"/>
    <mergeCell ref="B120:E120"/>
    <mergeCell ref="F120:I120"/>
    <mergeCell ref="J120:Q120"/>
    <mergeCell ref="R120:Y120"/>
    <mergeCell ref="Z120:AG120"/>
    <mergeCell ref="AH120:AO120"/>
    <mergeCell ref="AP120:AW120"/>
    <mergeCell ref="AX120:BE120"/>
    <mergeCell ref="BF120:BM120"/>
    <mergeCell ref="BN120:BU120"/>
    <mergeCell ref="B119:E119"/>
    <mergeCell ref="F119:I119"/>
    <mergeCell ref="J119:Q119"/>
    <mergeCell ref="R119:Y119"/>
    <mergeCell ref="Z119:AG119"/>
    <mergeCell ref="AH119:AO119"/>
    <mergeCell ref="AP119:AW119"/>
    <mergeCell ref="AX119:BE119"/>
    <mergeCell ref="BF119:BM119"/>
    <mergeCell ref="BN121:BU121"/>
    <mergeCell ref="B122:E122"/>
    <mergeCell ref="F122:I122"/>
    <mergeCell ref="J122:Q122"/>
    <mergeCell ref="R122:Y122"/>
    <mergeCell ref="Z122:AG122"/>
    <mergeCell ref="AH122:AO122"/>
    <mergeCell ref="AP122:AW122"/>
    <mergeCell ref="AX122:BE122"/>
    <mergeCell ref="BF122:BM122"/>
    <mergeCell ref="BN122:BU122"/>
    <mergeCell ref="B121:E121"/>
    <mergeCell ref="F121:I121"/>
    <mergeCell ref="J121:Q121"/>
    <mergeCell ref="R121:Y121"/>
    <mergeCell ref="Z121:AG121"/>
    <mergeCell ref="AH121:AO121"/>
    <mergeCell ref="AP121:AW121"/>
    <mergeCell ref="AX121:BE121"/>
    <mergeCell ref="BF121:BM121"/>
    <mergeCell ref="BN123:BU123"/>
    <mergeCell ref="B124:E124"/>
    <mergeCell ref="F124:I124"/>
    <mergeCell ref="J124:Q124"/>
    <mergeCell ref="R124:Y124"/>
    <mergeCell ref="Z124:AG124"/>
    <mergeCell ref="AH124:AO124"/>
    <mergeCell ref="AP124:AW124"/>
    <mergeCell ref="AX124:BE124"/>
    <mergeCell ref="BF124:BM124"/>
    <mergeCell ref="BN124:BU124"/>
    <mergeCell ref="B123:E123"/>
    <mergeCell ref="F123:I123"/>
    <mergeCell ref="J123:Q123"/>
    <mergeCell ref="R123:Y123"/>
    <mergeCell ref="Z123:AG123"/>
    <mergeCell ref="AH123:AO123"/>
    <mergeCell ref="AP123:AW123"/>
    <mergeCell ref="AX123:BE123"/>
    <mergeCell ref="BF123:BM123"/>
    <mergeCell ref="BN125:BU125"/>
    <mergeCell ref="B126:E126"/>
    <mergeCell ref="F126:I126"/>
    <mergeCell ref="J126:Q126"/>
    <mergeCell ref="R126:Y126"/>
    <mergeCell ref="Z126:AG126"/>
    <mergeCell ref="AH126:AO126"/>
    <mergeCell ref="AP126:AW126"/>
    <mergeCell ref="AX126:BE126"/>
    <mergeCell ref="BF126:BM126"/>
    <mergeCell ref="BN126:BU126"/>
    <mergeCell ref="B125:E125"/>
    <mergeCell ref="F125:I125"/>
    <mergeCell ref="J125:Q125"/>
    <mergeCell ref="R125:Y125"/>
    <mergeCell ref="Z125:AG125"/>
    <mergeCell ref="AH125:AO125"/>
    <mergeCell ref="AP125:AW125"/>
    <mergeCell ref="AX125:BE125"/>
    <mergeCell ref="BF125:BM125"/>
    <mergeCell ref="BN127:BU127"/>
    <mergeCell ref="B128:E128"/>
    <mergeCell ref="F128:I128"/>
    <mergeCell ref="J128:Q128"/>
    <mergeCell ref="R128:Y128"/>
    <mergeCell ref="Z128:AG128"/>
    <mergeCell ref="AH128:AO128"/>
    <mergeCell ref="AP128:AW128"/>
    <mergeCell ref="AX128:BE128"/>
    <mergeCell ref="BF128:BM128"/>
    <mergeCell ref="BN128:BU128"/>
    <mergeCell ref="B127:E127"/>
    <mergeCell ref="F127:I127"/>
    <mergeCell ref="J127:Q127"/>
    <mergeCell ref="R127:Y127"/>
    <mergeCell ref="Z127:AG127"/>
    <mergeCell ref="AH127:AO127"/>
    <mergeCell ref="AP127:AW127"/>
    <mergeCell ref="AX127:BE127"/>
    <mergeCell ref="BF127:BM127"/>
    <mergeCell ref="BN129:BU129"/>
    <mergeCell ref="B130:E130"/>
    <mergeCell ref="F130:I130"/>
    <mergeCell ref="J130:Q130"/>
    <mergeCell ref="R130:Y130"/>
    <mergeCell ref="Z130:AG130"/>
    <mergeCell ref="AH130:AO130"/>
    <mergeCell ref="AP130:AW130"/>
    <mergeCell ref="AX130:BE130"/>
    <mergeCell ref="BF130:BM130"/>
    <mergeCell ref="BN130:BU130"/>
    <mergeCell ref="B129:E129"/>
    <mergeCell ref="F129:I129"/>
    <mergeCell ref="J129:Q129"/>
    <mergeCell ref="R129:Y129"/>
    <mergeCell ref="Z129:AG129"/>
    <mergeCell ref="AH129:AO129"/>
    <mergeCell ref="AP129:AW129"/>
    <mergeCell ref="AX129:BE129"/>
    <mergeCell ref="BF129:BM129"/>
    <mergeCell ref="BN131:BU131"/>
    <mergeCell ref="B132:E132"/>
    <mergeCell ref="F132:I132"/>
    <mergeCell ref="J132:Q132"/>
    <mergeCell ref="R132:Y132"/>
    <mergeCell ref="Z132:AG132"/>
    <mergeCell ref="AH132:AO132"/>
    <mergeCell ref="AP132:AW132"/>
    <mergeCell ref="AX132:BE132"/>
    <mergeCell ref="BF132:BM132"/>
    <mergeCell ref="BN132:BU132"/>
    <mergeCell ref="B131:E131"/>
    <mergeCell ref="F131:I131"/>
    <mergeCell ref="J131:Q131"/>
    <mergeCell ref="R131:Y131"/>
    <mergeCell ref="Z131:AG131"/>
    <mergeCell ref="AH131:AO131"/>
    <mergeCell ref="AP131:AW131"/>
    <mergeCell ref="AX131:BE131"/>
    <mergeCell ref="BF131:BM131"/>
    <mergeCell ref="BN133:BU133"/>
    <mergeCell ref="B134:E134"/>
    <mergeCell ref="F134:I134"/>
    <mergeCell ref="J134:Q134"/>
    <mergeCell ref="R134:Y134"/>
    <mergeCell ref="Z134:AG134"/>
    <mergeCell ref="AH134:AO134"/>
    <mergeCell ref="AP134:AW134"/>
    <mergeCell ref="AX134:BE134"/>
    <mergeCell ref="BF134:BM134"/>
    <mergeCell ref="BN134:BU134"/>
    <mergeCell ref="B133:E133"/>
    <mergeCell ref="F133:I133"/>
    <mergeCell ref="J133:Q133"/>
    <mergeCell ref="R133:Y133"/>
    <mergeCell ref="Z133:AG133"/>
    <mergeCell ref="AH133:AO133"/>
    <mergeCell ref="AP133:AW133"/>
    <mergeCell ref="AX133:BE133"/>
    <mergeCell ref="BF133:BM133"/>
    <mergeCell ref="BN135:BU135"/>
    <mergeCell ref="B136:E136"/>
    <mergeCell ref="F136:I136"/>
    <mergeCell ref="J136:Q136"/>
    <mergeCell ref="R136:Y136"/>
    <mergeCell ref="Z136:AG136"/>
    <mergeCell ref="AH136:AO136"/>
    <mergeCell ref="AP136:AW136"/>
    <mergeCell ref="AX136:BE136"/>
    <mergeCell ref="BF136:BM136"/>
    <mergeCell ref="BN136:BU136"/>
    <mergeCell ref="B135:E135"/>
    <mergeCell ref="F135:I135"/>
    <mergeCell ref="J135:Q135"/>
    <mergeCell ref="R135:Y135"/>
    <mergeCell ref="Z135:AG135"/>
    <mergeCell ref="AH135:AO135"/>
    <mergeCell ref="AP135:AW135"/>
    <mergeCell ref="AX135:BE135"/>
    <mergeCell ref="BF135:BM135"/>
    <mergeCell ref="AX139:BE139"/>
    <mergeCell ref="BF139:BM139"/>
    <mergeCell ref="BN137:BU137"/>
    <mergeCell ref="B138:E138"/>
    <mergeCell ref="F138:I138"/>
    <mergeCell ref="J138:Q138"/>
    <mergeCell ref="R138:Y138"/>
    <mergeCell ref="Z138:AG138"/>
    <mergeCell ref="AH138:AO138"/>
    <mergeCell ref="AP138:AW138"/>
    <mergeCell ref="AX138:BE138"/>
    <mergeCell ref="BF138:BM138"/>
    <mergeCell ref="BN138:BU138"/>
    <mergeCell ref="B137:E137"/>
    <mergeCell ref="F137:I137"/>
    <mergeCell ref="J137:Q137"/>
    <mergeCell ref="R137:Y137"/>
    <mergeCell ref="Z137:AG137"/>
    <mergeCell ref="AH137:AO137"/>
    <mergeCell ref="AP137:AW137"/>
    <mergeCell ref="AX137:BE137"/>
    <mergeCell ref="BF137:BM137"/>
    <mergeCell ref="R141:Y141"/>
    <mergeCell ref="Z141:AG141"/>
    <mergeCell ref="AH141:AO141"/>
    <mergeCell ref="AP141:AW141"/>
    <mergeCell ref="AX141:BE141"/>
    <mergeCell ref="BF141:BM141"/>
    <mergeCell ref="BN139:BU139"/>
    <mergeCell ref="B140:E140"/>
    <mergeCell ref="F140:I140"/>
    <mergeCell ref="J140:Q140"/>
    <mergeCell ref="R140:Y140"/>
    <mergeCell ref="Z140:AG140"/>
    <mergeCell ref="AH140:AO140"/>
    <mergeCell ref="AP140:AW140"/>
    <mergeCell ref="AX140:BE140"/>
    <mergeCell ref="BF140:BM140"/>
    <mergeCell ref="BN140:BU140"/>
    <mergeCell ref="B139:E139"/>
    <mergeCell ref="F139:I139"/>
    <mergeCell ref="J139:Q139"/>
    <mergeCell ref="R139:Y139"/>
    <mergeCell ref="Z139:AG139"/>
    <mergeCell ref="AH139:AO139"/>
    <mergeCell ref="AP139:AW139"/>
    <mergeCell ref="BN141:BU141"/>
    <mergeCell ref="B142:E142"/>
    <mergeCell ref="F142:I142"/>
    <mergeCell ref="J142:Q142"/>
    <mergeCell ref="R142:Y142"/>
    <mergeCell ref="Z142:AG142"/>
    <mergeCell ref="AH142:AO142"/>
    <mergeCell ref="AP143:AW143"/>
    <mergeCell ref="AX143:BE143"/>
    <mergeCell ref="BF143:BM143"/>
    <mergeCell ref="BN143:BU143"/>
    <mergeCell ref="AP142:AW142"/>
    <mergeCell ref="AX142:BE142"/>
    <mergeCell ref="BF142:BM142"/>
    <mergeCell ref="BN142:BU142"/>
    <mergeCell ref="B143:E143"/>
    <mergeCell ref="F143:I143"/>
    <mergeCell ref="J143:Q143"/>
    <mergeCell ref="R143:Y143"/>
    <mergeCell ref="Z143:AG143"/>
    <mergeCell ref="AH143:AO143"/>
    <mergeCell ref="B141:E141"/>
    <mergeCell ref="F141:I141"/>
    <mergeCell ref="J141:Q141"/>
  </mergeCells>
  <conditionalFormatting sqref="B36:BN42">
    <cfRule type="expression" dxfId="3" priority="7">
      <formula>ROW(B36)=ROW(First_investment_entry)+lsc+rcs+ap+w-1</formula>
    </cfRule>
  </conditionalFormatting>
  <conditionalFormatting sqref="B108:BU143">
    <cfRule type="expression" dxfId="2" priority="6">
      <formula>ROW(B108)=ROW(First_entry_output_table)+time_horizon-1</formula>
    </cfRule>
  </conditionalFormatting>
  <conditionalFormatting sqref="B62:BU70">
    <cfRule type="expression" dxfId="1" priority="1">
      <formula>$B$61=""</formula>
    </cfRule>
  </conditionalFormatting>
  <pageMargins left="0.19685039370078741" right="0.19685039370078741" top="0.39370078740157483" bottom="0.39370078740157483" header="0.31496062992125984" footer="0.31496062992125984"/>
  <pageSetup paperSize="9" scale="65" fitToHeight="0" orientation="portrait" r:id="rId1"/>
  <rowBreaks count="1" manualBreakCount="1">
    <brk id="71"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3" id="{04FD1B5E-E765-41F8-AFF1-44509F53D173}">
            <xm:f>AND('Financial Planning Tool'!$AI54&gt;0,'Financial Planning Tool'!$AE54&lt;=time_horizon)</xm:f>
            <x14:dxf>
              <font>
                <b/>
                <i val="0"/>
                <color rgb="FFED0025"/>
              </font>
            </x14:dxf>
          </x14:cfRule>
          <xm:sqref>AP108:BE143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124</vt:i4>
      </vt:variant>
    </vt:vector>
  </HeadingPairs>
  <TitlesOfParts>
    <vt:vector size="128" baseType="lpstr">
      <vt:lpstr>Macros</vt:lpstr>
      <vt:lpstr>Generic investment scenario</vt:lpstr>
      <vt:lpstr>Retirement savings scenario</vt:lpstr>
      <vt:lpstr>Print</vt:lpstr>
      <vt:lpstr>AdjPeriodEnding</vt:lpstr>
      <vt:lpstr>AdjPeriodEnding_save</vt:lpstr>
      <vt:lpstr>AdjVar</vt:lpstr>
      <vt:lpstr>AdjVar_save</vt:lpstr>
      <vt:lpstr>AdjVarRef</vt:lpstr>
      <vt:lpstr>AdjVarType</vt:lpstr>
      <vt:lpstr>AdjVarType_save</vt:lpstr>
      <vt:lpstr>Age</vt:lpstr>
      <vt:lpstr>Age_year</vt:lpstr>
      <vt:lpstr>amount_wording1</vt:lpstr>
      <vt:lpstr>amount_wording2</vt:lpstr>
      <vt:lpstr>Annuity_cap</vt:lpstr>
      <vt:lpstr>Annuity_min</vt:lpstr>
      <vt:lpstr>ap</vt:lpstr>
      <vt:lpstr>ap_a_n_1</vt:lpstr>
      <vt:lpstr>ap_a_r_1</vt:lpstr>
      <vt:lpstr>Cap_reached_current</vt:lpstr>
      <vt:lpstr>Cap_reached_saved</vt:lpstr>
      <vt:lpstr>CapReached</vt:lpstr>
      <vt:lpstr>Compare_table_first_entry</vt:lpstr>
      <vt:lpstr>CompareGraphData</vt:lpstr>
      <vt:lpstr>Count_of_compare_lines</vt:lpstr>
      <vt:lpstr>Date_of_birth</vt:lpstr>
      <vt:lpstr>date_start</vt:lpstr>
      <vt:lpstr>DesiredAmount_save</vt:lpstr>
      <vt:lpstr>DesiredAmountNom</vt:lpstr>
      <vt:lpstr>DesiredAmountReal</vt:lpstr>
      <vt:lpstr>Drawdown_tick</vt:lpstr>
      <vt:lpstr>Earliest_annuity_payment</vt:lpstr>
      <vt:lpstr>EntryPosition</vt:lpstr>
      <vt:lpstr>Fees</vt:lpstr>
      <vt:lpstr>Print!First_entry_output_table</vt:lpstr>
      <vt:lpstr>First_entry_output_table</vt:lpstr>
      <vt:lpstr>First_investment_details_entry</vt:lpstr>
      <vt:lpstr>Print!First_investment_entry</vt:lpstr>
      <vt:lpstr>First_investment_entry</vt:lpstr>
      <vt:lpstr>First_net_contribution</vt:lpstr>
      <vt:lpstr>First_net_investment</vt:lpstr>
      <vt:lpstr>FirstGraphDataPoint</vt:lpstr>
      <vt:lpstr>Flow_in_list</vt:lpstr>
      <vt:lpstr>freq_options</vt:lpstr>
      <vt:lpstr>freq_options_list</vt:lpstr>
      <vt:lpstr>GoalOptimisation</vt:lpstr>
      <vt:lpstr>graph_contributions_compare_tick</vt:lpstr>
      <vt:lpstr>graph_contributions_r_tick</vt:lpstr>
      <vt:lpstr>Print!Graph_first_row</vt:lpstr>
      <vt:lpstr>Graph_first_row</vt:lpstr>
      <vt:lpstr>graph_income_compare_tick</vt:lpstr>
      <vt:lpstr>graph_income_r_tick</vt:lpstr>
      <vt:lpstr>graph_mv_compare_tick</vt:lpstr>
      <vt:lpstr>graph_mv_r_tick</vt:lpstr>
      <vt:lpstr>Print!Graph_top_corner</vt:lpstr>
      <vt:lpstr>Graph_top_corner</vt:lpstr>
      <vt:lpstr>graph_withdrawals_compare_tick</vt:lpstr>
      <vt:lpstr>graph_withdrawals_r_tick</vt:lpstr>
      <vt:lpstr>inflation</vt:lpstr>
      <vt:lpstr>initial_admin</vt:lpstr>
      <vt:lpstr>initial_adviser</vt:lpstr>
      <vt:lpstr>initial_other</vt:lpstr>
      <vt:lpstr>Input_message_tick</vt:lpstr>
      <vt:lpstr>line_tracker</vt:lpstr>
      <vt:lpstr>lsc</vt:lpstr>
      <vt:lpstr>lsc_a_n_1</vt:lpstr>
      <vt:lpstr>lsc_a_n_2</vt:lpstr>
      <vt:lpstr>lsc_a_n_3</vt:lpstr>
      <vt:lpstr>lsc_a_r_1</vt:lpstr>
      <vt:lpstr>lsc_a_r_2</vt:lpstr>
      <vt:lpstr>lsc_a_r_3</vt:lpstr>
      <vt:lpstr>Market_value_start</vt:lpstr>
      <vt:lpstr>MinReached</vt:lpstr>
      <vt:lpstr>Month_start_dates</vt:lpstr>
      <vt:lpstr>no_save</vt:lpstr>
      <vt:lpstr>NomRetn</vt:lpstr>
      <vt:lpstr>ongoing_admin</vt:lpstr>
      <vt:lpstr>ongoing_adviser</vt:lpstr>
      <vt:lpstr>ongoing_other</vt:lpstr>
      <vt:lpstr>Optimisation_original_value_nom</vt:lpstr>
      <vt:lpstr>Optimisation_original_value_real</vt:lpstr>
      <vt:lpstr>Optimisation_run</vt:lpstr>
      <vt:lpstr>Optimisation_run_check</vt:lpstr>
      <vt:lpstr>OptimisedValNom</vt:lpstr>
      <vt:lpstr>OptimisedValNom_save</vt:lpstr>
      <vt:lpstr>OptimisedValReal</vt:lpstr>
      <vt:lpstr>OptimisedValReal_save</vt:lpstr>
      <vt:lpstr>Print!Print_Titles</vt:lpstr>
      <vt:lpstr>PrintTemplate!Print_Titles</vt:lpstr>
      <vt:lpstr>RateEntry</vt:lpstr>
      <vt:lpstr>rcs</vt:lpstr>
      <vt:lpstr>rcs_a_n_1</vt:lpstr>
      <vt:lpstr>rcs_a_n_2</vt:lpstr>
      <vt:lpstr>rcs_a_n_3</vt:lpstr>
      <vt:lpstr>rcs_a_r_1</vt:lpstr>
      <vt:lpstr>rcs_a_r_2</vt:lpstr>
      <vt:lpstr>rcs_a_r_3</vt:lpstr>
      <vt:lpstr>real_nominal</vt:lpstr>
      <vt:lpstr>Real_nominal_offset</vt:lpstr>
      <vt:lpstr>recurring_freq_options_list</vt:lpstr>
      <vt:lpstr>Saved_scenario_table_top_row</vt:lpstr>
      <vt:lpstr>Scroll_bar_demo</vt:lpstr>
      <vt:lpstr>Print!Signature_first_row</vt:lpstr>
      <vt:lpstr>Signature_first_row</vt:lpstr>
      <vt:lpstr>Start_date_input</vt:lpstr>
      <vt:lpstr>Print!Table_second_row</vt:lpstr>
      <vt:lpstr>Table_second_row</vt:lpstr>
      <vt:lpstr>Print!Table_top_row</vt:lpstr>
      <vt:lpstr>Table_top_row</vt:lpstr>
      <vt:lpstr>time_end</vt:lpstr>
      <vt:lpstr>time_horizon</vt:lpstr>
      <vt:lpstr>Time_horizon_input</vt:lpstr>
      <vt:lpstr>Top_of_compare_table</vt:lpstr>
      <vt:lpstr>Total_saved_investment_details</vt:lpstr>
      <vt:lpstr>Var_to_optimise_save</vt:lpstr>
      <vt:lpstr>VarFrequency</vt:lpstr>
      <vt:lpstr>VarToAdjVal</vt:lpstr>
      <vt:lpstr>VarToAdjVal_save</vt:lpstr>
      <vt:lpstr>VarToAdjValR</vt:lpstr>
      <vt:lpstr>VarToAdjValR_save</vt:lpstr>
      <vt:lpstr>VarToOptimise</vt:lpstr>
      <vt:lpstr>w</vt:lpstr>
      <vt:lpstr>Years_selected_ap_tick</vt:lpstr>
      <vt:lpstr>Years_selected_lsc_tick</vt:lpstr>
      <vt:lpstr>Years_selected_rcs_tick</vt:lpstr>
      <vt:lpstr>Years_selected_tick</vt:lpstr>
      <vt:lpstr>Years_selected_w_tick</vt:lpstr>
    </vt:vector>
  </TitlesOfParts>
  <Company>Gray.Net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McMahon</dc:creator>
  <cp:lastModifiedBy>Matthew van Heusden</cp:lastModifiedBy>
  <cp:lastPrinted>2024-12-19T09:18:47Z</cp:lastPrinted>
  <dcterms:created xsi:type="dcterms:W3CDTF">2017-12-28T07:52:35Z</dcterms:created>
  <dcterms:modified xsi:type="dcterms:W3CDTF">2024-12-21T08:36:51Z</dcterms:modified>
</cp:coreProperties>
</file>